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7.xml" ContentType="application/vnd.openxmlformats-officedocument.drawing+xml"/>
  <Override PartName="/xl/comments6.xml" ContentType="application/vnd.openxmlformats-officedocument.spreadsheetml.comment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comments7.xml" ContentType="application/vnd.openxmlformats-officedocument.spreadsheetml.comment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updateLinks="never" codeName="ThisWorkbook"/>
  <mc:AlternateContent xmlns:mc="http://schemas.openxmlformats.org/markup-compatibility/2006">
    <mc:Choice Requires="x15">
      <x15ac:absPath xmlns:x15ac="http://schemas.microsoft.com/office/spreadsheetml/2010/11/ac" url="C:\Users\Lenovo\Desktop\Work\Valify\Working files\"/>
    </mc:Choice>
  </mc:AlternateContent>
  <xr:revisionPtr revIDLastSave="0" documentId="13_ncr:1_{840DDE87-35DB-4559-A775-6A3A9B301617}" xr6:coauthVersionLast="36" xr6:coauthVersionMax="36" xr10:uidLastSave="{00000000-0000-0000-0000-000000000000}"/>
  <bookViews>
    <workbookView xWindow="0" yWindow="0" windowWidth="19200" windowHeight="6810" tabRatio="937" firstSheet="1" activeTab="4" xr2:uid="{00000000-000D-0000-FFFF-FFFF00000000}"/>
  </bookViews>
  <sheets>
    <sheet name="NavigationList" sheetId="125" state="veryHidden" r:id="rId1"/>
    <sheet name="Cover" sheetId="816" r:id="rId2"/>
    <sheet name="Form" sheetId="859" r:id="rId3"/>
    <sheet name="Hist.Fin" sheetId="853" r:id="rId4"/>
    <sheet name="Inputs" sheetId="847" r:id="rId5"/>
    <sheet name="WACC" sheetId="92" r:id="rId6"/>
    <sheet name="Notes" sheetId="850" r:id="rId7"/>
    <sheet name="Summary&gt;&gt;" sheetId="824" r:id="rId8"/>
    <sheet name="Key Outputs" sheetId="825" r:id="rId9"/>
    <sheet name="ReportData" sheetId="840" r:id="rId10"/>
    <sheet name="Log" sheetId="854" r:id="rId11"/>
    <sheet name="Report" sheetId="856" r:id="rId12"/>
    <sheet name="Sensitivities" sheetId="855" r:id="rId13"/>
    <sheet name="Sheet4" sheetId="837" state="hidden" r:id="rId14"/>
    <sheet name="Val_Sum2" sheetId="832" state="hidden" r:id="rId15"/>
    <sheet name="Flags" sheetId="849" r:id="rId16"/>
    <sheet name="Outputs&gt;&gt;" sheetId="830" r:id="rId17"/>
    <sheet name="ValSum" sheetId="844" r:id="rId18"/>
    <sheet name="IS" sheetId="2" r:id="rId19"/>
    <sheet name="BS" sheetId="122" r:id="rId20"/>
    <sheet name="CFS" sheetId="835" r:id="rId21"/>
    <sheet name="DCF" sheetId="834" r:id="rId22"/>
    <sheet name="Workings&gt;&gt;" sheetId="822" r:id="rId23"/>
    <sheet name="IS_Calcs" sheetId="826" r:id="rId24"/>
    <sheet name="BS_Calc" sheetId="829" r:id="rId25"/>
    <sheet name="GPC Analysis &gt;" sheetId="845" r:id="rId26"/>
    <sheet name="_CIQHiddenCacheSheet" sheetId="814" state="veryHidden" r:id="rId27"/>
    <sheet name="PubCoValue" sheetId="588" state="hidden" r:id="rId28"/>
    <sheet name="NCDFWC" sheetId="178" state="hidden" r:id="rId29"/>
    <sheet name="Multiples" sheetId="22" r:id="rId30"/>
    <sheet name="Transact" sheetId="28" r:id="rId31"/>
    <sheet name="Growth" sheetId="189" r:id="rId32"/>
    <sheet name="Margins" sheetId="190" r:id="rId33"/>
    <sheet name="Capex, Dep, WC" sheetId="192" r:id="rId34"/>
    <sheet name="CapXDepTax" sheetId="589" state="hidden" r:id="rId35"/>
    <sheet name="GPCDes" sheetId="63" r:id="rId36"/>
    <sheet name="D|E" sheetId="437" r:id="rId37"/>
    <sheet name="GPCRatios" sheetId="587" r:id="rId38"/>
    <sheet name="PBC&gt;&gt;" sheetId="839" r:id="rId39"/>
    <sheet name="FS" sheetId="841" r:id="rId40"/>
    <sheet name="Sources&gt;" sheetId="239" r:id="rId41"/>
    <sheet name="DamodaranCRP" sheetId="848" r:id="rId42"/>
    <sheet name="Industry Beta" sheetId="852" r:id="rId43"/>
    <sheet name="SizePremia" sheetId="188" r:id="rId44"/>
    <sheet name="GPCTradingData" sheetId="238" r:id="rId45"/>
    <sheet name="Tax" sheetId="365" r:id="rId46"/>
    <sheet name="GPC Data" sheetId="827" r:id="rId47"/>
  </sheets>
  <externalReferences>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s>
  <definedNames>
    <definedName name="__123Graph_A" localSheetId="34">[1]CAUSTIC!#REF!</definedName>
    <definedName name="__123Graph_A" localSheetId="27">[1]CAUSTIC!#REF!</definedName>
    <definedName name="__123Graph_B" localSheetId="34">[1]CAUSTIC!#REF!</definedName>
    <definedName name="__123Graph_B" localSheetId="27">[1]CAUSTIC!#REF!</definedName>
    <definedName name="__123Graph_C" localSheetId="34">[1]CAUSTIC!#REF!</definedName>
    <definedName name="__123Graph_C" localSheetId="27">[1]CAUSTIC!#REF!</definedName>
    <definedName name="__123Graph_D" localSheetId="34">[1]CAUSTIC!#REF!</definedName>
    <definedName name="__123Graph_D" localSheetId="27">[1]CAUSTIC!#REF!</definedName>
    <definedName name="__123Graph_E" localSheetId="34">[1]CAUSTIC!#REF!</definedName>
    <definedName name="__123Graph_E" localSheetId="27">[1]CAUSTIC!#REF!</definedName>
    <definedName name="__123Graph_F" localSheetId="34">[1]CAUSTIC!#REF!</definedName>
    <definedName name="__123Graph_F" localSheetId="27">[1]CAUSTIC!#REF!</definedName>
    <definedName name="__123Graph_X" localSheetId="34">[1]CAUSTIC!#REF!</definedName>
    <definedName name="__123Graph_X" localSheetId="27">[1]CAUSTIC!#REF!</definedName>
    <definedName name="__FDS_USED_FOR_REUSING_RANGE_IDS_RECYCLE" localSheetId="34">{6255,6433,6426,4570,6254,4839,6244,4846,6431,6432,4838,6248,6236}</definedName>
    <definedName name="__FDS_USED_FOR_REUSING_RANGE_IDS_RECYCLE" localSheetId="27">{6255,6433,6426,4570,6254,4839,6244,4846,6431,6432,4838,6248,6236}</definedName>
    <definedName name="_1210__FDSAUDITLINK__" localSheetId="34">{"fdsup://Directions/FactSet Auditing Viewer?action=AUDIT_VALUE&amp;DB=129&amp;ID1=41131010&amp;VALUEID=01451&amp;SDATE=2010&amp;PERIODTYPE=ANNR_STD&amp;SCFT=3&amp;window=popup_no_bar&amp;width=385&amp;height=120&amp;START_MAXIMIZED=FALSE&amp;creator=factset&amp;display_string=Audit"}</definedName>
    <definedName name="_1210__FDSAUDITLINK__" localSheetId="27">{"fdsup://Directions/FactSet Auditing Viewer?action=AUDIT_VALUE&amp;DB=129&amp;ID1=41131010&amp;VALUEID=01451&amp;SDATE=2010&amp;PERIODTYPE=ANNR_STD&amp;SCFT=3&amp;window=popup_no_bar&amp;width=385&amp;height=120&amp;START_MAXIMIZED=FALSE&amp;creator=factset&amp;display_string=Audit"}</definedName>
    <definedName name="_1211__FDSAUDITLINK__" localSheetId="34">{"fdsup://Directions/FactSet Auditing Viewer?action=AUDIT_VALUE&amp;DB=129&amp;ID1=41131010&amp;VALUEID=01401&amp;SDATE=2010&amp;PERIODTYPE=ANNR_STD&amp;SCFT=3&amp;window=popup_no_bar&amp;width=385&amp;height=120&amp;START_MAXIMIZED=FALSE&amp;creator=factset&amp;display_string=Audit"}</definedName>
    <definedName name="_1211__FDSAUDITLINK__" localSheetId="27">{"fdsup://Directions/FactSet Auditing Viewer?action=AUDIT_VALUE&amp;DB=129&amp;ID1=41131010&amp;VALUEID=01401&amp;SDATE=2010&amp;PERIODTYPE=ANNR_STD&amp;SCFT=3&amp;window=popup_no_bar&amp;width=385&amp;height=120&amp;START_MAXIMIZED=FALSE&amp;creator=factset&amp;display_string=Audit"}</definedName>
    <definedName name="_1212__FDSAUDITLINK__" localSheetId="34">{"fdsup://directions/FAT Viewer?action=UPDATE&amp;creator=factset&amp;DYN_ARGS=TRUE&amp;DOC_NAME=FAT:FQL_AUDITING_CLIENT_TEMPLATE.FAT&amp;display_string=Audit&amp;VAR:KEY=UHQLERSTCN&amp;VAR:QUERY=KChGRl9ERUJUKFFUUiw0MDcxOCwsLCwpQEZGX0RFQlQoU0VNSSw0MDcxOCwsLCwpKUBGRl9ERUJUKEFOTl9SL","DQwNzE4LCwsLCkp&amp;WINDOW=FIRST_POPUP&amp;HEIGHT=450&amp;WIDTH=450&amp;START_MAXIMIZED=FALSE&amp;VAR:CALENDAR=FIVEDAY&amp;VAR:SYMBOL=0&amp;VAR:INDEX=0"}</definedName>
    <definedName name="_1212__FDSAUDITLINK__" localSheetId="27">{"fdsup://directions/FAT Viewer?action=UPDATE&amp;creator=factset&amp;DYN_ARGS=TRUE&amp;DOC_NAME=FAT:FQL_AUDITING_CLIENT_TEMPLATE.FAT&amp;display_string=Audit&amp;VAR:KEY=UHQLERSTCN&amp;VAR:QUERY=KChGRl9ERUJUKFFUUiw0MDcxOCwsLCwpQEZGX0RFQlQoU0VNSSw0MDcxOCwsLCwpKUBGRl9ERUJUKEFOTl9SL","DQwNzE4LCwsLCkp&amp;WINDOW=FIRST_POPUP&amp;HEIGHT=450&amp;WIDTH=450&amp;START_MAXIMIZED=FALSE&amp;VAR:CALENDAR=FIVEDAY&amp;VAR:SYMBOL=0&amp;VAR:INDEX=0"}</definedName>
    <definedName name="_1213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1213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1214__FDSAUDITLINK__" localSheetId="34">{"fdsup://directions/FAT Viewer?action=UPDATE&amp;creator=factset&amp;DYN_ARGS=TRUE&amp;DOC_NAME=FAT:FQL_AUDITING_CLIENT_TEMPLATE.FAT&amp;display_string=Audit&amp;VAR:KEY=BUTOFERSLO&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214__FDSAUDITLINK__" localSheetId="27">{"fdsup://directions/FAT Viewer?action=UPDATE&amp;creator=factset&amp;DYN_ARGS=TRUE&amp;DOC_NAME=FAT:FQL_AUDITING_CLIENT_TEMPLATE.FAT&amp;display_string=Audit&amp;VAR:KEY=BUTOFERSLO&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215__FDSAUDITLINK__" localSheetId="34">{"fdsup://directions/FAT Viewer?action=UPDATE&amp;creator=factset&amp;DYN_ARGS=TRUE&amp;DOC_NAME=FAT:FQL_AUDITING_CLIENT_TEMPLATE.FAT&amp;display_string=Audit&amp;VAR:KEY=IRMBGTETQN&amp;VAR:QUERY=KChGRl9ERUJUKFFUUiw0MDcxOCwsLCxVU0QpQEZGX0RFQlQoU0VNSSw0MDcxOCwsLCxVU0QpKUBGRl9ERUJUK","EFOTl9SLDQwNzE4LCwsLFVTRCkp&amp;WINDOW=FIRST_POPUP&amp;HEIGHT=450&amp;WIDTH=450&amp;START_MAXIMIZED=FALSE&amp;VAR:CALENDAR=FIVEDAY&amp;VAR:SYMBOL=36191G10&amp;VAR:INDEX=0"}</definedName>
    <definedName name="_1215__FDSAUDITLINK__" localSheetId="27">{"fdsup://directions/FAT Viewer?action=UPDATE&amp;creator=factset&amp;DYN_ARGS=TRUE&amp;DOC_NAME=FAT:FQL_AUDITING_CLIENT_TEMPLATE.FAT&amp;display_string=Audit&amp;VAR:KEY=IRMBGTETQN&amp;VAR:QUERY=KChGRl9ERUJUKFFUUiw0MDcxOCwsLCxVU0QpQEZGX0RFQlQoU0VNSSw0MDcxOCwsLCxVU0QpKUBGRl9ERUJUK","EFOTl9SLDQwNzE4LCwsLFVTRCkp&amp;WINDOW=FIRST_POPUP&amp;HEIGHT=450&amp;WIDTH=450&amp;START_MAXIMIZED=FALSE&amp;VAR:CALENDAR=FIVEDAY&amp;VAR:SYMBOL=36191G10&amp;VAR:INDEX=0"}</definedName>
    <definedName name="_1216__FDSAUDITLINK__" localSheetId="34">{"fdsup://Directions/FactSet Auditing Viewer?action=AUDIT_VALUE&amp;DB=129&amp;ID1=23328Q10&amp;VALUEID=03451&amp;SDATE=201101&amp;PERIODTYPE=QTR_STD&amp;SCFT=3&amp;window=popup_no_bar&amp;width=385&amp;height=120&amp;START_MAXIMIZED=FALSE&amp;creator=factset&amp;display_string=Audit"}</definedName>
    <definedName name="_1216__FDSAUDITLINK__" localSheetId="27">{"fdsup://Directions/FactSet Auditing Viewer?action=AUDIT_VALUE&amp;DB=129&amp;ID1=23328Q10&amp;VALUEID=03451&amp;SDATE=201101&amp;PERIODTYPE=QTR_STD&amp;SCFT=3&amp;window=popup_no_bar&amp;width=385&amp;height=120&amp;START_MAXIMIZED=FALSE&amp;creator=factset&amp;display_string=Audit"}</definedName>
    <definedName name="_1217__FDSAUDITLINK__" localSheetId="34">{"fdsup://directions/FAT Viewer?action=UPDATE&amp;creator=factset&amp;DYN_ARGS=TRUE&amp;DOC_NAME=FAT:FQL_AUDITING_CLIENT_TEMPLATE.FAT&amp;display_string=Audit&amp;VAR:KEY=CXCVABMZSX&amp;VAR:QUERY=KChGRl9ERUJUKFFUUiw0MDcxOCwsLCxVU0QpQEZGX0RFQlQoU0VNSSw0MDcxOCwsLCxVU0QpKUBGRl9ERUJUK","EFOTl9SLDQwNzE4LCwsLFVTRCkp&amp;WINDOW=FIRST_POPUP&amp;HEIGHT=450&amp;WIDTH=450&amp;START_MAXIMIZED=FALSE&amp;VAR:CALENDAR=FIVEDAY&amp;VAR:SYMBOL=92847A20&amp;VAR:INDEX=0"}</definedName>
    <definedName name="_1217__FDSAUDITLINK__" localSheetId="27">{"fdsup://directions/FAT Viewer?action=UPDATE&amp;creator=factset&amp;DYN_ARGS=TRUE&amp;DOC_NAME=FAT:FQL_AUDITING_CLIENT_TEMPLATE.FAT&amp;display_string=Audit&amp;VAR:KEY=CXCVABMZSX&amp;VAR:QUERY=KChGRl9ERUJUKFFUUiw0MDcxOCwsLCxVU0QpQEZGX0RFQlQoU0VNSSw0MDcxOCwsLCxVU0QpKUBGRl9ERUJUK","EFOTl9SLDQwNzE4LCwsLFVTRCkp&amp;WINDOW=FIRST_POPUP&amp;HEIGHT=450&amp;WIDTH=450&amp;START_MAXIMIZED=FALSE&amp;VAR:CALENDAR=FIVEDAY&amp;VAR:SYMBOL=92847A20&amp;VAR:INDEX=0"}</definedName>
    <definedName name="_1218__FDSAUDITLINK__" localSheetId="34">{"fdsup://directions/FAT Viewer?action=UPDATE&amp;creator=factset&amp;DYN_ARGS=TRUE&amp;DOC_NAME=FAT:FQL_AUDITING_CLIENT_TEMPLATE.FAT&amp;display_string=Audit&amp;VAR:KEY=DWXKBKPSHQ&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046991&amp;VAR:INDEX=0"}</definedName>
    <definedName name="_1218__FDSAUDITLINK__" localSheetId="27">{"fdsup://directions/FAT Viewer?action=UPDATE&amp;creator=factset&amp;DYN_ARGS=TRUE&amp;DOC_NAME=FAT:FQL_AUDITING_CLIENT_TEMPLATE.FAT&amp;display_string=Audit&amp;VAR:KEY=DWXKBKPSHQ&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046991&amp;VAR:INDEX=0"}</definedName>
    <definedName name="_1219__FDSAUDITLINK__" localSheetId="34">{"fdsup://Directions/FactSet Auditing Viewer?action=AUDIT_VALUE&amp;DB=129&amp;ID1=010486&amp;VALUEID=03101&amp;SDATE=2009&amp;PERIODTYPE=ANNR_STD&amp;window=popup_no_bar&amp;width=385&amp;height=120&amp;START_MAXIMIZED=FALSE&amp;creator=factset&amp;display_string=Audit"}</definedName>
    <definedName name="_1219__FDSAUDITLINK__" localSheetId="27">{"fdsup://Directions/FactSet Auditing Viewer?action=AUDIT_VALUE&amp;DB=129&amp;ID1=010486&amp;VALUEID=03101&amp;SDATE=2009&amp;PERIODTYPE=ANNR_STD&amp;window=popup_no_bar&amp;width=385&amp;height=120&amp;START_MAXIMIZED=FALSE&amp;creator=factset&amp;display_string=Audit"}</definedName>
    <definedName name="_1220__FDSAUDITLINK__" localSheetId="34">{"fdsup://Directions/FactSet Auditing Viewer?action=AUDIT_VALUE&amp;DB=129&amp;ID1=010486&amp;VALUEID=02001&amp;SDATE=2009&amp;PERIODTYPE=ANNR_STD&amp;window=popup_no_bar&amp;width=385&amp;height=120&amp;START_MAXIMIZED=FALSE&amp;creator=factset&amp;display_string=Audit"}</definedName>
    <definedName name="_1220__FDSAUDITLINK__" localSheetId="27">{"fdsup://Directions/FactSet Auditing Viewer?action=AUDIT_VALUE&amp;DB=129&amp;ID1=010486&amp;VALUEID=02001&amp;SDATE=2009&amp;PERIODTYPE=ANNR_STD&amp;window=popup_no_bar&amp;width=385&amp;height=120&amp;START_MAXIMIZED=FALSE&amp;creator=factset&amp;display_string=Audit"}</definedName>
    <definedName name="_1221__FDSAUDITLINK__" localSheetId="34">{"fdsup://Directions/FactSet Auditing Viewer?action=AUDIT_VALUE&amp;DB=129&amp;ID1=010486&amp;VALUEID=02201&amp;SDATE=2009&amp;PERIODTYPE=ANNR_STD&amp;window=popup_no_bar&amp;width=385&amp;height=120&amp;START_MAXIMIZED=FALSE&amp;creator=factset&amp;display_string=Audit"}</definedName>
    <definedName name="_1221__FDSAUDITLINK__" localSheetId="27">{"fdsup://Directions/FactSet Auditing Viewer?action=AUDIT_VALUE&amp;DB=129&amp;ID1=010486&amp;VALUEID=02201&amp;SDATE=2009&amp;PERIODTYPE=ANNR_STD&amp;window=popup_no_bar&amp;width=385&amp;height=120&amp;START_MAXIMIZED=FALSE&amp;creator=factset&amp;display_string=Audit"}</definedName>
    <definedName name="_1222__FDSAUDITLINK__" localSheetId="34">{"fdsup://directions/FAT Viewer?action=UPDATE&amp;creator=factset&amp;DYN_ARGS=TRUE&amp;DOC_NAME=FAT:FQL_AUDITING_CLIENT_TEMPLATE.FAT&amp;display_string=Audit&amp;VAR:KEY=IFOZAXABGV&amp;VAR:QUERY=KChGRl9ERUJUKFFUUiw0MDcxOCwsLCxVU0QpQEZGX0RFQlQoU0VNSSw0MDcxOCwsLCxVU0QpKUBGRl9ERUJUK","EFOTl9SLDQwNzE4LCwsLFVTRCkp&amp;WINDOW=FIRST_POPUP&amp;HEIGHT=450&amp;WIDTH=450&amp;START_MAXIMIZED=FALSE&amp;VAR:CALENDAR=FIVEDAY&amp;VAR:SYMBOL=69511310&amp;VAR:INDEX=0"}</definedName>
    <definedName name="_1222__FDSAUDITLINK__" localSheetId="27">{"fdsup://directions/FAT Viewer?action=UPDATE&amp;creator=factset&amp;DYN_ARGS=TRUE&amp;DOC_NAME=FAT:FQL_AUDITING_CLIENT_TEMPLATE.FAT&amp;display_string=Audit&amp;VAR:KEY=IFOZAXABGV&amp;VAR:QUERY=KChGRl9ERUJUKFFUUiw0MDcxOCwsLCxVU0QpQEZGX0RFQlQoU0VNSSw0MDcxOCwsLCxVU0QpKUBGRl9ERUJUK","EFOTl9SLDQwNzE4LCwsLFVTRCkp&amp;WINDOW=FIRST_POPUP&amp;HEIGHT=450&amp;WIDTH=450&amp;START_MAXIMIZED=FALSE&amp;VAR:CALENDAR=FIVEDAY&amp;VAR:SYMBOL=69511310&amp;VAR:INDEX=0"}</definedName>
    <definedName name="_1223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23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24__FDSAUDITLINK__" localSheetId="34">{"fdsup://directions/FAT Viewer?action=UPDATE&amp;creator=factset&amp;DYN_ARGS=TRUE&amp;DOC_NAME=FAT:FQL_AUDITING_CLIENT_TEMPLATE.FAT&amp;display_string=Audit&amp;VAR:KEY=DWLMRMVOVS&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337647&amp;VAR:INDEX=0"}</definedName>
    <definedName name="_1224__FDSAUDITLINK__" localSheetId="27">{"fdsup://directions/FAT Viewer?action=UPDATE&amp;creator=factset&amp;DYN_ARGS=TRUE&amp;DOC_NAME=FAT:FQL_AUDITING_CLIENT_TEMPLATE.FAT&amp;display_string=Audit&amp;VAR:KEY=DWLMRMVOVS&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337647&amp;VAR:INDEX=0"}</definedName>
    <definedName name="_1225__FDSAUDITLINK__" localSheetId="34">{"fdsup://Directions/FactSet Auditing Viewer?action=AUDIT_VALUE&amp;DB=129&amp;ID1=41131010&amp;VALUEID=02001&amp;SDATE=201101&amp;PERIODTYPE=QTR_STD&amp;SCFT=3&amp;window=popup_no_bar&amp;width=385&amp;height=120&amp;START_MAXIMIZED=FALSE&amp;creator=factset&amp;display_string=Audit"}</definedName>
    <definedName name="_1225__FDSAUDITLINK__" localSheetId="27">{"fdsup://Directions/FactSet Auditing Viewer?action=AUDIT_VALUE&amp;DB=129&amp;ID1=41131010&amp;VALUEID=02001&amp;SDATE=201101&amp;PERIODTYPE=QTR_STD&amp;SCFT=3&amp;window=popup_no_bar&amp;width=385&amp;height=120&amp;START_MAXIMIZED=FALSE&amp;creator=factset&amp;display_string=Audit"}</definedName>
    <definedName name="_1226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226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227__FDSAUDITLINK__" localSheetId="34">{"fdsup://directions/FAT Viewer?action=UPDATE&amp;creator=factset&amp;DYN_ARGS=TRUE&amp;DOC_NAME=FAT:FQL_AUDITING_CLIENT_TEMPLATE.FAT&amp;display_string=Audit&amp;VAR:KEY=ZCXIDUDMZU&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27__FDSAUDITLINK__" localSheetId="27">{"fdsup://directions/FAT Viewer?action=UPDATE&amp;creator=factset&amp;DYN_ARGS=TRUE&amp;DOC_NAME=FAT:FQL_AUDITING_CLIENT_TEMPLATE.FAT&amp;display_string=Audit&amp;VAR:KEY=ZCXIDUDMZU&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28__FDSAUDITLINK__" localSheetId="34">{"fdsup://directions/FAT Viewer?action=UPDATE&amp;creator=factset&amp;DYN_ARGS=TRUE&amp;DOC_NAME=FAT:FQL_AUDITING_CLIENT_TEMPLATE.FAT&amp;display_string=Audit&amp;VAR:KEY=UVSTWVETQN&amp;VAR:QUERY=KChGRl9ERUJUKFFUUiw0MDcxOCwsLCxVU0QpQEZGX0RFQlQoU0VNSSw0MDcxOCwsLCxVU0QpKUBGRl9ERUJUK","EFOTl9SLDQwNzE4LCwsLFVTRCkp&amp;WINDOW=FIRST_POPUP&amp;HEIGHT=450&amp;WIDTH=450&amp;START_MAXIMIZED=FALSE&amp;VAR:CALENDAR=FIVEDAY&amp;VAR:SYMBOL=91543M10&amp;VAR:INDEX=0"}</definedName>
    <definedName name="_1228__FDSAUDITLINK__" localSheetId="27">{"fdsup://directions/FAT Viewer?action=UPDATE&amp;creator=factset&amp;DYN_ARGS=TRUE&amp;DOC_NAME=FAT:FQL_AUDITING_CLIENT_TEMPLATE.FAT&amp;display_string=Audit&amp;VAR:KEY=UVSTWVETQN&amp;VAR:QUERY=KChGRl9ERUJUKFFUUiw0MDcxOCwsLCxVU0QpQEZGX0RFQlQoU0VNSSw0MDcxOCwsLCxVU0QpKUBGRl9ERUJUK","EFOTl9SLDQwNzE4LCwsLFVTRCkp&amp;WINDOW=FIRST_POPUP&amp;HEIGHT=450&amp;WIDTH=450&amp;START_MAXIMIZED=FALSE&amp;VAR:CALENDAR=FIVEDAY&amp;VAR:SYMBOL=91543M10&amp;VAR:INDEX=0"}</definedName>
    <definedName name="_1229__FDSAUDITLINK__" localSheetId="34">{"fdsup://directions/FAT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229__FDSAUDITLINK__" localSheetId="27">{"fdsup://directions/FAT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230__FDSAUDITLINK__" localSheetId="34">{"fdsup://Directions/FactSet Auditing Viewer?action=AUDIT_VALUE&amp;DB=129&amp;ID1=91543M10&amp;VALUEID=02001&amp;SDATE=201101&amp;PERIODTYPE=QTR_STD&amp;SCFT=3&amp;window=popup_no_bar&amp;width=385&amp;height=120&amp;START_MAXIMIZED=FALSE&amp;creator=factset&amp;display_string=Audit"}</definedName>
    <definedName name="_1230__FDSAUDITLINK__" localSheetId="27">{"fdsup://Directions/FactSet Auditing Viewer?action=AUDIT_VALUE&amp;DB=129&amp;ID1=91543M10&amp;VALUEID=02001&amp;SDATE=201101&amp;PERIODTYPE=QTR_STD&amp;SCFT=3&amp;window=popup_no_bar&amp;width=385&amp;height=120&amp;START_MAXIMIZED=FALSE&amp;creator=factset&amp;display_string=Audit"}</definedName>
    <definedName name="_1231__FDSAUDITLINK__" localSheetId="34">{"fdsup://directions/FAT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231__FDSAUDITLINK__" localSheetId="27">{"fdsup://directions/FAT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232__FDSAUDITLINK__" localSheetId="34">{"fdsup://directions/FAT Viewer?action=UPDATE&amp;creator=factset&amp;DYN_ARGS=TRUE&amp;DOC_NAME=FAT:FQL_AUDITING_CLIENT_TEMPLATE.FAT&amp;display_string=Audit&amp;VAR:KEY=OHOJGLULQX&amp;VAR:QUERY=KChGRl9ERUJUKFFUUiw0MDcxOCwsLCxVU0QpQEZGX0RFQlQoU0VNSSw0MDcxOCwsLCxVU0QpKUBGRl9ERUJUK","EFOTl9SLDQwNzE4LCwsLFVTRCkp&amp;WINDOW=FIRST_POPUP&amp;HEIGHT=450&amp;WIDTH=450&amp;START_MAXIMIZED=FALSE&amp;VAR:CALENDAR=FIVEDAY&amp;VAR:SYMBOL=30250Q10&amp;VAR:INDEX=0"}</definedName>
    <definedName name="_1232__FDSAUDITLINK__" localSheetId="27">{"fdsup://directions/FAT Viewer?action=UPDATE&amp;creator=factset&amp;DYN_ARGS=TRUE&amp;DOC_NAME=FAT:FQL_AUDITING_CLIENT_TEMPLATE.FAT&amp;display_string=Audit&amp;VAR:KEY=OHOJGLULQX&amp;VAR:QUERY=KChGRl9ERUJUKFFUUiw0MDcxOCwsLCxVU0QpQEZGX0RFQlQoU0VNSSw0MDcxOCwsLCxVU0QpKUBGRl9ERUJUK","EFOTl9SLDQwNzE4LCwsLFVTRCkp&amp;WINDOW=FIRST_POPUP&amp;HEIGHT=450&amp;WIDTH=450&amp;START_MAXIMIZED=FALSE&amp;VAR:CALENDAR=FIVEDAY&amp;VAR:SYMBOL=30250Q10&amp;VAR:INDEX=0"}</definedName>
    <definedName name="_1233__FDSAUDITLINK__" localSheetId="34">{"fdsup://directions/FAT Viewer?action=UPDATE&amp;creator=factset&amp;DYN_ARGS=TRUE&amp;DOC_NAME=FAT:FQL_AUDITING_CLIENT_TEMPLATE.FAT&amp;display_string=Audit&amp;VAR:KEY=HMTODUTELK&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010486&amp;VAR:INDEX=0"}</definedName>
    <definedName name="_1233__FDSAUDITLINK__" localSheetId="27">{"fdsup://directions/FAT Viewer?action=UPDATE&amp;creator=factset&amp;DYN_ARGS=TRUE&amp;DOC_NAME=FAT:FQL_AUDITING_CLIENT_TEMPLATE.FAT&amp;display_string=Audit&amp;VAR:KEY=HMTODUTELK&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010486&amp;VAR:INDEX=0"}</definedName>
    <definedName name="_1234__FDSAUDITLINK__" localSheetId="34">{"fdsup://directions/FAT Viewer?action=UPDATE&amp;creator=factset&amp;DYN_ARGS=TRUE&amp;DOC_NAME=FAT:FQL_AUDITING_CLIENT_TEMPLATE.FAT&amp;display_string=Audit&amp;VAR:KEY=SJMVGZMBIJ&amp;VAR:QUERY=KChGRl9ERUJUKFFUUiw0MDcxOCwsLCxVU0QpQEZGX0RFQlQoU0VNSSw0MDcxOCwsLCxVU0QpKUBGRl9ERUJUK","EFOTl9SLDQwNzE4LCwsLFVTRCkp&amp;WINDOW=FIRST_POPUP&amp;HEIGHT=450&amp;WIDTH=450&amp;START_MAXIMIZED=FALSE&amp;VAR:CALENDAR=FIVEDAY&amp;VAR:SYMBOL=84918P10&amp;VAR:INDEX=0"}</definedName>
    <definedName name="_1234__FDSAUDITLINK__" localSheetId="27">{"fdsup://directions/FAT Viewer?action=UPDATE&amp;creator=factset&amp;DYN_ARGS=TRUE&amp;DOC_NAME=FAT:FQL_AUDITING_CLIENT_TEMPLATE.FAT&amp;display_string=Audit&amp;VAR:KEY=SJMVGZMBIJ&amp;VAR:QUERY=KChGRl9ERUJUKFFUUiw0MDcxOCwsLCxVU0QpQEZGX0RFQlQoU0VNSSw0MDcxOCwsLCxVU0QpKUBGRl9ERUJUK","EFOTl9SLDQwNzE4LCwsLFVTRCkp&amp;WINDOW=FIRST_POPUP&amp;HEIGHT=450&amp;WIDTH=450&amp;START_MAXIMIZED=FALSE&amp;VAR:CALENDAR=FIVEDAY&amp;VAR:SYMBOL=84918P10&amp;VAR:INDEX=0"}</definedName>
    <definedName name="_1235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5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6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6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7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7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38__FDSAUDITLINK__" localSheetId="34">{"fdsup://directions/FAT Viewer?action=UPDATE&amp;creator=factset&amp;DYN_ARGS=TRUE&amp;DOC_NAME=FAT:FQL_AUDITING_CLIENT_TEMPLATE.FAT&amp;display_string=Audit&amp;VAR:KEY=KLMFYZAZMR&amp;VAR:QUERY=RkZfQVNTRVRTX0NVUlIoQU5OX1IsNDA3MTgtMVksLCxSRiwpLUZGX0NBU0hfU1QoQU5OX1IsNDA3MTgtMVksL","CxSRiwpLUZGX0xJQUJTX0NVUlIoQU5OX1IsNDA3MTgtMVksLCxSRiwpK0ZGX0RFQlRfU1QoQU5OX1IsNDA3MTgtMVksLCxSRiwp&amp;WINDOW=FIRST_POPUP&amp;HEIGHT=450&amp;WIDTH=450&amp;START_MAXIMIZED=FALSE&amp;VAR:CALENDAR=FIVEDAY&amp;VAR:SYMBOL=0&amp;VAR:INDEX=0"}</definedName>
    <definedName name="_1238__FDSAUDITLINK__" localSheetId="27">{"fdsup://directions/FAT Viewer?action=UPDATE&amp;creator=factset&amp;DYN_ARGS=TRUE&amp;DOC_NAME=FAT:FQL_AUDITING_CLIENT_TEMPLATE.FAT&amp;display_string=Audit&amp;VAR:KEY=KLMFYZAZMR&amp;VAR:QUERY=RkZfQVNTRVRTX0NVUlIoQU5OX1IsNDA3MTgtMVksLCxSRiwpLUZGX0NBU0hfU1QoQU5OX1IsNDA3MTgtMVksL","CxSRiwpLUZGX0xJQUJTX0NVUlIoQU5OX1IsNDA3MTgtMVksLCxSRiwpK0ZGX0RFQlRfU1QoQU5OX1IsNDA3MTgtMVksLCxSRiwp&amp;WINDOW=FIRST_POPUP&amp;HEIGHT=450&amp;WIDTH=450&amp;START_MAXIMIZED=FALSE&amp;VAR:CALENDAR=FIVEDAY&amp;VAR:SYMBOL=0&amp;VAR:INDEX=0"}</definedName>
    <definedName name="_1239__FDSAUDITLINK__" localSheetId="34">{"fdsup://directions/FAT Viewer?action=UPDATE&amp;creator=factset&amp;DYN_ARGS=TRUE&amp;DOC_NAME=FAT:FQL_AUDITING_CLIENT_TEMPLATE.FAT&amp;display_string=Audit&amp;VAR:KEY=KLMFYZAZMR&amp;VAR:QUERY=RkZfQVNTRVRTX0NVUlIoQU5OX1IsNDA3MTgtMVksLCxSRiwpLUZGX0NBU0hfU1QoQU5OX1IsNDA3MTgtMVksL","CxSRiwpLUZGX0xJQUJTX0NVUlIoQU5OX1IsNDA3MTgtMVksLCxSRiwpK0ZGX0RFQlRfU1QoQU5OX1IsNDA3MTgtMVksLCxSRiwp&amp;WINDOW=FIRST_POPUP&amp;HEIGHT=450&amp;WIDTH=450&amp;START_MAXIMIZED=FALSE&amp;VAR:CALENDAR=FIVEDAY&amp;VAR:SYMBOL=0&amp;VAR:INDEX=0"}</definedName>
    <definedName name="_1239__FDSAUDITLINK__" localSheetId="27">{"fdsup://directions/FAT Viewer?action=UPDATE&amp;creator=factset&amp;DYN_ARGS=TRUE&amp;DOC_NAME=FAT:FQL_AUDITING_CLIENT_TEMPLATE.FAT&amp;display_string=Audit&amp;VAR:KEY=KLMFYZAZMR&amp;VAR:QUERY=RkZfQVNTRVRTX0NVUlIoQU5OX1IsNDA3MTgtMVksLCxSRiwpLUZGX0NBU0hfU1QoQU5OX1IsNDA3MTgtMVksL","CxSRiwpLUZGX0xJQUJTX0NVUlIoQU5OX1IsNDA3MTgtMVksLCxSRiwpK0ZGX0RFQlRfU1QoQU5OX1IsNDA3MTgtMVksLCxSRiwp&amp;WINDOW=FIRST_POPUP&amp;HEIGHT=450&amp;WIDTH=450&amp;START_MAXIMIZED=FALSE&amp;VAR:CALENDAR=FIVEDAY&amp;VAR:SYMBOL=0&amp;VAR:INDEX=0"}</definedName>
    <definedName name="_1240__FDSAUDITLINK__" localSheetId="34">{"fdsup://directions/FAT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240__FDSAUDITLINK__" localSheetId="27">{"fdsup://directions/FAT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241__FDSAUDITLINK__" localSheetId="34">{"fdsup://Directions/FactSet Auditing Viewer?action=AUDIT_VALUE&amp;DB=129&amp;ID1=80669310&amp;VALUEID=03101&amp;SDATE=2008&amp;PERIODTYPE=ANNR_STD&amp;SCFT=3&amp;window=popup_no_bar&amp;width=385&amp;height=120&amp;START_MAXIMIZED=FALSE&amp;creator=factset&amp;display_string=Audit"}</definedName>
    <definedName name="_1241__FDSAUDITLINK__" localSheetId="27">{"fdsup://Directions/FactSet Auditing Viewer?action=AUDIT_VALUE&amp;DB=129&amp;ID1=80669310&amp;VALUEID=03101&amp;SDATE=2008&amp;PERIODTYPE=ANNR_STD&amp;SCFT=3&amp;window=popup_no_bar&amp;width=385&amp;height=120&amp;START_MAXIMIZED=FALSE&amp;creator=factset&amp;display_string=Audit"}</definedName>
    <definedName name="_1242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242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243__FDSAUDITLINK__" localSheetId="34">{"fdsup://Directions/FactSet Auditing Viewer?action=AUDIT_VALUE&amp;DB=129&amp;ID1=010486&amp;VALUEID=03101&amp;SDATE=2010&amp;PERIODTYPE=ANNR_STD&amp;window=popup_no_bar&amp;width=385&amp;height=120&amp;START_MAXIMIZED=FALSE&amp;creator=factset&amp;display_string=Audit"}</definedName>
    <definedName name="_1243__FDSAUDITLINK__" localSheetId="27">{"fdsup://Directions/FactSet Auditing Viewer?action=AUDIT_VALUE&amp;DB=129&amp;ID1=010486&amp;VALUEID=03101&amp;SDATE=2010&amp;PERIODTYPE=ANNR_STD&amp;window=popup_no_bar&amp;width=385&amp;height=120&amp;START_MAXIMIZED=FALSE&amp;creator=factset&amp;display_string=Audit"}</definedName>
    <definedName name="_1244__FDSAUDITLINK__" localSheetId="34">{"fdsup://Directions/FactSet Auditing Viewer?action=AUDIT_VALUE&amp;DB=129&amp;ID1=010486&amp;VALUEID=02001&amp;SDATE=2010&amp;PERIODTYPE=ANNR_STD&amp;window=popup_no_bar&amp;width=385&amp;height=120&amp;START_MAXIMIZED=FALSE&amp;creator=factset&amp;display_string=Audit"}</definedName>
    <definedName name="_1244__FDSAUDITLINK__" localSheetId="27">{"fdsup://Directions/FactSet Auditing Viewer?action=AUDIT_VALUE&amp;DB=129&amp;ID1=010486&amp;VALUEID=02001&amp;SDATE=2010&amp;PERIODTYPE=ANNR_STD&amp;window=popup_no_bar&amp;width=385&amp;height=120&amp;START_MAXIMIZED=FALSE&amp;creator=factset&amp;display_string=Audit"}</definedName>
    <definedName name="_1245__FDSAUDITLINK__" localSheetId="34">{"fdsup://Directions/FactSet Auditing Viewer?action=AUDIT_VALUE&amp;DB=129&amp;ID1=010486&amp;VALUEID=02201&amp;SDATE=2010&amp;PERIODTYPE=ANNR_STD&amp;window=popup_no_bar&amp;width=385&amp;height=120&amp;START_MAXIMIZED=FALSE&amp;creator=factset&amp;display_string=Audit"}</definedName>
    <definedName name="_1245__FDSAUDITLINK__" localSheetId="27">{"fdsup://Directions/FactSet Auditing Viewer?action=AUDIT_VALUE&amp;DB=129&amp;ID1=010486&amp;VALUEID=02201&amp;SDATE=2010&amp;PERIODTYPE=ANNR_STD&amp;window=popup_no_bar&amp;width=385&amp;height=120&amp;START_MAXIMIZED=FALSE&amp;creator=factset&amp;display_string=Audit"}</definedName>
    <definedName name="_1246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6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7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7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8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8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9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49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0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0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1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1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2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2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3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3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4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4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5__FDSAUDITLINK__" localSheetId="34">{"fdsup://directions/FAT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5__FDSAUDITLINK__" localSheetId="27">{"fdsup://directions/FAT Viewer?action=UPDATE&amp;creator=factset&amp;DYN_ARGS=TRUE&amp;DOC_NAME=FAT:FQL_AUDITING_CLIENT_TEMPLATE.FAT&amp;display_string=Audit&amp;VAR:KEY=FCZEHQLIHI&amp;VAR:QUERY=RkZfU0hMRFJTX0VRKEFOTl9SLDQwNjQxLCwsUkYsKQ==&amp;WINDOW=FIRST_POPUP&amp;HEIGHT=450&amp;WIDTH=450&amp;","START_MAXIMIZED=FALSE&amp;VAR:CALENDAR=FIVEDAY&amp;VAR:SYMBOL=0&amp;VAR:INDEX=0"}</definedName>
    <definedName name="_1256__FDSAUDITLINK__" localSheetId="34">{"fdsup://directions/FAT Viewer?action=UPDATE&amp;creator=factset&amp;DYN_ARGS=TRUE&amp;DOC_NAME=FAT:FQL_AUDITING_CLIENT_TEMPLATE.FAT&amp;display_string=Audit&amp;VAR:KEY=HIRQPAXYVU&amp;VAR:QUERY=RkZfU0hMRFJTX0VRKEFOTl9SLDQwNjQxLCwsUkYsR0JQKQ==&amp;WINDOW=FIRST_POPUP&amp;HEIGHT=450&amp;WIDTH=","450&amp;START_MAXIMIZED=FALSE&amp;VAR:CALENDAR=FIVEDAY&amp;VAR:SYMBOL=010486&amp;VAR:INDEX=0"}</definedName>
    <definedName name="_1256__FDSAUDITLINK__" localSheetId="27">{"fdsup://directions/FAT Viewer?action=UPDATE&amp;creator=factset&amp;DYN_ARGS=TRUE&amp;DOC_NAME=FAT:FQL_AUDITING_CLIENT_TEMPLATE.FAT&amp;display_string=Audit&amp;VAR:KEY=HIRQPAXYVU&amp;VAR:QUERY=RkZfU0hMRFJTX0VRKEFOTl9SLDQwNjQxLCwsUkYsR0JQKQ==&amp;WINDOW=FIRST_POPUP&amp;HEIGHT=450&amp;WIDTH=","450&amp;START_MAXIMIZED=FALSE&amp;VAR:CALENDAR=FIVEDAY&amp;VAR:SYMBOL=010486&amp;VAR:INDEX=0"}</definedName>
    <definedName name="_1257__FDSAUDITLINK__" localSheetId="34">{"fdsup://directions/FAT Viewer?action=UPDATE&amp;creator=factset&amp;DYN_ARGS=TRUE&amp;DOC_NAME=FAT:FQL_AUDITING_CLIENT_TEMPLATE.FAT&amp;display_string=Audit&amp;VAR:KEY=JKHMPUJWHE&amp;VAR:QUERY=KChGRl9ERUJUKFFUUiw0MDY0MSwsLCxHQlApQEZGX0RFQlQoU0VNSSw0MDY0MSwsLCxHQlApKUBGRl9ERUJUK","EFOTl9SLDQwNjQxLCwsLEdCUCkp&amp;WINDOW=FIRST_POPUP&amp;HEIGHT=450&amp;WIDTH=450&amp;START_MAXIMIZED=FALSE&amp;VAR:CALENDAR=FIVEDAY&amp;VAR:SYMBOL=010486&amp;VAR:INDEX=0"}</definedName>
    <definedName name="_1257__FDSAUDITLINK__" localSheetId="27">{"fdsup://directions/FAT Viewer?action=UPDATE&amp;creator=factset&amp;DYN_ARGS=TRUE&amp;DOC_NAME=FAT:FQL_AUDITING_CLIENT_TEMPLATE.FAT&amp;display_string=Audit&amp;VAR:KEY=JKHMPUJWHE&amp;VAR:QUERY=KChGRl9ERUJUKFFUUiw0MDY0MSwsLCxHQlApQEZGX0RFQlQoU0VNSSw0MDY0MSwsLCxHQlApKUBGRl9ERUJUK","EFOTl9SLDQwNjQxLCwsLEdCUCkp&amp;WINDOW=FIRST_POPUP&amp;HEIGHT=450&amp;WIDTH=450&amp;START_MAXIMIZED=FALSE&amp;VAR:CALENDAR=FIVEDAY&amp;VAR:SYMBOL=010486&amp;VAR:INDEX=0"}</definedName>
    <definedName name="_1258__FDSAUDITLINK__" localSheetId="34">{"fdsup://Directions/FactSet Auditing Viewer?action=AUDIT_VALUE&amp;DB=129&amp;ID1=41131010&amp;VALUEID=02001&amp;SDATE=2010&amp;PERIODTYPE=ANNR_STD&amp;SCFT=3&amp;window=popup_no_bar&amp;width=385&amp;height=120&amp;START_MAXIMIZED=FALSE&amp;creator=factset&amp;display_string=Audit"}</definedName>
    <definedName name="_1258__FDSAUDITLINK__" localSheetId="27">{"fdsup://Directions/FactSet Auditing Viewer?action=AUDIT_VALUE&amp;DB=129&amp;ID1=41131010&amp;VALUEID=02001&amp;SDATE=2010&amp;PERIODTYPE=ANNR_STD&amp;SCFT=3&amp;window=popup_no_bar&amp;width=385&amp;height=120&amp;START_MAXIMIZED=FALSE&amp;creator=factset&amp;display_string=Audit"}</definedName>
    <definedName name="_1259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59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60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60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61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61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62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62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63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63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64__FDSAUDITLINK__" localSheetId="34">{"fdsup://directions/FAT Viewer?action=UPDATE&amp;creator=factset&amp;DYN_ARGS=TRUE&amp;DOC_NAME=FAT:FQL_AUDITING_CLIENT_TEMPLATE.FAT&amp;display_string=Audit&amp;VAR:KEY=URWLKFSXYJ&amp;VAR:QUERY=RkZfU0hMRFJTX0VRKEFOTl9SLDQwNjkwLCwsUkYsVVNEKQ==&amp;WINDOW=FIRST_POPUP&amp;HEIGHT=450&amp;WIDTH=","450&amp;START_MAXIMIZED=FALSE&amp;VAR:CALENDAR=FIVEDAY&amp;VAR:SYMBOL=80669310&amp;VAR:INDEX=0"}</definedName>
    <definedName name="_1264__FDSAUDITLINK__" localSheetId="27">{"fdsup://directions/FAT Viewer?action=UPDATE&amp;creator=factset&amp;DYN_ARGS=TRUE&amp;DOC_NAME=FAT:FQL_AUDITING_CLIENT_TEMPLATE.FAT&amp;display_string=Audit&amp;VAR:KEY=URWLKFSXYJ&amp;VAR:QUERY=RkZfU0hMRFJTX0VRKEFOTl9SLDQwNjkwLCwsUkYsVVNEKQ==&amp;WINDOW=FIRST_POPUP&amp;HEIGHT=450&amp;WIDTH=","450&amp;START_MAXIMIZED=FALSE&amp;VAR:CALENDAR=FIVEDAY&amp;VAR:SYMBOL=80669310&amp;VAR:INDEX=0"}</definedName>
    <definedName name="_1265__FDSAUDITLINK__" localSheetId="34">{"fdsup://directions/FAT Viewer?action=UPDATE&amp;creator=factset&amp;DYN_ARGS=TRUE&amp;DOC_NAME=FAT:FQL_AUDITING_CLIENT_TEMPLATE.FAT&amp;display_string=Audit&amp;VAR:KEY=MVQZYXILSP&amp;VAR:QUERY=RkZfU0hMRFJTX0VRKEFOTl9SLDQwNzE4LCwsUkYsVVNEKQ==&amp;WINDOW=FIRST_POPUP&amp;HEIGHT=450&amp;WIDTH=","450&amp;START_MAXIMIZED=FALSE&amp;VAR:CALENDAR=FIVEDAY&amp;VAR:SYMBOL=67060Y10&amp;VAR:INDEX=0"}</definedName>
    <definedName name="_1265__FDSAUDITLINK__" localSheetId="27">{"fdsup://directions/FAT Viewer?action=UPDATE&amp;creator=factset&amp;DYN_ARGS=TRUE&amp;DOC_NAME=FAT:FQL_AUDITING_CLIENT_TEMPLATE.FAT&amp;display_string=Audit&amp;VAR:KEY=MVQZYXILSP&amp;VAR:QUERY=RkZfU0hMRFJTX0VRKEFOTl9SLDQwNzE4LCwsUkYsVVNEKQ==&amp;WINDOW=FIRST_POPUP&amp;HEIGHT=450&amp;WIDTH=","450&amp;START_MAXIMIZED=FALSE&amp;VAR:CALENDAR=FIVEDAY&amp;VAR:SYMBOL=67060Y10&amp;VAR:INDEX=0"}</definedName>
    <definedName name="_1266__FDSAUDITLINK__" localSheetId="34">{"fdsup://directions/FAT Viewer?action=UPDATE&amp;creator=factset&amp;DYN_ARGS=TRUE&amp;DOC_NAME=FAT:FQL_AUDITING_CLIENT_TEMPLATE.FAT&amp;display_string=Audit&amp;VAR:KEY=GJIDCXWDEX&amp;VAR:QUERY=RkZfU0hMRFJTX0VRKEFOTl9SLDQwNzE4LCwsUkYsVVNEKQ==&amp;WINDOW=FIRST_POPUP&amp;HEIGHT=450&amp;WIDTH=","450&amp;START_MAXIMIZED=FALSE&amp;VAR:CALENDAR=FIVEDAY&amp;VAR:SYMBOL=69511310&amp;VAR:INDEX=0"}</definedName>
    <definedName name="_1266__FDSAUDITLINK__" localSheetId="27">{"fdsup://directions/FAT Viewer?action=UPDATE&amp;creator=factset&amp;DYN_ARGS=TRUE&amp;DOC_NAME=FAT:FQL_AUDITING_CLIENT_TEMPLATE.FAT&amp;display_string=Audit&amp;VAR:KEY=GJIDCXWDEX&amp;VAR:QUERY=RkZfU0hMRFJTX0VRKEFOTl9SLDQwNzE4LCwsUkYsVVNEKQ==&amp;WINDOW=FIRST_POPUP&amp;HEIGHT=450&amp;WIDTH=","450&amp;START_MAXIMIZED=FALSE&amp;VAR:CALENDAR=FIVEDAY&amp;VAR:SYMBOL=69511310&amp;VAR:INDEX=0"}</definedName>
    <definedName name="_1267__FDSAUDITLINK__" localSheetId="34">{"fdsup://directions/FAT Viewer?action=UPDATE&amp;creator=factset&amp;DYN_ARGS=TRUE&amp;DOC_NAME=FAT:FQL_AUDITING_CLIENT_TEMPLATE.FAT&amp;display_string=Audit&amp;VAR:KEY=KXWJCVGRQL&amp;VAR:QUERY=RkZfU0hMRFJTX0VRKEFOTl9SLDQwNzE4LCwsUkYsVVNEKQ==&amp;WINDOW=FIRST_POPUP&amp;HEIGHT=450&amp;WIDTH=","450&amp;START_MAXIMIZED=FALSE&amp;VAR:CALENDAR=FIVEDAY&amp;VAR:SYMBOL=41131010&amp;VAR:INDEX=0"}</definedName>
    <definedName name="_1267__FDSAUDITLINK__" localSheetId="27">{"fdsup://directions/FAT Viewer?action=UPDATE&amp;creator=factset&amp;DYN_ARGS=TRUE&amp;DOC_NAME=FAT:FQL_AUDITING_CLIENT_TEMPLATE.FAT&amp;display_string=Audit&amp;VAR:KEY=KXWJCVGRQL&amp;VAR:QUERY=RkZfU0hMRFJTX0VRKEFOTl9SLDQwNzE4LCwsUkYsVVNEKQ==&amp;WINDOW=FIRST_POPUP&amp;HEIGHT=450&amp;WIDTH=","450&amp;START_MAXIMIZED=FALSE&amp;VAR:CALENDAR=FIVEDAY&amp;VAR:SYMBOL=41131010&amp;VAR:INDEX=0"}</definedName>
    <definedName name="_1268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68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69__FDSAUDITLINK__" localSheetId="34">{"fdsup://Directions/FactSet Auditing Viewer?action=AUDIT_VALUE&amp;DB=129&amp;ID1=010486&amp;VALUEID=01250&amp;SDATE=2010&amp;PERIODTYPE=ANNR_STD&amp;window=popup_no_bar&amp;width=385&amp;height=120&amp;START_MAXIMIZED=FALSE&amp;creator=factset&amp;display_string=Audit"}</definedName>
    <definedName name="_1269__FDSAUDITLINK__" localSheetId="27">{"fdsup://Directions/FactSet Auditing Viewer?action=AUDIT_VALUE&amp;DB=129&amp;ID1=010486&amp;VALUEID=01250&amp;SDATE=2010&amp;PERIODTYPE=ANNR_STD&amp;window=popup_no_bar&amp;width=385&amp;height=120&amp;START_MAXIMIZED=FALSE&amp;creator=factset&amp;display_string=Audit"}</definedName>
    <definedName name="_1270__FDSAUDITLINK__" localSheetId="34">{"fdsup://Directions/FactSet Auditing Viewer?action=AUDIT_VALUE&amp;DB=129&amp;ID1=010486&amp;VALUEID=01250&amp;SDATE=2009&amp;PERIODTYPE=ANNR_STD&amp;window=popup_no_bar&amp;width=385&amp;height=120&amp;START_MAXIMIZED=FALSE&amp;creator=factset&amp;display_string=Audit"}</definedName>
    <definedName name="_1270__FDSAUDITLINK__" localSheetId="27">{"fdsup://Directions/FactSet Auditing Viewer?action=AUDIT_VALUE&amp;DB=129&amp;ID1=010486&amp;VALUEID=01250&amp;SDATE=2009&amp;PERIODTYPE=ANNR_STD&amp;window=popup_no_bar&amp;width=385&amp;height=120&amp;START_MAXIMIZED=FALSE&amp;creator=factset&amp;display_string=Audit"}</definedName>
    <definedName name="_1271__FDSAUDITLINK__" localSheetId="34">{"fdsup://directions/FAT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271__FDSAUDITLINK__" localSheetId="27">{"fdsup://directions/FAT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272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72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73__FDSAUDITLINK__" localSheetId="34">{"fdsup://directions/FAT Viewer?action=UPDATE&amp;creator=factset&amp;DYN_ARGS=TRUE&amp;DOC_NAME=FAT:FQL_AUDITING_CLIENT_TEMPLATE.FAT&amp;display_string=Audit&amp;VAR:KEY=MDKBGVMVSL&amp;VAR:QUERY=RkZfU0hMRFJTX0VRKEFOTl9SLDQwNzE4LCwsUkYsVVNEKQ==&amp;WINDOW=FIRST_POPUP&amp;HEIGHT=450&amp;WIDTH=","450&amp;START_MAXIMIZED=FALSE&amp;VAR:CALENDAR=FIVEDAY&amp;VAR:SYMBOL=07330X10&amp;VAR:INDEX=0"}</definedName>
    <definedName name="_1273__FDSAUDITLINK__" localSheetId="27">{"fdsup://directions/FAT Viewer?action=UPDATE&amp;creator=factset&amp;DYN_ARGS=TRUE&amp;DOC_NAME=FAT:FQL_AUDITING_CLIENT_TEMPLATE.FAT&amp;display_string=Audit&amp;VAR:KEY=MDKBGVMVSL&amp;VAR:QUERY=RkZfU0hMRFJTX0VRKEFOTl9SLDQwNzE4LCwsUkYsVVNEKQ==&amp;WINDOW=FIRST_POPUP&amp;HEIGHT=450&amp;WIDTH=","450&amp;START_MAXIMIZED=FALSE&amp;VAR:CALENDAR=FIVEDAY&amp;VAR:SYMBOL=07330X10&amp;VAR:INDEX=0"}</definedName>
    <definedName name="_1274__FDSAUDITLINK__" localSheetId="34">{"fdsup://Directions/FactSet Auditing Viewer?action=AUDIT_VALUE&amp;DB=129&amp;ID1=312748&amp;VALUEID=01001&amp;SDATE=2008&amp;PERIODTYPE=ANNR_STD&amp;window=popup_no_bar&amp;width=385&amp;height=120&amp;START_MAXIMIZED=FALSE&amp;creator=factset&amp;display_string=Audit"}</definedName>
    <definedName name="_1274__FDSAUDITLINK__" localSheetId="27">{"fdsup://Directions/FactSet Auditing Viewer?action=AUDIT_VALUE&amp;DB=129&amp;ID1=312748&amp;VALUEID=01001&amp;SDATE=2008&amp;PERIODTYPE=ANNR_STD&amp;window=popup_no_bar&amp;width=385&amp;height=120&amp;START_MAXIMIZED=FALSE&amp;creator=factset&amp;display_string=Audit"}</definedName>
    <definedName name="_1275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75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76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76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77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77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78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78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79__FDSAUDITLINK__" localSheetId="34">{"fdsup://directions/FAT Viewer?action=UPDATE&amp;creator=factset&amp;DYN_ARGS=TRUE&amp;DOC_NAME=FAT:FQL_AUDITING_CLIENT_TEMPLATE.FAT&amp;display_string=Audit&amp;VAR:KEY=TEBSBADOF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309272&amp;VAR:INDEX=0"}</definedName>
    <definedName name="_1279__FDSAUDITLINK__" localSheetId="27">{"fdsup://directions/FAT Viewer?action=UPDATE&amp;creator=factset&amp;DYN_ARGS=TRUE&amp;DOC_NAME=FAT:FQL_AUDITING_CLIENT_TEMPLATE.FAT&amp;display_string=Audit&amp;VAR:KEY=TEBSBADOF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309272&amp;VAR:INDEX=0"}</definedName>
    <definedName name="_1280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80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281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81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82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82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83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83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84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84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85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85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86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86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87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87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88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88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89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89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90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90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91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91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92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92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93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93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94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94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295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95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296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96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297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97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298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98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299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299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00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00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01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01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02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02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03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03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04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04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05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05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06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06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07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07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08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08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09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09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10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10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11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11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12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12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13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13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14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14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15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15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16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16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17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17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18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18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19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19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20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20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21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21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22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22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23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23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24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24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25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25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26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26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27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27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28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28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29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29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30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30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31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31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32__FDSAUDITLINK__" localSheetId="34">{"fdsup://directions/FAT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32__FDSAUDITLINK__" localSheetId="27">{"fdsup://directions/FAT Viewer?action=UPDATE&amp;creator=factset&amp;DYN_ARGS=TRUE&amp;DOC_NAME=FAT:FQL_AUDITING_CLIENT_TEMPLATE.FAT&amp;display_string=Audit&amp;VAR:KEY=PSLIPWDSFQ&amp;VAR:QUERY=RkZfQVNTRVRTX0NVUlIoQU5OX1IsNDA2NDEsLCxSRiwpLUZGX0NBU0hfU1QoQU5OX1IsNDA2NDEsLCxSRiwpL","UZGX0xJQUJTX0NVUlIoQU5OX1IsNDA2NDEsLCxSRiwpK0ZGX0RFQlRfU1QoQU5OX1IsNDA2NDEsLCxSRiwp&amp;WINDOW=FIRST_POPUP&amp;HEIGHT=450&amp;WIDTH=450&amp;START_MAXIMIZED=FALSE&amp;VAR:CALENDAR=FIVEDAY&amp;VAR:SYMBOL=0&amp;VAR:INDEX=0"}</definedName>
    <definedName name="_1333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33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34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34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35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35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36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36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37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37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38__FDSAUDITLINK__" localSheetId="34">{"fdsup://directions/FAT Viewer?action=UPDATE&amp;creator=factset&amp;DYN_ARGS=TRUE&amp;DOC_NAME=FAT:FQL_AUDITING_CLIENT_TEMPLATE.FAT&amp;display_string=Audit&amp;VAR:KEY=GJAPYNQXQP&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41131010&amp;VAR:INDEX=0"}</definedName>
    <definedName name="_1338__FDSAUDITLINK__" localSheetId="27">{"fdsup://directions/FAT Viewer?action=UPDATE&amp;creator=factset&amp;DYN_ARGS=TRUE&amp;DOC_NAME=FAT:FQL_AUDITING_CLIENT_TEMPLATE.FAT&amp;display_string=Audit&amp;VAR:KEY=GJAPYNQXQP&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41131010&amp;VAR:INDEX=0"}</definedName>
    <definedName name="_1339__FDSAUDITLINK__" localSheetId="34">{"fdsup://directions/FAT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39__FDSAUDITLINK__" localSheetId="27">{"fdsup://directions/FAT Viewer?action=UPDATE&amp;creator=factset&amp;DYN_ARGS=TRUE&amp;DOC_NAME=FAT:FQL_AUDITING_CLIENT_TEMPLATE.FAT&amp;display_string=Audit&amp;VAR:KEY=BEVYBOHQXA&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40__FDSAUDITLINK__" localSheetId="34">{"fdsup://directions/FAT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40__FDSAUDITLINK__" localSheetId="27">{"fdsup://directions/FAT Viewer?action=UPDATE&amp;creator=factset&amp;DYN_ARGS=TRUE&amp;DOC_NAME=FAT:FQL_AUDITING_CLIENT_TEMPLATE.FAT&amp;display_string=Audit&amp;VAR:KEY=FKVKVQJEPU&amp;VAR:QUERY=RkZfRklOX0FTU0VUU19JTVBBSVIoQU5OX1IsNDA2NDEsLCxSRiwp&amp;WINDOW=FIRST_POPUP&amp;HEIGHT=450&amp;WI","DTH=450&amp;START_MAXIMIZED=FALSE&amp;VAR:CALENDAR=FIVEDAY&amp;VAR:SYMBOL=0&amp;VAR:INDEX=0"}</definedName>
    <definedName name="_1341__FDSAUDITLINK__" localSheetId="34">{"fdsup://directions/FAT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41__FDSAUDITLINK__" localSheetId="27">{"fdsup://directions/FAT Viewer?action=UPDATE&amp;creator=factset&amp;DYN_ARGS=TRUE&amp;DOC_NAME=FAT:FQL_AUDITING_CLIENT_TEMPLATE.FAT&amp;display_string=Audit&amp;VAR:KEY=DSFENAZMHU&amp;VAR:QUERY=RkZfRklOX0FTU0VUU19JTVBBSVIoQU5OX1IsNDA2NDEtMVksLCxSRiwp&amp;WINDOW=FIRST_POPUP&amp;HEIGHT=45","0&amp;WIDTH=450&amp;START_MAXIMIZED=FALSE&amp;VAR:CALENDAR=FIVEDAY&amp;VAR:SYMBOL=0&amp;VAR:INDEX=0"}</definedName>
    <definedName name="_1342__FDSAUDITLINK__" localSheetId="34">{"fdsup://directions/FAT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42__FDSAUDITLINK__" localSheetId="27">{"fdsup://directions/FAT Viewer?action=UPDATE&amp;creator=factset&amp;DYN_ARGS=TRUE&amp;DOC_NAME=FAT:FQL_AUDITING_CLIENT_TEMPLATE.FAT&amp;display_string=Audit&amp;VAR:KEY=RAJEJKDMZG&amp;VAR:QUERY=RkZfSU1QQUlSX1BQRShBTk5fUiw0MDY0MSwsLFJGLCk=&amp;WINDOW=FIRST_POPUP&amp;HEIGHT=450&amp;WIDTH=450&amp;","START_MAXIMIZED=FALSE&amp;VAR:CALENDAR=FIVEDAY&amp;VAR:SYMBOL=0&amp;VAR:INDEX=0"}</definedName>
    <definedName name="_1343__FDSAUDITLINK__" localSheetId="34">{"fdsup://directions/FAT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43__FDSAUDITLINK__" localSheetId="27">{"fdsup://directions/FAT Viewer?action=UPDATE&amp;creator=factset&amp;DYN_ARGS=TRUE&amp;DOC_NAME=FAT:FQL_AUDITING_CLIENT_TEMPLATE.FAT&amp;display_string=Audit&amp;VAR:KEY=ZAPYBQNWVI&amp;VAR:QUERY=RkZfSU1QQUlSX1BQRShBTk5fUiw0MDY0MS0xWSwsLFJGLCk=&amp;WINDOW=FIRST_POPUP&amp;HEIGHT=450&amp;WIDTH=","450&amp;START_MAXIMIZED=FALSE&amp;VAR:CALENDAR=FIVEDAY&amp;VAR:SYMBOL=0&amp;VAR:INDEX=0"}</definedName>
    <definedName name="_1344__FDSAUDITLINK__" localSheetId="34">{"fdsup://directions/FAT Viewer?action=UPDATE&amp;creator=factset&amp;DYN_ARGS=TRUE&amp;DOC_NAME=FAT:FQL_AUDITING_CLIENT_TEMPLATE.FAT&amp;display_string=Audit&amp;VAR:KEY=HMTODUTELK&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010486&amp;VAR:INDEX=0"}</definedName>
    <definedName name="_1344__FDSAUDITLINK__" localSheetId="27">{"fdsup://directions/FAT Viewer?action=UPDATE&amp;creator=factset&amp;DYN_ARGS=TRUE&amp;DOC_NAME=FAT:FQL_AUDITING_CLIENT_TEMPLATE.FAT&amp;display_string=Audit&amp;VAR:KEY=HMTODUTELK&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010486&amp;VAR:INDEX=0"}</definedName>
    <definedName name="_1345__FDSAUDITLINK__" localSheetId="34">{"fdsup://directions/FAT Viewer?action=UPDATE&amp;creator=factset&amp;DYN_ARGS=TRUE&amp;DOC_NAME=FAT:FQL_AUDITING_CLIENT_TEMPLATE.FAT&amp;display_string=Audit&amp;VAR:KEY=BUTOFERSLO&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345__FDSAUDITLINK__" localSheetId="27">{"fdsup://directions/FAT Viewer?action=UPDATE&amp;creator=factset&amp;DYN_ARGS=TRUE&amp;DOC_NAME=FAT:FQL_AUDITING_CLIENT_TEMPLATE.FAT&amp;display_string=Audit&amp;VAR:KEY=BUTOFERSLO&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346__FDSAUDITLINK__" localSheetId="34">{"fdsup://directions/FAT Viewer?action=UPDATE&amp;creator=factset&amp;DYN_ARGS=TRUE&amp;DOC_NAME=FAT:FQL_AUDITING_CLIENT_TEMPLATE.FAT&amp;display_string=Audit&amp;VAR:KEY=ZODIFMZURO&amp;VAR:QUERY=RkZfRklOX0FTU0VUU19JTVBBSVIoQU5OX1IsNDA2NDEsLCxSRixHQlAp&amp;WINDOW=FIRST_POPUP&amp;HEIGHT=45","0&amp;WIDTH=450&amp;START_MAXIMIZED=FALSE&amp;VAR:CALENDAR=FIVEDAY&amp;VAR:SYMBOL=010486&amp;VAR:INDEX=0"}</definedName>
    <definedName name="_1346__FDSAUDITLINK__" localSheetId="27">{"fdsup://directions/FAT Viewer?action=UPDATE&amp;creator=factset&amp;DYN_ARGS=TRUE&amp;DOC_NAME=FAT:FQL_AUDITING_CLIENT_TEMPLATE.FAT&amp;display_string=Audit&amp;VAR:KEY=ZODIFMZURO&amp;VAR:QUERY=RkZfRklOX0FTU0VUU19JTVBBSVIoQU5OX1IsNDA2NDEsLCxSRixHQlAp&amp;WINDOW=FIRST_POPUP&amp;HEIGHT=45","0&amp;WIDTH=450&amp;START_MAXIMIZED=FALSE&amp;VAR:CALENDAR=FIVEDAY&amp;VAR:SYMBOL=010486&amp;VAR:INDEX=0"}</definedName>
    <definedName name="_1347__FDSAUDITLINK__" localSheetId="34">{"fdsup://Directions/FactSet Auditing Viewer?action=AUDIT_VALUE&amp;DB=129&amp;ID1=010486&amp;VALUEID=18184&amp;SDATE=2010&amp;PERIODTYPE=ANNR_STD&amp;window=popup_no_bar&amp;width=385&amp;height=120&amp;START_MAXIMIZED=FALSE&amp;creator=factset&amp;display_string=Audit"}</definedName>
    <definedName name="_1347__FDSAUDITLINK__" localSheetId="27">{"fdsup://Directions/FactSet Auditing Viewer?action=AUDIT_VALUE&amp;DB=129&amp;ID1=010486&amp;VALUEID=18184&amp;SDATE=2010&amp;PERIODTYPE=ANNR_STD&amp;window=popup_no_bar&amp;width=385&amp;height=120&amp;START_MAXIMIZED=FALSE&amp;creator=factset&amp;display_string=Audit"}</definedName>
    <definedName name="_1348__FDSAUDITLINK__" localSheetId="34">{"fdsup://Directions/FactSet Auditing Viewer?action=AUDIT_VALUE&amp;DB=129&amp;ID1=010486&amp;VALUEID=02999&amp;SDATE=2010&amp;PERIODTYPE=ANNR_STD&amp;window=popup_no_bar&amp;width=385&amp;height=120&amp;START_MAXIMIZED=FALSE&amp;creator=factset&amp;display_string=Audit"}</definedName>
    <definedName name="_1348__FDSAUDITLINK__" localSheetId="27">{"fdsup://Directions/FactSet Auditing Viewer?action=AUDIT_VALUE&amp;DB=129&amp;ID1=010486&amp;VALUEID=02999&amp;SDATE=2010&amp;PERIODTYPE=ANNR_STD&amp;window=popup_no_bar&amp;width=385&amp;height=120&amp;START_MAXIMIZED=FALSE&amp;creator=factset&amp;display_string=Audit"}</definedName>
    <definedName name="_1349__FDSAUDITLINK__" localSheetId="34">{"fdsup://directions/FAT Viewer?action=UPDATE&amp;creator=factset&amp;DYN_ARGS=TRUE&amp;DOC_NAME=FAT:FQL_AUDITING_CLIENT_TEMPLATE.FAT&amp;display_string=Audit&amp;VAR:KEY=DYHITCJCRC&amp;VAR:QUERY=RkZfRklOX0FTU0VUU19JTVBBSVIoQU5OX1IsNDA2NDEtMVksLCxSRixHQlAp&amp;WINDOW=FIRST_POPUP&amp;HEIGH","T=450&amp;WIDTH=450&amp;START_MAXIMIZED=FALSE&amp;VAR:CALENDAR=FIVEDAY&amp;VAR:SYMBOL=010486&amp;VAR:INDEX=0"}</definedName>
    <definedName name="_1349__FDSAUDITLINK__" localSheetId="27">{"fdsup://directions/FAT Viewer?action=UPDATE&amp;creator=factset&amp;DYN_ARGS=TRUE&amp;DOC_NAME=FAT:FQL_AUDITING_CLIENT_TEMPLATE.FAT&amp;display_string=Audit&amp;VAR:KEY=DYHITCJCRC&amp;VAR:QUERY=RkZfRklOX0FTU0VUU19JTVBBSVIoQU5OX1IsNDA2NDEtMVksLCxSRixHQlAp&amp;WINDOW=FIRST_POPUP&amp;HEIGH","T=450&amp;WIDTH=450&amp;START_MAXIMIZED=FALSE&amp;VAR:CALENDAR=FIVEDAY&amp;VAR:SYMBOL=010486&amp;VAR:INDEX=0"}</definedName>
    <definedName name="_1350__FDSAUDITLINK__" localSheetId="34">{"fdsup://directions/FAT Viewer?action=UPDATE&amp;creator=factset&amp;DYN_ARGS=TRUE&amp;DOC_NAME=FAT:FQL_AUDITING_CLIENT_TEMPLATE.FAT&amp;display_string=Audit&amp;VAR:KEY=PYFUVUJEDC&amp;VAR:QUERY=RkZfSU1QQUlSX1BQRShBTk5fUiw0MDY0MSwsLFJGLEdCUCk=&amp;WINDOW=FIRST_POPUP&amp;HEIGHT=450&amp;WIDTH=","450&amp;START_MAXIMIZED=FALSE&amp;VAR:CALENDAR=FIVEDAY&amp;VAR:SYMBOL=010486&amp;VAR:INDEX=0"}</definedName>
    <definedName name="_1350__FDSAUDITLINK__" localSheetId="27">{"fdsup://directions/FAT Viewer?action=UPDATE&amp;creator=factset&amp;DYN_ARGS=TRUE&amp;DOC_NAME=FAT:FQL_AUDITING_CLIENT_TEMPLATE.FAT&amp;display_string=Audit&amp;VAR:KEY=PYFUVUJEDC&amp;VAR:QUERY=RkZfSU1QQUlSX1BQRShBTk5fUiw0MDY0MSwsLFJGLEdCUCk=&amp;WINDOW=FIRST_POPUP&amp;HEIGHT=450&amp;WIDTH=","450&amp;START_MAXIMIZED=FALSE&amp;VAR:CALENDAR=FIVEDAY&amp;VAR:SYMBOL=010486&amp;VAR:INDEX=0"}</definedName>
    <definedName name="_1351__FDSAUDITLINK__" localSheetId="34">{"fdsup://directions/FAT Viewer?action=UPDATE&amp;creator=factset&amp;DYN_ARGS=TRUE&amp;DOC_NAME=FAT:FQL_AUDITING_CLIENT_TEMPLATE.FAT&amp;display_string=Audit&amp;VAR:KEY=TGVWJCDITI&amp;VAR:QUERY=RkZfSU1QQUlSX1BQRShBTk5fUiw0MDY0MS0xWSwsLFJGLEdCUCk=&amp;WINDOW=FIRST_POPUP&amp;HEIGHT=450&amp;WI","DTH=450&amp;START_MAXIMIZED=FALSE&amp;VAR:CALENDAR=FIVEDAY&amp;VAR:SYMBOL=010486&amp;VAR:INDEX=0"}</definedName>
    <definedName name="_1351__FDSAUDITLINK__" localSheetId="27">{"fdsup://directions/FAT Viewer?action=UPDATE&amp;creator=factset&amp;DYN_ARGS=TRUE&amp;DOC_NAME=FAT:FQL_AUDITING_CLIENT_TEMPLATE.FAT&amp;display_string=Audit&amp;VAR:KEY=TGVWJCDITI&amp;VAR:QUERY=RkZfSU1QQUlSX1BQRShBTk5fUiw0MDY0MS0xWSwsLFJGLEdCUCk=&amp;WINDOW=FIRST_POPUP&amp;HEIGHT=450&amp;WI","DTH=450&amp;START_MAXIMIZED=FALSE&amp;VAR:CALENDAR=FIVEDAY&amp;VAR:SYMBOL=010486&amp;VAR:INDEX=0"}</definedName>
    <definedName name="_1352__FDSAUDITLINK__" localSheetId="34">{"fdsup://directions/FAT Viewer?action=UPDATE&amp;creator=factset&amp;DYN_ARGS=TRUE&amp;DOC_NAME=FAT:FQL_AUDITING_CLIENT_TEMPLATE.FAT&amp;display_string=Audit&amp;VAR:KEY=SHEHKNEXYD&amp;VAR:QUERY=RkZfRklOX0FTU0VUU19JTVBBSVIoQU5OX1IsNDA3MTgtMVksLCxSRixVU0Qp&amp;WINDOW=FIRST_POPUP&amp;HEIGH","T=450&amp;WIDTH=450&amp;START_MAXIMIZED=FALSE&amp;VAR:CALENDAR=FIVEDAY&amp;VAR:SYMBOL=04983820&amp;VAR:INDEX=0"}</definedName>
    <definedName name="_1352__FDSAUDITLINK__" localSheetId="27">{"fdsup://directions/FAT Viewer?action=UPDATE&amp;creator=factset&amp;DYN_ARGS=TRUE&amp;DOC_NAME=FAT:FQL_AUDITING_CLIENT_TEMPLATE.FAT&amp;display_string=Audit&amp;VAR:KEY=SHEHKNEXYD&amp;VAR:QUERY=RkZfRklOX0FTU0VUU19JTVBBSVIoQU5OX1IsNDA3MTgtMVksLCxSRixVU0Qp&amp;WINDOW=FIRST_POPUP&amp;HEIGH","T=450&amp;WIDTH=450&amp;START_MAXIMIZED=FALSE&amp;VAR:CALENDAR=FIVEDAY&amp;VAR:SYMBOL=04983820&amp;VAR:INDEX=0"}</definedName>
    <definedName name="_1353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3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4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4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5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5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6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6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7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7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8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8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359__FDSAUDITLINK__" localSheetId="34">{"fdsup://directions/FAT Viewer?action=UPDATE&amp;creator=factset&amp;DYN_ARGS=TRUE&amp;DOC_NAME=FAT:FQL_AUDITING_CLIENT_TEMPLATE.FAT&amp;display_string=Audit&amp;VAR:KEY=ODCXGXCNEL&amp;VAR:QUERY=RkZfSU1QQUlSX1BQRShBTk5fUiw0MDcxOCwsLFJGLFVTRCk=&amp;WINDOW=FIRST_POPUP&amp;HEIGHT=450&amp;WIDTH=","450&amp;START_MAXIMIZED=FALSE&amp;VAR:CALENDAR=FIVEDAY&amp;VAR:SYMBOL=91543M10&amp;VAR:INDEX=0"}</definedName>
    <definedName name="_1359__FDSAUDITLINK__" localSheetId="27">{"fdsup://directions/FAT Viewer?action=UPDATE&amp;creator=factset&amp;DYN_ARGS=TRUE&amp;DOC_NAME=FAT:FQL_AUDITING_CLIENT_TEMPLATE.FAT&amp;display_string=Audit&amp;VAR:KEY=ODCXGXCNEL&amp;VAR:QUERY=RkZfSU1QQUlSX1BQRShBTk5fUiw0MDcxOCwsLFJGLFVTRCk=&amp;WINDOW=FIRST_POPUP&amp;HEIGHT=450&amp;WIDTH=","450&amp;START_MAXIMIZED=FALSE&amp;VAR:CALENDAR=FIVEDAY&amp;VAR:SYMBOL=91543M10&amp;VAR:INDEX=0"}</definedName>
    <definedName name="_1360__FDSAUDITLINK__" localSheetId="34">{"fdsup://directions/FAT Viewer?action=UPDATE&amp;creator=factset&amp;DYN_ARGS=TRUE&amp;DOC_NAME=FAT:FQL_AUDITING_CLIENT_TEMPLATE.FAT&amp;display_string=Audit&amp;VAR:KEY=XYFANUPAF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360__FDSAUDITLINK__" localSheetId="27">{"fdsup://directions/FAT Viewer?action=UPDATE&amp;creator=factset&amp;DYN_ARGS=TRUE&amp;DOC_NAME=FAT:FQL_AUDITING_CLIENT_TEMPLATE.FAT&amp;display_string=Audit&amp;VAR:KEY=XYFANUPAF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010486&amp;VAR:INDEX=0"}</definedName>
    <definedName name="_1361__FDSAUDITLINK__" localSheetId="34">{"fdsup://directions/FAT Viewer?action=UPDATE&amp;creator=factset&amp;DYN_ARGS=TRUE&amp;DOC_NAME=FAT:FQL_AUDITING_CLIENT_TEMPLATE.FAT&amp;display_string=Audit&amp;VAR:KEY=GNMXOBCZ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23307830&amp;VAR:INDEX=0"}</definedName>
    <definedName name="_1361__FDSAUDITLINK__" localSheetId="27">{"fdsup://directions/FAT Viewer?action=UPDATE&amp;creator=factset&amp;DYN_ARGS=TRUE&amp;DOC_NAME=FAT:FQL_AUDITING_CLIENT_TEMPLATE.FAT&amp;display_string=Audit&amp;VAR:KEY=GNMXOBCZ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23307830&amp;VAR:INDEX=0"}</definedName>
    <definedName name="_1362__FDSAUDITLINK__" localSheetId="34">{"fdsup://directions/FAT Viewer?action=UPDATE&amp;creator=factset&amp;DYN_ARGS=TRUE&amp;DOC_NAME=FAT:FQL_AUDITING_CLIENT_TEMPLATE.FAT&amp;display_string=Audit&amp;VAR:KEY=SXMHMDSL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23307830&amp;VAR:INDEX=0"}</definedName>
    <definedName name="_1362__FDSAUDITLINK__" localSheetId="27">{"fdsup://directions/FAT Viewer?action=UPDATE&amp;creator=factset&amp;DYN_ARGS=TRUE&amp;DOC_NAME=FAT:FQL_AUDITING_CLIENT_TEMPLATE.FAT&amp;display_string=Audit&amp;VAR:KEY=SXMHMDSL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23307830&amp;VAR:INDEX=0"}</definedName>
    <definedName name="_1363__FDSAUDITLINK__" localSheetId="34">{"fdsup://Directions/FactSet Auditing Viewer?action=AUDIT_VALUE&amp;DB=129&amp;ID1=010486&amp;VALUEID=03101&amp;SDATE=2009&amp;PERIODTYPE=ANNR_STD&amp;window=popup_no_bar&amp;width=385&amp;height=120&amp;START_MAXIMIZED=FALSE&amp;creator=factset&amp;display_string=Audit"}</definedName>
    <definedName name="_1363__FDSAUDITLINK__" localSheetId="27">{"fdsup://Directions/FactSet Auditing Viewer?action=AUDIT_VALUE&amp;DB=129&amp;ID1=010486&amp;VALUEID=03101&amp;SDATE=2009&amp;PERIODTYPE=ANNR_STD&amp;window=popup_no_bar&amp;width=385&amp;height=120&amp;START_MAXIMIZED=FALSE&amp;creator=factset&amp;display_string=Audit"}</definedName>
    <definedName name="_1364__FDSAUDITLINK__" localSheetId="34">{"fdsup://Directions/FactSet Auditing Viewer?action=AUDIT_VALUE&amp;DB=129&amp;ID1=010486&amp;VALUEID=01401&amp;SDATE=2010&amp;PERIODTYPE=ANNR_STD&amp;window=popup_no_bar&amp;width=385&amp;height=120&amp;START_MAXIMIZED=FALSE&amp;creator=factset&amp;display_string=Audit"}</definedName>
    <definedName name="_1364__FDSAUDITLINK__" localSheetId="27">{"fdsup://Directions/FactSet Auditing Viewer?action=AUDIT_VALUE&amp;DB=129&amp;ID1=010486&amp;VALUEID=01401&amp;SDATE=2010&amp;PERIODTYPE=ANNR_STD&amp;window=popup_no_bar&amp;width=385&amp;height=120&amp;START_MAXIMIZED=FALSE&amp;creator=factset&amp;display_string=Audit"}</definedName>
    <definedName name="_1365__FDSAUDITLINK__" localSheetId="34">{"fdsup://directions/FAT Viewer?action=UPDATE&amp;creator=factset&amp;DYN_ARGS=TRUE&amp;DOC_NAME=FAT:FQL_AUDITING_CLIENT_TEMPLATE.FAT&amp;display_string=Audit&amp;VAR:KEY=YHORYHQJKT&amp;VAR:QUERY=RkZfSU1QQUlSX1BQRShBTk5fUiw0MDcxOCwsLFJGLFVTRCk=&amp;WINDOW=FIRST_POPUP&amp;HEIGHT=450&amp;WIDTH=","450&amp;START_MAXIMIZED=FALSE&amp;VAR:CALENDAR=FIVEDAY&amp;VAR:SYMBOL=23307830&amp;VAR:INDEX=0"}</definedName>
    <definedName name="_1365__FDSAUDITLINK__" localSheetId="27">{"fdsup://directions/FAT Viewer?action=UPDATE&amp;creator=factset&amp;DYN_ARGS=TRUE&amp;DOC_NAME=FAT:FQL_AUDITING_CLIENT_TEMPLATE.FAT&amp;display_string=Audit&amp;VAR:KEY=YHORYHQJKT&amp;VAR:QUERY=RkZfSU1QQUlSX1BQRShBTk5fUiw0MDcxOCwsLFJGLFVTRCk=&amp;WINDOW=FIRST_POPUP&amp;HEIGHT=450&amp;WIDTH=","450&amp;START_MAXIMIZED=FALSE&amp;VAR:CALENDAR=FIVEDAY&amp;VAR:SYMBOL=23307830&amp;VAR:INDEX=0"}</definedName>
    <definedName name="_1366__FDSAUDITLINK__" localSheetId="34">{"fdsup://directions/FAT Viewer?action=UPDATE&amp;creator=factset&amp;DYN_ARGS=TRUE&amp;DOC_NAME=FAT:FQL_AUDITING_CLIENT_TEMPLATE.FAT&amp;display_string=Audit&amp;VAR:KEY=ILQRALSBGR&amp;VAR:QUERY=RkZfSU1QQUlSX1BQRShBTk5fUiw0MDcxOC0xWSwsLFJGLFVTRCk=&amp;WINDOW=FIRST_POPUP&amp;HEIGHT=450&amp;WI","DTH=450&amp;START_MAXIMIZED=FALSE&amp;VAR:CALENDAR=FIVEDAY&amp;VAR:SYMBOL=23307830&amp;VAR:INDEX=0"}</definedName>
    <definedName name="_1366__FDSAUDITLINK__" localSheetId="27">{"fdsup://directions/FAT Viewer?action=UPDATE&amp;creator=factset&amp;DYN_ARGS=TRUE&amp;DOC_NAME=FAT:FQL_AUDITING_CLIENT_TEMPLATE.FAT&amp;display_string=Audit&amp;VAR:KEY=ILQRALSBGR&amp;VAR:QUERY=RkZfSU1QQUlSX1BQRShBTk5fUiw0MDcxOC0xWSwsLFJGLFVTRCk=&amp;WINDOW=FIRST_POPUP&amp;HEIGHT=450&amp;WI","DTH=450&amp;START_MAXIMIZED=FALSE&amp;VAR:CALENDAR=FIVEDAY&amp;VAR:SYMBOL=23307830&amp;VAR:INDEX=0"}</definedName>
    <definedName name="_1367__FDSAUDITLINK__" localSheetId="34">{"fdsup://directions/FAT Viewer?action=UPDATE&amp;creator=factset&amp;DYN_ARGS=TRUE&amp;DOC_NAME=FAT:FQL_AUDITING_CLIENT_TEMPLATE.FAT&amp;display_string=Audit&amp;VAR:KEY=GDYXMHGT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30250Q10&amp;VAR:INDEX=0"}</definedName>
    <definedName name="_1367__FDSAUDITLINK__" localSheetId="27">{"fdsup://directions/FAT Viewer?action=UPDATE&amp;creator=factset&amp;DYN_ARGS=TRUE&amp;DOC_NAME=FAT:FQL_AUDITING_CLIENT_TEMPLATE.FAT&amp;display_string=Audit&amp;VAR:KEY=GDYXMHGT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30250Q10&amp;VAR:INDEX=0"}</definedName>
    <definedName name="_1368__FDSAUDITLINK__" localSheetId="34">{"fdsup://directions/FAT Viewer?action=UPDATE&amp;creator=factset&amp;DYN_ARGS=TRUE&amp;DOC_NAME=FAT:FQL_AUDITING_CLIENT_TEMPLATE.FAT&amp;display_string=Audit&amp;VAR:KEY=OXGHYZMB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30250Q10&amp;VAR:INDEX=0"}</definedName>
    <definedName name="_1368__FDSAUDITLINK__" localSheetId="27">{"fdsup://directions/FAT Viewer?action=UPDATE&amp;creator=factset&amp;DYN_ARGS=TRUE&amp;DOC_NAME=FAT:FQL_AUDITING_CLIENT_TEMPLATE.FAT&amp;display_string=Audit&amp;VAR:KEY=OXGHYZMB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30250Q10&amp;VAR:INDEX=0"}</definedName>
    <definedName name="_1369__FDSAUDITLINK__" localSheetId="34">{"fdsup://directions/FAT Viewer?action=UPDATE&amp;creator=factset&amp;DYN_ARGS=TRUE&amp;DOC_NAME=FAT:FQL_AUDITING_CLIENT_TEMPLATE.FAT&amp;display_string=Audit&amp;VAR:KEY=OLEBYVKFSV&amp;VAR:QUERY=RkZfRklOX0FTU0VUU19JTVBBSVIoQU5OX1IsNDA3MTgsLCxSRixVU0Qp&amp;WINDOW=FIRST_POPUP&amp;HEIGHT=45","0&amp;WIDTH=450&amp;START_MAXIMIZED=FALSE&amp;VAR:CALENDAR=FIVEDAY&amp;VAR:SYMBOL=30250Q10&amp;VAR:INDEX=0"}</definedName>
    <definedName name="_1369__FDSAUDITLINK__" localSheetId="27">{"fdsup://directions/FAT Viewer?action=UPDATE&amp;creator=factset&amp;DYN_ARGS=TRUE&amp;DOC_NAME=FAT:FQL_AUDITING_CLIENT_TEMPLATE.FAT&amp;display_string=Audit&amp;VAR:KEY=OLEBYVKFSV&amp;VAR:QUERY=RkZfRklOX0FTU0VUU19JTVBBSVIoQU5OX1IsNDA3MTgsLCxSRixVU0Qp&amp;WINDOW=FIRST_POPUP&amp;HEIGHT=45","0&amp;WIDTH=450&amp;START_MAXIMIZED=FALSE&amp;VAR:CALENDAR=FIVEDAY&amp;VAR:SYMBOL=30250Q10&amp;VAR:INDEX=0"}</definedName>
    <definedName name="_1370__FDSAUDITLINK__" localSheetId="34">{"fdsup://directions/FAT Viewer?action=UPDATE&amp;creator=factset&amp;DYN_ARGS=TRUE&amp;DOC_NAME=FAT:FQL_AUDITING_CLIENT_TEMPLATE.FAT&amp;display_string=Audit&amp;VAR:KEY=MJGDWFCBAT&amp;VAR:QUERY=RkZfRklOX0FTU0VUU19JTVBBSVIoQU5OX1IsNDA3MTgtMVksLCxSRixVU0Qp&amp;WINDOW=FIRST_POPUP&amp;HEIGH","T=450&amp;WIDTH=450&amp;START_MAXIMIZED=FALSE&amp;VAR:CALENDAR=FIVEDAY&amp;VAR:SYMBOL=30250Q10&amp;VAR:INDEX=0"}</definedName>
    <definedName name="_1370__FDSAUDITLINK__" localSheetId="27">{"fdsup://directions/FAT Viewer?action=UPDATE&amp;creator=factset&amp;DYN_ARGS=TRUE&amp;DOC_NAME=FAT:FQL_AUDITING_CLIENT_TEMPLATE.FAT&amp;display_string=Audit&amp;VAR:KEY=MJGDWFCBAT&amp;VAR:QUERY=RkZfRklOX0FTU0VUU19JTVBBSVIoQU5OX1IsNDA3MTgtMVksLCxSRixVU0Qp&amp;WINDOW=FIRST_POPUP&amp;HEIGH","T=450&amp;WIDTH=450&amp;START_MAXIMIZED=FALSE&amp;VAR:CALENDAR=FIVEDAY&amp;VAR:SYMBOL=30250Q10&amp;VAR:INDEX=0"}</definedName>
    <definedName name="_1371__FDSAUDITLINK__" localSheetId="34">{"fdsup://directions/FAT Viewer?action=UPDATE&amp;creator=factset&amp;DYN_ARGS=TRUE&amp;DOC_NAME=FAT:FQL_AUDITING_CLIENT_TEMPLATE.FAT&amp;display_string=Audit&amp;VAR:KEY=WVEJCTGTSJ&amp;VAR:QUERY=RkZfSU1QQUlSX1BQRShBTk5fUiw0MDcxOCwsLFJGLFVTRCk=&amp;WINDOW=FIRST_POPUP&amp;HEIGHT=450&amp;WIDTH=","450&amp;START_MAXIMIZED=FALSE&amp;VAR:CALENDAR=FIVEDAY&amp;VAR:SYMBOL=30250Q10&amp;VAR:INDEX=0"}</definedName>
    <definedName name="_1371__FDSAUDITLINK__" localSheetId="27">{"fdsup://directions/FAT Viewer?action=UPDATE&amp;creator=factset&amp;DYN_ARGS=TRUE&amp;DOC_NAME=FAT:FQL_AUDITING_CLIENT_TEMPLATE.FAT&amp;display_string=Audit&amp;VAR:KEY=WVEJCTGTSJ&amp;VAR:QUERY=RkZfSU1QQUlSX1BQRShBTk5fUiw0MDcxOCwsLFJGLFVTRCk=&amp;WINDOW=FIRST_POPUP&amp;HEIGHT=450&amp;WIDTH=","450&amp;START_MAXIMIZED=FALSE&amp;VAR:CALENDAR=FIVEDAY&amp;VAR:SYMBOL=30250Q10&amp;VAR:INDEX=0"}</definedName>
    <definedName name="_1372__FDSAUDITLINK__" localSheetId="34">{"fdsup://directions/FAT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372__FDSAUDITLINK__" localSheetId="27">{"fdsup://directions/FAT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373__FDSAUDITLINK__" localSheetId="34">{"fdsup://directions/FAT Viewer?action=UPDATE&amp;creator=factset&amp;DYN_ARGS=TRUE&amp;DOC_NAME=FAT:FQL_AUDITING_CLIENT_TEMPLATE.FAT&amp;display_string=Audit&amp;VAR:KEY=KBSRIDSHIT&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84918P10&amp;VAR:INDEX=0"}</definedName>
    <definedName name="_1373__FDSAUDITLINK__" localSheetId="27">{"fdsup://directions/FAT Viewer?action=UPDATE&amp;creator=factset&amp;DYN_ARGS=TRUE&amp;DOC_NAME=FAT:FQL_AUDITING_CLIENT_TEMPLATE.FAT&amp;display_string=Audit&amp;VAR:KEY=KBSRIDSHIT&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84918P10&amp;VAR:INDEX=0"}</definedName>
    <definedName name="_1374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1374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1375__FDSAUDITLINK__" localSheetId="34">{"fdsup://Directions/FactSet Auditing Viewer?action=AUDIT_VALUE&amp;DB=129&amp;ID1=047715&amp;VALUEID=03051&amp;SDATE=2009&amp;PERIODTYPE=ANNR_STD&amp;window=popup_no_bar&amp;width=385&amp;height=120&amp;START_MAXIMIZED=FALSE&amp;creator=factset&amp;display_string=Audit"}</definedName>
    <definedName name="_1375__FDSAUDITLINK__" localSheetId="27">{"fdsup://Directions/FactSet Auditing Viewer?action=AUDIT_VALUE&amp;DB=129&amp;ID1=047715&amp;VALUEID=03051&amp;SDATE=2009&amp;PERIODTYPE=ANNR_STD&amp;window=popup_no_bar&amp;width=385&amp;height=120&amp;START_MAXIMIZED=FALSE&amp;creator=factset&amp;display_string=Audit"}</definedName>
    <definedName name="_1376__FDSAUDITLINK__" localSheetId="34">{"fdsup://directions/FAT Viewer?action=UPDATE&amp;creator=factset&amp;DYN_ARGS=TRUE&amp;DOC_NAME=FAT:FQL_AUDITING_CLIENT_TEMPLATE.FAT&amp;display_string=Audit&amp;VAR:KEY=INIVYFGFSR&amp;VAR:QUERY=RkZfRklOX0FTU0VUU19JTVBBSVIoQU5OX1IsNDA3MTgtMVksLCxSRixVU0Qp&amp;WINDOW=FIRST_POPUP&amp;HEIGH","T=450&amp;WIDTH=450&amp;START_MAXIMIZED=FALSE&amp;VAR:CALENDAR=FIVEDAY&amp;VAR:SYMBOL=84918P10&amp;VAR:INDEX=0"}</definedName>
    <definedName name="_1376__FDSAUDITLINK__" localSheetId="27">{"fdsup://directions/FAT Viewer?action=UPDATE&amp;creator=factset&amp;DYN_ARGS=TRUE&amp;DOC_NAME=FAT:FQL_AUDITING_CLIENT_TEMPLATE.FAT&amp;display_string=Audit&amp;VAR:KEY=INIVYFGFSR&amp;VAR:QUERY=RkZfRklOX0FTU0VUU19JTVBBSVIoQU5OX1IsNDA3MTgtMVksLCxSRixVU0Qp&amp;WINDOW=FIRST_POPUP&amp;HEIGH","T=450&amp;WIDTH=450&amp;START_MAXIMIZED=FALSE&amp;VAR:CALENDAR=FIVEDAY&amp;VAR:SYMBOL=84918P10&amp;VAR:INDEX=0"}</definedName>
    <definedName name="_1377__FDSAUDITLINK__" localSheetId="34">{"fdsup://Directions/FactSet Auditing Viewer?action=AUDIT_VALUE&amp;DB=129&amp;ID1=320898&amp;VALUEID=02001&amp;SDATE=2009&amp;PERIODTYPE=ANNR_STD&amp;window=popup_no_bar&amp;width=385&amp;height=120&amp;START_MAXIMIZED=FALSE&amp;creator=factset&amp;display_string=Audit"}</definedName>
    <definedName name="_1377__FDSAUDITLINK__" localSheetId="27">{"fdsup://Directions/FactSet Auditing Viewer?action=AUDIT_VALUE&amp;DB=129&amp;ID1=320898&amp;VALUEID=02001&amp;SDATE=2009&amp;PERIODTYPE=ANNR_STD&amp;window=popup_no_bar&amp;width=385&amp;height=120&amp;START_MAXIMIZED=FALSE&amp;creator=factset&amp;display_string=Audit"}</definedName>
    <definedName name="_1378__FDSAUDITLINK__" localSheetId="34">{"fdsup://directions/FAT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378__FDSAUDITLINK__" localSheetId="27">{"fdsup://directions/FAT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379__FDSAUDITLINK__" localSheetId="34">{"fdsup://directions/FAT Viewer?action=UPDATE&amp;creator=factset&amp;DYN_ARGS=TRUE&amp;DOC_NAME=FAT:FQL_AUDITING_CLIENT_TEMPLATE.FAT&amp;display_string=Audit&amp;VAR:KEY=KTADWJWHY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07330X10&amp;VAR:INDEX=0"}</definedName>
    <definedName name="_1379__FDSAUDITLINK__" localSheetId="27">{"fdsup://directions/FAT Viewer?action=UPDATE&amp;creator=factset&amp;DYN_ARGS=TRUE&amp;DOC_NAME=FAT:FQL_AUDITING_CLIENT_TEMPLATE.FAT&amp;display_string=Audit&amp;VAR:KEY=KTADWJWHY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07330X10&amp;VAR:INDEX=0"}</definedName>
    <definedName name="_1380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0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1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1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2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2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3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3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4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4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385__FDSAUDITLINK__" localSheetId="34">{"fdsup://directions/FAT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85__FDSAUDITLINK__" localSheetId="27">{"fdsup://directions/FAT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386__FDSAUDITLINK__" localSheetId="34">{"fdsup://Directions/FactSet Auditing Viewer?action=AUDIT_VALUE&amp;DB=129&amp;ID1=41131010&amp;VALUEID=01451&amp;SDATE=2010&amp;PERIODTYPE=ANNR_STD&amp;SCFT=3&amp;window=popup_no_bar&amp;width=385&amp;height=120&amp;START_MAXIMIZED=FALSE&amp;creator=factset&amp;display_string=Audit"}</definedName>
    <definedName name="_1386__FDSAUDITLINK__" localSheetId="27">{"fdsup://Directions/FactSet Auditing Viewer?action=AUDIT_VALUE&amp;DB=129&amp;ID1=41131010&amp;VALUEID=01451&amp;SDATE=2010&amp;PERIODTYPE=ANNR_STD&amp;SCFT=3&amp;window=popup_no_bar&amp;width=385&amp;height=120&amp;START_MAXIMIZED=FALSE&amp;creator=factset&amp;display_string=Audit"}</definedName>
    <definedName name="_1387__FDSAUDITLINK__" localSheetId="34">{"fdsup://Directions/FactSet Auditing Viewer?action=AUDIT_VALUE&amp;DB=129&amp;ID1=41131010&amp;VALUEID=01401&amp;SDATE=2010&amp;PERIODTYPE=ANNR_STD&amp;SCFT=3&amp;window=popup_no_bar&amp;width=385&amp;height=120&amp;START_MAXIMIZED=FALSE&amp;creator=factset&amp;display_string=Audit"}</definedName>
    <definedName name="_1387__FDSAUDITLINK__" localSheetId="27">{"fdsup://Directions/FactSet Auditing Viewer?action=AUDIT_VALUE&amp;DB=129&amp;ID1=41131010&amp;VALUEID=01401&amp;SDATE=2010&amp;PERIODTYPE=ANNR_STD&amp;SCFT=3&amp;window=popup_no_bar&amp;width=385&amp;height=120&amp;START_MAXIMIZED=FALSE&amp;creator=factset&amp;display_string=Audit"}</definedName>
    <definedName name="_1388__FDSAUDITLINK__" localSheetId="34">{"fdsup://directions/FAT Viewer?action=UPDATE&amp;creator=factset&amp;DYN_ARGS=TRUE&amp;DOC_NAME=FAT:FQL_AUDITING_CLIENT_TEMPLATE.FAT&amp;display_string=Audit&amp;VAR:KEY=ARUPIBYXMN&amp;VAR:QUERY=KChGRl9ERUJUKFFUUiw0MDcxOCwsLCxHQlApQEZGX0RFQlQoU0VNSSw0MDcxOCwsLCxHQlApKUBGRl9ERUJUK","EFOTl9SLDQwNzE4LCwsLEdCUCkp&amp;WINDOW=FIRST_POPUP&amp;HEIGHT=450&amp;WIDTH=450&amp;START_MAXIMIZED=FALSE&amp;VAR:CALENDAR=FIVEDAY&amp;VAR:SYMBOL=0&amp;VAR:INDEX=0"}</definedName>
    <definedName name="_1388__FDSAUDITLINK__" localSheetId="27">{"fdsup://directions/FAT Viewer?action=UPDATE&amp;creator=factset&amp;DYN_ARGS=TRUE&amp;DOC_NAME=FAT:FQL_AUDITING_CLIENT_TEMPLATE.FAT&amp;display_string=Audit&amp;VAR:KEY=ARUPIBYXMN&amp;VAR:QUERY=KChGRl9ERUJUKFFUUiw0MDcxOCwsLCxHQlApQEZGX0RFQlQoU0VNSSw0MDcxOCwsLCxHQlApKUBGRl9ERUJUK","EFOTl9SLDQwNzE4LCwsLEdCUCkp&amp;WINDOW=FIRST_POPUP&amp;HEIGHT=450&amp;WIDTH=450&amp;START_MAXIMIZED=FALSE&amp;VAR:CALENDAR=FIVEDAY&amp;VAR:SYMBOL=0&amp;VAR:INDEX=0"}</definedName>
    <definedName name="_1389__FDSAUDITLINK__" localSheetId="34">{"fdsup://directions/FAT Viewer?action=UPDATE&amp;creator=factset&amp;DYN_ARGS=TRUE&amp;DOC_NAME=FAT:FQL_AUDITING_CLIENT_TEMPLATE.FAT&amp;display_string=Audit&amp;VAR:KEY=OXCJCTMRID&amp;VAR:QUERY=KChGRl9ERUJUKFFUUiw0MDcxOCwsLCxHQlApQEZGX0RFQlQoU0VNSSw0MDcxOCwsLCxHQlApKUBGRl9ERUJUK","EFOTl9SLDQwNzE4LCwsLEdCUCkp&amp;WINDOW=FIRST_POPUP&amp;HEIGHT=450&amp;WIDTH=450&amp;START_MAXIMIZED=FALSE&amp;VAR:CALENDAR=FIVEDAY&amp;VAR:SYMBOL=23328Q10&amp;VAR:INDEX=0"}</definedName>
    <definedName name="_1389__FDSAUDITLINK__" localSheetId="27">{"fdsup://directions/FAT Viewer?action=UPDATE&amp;creator=factset&amp;DYN_ARGS=TRUE&amp;DOC_NAME=FAT:FQL_AUDITING_CLIENT_TEMPLATE.FAT&amp;display_string=Audit&amp;VAR:KEY=OXCJCTMRID&amp;VAR:QUERY=KChGRl9ERUJUKFFUUiw0MDcxOCwsLCxHQlApQEZGX0RFQlQoU0VNSSw0MDcxOCwsLCxHQlApKUBGRl9ERUJUK","EFOTl9SLDQwNzE4LCwsLEdCUCkp&amp;WINDOW=FIRST_POPUP&amp;HEIGHT=450&amp;WIDTH=450&amp;START_MAXIMIZED=FALSE&amp;VAR:CALENDAR=FIVEDAY&amp;VAR:SYMBOL=23328Q10&amp;VAR:INDEX=0"}</definedName>
    <definedName name="_1390__FDSAUDITLINK__" localSheetId="34">{"fdsup://Directions/FactSet Auditing Viewer?action=AUDIT_VALUE&amp;DB=129&amp;ID1=047715&amp;VALUEID=03101&amp;SDATE=2009&amp;PERIODTYPE=ANNR_STD&amp;window=popup_no_bar&amp;width=385&amp;height=120&amp;START_MAXIMIZED=FALSE&amp;creator=factset&amp;display_string=Audit"}</definedName>
    <definedName name="_1390__FDSAUDITLINK__" localSheetId="27">{"fdsup://Directions/FactSet Auditing Viewer?action=AUDIT_VALUE&amp;DB=129&amp;ID1=047715&amp;VALUEID=03101&amp;SDATE=2009&amp;PERIODTYPE=ANNR_STD&amp;window=popup_no_bar&amp;width=385&amp;height=120&amp;START_MAXIMIZED=FALSE&amp;creator=factset&amp;display_string=Audit"}</definedName>
    <definedName name="_1391__FDSAUDITLINK__" localSheetId="34">{"fdsup://directions/FAT Viewer?action=UPDATE&amp;creator=factset&amp;DYN_ARGS=TRUE&amp;DOC_NAME=FAT:FQL_AUDITING_CLIENT_TEMPLATE.FAT&amp;display_string=Audit&amp;VAR:KEY=CHCZYJWRIX&amp;VAR:QUERY=KChGRl9ERUJUKFFUUiw0MDcxOCwsLCxHQlApQEZGX0RFQlQoU0VNSSw0MDcxOCwsLCxHQlApKUBGRl9ERUJUK","EFOTl9SLDQwNzE4LCwsLEdCUCkp&amp;WINDOW=FIRST_POPUP&amp;HEIGHT=450&amp;WIDTH=450&amp;START_MAXIMIZED=FALSE&amp;VAR:CALENDAR=FIVEDAY&amp;VAR:SYMBOL=36191G10&amp;VAR:INDEX=0"}</definedName>
    <definedName name="_1391__FDSAUDITLINK__" localSheetId="27">{"fdsup://directions/FAT Viewer?action=UPDATE&amp;creator=factset&amp;DYN_ARGS=TRUE&amp;DOC_NAME=FAT:FQL_AUDITING_CLIENT_TEMPLATE.FAT&amp;display_string=Audit&amp;VAR:KEY=CHCZYJWRIX&amp;VAR:QUERY=KChGRl9ERUJUKFFUUiw0MDcxOCwsLCxHQlApQEZGX0RFQlQoU0VNSSw0MDcxOCwsLCxHQlApKUBGRl9ERUJUK","EFOTl9SLDQwNzE4LCwsLEdCUCkp&amp;WINDOW=FIRST_POPUP&amp;HEIGHT=450&amp;WIDTH=450&amp;START_MAXIMIZED=FALSE&amp;VAR:CALENDAR=FIVEDAY&amp;VAR:SYMBOL=36191G10&amp;VAR:INDEX=0"}</definedName>
    <definedName name="_1392__FDSAUDITLINK__" localSheetId="34">{"fdsup://Directions/FactSet Auditing Viewer?action=AUDIT_VALUE&amp;DB=129&amp;ID1=320898&amp;VALUEID=03101&amp;SDATE=2009&amp;PERIODTYPE=ANNR_STD&amp;window=popup_no_bar&amp;width=385&amp;height=120&amp;START_MAXIMIZED=FALSE&amp;creator=factset&amp;display_string=Audit"}</definedName>
    <definedName name="_1392__FDSAUDITLINK__" localSheetId="27">{"fdsup://Directions/FactSet Auditing Viewer?action=AUDIT_VALUE&amp;DB=129&amp;ID1=320898&amp;VALUEID=03101&amp;SDATE=2009&amp;PERIODTYPE=ANNR_STD&amp;window=popup_no_bar&amp;width=385&amp;height=120&amp;START_MAXIMIZED=FALSE&amp;creator=factset&amp;display_string=Audit"}</definedName>
    <definedName name="_1393__FDSAUDITLINK__" localSheetId="34">{"fdsup://directions/FAT Viewer?action=UPDATE&amp;creator=factset&amp;DYN_ARGS=TRUE&amp;DOC_NAME=FAT:FQL_AUDITING_CLIENT_TEMPLATE.FAT&amp;display_string=Audit&amp;VAR:KEY=GPKLKJQRSH&amp;VAR:QUERY=KChGRl9ERUJUKFFUUiw0MDcxOCwsLCxHQlApQEZGX0RFQlQoU0VNSSw0MDcxOCwsLCxHQlApKUBGRl9ERUJUK","EFOTl9SLDQwNzE4LCwsLEdCUCkp&amp;WINDOW=FIRST_POPUP&amp;HEIGHT=450&amp;WIDTH=450&amp;START_MAXIMIZED=FALSE&amp;VAR:CALENDAR=FIVEDAY&amp;VAR:SYMBOL=92847A20&amp;VAR:INDEX=0"}</definedName>
    <definedName name="_1393__FDSAUDITLINK__" localSheetId="27">{"fdsup://directions/FAT Viewer?action=UPDATE&amp;creator=factset&amp;DYN_ARGS=TRUE&amp;DOC_NAME=FAT:FQL_AUDITING_CLIENT_TEMPLATE.FAT&amp;display_string=Audit&amp;VAR:KEY=GPKLKJQRSH&amp;VAR:QUERY=KChGRl9ERUJUKFFUUiw0MDcxOCwsLCxHQlApQEZGX0RFQlQoU0VNSSw0MDcxOCwsLCxHQlApKUBGRl9ERUJUK","EFOTl9SLDQwNzE4LCwsLEdCUCkp&amp;WINDOW=FIRST_POPUP&amp;HEIGHT=450&amp;WIDTH=450&amp;START_MAXIMIZED=FALSE&amp;VAR:CALENDAR=FIVEDAY&amp;VAR:SYMBOL=92847A20&amp;VAR:INDEX=0"}</definedName>
    <definedName name="_1394__FDSAUDITLINK__" localSheetId="34">{"fdsup://directions/FAT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394__FDSAUDITLINK__" localSheetId="27">{"fdsup://directions/FAT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395__FDSAUDITLINK__" localSheetId="34">{"fdsup://Directions/FactSet Auditing Viewer?action=AUDIT_VALUE&amp;DB=129&amp;ID1=046991&amp;VALUEID=02001&amp;SDATE=2008&amp;PERIODTYPE=ANNR_STD&amp;window=popup_no_bar&amp;width=385&amp;height=120&amp;START_MAXIMIZED=FALSE&amp;creator=factset&amp;display_string=Audit"}</definedName>
    <definedName name="_1395__FDSAUDITLINK__" localSheetId="27">{"fdsup://Directions/FactSet Auditing Viewer?action=AUDIT_VALUE&amp;DB=129&amp;ID1=046991&amp;VALUEID=02001&amp;SDATE=2008&amp;PERIODTYPE=ANNR_STD&amp;window=popup_no_bar&amp;width=385&amp;height=120&amp;START_MAXIMIZED=FALSE&amp;creator=factset&amp;display_string=Audit"}</definedName>
    <definedName name="_1396__FDSAUDITLINK__" localSheetId="34">{"fdsup://directions/FAT Viewer?action=UPDATE&amp;creator=factset&amp;DYN_ARGS=TRUE&amp;DOC_NAME=FAT:FQL_AUDITING_CLIENT_TEMPLATE.FAT&amp;display_string=Audit&amp;VAR:KEY=GJSZCPYFIV&amp;VAR:QUERY=KChGRl9ERUJUKFFUUiw0MDcxOCwsLCxHQlApQEZGX0RFQlQoU0VNSSw0MDcxOCwsLCxHQlApKUBGRl9ERUJUK","EFOTl9SLDQwNzE4LCwsLEdCUCkp&amp;WINDOW=FIRST_POPUP&amp;HEIGHT=450&amp;WIDTH=450&amp;START_MAXIMIZED=FALSE&amp;VAR:CALENDAR=FIVEDAY&amp;VAR:SYMBOL=67060Y10&amp;VAR:INDEX=0"}</definedName>
    <definedName name="_1396__FDSAUDITLINK__" localSheetId="27">{"fdsup://directions/FAT Viewer?action=UPDATE&amp;creator=factset&amp;DYN_ARGS=TRUE&amp;DOC_NAME=FAT:FQL_AUDITING_CLIENT_TEMPLATE.FAT&amp;display_string=Audit&amp;VAR:KEY=GJSZCPYFIV&amp;VAR:QUERY=KChGRl9ERUJUKFFUUiw0MDcxOCwsLCxHQlApQEZGX0RFQlQoU0VNSSw0MDcxOCwsLCxHQlApKUBGRl9ERUJUK","EFOTl9SLDQwNzE4LCwsLEdCUCkp&amp;WINDOW=FIRST_POPUP&amp;HEIGHT=450&amp;WIDTH=450&amp;START_MAXIMIZED=FALSE&amp;VAR:CALENDAR=FIVEDAY&amp;VAR:SYMBOL=67060Y10&amp;VAR:INDEX=0"}</definedName>
    <definedName name="_1397__FDSAUDITLINK__" localSheetId="34">{"fdsup://directions/FAT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397__FDSAUDITLINK__" localSheetId="27">{"fdsup://directions/FAT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398__FDSAUDITLINK__" localSheetId="34">{"fdsup://Directions/FactSet Auditing Viewer?action=AUDIT_VALUE&amp;DB=129&amp;ID1=337647&amp;VALUEID=02201&amp;SDATE=2009&amp;PERIODTYPE=ANNR_STD&amp;window=popup_no_bar&amp;width=385&amp;height=120&amp;START_MAXIMIZED=FALSE&amp;creator=factset&amp;display_string=Audit"}</definedName>
    <definedName name="_1398__FDSAUDITLINK__" localSheetId="27">{"fdsup://Directions/FactSet Auditing Viewer?action=AUDIT_VALUE&amp;DB=129&amp;ID1=337647&amp;VALUEID=02201&amp;SDATE=2009&amp;PERIODTYPE=ANNR_STD&amp;window=popup_no_bar&amp;width=385&amp;height=120&amp;START_MAXIMIZED=FALSE&amp;creator=factset&amp;display_string=Audit"}</definedName>
    <definedName name="_1399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399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0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0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1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1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2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2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3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3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04__FDSAUDITLINK__" localSheetId="34">{"fdsup://directions/FAT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04__FDSAUDITLINK__" localSheetId="27">{"fdsup://directions/FAT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05__FDSAUDITLINK__" localSheetId="34">{"fdsup://Directions/FactSet Auditing Viewer?action=AUDIT_VALUE&amp;DB=129&amp;ID1=04983820&amp;VALUEID=03451&amp;SDATE=201004&amp;PERIODTYPE=QTR_STD&amp;SCFT=3&amp;window=popup_no_bar&amp;width=385&amp;height=120&amp;START_MAXIMIZED=FALSE&amp;creator=factset&amp;display_string=Audit"}</definedName>
    <definedName name="_1405__FDSAUDITLINK__" localSheetId="27">{"fdsup://Directions/FactSet Auditing Viewer?action=AUDIT_VALUE&amp;DB=129&amp;ID1=04983820&amp;VALUEID=03451&amp;SDATE=201004&amp;PERIODTYPE=QTR_STD&amp;SCFT=3&amp;window=popup_no_bar&amp;width=385&amp;height=120&amp;START_MAXIMIZED=FALSE&amp;creator=factset&amp;display_string=Audit"}</definedName>
    <definedName name="_1406__FDSAUDITLINK__" localSheetId="34">{"fdsup://directions/FAT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06__FDSAUDITLINK__" localSheetId="27">{"fdsup://directions/FAT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07__FDSAUDITLINK__" localSheetId="34">{"fdsup://directions/FAT Viewer?action=UPDATE&amp;creator=factset&amp;DYN_ARGS=TRUE&amp;DOC_NAME=FAT:FQL_AUDITING_CLIENT_TEMPLATE.FAT&amp;display_string=Audit&amp;VAR:KEY=CVWRUXIHSP&amp;VAR:QUERY=KChGRl9ERUJUKFFUUiw0MDcxOCwsLCxHQlApQEZGX0RFQlQoU0VNSSw0MDcxOCwsLCxHQlApKUBGRl9ERUJUK","EFOTl9SLDQwNzE4LCwsLEdCUCkp&amp;WINDOW=FIRST_POPUP&amp;HEIGHT=450&amp;WIDTH=450&amp;START_MAXIMIZED=FALSE&amp;VAR:CALENDAR=FIVEDAY&amp;VAR:SYMBOL=23307830&amp;VAR:INDEX=0"}</definedName>
    <definedName name="_1407__FDSAUDITLINK__" localSheetId="27">{"fdsup://directions/FAT Viewer?action=UPDATE&amp;creator=factset&amp;DYN_ARGS=TRUE&amp;DOC_NAME=FAT:FQL_AUDITING_CLIENT_TEMPLATE.FAT&amp;display_string=Audit&amp;VAR:KEY=CVWRUXIHSP&amp;VAR:QUERY=KChGRl9ERUJUKFFUUiw0MDcxOCwsLCxHQlApQEZGX0RFQlQoU0VNSSw0MDcxOCwsLCxHQlApKUBGRl9ERUJUK","EFOTl9SLDQwNzE4LCwsLEdCUCkp&amp;WINDOW=FIRST_POPUP&amp;HEIGHT=450&amp;WIDTH=450&amp;START_MAXIMIZED=FALSE&amp;VAR:CALENDAR=FIVEDAY&amp;VAR:SYMBOL=23307830&amp;VAR:INDEX=0"}</definedName>
    <definedName name="_1408__FDSAUDITLINK__" localSheetId="34">{"fdsup://directions/FAT Viewer?action=UPDATE&amp;creator=factset&amp;DYN_ARGS=TRUE&amp;DOC_NAME=FAT:FQL_AUDITING_CLIENT_TEMPLATE.FAT&amp;display_string=Audit&amp;VAR:KEY=CTCFUZMJYD&amp;VAR:QUERY=KChGRl9ERUJUKFFUUiw0MDcxOCwsLCxHQlApQEZGX0RFQlQoU0VNSSw0MDcxOCwsLCxHQlApKUBGRl9ERUJUK","EFOTl9SLDQwNzE4LCwsLEdCUCkp&amp;WINDOW=FIRST_POPUP&amp;HEIGHT=450&amp;WIDTH=450&amp;START_MAXIMIZED=FALSE&amp;VAR:CALENDAR=FIVEDAY&amp;VAR:SYMBOL=30250Q10&amp;VAR:INDEX=0"}</definedName>
    <definedName name="_1408__FDSAUDITLINK__" localSheetId="27">{"fdsup://directions/FAT Viewer?action=UPDATE&amp;creator=factset&amp;DYN_ARGS=TRUE&amp;DOC_NAME=FAT:FQL_AUDITING_CLIENT_TEMPLATE.FAT&amp;display_string=Audit&amp;VAR:KEY=CTCFUZMJYD&amp;VAR:QUERY=KChGRl9ERUJUKFFUUiw0MDcxOCwsLCxHQlApQEZGX0RFQlQoU0VNSSw0MDcxOCwsLCxHQlApKUBGRl9ERUJUK","EFOTl9SLDQwNzE4LCwsLEdCUCkp&amp;WINDOW=FIRST_POPUP&amp;HEIGHT=450&amp;WIDTH=450&amp;START_MAXIMIZED=FALSE&amp;VAR:CALENDAR=FIVEDAY&amp;VAR:SYMBOL=30250Q10&amp;VAR:INDEX=0"}</definedName>
    <definedName name="_1409__FDSAUDITLINK__" localSheetId="34">{"fdsup://Directions/FactSet Auditing Viewer?action=AUDIT_VALUE&amp;DB=129&amp;ID1=312748&amp;VALUEID=02201&amp;SDATE=2009&amp;PERIODTYPE=ANNR_STD&amp;window=popup_no_bar&amp;width=385&amp;height=120&amp;START_MAXIMIZED=FALSE&amp;creator=factset&amp;display_string=Audit"}</definedName>
    <definedName name="_1409__FDSAUDITLINK__" localSheetId="27">{"fdsup://Directions/FactSet Auditing Viewer?action=AUDIT_VALUE&amp;DB=129&amp;ID1=312748&amp;VALUEID=02201&amp;SDATE=2009&amp;PERIODTYPE=ANNR_STD&amp;window=popup_no_bar&amp;width=385&amp;height=120&amp;START_MAXIMIZED=FALSE&amp;creator=factset&amp;display_string=Audit"}</definedName>
    <definedName name="_1410__FDSAUDITLINK__" localSheetId="34">{"fdsup://directions/FAT Viewer?action=UPDATE&amp;creator=factset&amp;DYN_ARGS=TRUE&amp;DOC_NAME=FAT:FQL_AUDITING_CLIENT_TEMPLATE.FAT&amp;display_string=Audit&amp;VAR:KEY=YTQXKBONIV&amp;VAR:QUERY=KChGRl9ERUJUKFFUUiw0MDcxOCwsLCxHQlApQEZGX0RFQlQoU0VNSSw0MDcxOCwsLCxHQlApKUBGRl9ERUJUK","EFOTl9SLDQwNzE4LCwsLEdCUCkp&amp;WINDOW=FIRST_POPUP&amp;HEIGHT=450&amp;WIDTH=450&amp;START_MAXIMIZED=FALSE&amp;VAR:CALENDAR=FIVEDAY&amp;VAR:SYMBOL=84918P10&amp;VAR:INDEX=0"}</definedName>
    <definedName name="_1410__FDSAUDITLINK__" localSheetId="27">{"fdsup://directions/FAT Viewer?action=UPDATE&amp;creator=factset&amp;DYN_ARGS=TRUE&amp;DOC_NAME=FAT:FQL_AUDITING_CLIENT_TEMPLATE.FAT&amp;display_string=Audit&amp;VAR:KEY=YTQXKBONIV&amp;VAR:QUERY=KChGRl9ERUJUKFFUUiw0MDcxOCwsLCxHQlApQEZGX0RFQlQoU0VNSSw0MDcxOCwsLCxHQlApKUBGRl9ERUJUK","EFOTl9SLDQwNzE4LCwsLEdCUCkp&amp;WINDOW=FIRST_POPUP&amp;HEIGHT=450&amp;WIDTH=450&amp;START_MAXIMIZED=FALSE&amp;VAR:CALENDAR=FIVEDAY&amp;VAR:SYMBOL=84918P10&amp;VAR:INDEX=0"}</definedName>
    <definedName name="_1411__FDSAUDITLINK__" localSheetId="34">{"fdsup://Directions/FactSet Auditing Viewer?action=AUDIT_VALUE&amp;DB=129&amp;ID1=84918P10&amp;VALUEID=03451&amp;SDATE=201103&amp;PERIODTYPE=QTR_STD&amp;SCFT=3&amp;window=popup_no_bar&amp;width=385&amp;height=120&amp;START_MAXIMIZED=FALSE&amp;creator=factset&amp;display_string=Audit"}</definedName>
    <definedName name="_1411__FDSAUDITLINK__" localSheetId="27">{"fdsup://Directions/FactSet Auditing Viewer?action=AUDIT_VALUE&amp;DB=129&amp;ID1=84918P10&amp;VALUEID=03451&amp;SDATE=201103&amp;PERIODTYPE=QTR_STD&amp;SCFT=3&amp;window=popup_no_bar&amp;width=385&amp;height=120&amp;START_MAXIMIZED=FALSE&amp;creator=factset&amp;display_string=Audit"}</definedName>
    <definedName name="_1412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12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13__FDSAUDITLINK__" localSheetId="34">{"fdsup://Directions/FactSet Auditing Viewer?action=AUDIT_VALUE&amp;DB=129&amp;ID1=B126KH&amp;VALUEID=02201&amp;SDATE=2009&amp;PERIODTYPE=ANNR_STD&amp;window=popup_no_bar&amp;width=385&amp;height=120&amp;START_MAXIMIZED=FALSE&amp;creator=factset&amp;display_string=Audit"}</definedName>
    <definedName name="_1413__FDSAUDITLINK__" localSheetId="27">{"fdsup://Directions/FactSet Auditing Viewer?action=AUDIT_VALUE&amp;DB=129&amp;ID1=B126KH&amp;VALUEID=02201&amp;SDATE=2009&amp;PERIODTYPE=ANNR_STD&amp;window=popup_no_bar&amp;width=385&amp;height=120&amp;START_MAXIMIZED=FALSE&amp;creator=factset&amp;display_string=Audit"}</definedName>
    <definedName name="_1414__FDSAUDITLINK__" localSheetId="34">{"fdsup://directions/FAT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4__FDSAUDITLINK__" localSheetId="27">{"fdsup://directions/FAT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5__FDSAUDITLINK__" localSheetId="34">{"fdsup://directions/FAT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5__FDSAUDITLINK__" localSheetId="27">{"fdsup://directions/FAT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6__FDSAUDITLINK__" localSheetId="34">{"fdsup://directions/FAT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6__FDSAUDITLINK__" localSheetId="27">{"fdsup://directions/FAT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7__FDSAUDITLINK__" localSheetId="34">{"fdsup://directions/FAT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7__FDSAUDITLINK__" localSheetId="27">{"fdsup://directions/FAT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8__FDSAUDITLINK__" localSheetId="34">{"fdsup://directions/FAT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8__FDSAUDITLINK__" localSheetId="27">{"fdsup://directions/FAT Viewer?action=UPDATE&amp;creator=factset&amp;DYN_ARGS=TRUE&amp;DOC_NAME=FAT:FQL_AUDITING_CLIENT_TEMPLATE.FAT&amp;display_string=Audit&amp;VAR:KEY=BGZUHMNOHU&amp;VAR:QUERY=RkZfU0hMRFJTX0VRKEFOTl9SLDQwNjQxLCwsUkYsR0JQKQ==&amp;WINDOW=FIRST_POPUP&amp;HEIGHT=450&amp;WIDTH=","450&amp;START_MAXIMIZED=FALSE&amp;VAR:CALENDAR=FIVEDAY&amp;VAR:SYMBOL=0&amp;VAR:INDEX=0"}</definedName>
    <definedName name="_1419__FDSAUDITLINK__" localSheetId="34">{"fdsup://directions/FAT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419__FDSAUDITLINK__" localSheetId="27">{"fdsup://directions/FAT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420__FDSAUDITLINK__" localSheetId="34">{"fdsup://Directions/FactSet Auditing Viewer?action=AUDIT_VALUE&amp;DB=129&amp;ID1=80669310&amp;VALUEID=02001&amp;SDATE=2008&amp;PERIODTYPE=ANNR_STD&amp;SCFT=3&amp;window=popup_no_bar&amp;width=385&amp;height=120&amp;START_MAXIMIZED=FALSE&amp;creator=factset&amp;display_string=Audit"}</definedName>
    <definedName name="_1420__FDSAUDITLINK__" localSheetId="27">{"fdsup://Directions/FactSet Auditing Viewer?action=AUDIT_VALUE&amp;DB=129&amp;ID1=80669310&amp;VALUEID=02001&amp;SDATE=2008&amp;PERIODTYPE=ANNR_STD&amp;SCFT=3&amp;window=popup_no_bar&amp;width=385&amp;height=120&amp;START_MAXIMIZED=FALSE&amp;creator=factset&amp;display_string=Audit"}</definedName>
    <definedName name="_1421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21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22__FDSAUDITLINK__" localSheetId="34">{"fdsup://Directions/FactSet Auditing Viewer?action=AUDIT_VALUE&amp;DB=129&amp;ID1=046991&amp;VALUEID=02001&amp;SDATE=2009&amp;PERIODTYPE=ANNR_STD&amp;window=popup_no_bar&amp;width=385&amp;height=120&amp;START_MAXIMIZED=FALSE&amp;creator=factset&amp;display_string=Audit"}</definedName>
    <definedName name="_1422__FDSAUDITLINK__" localSheetId="27">{"fdsup://Directions/FactSet Auditing Viewer?action=AUDIT_VALUE&amp;DB=129&amp;ID1=046991&amp;VALUEID=02001&amp;SDATE=2009&amp;PERIODTYPE=ANNR_STD&amp;window=popup_no_bar&amp;width=385&amp;height=120&amp;START_MAXIMIZED=FALSE&amp;creator=factset&amp;display_string=Audit"}</definedName>
    <definedName name="_1423__FDSAUDITLINK__" localSheetId="34">{"fdsup://directions/FAT Viewer?action=UPDATE&amp;creator=factset&amp;DYN_ARGS=TRUE&amp;DOC_NAME=FAT:FQL_AUDITING_CLIENT_TEMPLATE.FAT&amp;display_string=Audit&amp;VAR:KEY=WDIRCBWLU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67060Y10&amp;VAR:INDEX=0"}</definedName>
    <definedName name="_1423__FDSAUDITLINK__" localSheetId="27">{"fdsup://directions/FAT Viewer?action=UPDATE&amp;creator=factset&amp;DYN_ARGS=TRUE&amp;DOC_NAME=FAT:FQL_AUDITING_CLIENT_TEMPLATE.FAT&amp;display_string=Audit&amp;VAR:KEY=WDIRCBWLU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67060Y10&amp;VAR:INDEX=0"}</definedName>
    <definedName name="_1424__FDSAUDITLINK__" localSheetId="34">{"fdsup://Directions/FactSet Auditing Viewer?action=AUDIT_VALUE&amp;DB=129&amp;ID1=312748&amp;VALUEID=03051&amp;SDATE=2009&amp;PERIODTYPE=ANNR_STD&amp;window=popup_no_bar&amp;width=385&amp;height=120&amp;START_MAXIMIZED=FALSE&amp;creator=factset&amp;display_string=Audit"}</definedName>
    <definedName name="_1424__FDSAUDITLINK__" localSheetId="27">{"fdsup://Directions/FactSet Auditing Viewer?action=AUDIT_VALUE&amp;DB=129&amp;ID1=312748&amp;VALUEID=03051&amp;SDATE=2009&amp;PERIODTYPE=ANNR_STD&amp;window=popup_no_bar&amp;width=385&amp;height=120&amp;START_MAXIMIZED=FALSE&amp;creator=factset&amp;display_string=Audit"}</definedName>
    <definedName name="_1425__FDSAUDITLINK__" localSheetId="34">{"fdsup://Directions/FactSet Auditing Viewer?action=AUDIT_VALUE&amp;DB=129&amp;ID1=67060Y10&amp;VALUEID=02001&amp;SDATE=2009&amp;PERIODTYPE=ANNR_STD&amp;SCFT=3&amp;window=popup_no_bar&amp;width=385&amp;height=120&amp;START_MAXIMIZED=FALSE&amp;creator=factset&amp;display_string=Audit"}</definedName>
    <definedName name="_1425__FDSAUDITLINK__" localSheetId="27">{"fdsup://Directions/FactSet Auditing Viewer?action=AUDIT_VALUE&amp;DB=129&amp;ID1=67060Y10&amp;VALUEID=02001&amp;SDATE=2009&amp;PERIODTYPE=ANNR_STD&amp;SCFT=3&amp;window=popup_no_bar&amp;width=385&amp;height=120&amp;START_MAXIMIZED=FALSE&amp;creator=factset&amp;display_string=Audit"}</definedName>
    <definedName name="_1426__FDSAUDITLINK__" localSheetId="34">{"fdsup://Directions/FactSet Auditing Viewer?action=AUDIT_VALUE&amp;DB=129&amp;ID1=67060Y10&amp;VALUEID=02201&amp;SDATE=2009&amp;PERIODTYPE=ANNR_STD&amp;SCFT=3&amp;window=popup_no_bar&amp;width=385&amp;height=120&amp;START_MAXIMIZED=FALSE&amp;creator=factset&amp;display_string=Audit"}</definedName>
    <definedName name="_1426__FDSAUDITLINK__" localSheetId="27">{"fdsup://Directions/FactSet Auditing Viewer?action=AUDIT_VALUE&amp;DB=129&amp;ID1=67060Y10&amp;VALUEID=02201&amp;SDATE=2009&amp;PERIODTYPE=ANNR_STD&amp;SCFT=3&amp;window=popup_no_bar&amp;width=385&amp;height=120&amp;START_MAXIMIZED=FALSE&amp;creator=factset&amp;display_string=Audit"}</definedName>
    <definedName name="_1427__FDSAUDITLINK__" localSheetId="34">{"fdsup://directions/FAT Viewer?action=UPDATE&amp;creator=factset&amp;DYN_ARGS=TRUE&amp;DOC_NAME=FAT:FQL_AUDITING_CLIENT_TEMPLATE.FAT&amp;display_string=Audit&amp;VAR:KEY=KFOXMPYJQ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69511310&amp;VAR:INDEX=0"}</definedName>
    <definedName name="_1427__FDSAUDITLINK__" localSheetId="27">{"fdsup://directions/FAT Viewer?action=UPDATE&amp;creator=factset&amp;DYN_ARGS=TRUE&amp;DOC_NAME=FAT:FQL_AUDITING_CLIENT_TEMPLATE.FAT&amp;display_string=Audit&amp;VAR:KEY=KFOXMPYJQ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69511310&amp;VAR:INDEX=0"}</definedName>
    <definedName name="_1428__FDSAUDITLINK__" localSheetId="34">{"fdsup://Directions/FactSet Auditing Viewer?action=AUDIT_VALUE&amp;DB=129&amp;ID1=046991&amp;VALUEID=03101&amp;SDATE=2008&amp;PERIODTYPE=ANNR_STD&amp;window=popup_no_bar&amp;width=385&amp;height=120&amp;START_MAXIMIZED=FALSE&amp;creator=factset&amp;display_string=Audit"}</definedName>
    <definedName name="_1428__FDSAUDITLINK__" localSheetId="27">{"fdsup://Directions/FactSet Auditing Viewer?action=AUDIT_VALUE&amp;DB=129&amp;ID1=046991&amp;VALUEID=03101&amp;SDATE=2008&amp;PERIODTYPE=ANNR_STD&amp;window=popup_no_bar&amp;width=385&amp;height=120&amp;START_MAXIMIZED=FALSE&amp;creator=factset&amp;display_string=Audit"}</definedName>
    <definedName name="_1429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29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30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30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31__FDSAUDITLINK__" localSheetId="34">{"fdsup://directions/FAT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31__FDSAUDITLINK__" localSheetId="27">{"fdsup://directions/FAT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32__FDSAUDITLINK__" localSheetId="34">{"fdsup://directions/FAT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32__FDSAUDITLINK__" localSheetId="27">{"fdsup://directions/FAT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33__FDSAUDITLINK__" localSheetId="34">{"fdsup://directions/FAT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33__FDSAUDITLINK__" localSheetId="27">{"fdsup://directions/FAT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34__FDSAUDITLINK__" localSheetId="34">{"fdsup://directions/FAT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34__FDSAUDITLINK__" localSheetId="27">{"fdsup://directions/FAT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35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35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36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36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37__FDSAUDITLINK__" localSheetId="34">{"fdsup://directions/FAT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37__FDSAUDITLINK__" localSheetId="27">{"fdsup://directions/FAT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38__FDSAUDITLINK__" localSheetId="34">{"fdsup://directions/FAT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38__FDSAUDITLINK__" localSheetId="27">{"fdsup://directions/FAT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39__FDSAUDITLINK__" localSheetId="34">{"fdsup://directions/FAT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39__FDSAUDITLINK__" localSheetId="27">{"fdsup://directions/FAT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40__FDSAUDITLINK__" localSheetId="34">{"fdsup://directions/FAT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40__FDSAUDITLINK__" localSheetId="27">{"fdsup://directions/FAT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41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41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42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42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43__FDSAUDITLINK__" localSheetId="34">{"fdsup://directions/FAT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43__FDSAUDITLINK__" localSheetId="27">{"fdsup://directions/FAT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44__FDSAUDITLINK__" localSheetId="34">{"fdsup://directions/FAT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44__FDSAUDITLINK__" localSheetId="27">{"fdsup://directions/FAT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45__FDSAUDITLINK__" localSheetId="34">{"fdsup://Directions/FactSet Auditing Viewer?action=AUDIT_VALUE&amp;DB=129&amp;ID1=41131010&amp;VALUEID=02201&amp;SDATE=2010&amp;PERIODTYPE=ANNR_STD&amp;SCFT=3&amp;window=popup_no_bar&amp;width=385&amp;height=120&amp;START_MAXIMIZED=FALSE&amp;creator=factset&amp;display_string=Audit"}</definedName>
    <definedName name="_1445__FDSAUDITLINK__" localSheetId="27">{"fdsup://Directions/FactSet Auditing Viewer?action=AUDIT_VALUE&amp;DB=129&amp;ID1=41131010&amp;VALUEID=02201&amp;SDATE=2010&amp;PERIODTYPE=ANNR_STD&amp;SCFT=3&amp;window=popup_no_bar&amp;width=385&amp;height=120&amp;START_MAXIMIZED=FALSE&amp;creator=factset&amp;display_string=Audit"}</definedName>
    <definedName name="_1446__FDSAUDITLINK__" localSheetId="34">{"fdsup://directions/FAT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46__FDSAUDITLINK__" localSheetId="27">{"fdsup://directions/FAT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47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47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48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48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49__FDSAUDITLINK__" localSheetId="34">{"fdsup://directions/FAT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49__FDSAUDITLINK__" localSheetId="27">{"fdsup://directions/FAT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50__FDSAUDITLINK__" localSheetId="34">{"fdsup://directions/FAT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50__FDSAUDITLINK__" localSheetId="27">{"fdsup://directions/FAT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51__FDSAUDITLINK__" localSheetId="34">{"fdsup://directions/FAT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51__FDSAUDITLINK__" localSheetId="27">{"fdsup://directions/FAT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52__FDSAUDITLINK__" localSheetId="34">{"fdsup://directions/FAT Viewer?action=UPDATE&amp;creator=factset&amp;DYN_ARGS=TRUE&amp;DOC_NAME=FAT:FQL_AUDITING_CLIENT_TEMPLATE.FAT&amp;display_string=Audit&amp;VAR:KEY=MTUHQVQLIZ&amp;VAR:QUERY=RkZfU0hMRFJTX0VRKEFOTl9SLDQwNzE4LCwsUkYsR0JQKQ==&amp;WINDOW=FIRST_POPUP&amp;HEIGHT=450&amp;WIDTH=","450&amp;START_MAXIMIZED=FALSE&amp;VAR:CALENDAR=FIVEDAY&amp;VAR:SYMBOL=36191G10&amp;VAR:INDEX=0"}</definedName>
    <definedName name="_1452__FDSAUDITLINK__" localSheetId="27">{"fdsup://directions/FAT Viewer?action=UPDATE&amp;creator=factset&amp;DYN_ARGS=TRUE&amp;DOC_NAME=FAT:FQL_AUDITING_CLIENT_TEMPLATE.FAT&amp;display_string=Audit&amp;VAR:KEY=MTUHQVQLIZ&amp;VAR:QUERY=RkZfU0hMRFJTX0VRKEFOTl9SLDQwNzE4LCwsUkYsR0JQKQ==&amp;WINDOW=FIRST_POPUP&amp;HEIGHT=450&amp;WIDTH=","450&amp;START_MAXIMIZED=FALSE&amp;VAR:CALENDAR=FIVEDAY&amp;VAR:SYMBOL=36191G10&amp;VAR:INDEX=0"}</definedName>
    <definedName name="_1453__FDSAUDITLINK__" localSheetId="34">{"fdsup://directions/FAT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53__FDSAUDITLINK__" localSheetId="27">{"fdsup://directions/FAT Viewer?action=UPDATE&amp;creator=factset&amp;DYN_ARGS=TRUE&amp;DOC_NAME=FAT:FQL_AUDITING_CLIENT_TEMPLATE.FAT&amp;display_string=Audit&amp;VAR:KEY=XYXSZUFYXQ&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amp;VAR:INDEX=0"}</definedName>
    <definedName name="_1454__FDSAUDITLINK__" localSheetId="34">{"fdsup://directions/FAT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54__FDSAUDITLINK__" localSheetId="27">{"fdsup://directions/FAT Viewer?action=UPDATE&amp;creator=factset&amp;DYN_ARGS=TRUE&amp;DOC_NAME=FAT:FQL_AUDITING_CLIENT_TEMPLATE.FAT&amp;display_string=Audit&amp;VAR:KEY=HQXWRGZGHW&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amp;VAR:INDEX=0"}</definedName>
    <definedName name="_1455__FDSAUDITLINK__" localSheetId="34">{"fdsup://directions/FAT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55__FDSAUDITLINK__" localSheetId="27">{"fdsup://directions/FAT Viewer?action=UPDATE&amp;creator=factset&amp;DYN_ARGS=TRUE&amp;DOC_NAME=FAT:FQL_AUDITING_CLIENT_TEMPLATE.FAT&amp;display_string=Audit&amp;VAR:KEY=RONGTSRIFY&amp;VAR:QUERY=RkZfRklOX0FTU0VUU19JTVBBSVIoQU5OX1IsNDA2NDEsLCxSRixHQlAp&amp;WINDOW=FIRST_POPUP&amp;HEIGHT=45","0&amp;WIDTH=450&amp;START_MAXIMIZED=FALSE&amp;VAR:CALENDAR=FIVEDAY&amp;VAR:SYMBOL=0&amp;VAR:INDEX=0"}</definedName>
    <definedName name="_1456__FDSAUDITLINK__" localSheetId="34">{"fdsup://directions/FAT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56__FDSAUDITLINK__" localSheetId="27">{"fdsup://directions/FAT Viewer?action=UPDATE&amp;creator=factset&amp;DYN_ARGS=TRUE&amp;DOC_NAME=FAT:FQL_AUDITING_CLIENT_TEMPLATE.FAT&amp;display_string=Audit&amp;VAR:KEY=JYLCRSFSNU&amp;VAR:QUERY=RkZfRklOX0FTU0VUU19JTVBBSVIoQU5OX1IsNDA2NDEtMVksLCxSRixHQlAp&amp;WINDOW=FIRST_POPUP&amp;HEIGH","T=450&amp;WIDTH=450&amp;START_MAXIMIZED=FALSE&amp;VAR:CALENDAR=FIVEDAY&amp;VAR:SYMBOL=0&amp;VAR:INDEX=0"}</definedName>
    <definedName name="_1457__FDSAUDITLINK__" localSheetId="34">{"fdsup://directions/FAT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57__FDSAUDITLINK__" localSheetId="27">{"fdsup://directions/FAT Viewer?action=UPDATE&amp;creator=factset&amp;DYN_ARGS=TRUE&amp;DOC_NAME=FAT:FQL_AUDITING_CLIENT_TEMPLATE.FAT&amp;display_string=Audit&amp;VAR:KEY=JSVGBCHITK&amp;VAR:QUERY=RkZfSU1QQUlSX1BQRShBTk5fUiw0MDY0MSwsLFJGLEdCUCk=&amp;WINDOW=FIRST_POPUP&amp;HEIGHT=450&amp;WIDTH=","450&amp;START_MAXIMIZED=FALSE&amp;VAR:CALENDAR=FIVEDAY&amp;VAR:SYMBOL=0&amp;VAR:INDEX=0"}</definedName>
    <definedName name="_1458__FDSAUDITLINK__" localSheetId="34">{"fdsup://directions/FAT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58__FDSAUDITLINK__" localSheetId="27">{"fdsup://directions/FAT Viewer?action=UPDATE&amp;creator=factset&amp;DYN_ARGS=TRUE&amp;DOC_NAME=FAT:FQL_AUDITING_CLIENT_TEMPLATE.FAT&amp;display_string=Audit&amp;VAR:KEY=PGBYNANQVY&amp;VAR:QUERY=RkZfSU1QQUlSX1BQRShBTk5fUiw0MDY0MS0xWSwsLFJGLEdCUCk=&amp;WINDOW=FIRST_POPUP&amp;HEIGHT=450&amp;WI","DTH=450&amp;START_MAXIMIZED=FALSE&amp;VAR:CALENDAR=FIVEDAY&amp;VAR:SYMBOL=0&amp;VAR:INDEX=0"}</definedName>
    <definedName name="_1459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59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60__FDSAUDITLINK__" localSheetId="34">{"fdsup://directions/FAT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60__FDSAUDITLINK__" localSheetId="27">{"fdsup://directions/FAT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61__FDSAUDITLINK__" localSheetId="34">{"fdsup://directions/FAT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61__FDSAUDITLINK__" localSheetId="27">{"fdsup://directions/FAT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462__FDSAUDITLINK__" localSheetId="34">{"fdsup://directions/FAT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2__FDSAUDITLINK__" localSheetId="27">{"fdsup://directions/FAT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3__FDSAUDITLINK__" localSheetId="34">{"fdsup://directions/FAT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3__FDSAUDITLINK__" localSheetId="27">{"fdsup://directions/FAT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4__FDSAUDITLINK__" localSheetId="34">{"fdsup://directions/FAT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4__FDSAUDITLINK__" localSheetId="27">{"fdsup://directions/FAT Viewer?action=UPDATE&amp;creator=factset&amp;DYN_ARGS=TRUE&amp;DOC_NAME=FAT:FQL_AUDITING_CLIENT_TEMPLATE.FAT&amp;display_string=Audit&amp;VAR:KEY=NGDCDYBWTQ&amp;VAR:QUERY=RkZfQVNTRVRTX0NVUlIoQU5OX1IsNDA2NDEtMVksLCxSRiwpLUZGX0NBU0hfU1QoQU5OX1IsNDA2NDEtMVksL","CxSRiwpLUZGX0xJQUJTX0NVUlIoQU5OX1IsNDA2NDEtMVksLCxSRiwpK0ZGX0RFQlRfU1QoQU5OX1IsNDA2NDEtMVksLCxSRiwp&amp;WINDOW=FIRST_POPUP&amp;HEIGHT=450&amp;WIDTH=450&amp;START_MAXIMIZED=FALSE&amp;VAR:CALENDAR=FIVEDAY&amp;VAR:SYMBOL=0&amp;VAR:INDEX=0"}</definedName>
    <definedName name="_1465__FDSAUDITLINK__" localSheetId="34">{"fdsup://directions/FAT Viewer?action=UPDATE&amp;creator=factset&amp;DYN_ARGS=TRUE&amp;DOC_NAME=FAT:FQL_AUDITING_CLIENT_TEMPLATE.FAT&amp;display_string=Audit&amp;VAR:KEY=EVCHKJEPY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amp;VAR:INDEX=0"}</definedName>
    <definedName name="_1465__FDSAUDITLINK__" localSheetId="27">{"fdsup://directions/FAT Viewer?action=UPDATE&amp;creator=factset&amp;DYN_ARGS=TRUE&amp;DOC_NAME=FAT:FQL_AUDITING_CLIENT_TEMPLATE.FAT&amp;display_string=Audit&amp;VAR:KEY=EVCHKJEPY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amp;VAR:INDEX=0"}</definedName>
    <definedName name="_1466__FDSAUDITLINK__" localSheetId="34">{"fdsup://directions/FAT Viewer?action=UPDATE&amp;creator=factset&amp;DYN_ARGS=TRUE&amp;DOC_NAME=FAT:FQL_AUDITING_CLIENT_TEMPLATE.FAT&amp;display_string=Audit&amp;VAR:KEY=ULCRABEDET&amp;VAR:QUERY=RkZfRklOX0FTU0VUU19JTVBBSVIoQU5OX1IsNDA3MTgsLCxSRixHQlAp&amp;WINDOW=FIRST_POPUP&amp;HEIGHT=45","0&amp;WIDTH=450&amp;START_MAXIMIZED=FALSE&amp;VAR:CALENDAR=FIVEDAY&amp;VAR:SYMBOL=0&amp;VAR:INDEX=0"}</definedName>
    <definedName name="_1466__FDSAUDITLINK__" localSheetId="27">{"fdsup://directions/FAT Viewer?action=UPDATE&amp;creator=factset&amp;DYN_ARGS=TRUE&amp;DOC_NAME=FAT:FQL_AUDITING_CLIENT_TEMPLATE.FAT&amp;display_string=Audit&amp;VAR:KEY=ULCRABEDET&amp;VAR:QUERY=RkZfRklOX0FTU0VUU19JTVBBSVIoQU5OX1IsNDA3MTgsLCxSRixHQlAp&amp;WINDOW=FIRST_POPUP&amp;HEIGHT=45","0&amp;WIDTH=450&amp;START_MAXIMIZED=FALSE&amp;VAR:CALENDAR=FIVEDAY&amp;VAR:SYMBOL=0&amp;VAR:INDEX=0"}</definedName>
    <definedName name="_1467__FDSAUDITLINK__" localSheetId="34">{"fdsup://directions/FAT Viewer?action=UPDATE&amp;creator=factset&amp;DYN_ARGS=TRUE&amp;DOC_NAME=FAT:FQL_AUDITING_CLIENT_TEMPLATE.FAT&amp;display_string=Audit&amp;VAR:KEY=QBENOHKXGD&amp;VAR:QUERY=RkZfRklOX0FTU0VUU19JTVBBSVIoQU5OX1IsNDA3MTgtMVksLCxSRixHQlAp&amp;WINDOW=FIRST_POPUP&amp;HEIGH","T=450&amp;WIDTH=450&amp;START_MAXIMIZED=FALSE&amp;VAR:CALENDAR=FIVEDAY&amp;VAR:SYMBOL=0&amp;VAR:INDEX=0"}</definedName>
    <definedName name="_1467__FDSAUDITLINK__" localSheetId="27">{"fdsup://directions/FAT Viewer?action=UPDATE&amp;creator=factset&amp;DYN_ARGS=TRUE&amp;DOC_NAME=FAT:FQL_AUDITING_CLIENT_TEMPLATE.FAT&amp;display_string=Audit&amp;VAR:KEY=QBENOHKXGD&amp;VAR:QUERY=RkZfRklOX0FTU0VUU19JTVBBSVIoQU5OX1IsNDA3MTgtMVksLCxSRixHQlAp&amp;WINDOW=FIRST_POPUP&amp;HEIGH","T=450&amp;WIDTH=450&amp;START_MAXIMIZED=FALSE&amp;VAR:CALENDAR=FIVEDAY&amp;VAR:SYMBOL=0&amp;VAR:INDEX=0"}</definedName>
    <definedName name="_1468__FDSAUDITLINK__" localSheetId="34">{"fdsup://directions/FAT Viewer?action=UPDATE&amp;creator=factset&amp;DYN_ARGS=TRUE&amp;DOC_NAME=FAT:FQL_AUDITING_CLIENT_TEMPLATE.FAT&amp;display_string=Audit&amp;VAR:KEY=SHMNURGZUF&amp;VAR:QUERY=RkZfSU1QQUlSX1BQRShBTk5fUiw0MDcxOCwsLFJGLEdCUCk=&amp;WINDOW=FIRST_POPUP&amp;HEIGHT=450&amp;WIDTH=","450&amp;START_MAXIMIZED=FALSE&amp;VAR:CALENDAR=FIVEDAY&amp;VAR:SYMBOL=0&amp;VAR:INDEX=0"}</definedName>
    <definedName name="_1468__FDSAUDITLINK__" localSheetId="27">{"fdsup://directions/FAT Viewer?action=UPDATE&amp;creator=factset&amp;DYN_ARGS=TRUE&amp;DOC_NAME=FAT:FQL_AUDITING_CLIENT_TEMPLATE.FAT&amp;display_string=Audit&amp;VAR:KEY=SHMNURGZUF&amp;VAR:QUERY=RkZfSU1QQUlSX1BQRShBTk5fUiw0MDcxOCwsLFJGLEdCUCk=&amp;WINDOW=FIRST_POPUP&amp;HEIGHT=450&amp;WIDTH=","450&amp;START_MAXIMIZED=FALSE&amp;VAR:CALENDAR=FIVEDAY&amp;VAR:SYMBOL=0&amp;VAR:INDEX=0"}</definedName>
    <definedName name="_1469__FDSAUDITLINK__" localSheetId="34">{"fdsup://directions/FAT Viewer?action=UPDATE&amp;creator=factset&amp;DYN_ARGS=TRUE&amp;DOC_NAME=FAT:FQL_AUDITING_CLIENT_TEMPLATE.FAT&amp;display_string=Audit&amp;VAR:KEY=GDSHONYHUV&amp;VAR:QUERY=RkZfSU1QQUlSX1BQRShBTk5fUiw0MDcxOC0xWSwsLFJGLEdCUCk=&amp;WINDOW=FIRST_POPUP&amp;HEIGHT=450&amp;WI","DTH=450&amp;START_MAXIMIZED=FALSE&amp;VAR:CALENDAR=FIVEDAY&amp;VAR:SYMBOL=0&amp;VAR:INDEX=0"}</definedName>
    <definedName name="_1469__FDSAUDITLINK__" localSheetId="27">{"fdsup://directions/FAT Viewer?action=UPDATE&amp;creator=factset&amp;DYN_ARGS=TRUE&amp;DOC_NAME=FAT:FQL_AUDITING_CLIENT_TEMPLATE.FAT&amp;display_string=Audit&amp;VAR:KEY=GDSHONYHUV&amp;VAR:QUERY=RkZfSU1QQUlSX1BQRShBTk5fUiw0MDcxOC0xWSwsLFJGLEdCUCk=&amp;WINDOW=FIRST_POPUP&amp;HEIGHT=450&amp;WI","DTH=450&amp;START_MAXIMIZED=FALSE&amp;VAR:CALENDAR=FIVEDAY&amp;VAR:SYMBOL=0&amp;VAR:INDEX=0"}</definedName>
    <definedName name="_1470__FDSAUDITLINK__" localSheetId="34">{"fdsup://directions/FAT Viewer?action=UPDATE&amp;creator=factset&amp;DYN_ARGS=TRUE&amp;DOC_NAME=FAT:FQL_AUDITING_CLIENT_TEMPLATE.FAT&amp;display_string=Audit&amp;VAR:KEY=GHEZWDYRWJ&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0&amp;VAR:INDEX=0"}</definedName>
    <definedName name="_1470__FDSAUDITLINK__" localSheetId="27">{"fdsup://directions/FAT Viewer?action=UPDATE&amp;creator=factset&amp;DYN_ARGS=TRUE&amp;DOC_NAME=FAT:FQL_AUDITING_CLIENT_TEMPLATE.FAT&amp;display_string=Audit&amp;VAR:KEY=GHEZWDYRWJ&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0&amp;VAR:INDEX=0"}</definedName>
    <definedName name="_1471__FDSAUDITLINK__" localSheetId="34">{"fdsup://directions/FAT Viewer?action=UPDATE&amp;creator=factset&amp;DYN_ARGS=TRUE&amp;DOC_NAME=FAT:FQL_AUDITING_CLIENT_TEMPLATE.FAT&amp;display_string=Audit&amp;VAR:KEY=EVCHKJEPY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amp;VAR:INDEX=0"}</definedName>
    <definedName name="_1471__FDSAUDITLINK__" localSheetId="27">{"fdsup://directions/FAT Viewer?action=UPDATE&amp;creator=factset&amp;DYN_ARGS=TRUE&amp;DOC_NAME=FAT:FQL_AUDITING_CLIENT_TEMPLATE.FAT&amp;display_string=Audit&amp;VAR:KEY=EVCHKJEPY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amp;VAR:INDEX=0"}</definedName>
    <definedName name="_1472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72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73__FDSAUDITLINK__" localSheetId="34">{"fdsup://directions/FAT Viewer?action=UPDATE&amp;creator=factset&amp;DYN_ARGS=TRUE&amp;DOC_NAME=FAT:FQL_AUDITING_CLIENT_TEMPLATE.FAT&amp;display_string=Audit&amp;VAR:KEY=QBENOHKXGD&amp;VAR:QUERY=RkZfRklOX0FTU0VUU19JTVBBSVIoQU5OX1IsNDA3MTgtMVksLCxSRixHQlAp&amp;WINDOW=FIRST_POPUP&amp;HEIGH","T=450&amp;WIDTH=450&amp;START_MAXIMIZED=FALSE&amp;VAR:CALENDAR=FIVEDAY&amp;VAR:SYMBOL=0&amp;VAR:INDEX=0"}</definedName>
    <definedName name="_1473__FDSAUDITLINK__" localSheetId="27">{"fdsup://directions/FAT Viewer?action=UPDATE&amp;creator=factset&amp;DYN_ARGS=TRUE&amp;DOC_NAME=FAT:FQL_AUDITING_CLIENT_TEMPLATE.FAT&amp;display_string=Audit&amp;VAR:KEY=QBENOHKXGD&amp;VAR:QUERY=RkZfRklOX0FTU0VUU19JTVBBSVIoQU5OX1IsNDA3MTgtMVksLCxSRixHQlAp&amp;WINDOW=FIRST_POPUP&amp;HEIGH","T=450&amp;WIDTH=450&amp;START_MAXIMIZED=FALSE&amp;VAR:CALENDAR=FIVEDAY&amp;VAR:SYMBOL=0&amp;VAR:INDEX=0"}</definedName>
    <definedName name="_1474__FDSAUDITLINK__" localSheetId="34">{"fdsup://directions/FAT Viewer?action=UPDATE&amp;creator=factset&amp;DYN_ARGS=TRUE&amp;DOC_NAME=FAT:FQL_AUDITING_CLIENT_TEMPLATE.FAT&amp;display_string=Audit&amp;VAR:KEY=SHMNURGZUF&amp;VAR:QUERY=RkZfSU1QQUlSX1BQRShBTk5fUiw0MDcxOCwsLFJGLEdCUCk=&amp;WINDOW=FIRST_POPUP&amp;HEIGHT=450&amp;WIDTH=","450&amp;START_MAXIMIZED=FALSE&amp;VAR:CALENDAR=FIVEDAY&amp;VAR:SYMBOL=0&amp;VAR:INDEX=0"}</definedName>
    <definedName name="_1474__FDSAUDITLINK__" localSheetId="27">{"fdsup://directions/FAT Viewer?action=UPDATE&amp;creator=factset&amp;DYN_ARGS=TRUE&amp;DOC_NAME=FAT:FQL_AUDITING_CLIENT_TEMPLATE.FAT&amp;display_string=Audit&amp;VAR:KEY=SHMNURGZUF&amp;VAR:QUERY=RkZfSU1QQUlSX1BQRShBTk5fUiw0MDcxOCwsLFJGLEdCUCk=&amp;WINDOW=FIRST_POPUP&amp;HEIGHT=450&amp;WIDTH=","450&amp;START_MAXIMIZED=FALSE&amp;VAR:CALENDAR=FIVEDAY&amp;VAR:SYMBOL=0&amp;VAR:INDEX=0"}</definedName>
    <definedName name="_1475__FDSAUDITLINK__" localSheetId="34">{"fdsup://directions/FAT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475__FDSAUDITLINK__" localSheetId="27">{"fdsup://directions/FAT Viewer?action=UPDATE&amp;creator=factset&amp;DYN_ARGS=TRUE&amp;DOC_NAME=FAT:FQL_AUDITING_CLIENT_TEMPLATE.FAT&amp;display_string=Audit&amp;VAR:KEY=LWBSLIHMPY&amp;VAR:QUERY=KEZGX0ZJTl9BU1NFVFNfSU1QQUlSKEFOTl9SLDQwNjQxLCwsUkYsKUBGRl9GSU5fQVNTRVRTX0lNUEFJUihBT","k5fUiwwLCwsUkYsKSk=&amp;WINDOW=FIRST_POPUP&amp;HEIGHT=450&amp;WIDTH=450&amp;START_MAXIMIZED=FALSE&amp;VAR:CALENDAR=FIVEDAY&amp;VAR:SYMBOL=0&amp;VAR:INDEX=0"}</definedName>
    <definedName name="_1476__FDSAUDITLINK__" localSheetId="34">{"fdsup://directions/FAT Viewer?action=UPDATE&amp;creator=factset&amp;DYN_ARGS=TRUE&amp;DOC_NAME=FAT:FQL_AUDITING_CLIENT_TEMPLATE.FAT&amp;display_string=Audit&amp;VAR:KEY=CZSVAHIZSL&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23328Q10&amp;VAR:INDEX=0"}</definedName>
    <definedName name="_1476__FDSAUDITLINK__" localSheetId="27">{"fdsup://directions/FAT Viewer?action=UPDATE&amp;creator=factset&amp;DYN_ARGS=TRUE&amp;DOC_NAME=FAT:FQL_AUDITING_CLIENT_TEMPLATE.FAT&amp;display_string=Audit&amp;VAR:KEY=CZSVAHIZSL&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23328Q10&amp;VAR:INDEX=0"}</definedName>
    <definedName name="_1477__FDSAUDITLINK__" localSheetId="34">{"fdsup://directions/FAT Viewer?action=UPDATE&amp;creator=factset&amp;DYN_ARGS=TRUE&amp;DOC_NAME=FAT:FQL_AUDITING_CLIENT_TEMPLATE.FAT&amp;display_string=Audit&amp;VAR:KEY=MRQHEJEJGZ&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23328Q10&amp;VAR:INDEX=0"}</definedName>
    <definedName name="_1477__FDSAUDITLINK__" localSheetId="27">{"fdsup://directions/FAT Viewer?action=UPDATE&amp;creator=factset&amp;DYN_ARGS=TRUE&amp;DOC_NAME=FAT:FQL_AUDITING_CLIENT_TEMPLATE.FAT&amp;display_string=Audit&amp;VAR:KEY=MRQHEJEJGZ&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23328Q10&amp;VAR:INDEX=0"}</definedName>
    <definedName name="_147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147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1479__FDSAUDITLINK__" localSheetId="34">{"fdsup://directions/FAT Viewer?action=UPDATE&amp;creator=factset&amp;DYN_ARGS=TRUE&amp;DOC_NAME=FAT:FQL_AUDITING_CLIENT_TEMPLATE.FAT&amp;display_string=Audit&amp;VAR:KEY=QNUHGXCBWL&amp;VAR:QUERY=RkZfRklOX0FTU0VUU19JTVBBSVIoQU5OX1IsNDA3MTgtMVksLCxSRixHQlAp&amp;WINDOW=FIRST_POPUP&amp;HEIGH","T=450&amp;WIDTH=450&amp;START_MAXIMIZED=FALSE&amp;VAR:CALENDAR=FIVEDAY&amp;VAR:SYMBOL=23328Q10&amp;VAR:INDEX=0"}</definedName>
    <definedName name="_1479__FDSAUDITLINK__" localSheetId="27">{"fdsup://directions/FAT Viewer?action=UPDATE&amp;creator=factset&amp;DYN_ARGS=TRUE&amp;DOC_NAME=FAT:FQL_AUDITING_CLIENT_TEMPLATE.FAT&amp;display_string=Audit&amp;VAR:KEY=QNUHGXCBWL&amp;VAR:QUERY=RkZfRklOX0FTU0VUU19JTVBBSVIoQU5OX1IsNDA3MTgtMVksLCxSRixHQlAp&amp;WINDOW=FIRST_POPUP&amp;HEIGH","T=450&amp;WIDTH=450&amp;START_MAXIMIZED=FALSE&amp;VAR:CALENDAR=FIVEDAY&amp;VAR:SYMBOL=23328Q10&amp;VAR:INDEX=0"}</definedName>
    <definedName name="_1480__FDSAUDITLINK__" localSheetId="34">{"fdsup://directions/FAT Viewer?action=UPDATE&amp;creator=factset&amp;DYN_ARGS=TRUE&amp;DOC_NAME=FAT:FQL_AUDITING_CLIENT_TEMPLATE.FAT&amp;display_string=Audit&amp;VAR:KEY=OTCTYFYPAP&amp;VAR:QUERY=RkZfSU1QQUlSX1BQRShBTk5fUiw0MDcxOCwsLFJGLEdCUCk=&amp;WINDOW=FIRST_POPUP&amp;HEIGHT=450&amp;WIDTH=","450&amp;START_MAXIMIZED=FALSE&amp;VAR:CALENDAR=FIVEDAY&amp;VAR:SYMBOL=23328Q10&amp;VAR:INDEX=0"}</definedName>
    <definedName name="_1480__FDSAUDITLINK__" localSheetId="27">{"fdsup://directions/FAT Viewer?action=UPDATE&amp;creator=factset&amp;DYN_ARGS=TRUE&amp;DOC_NAME=FAT:FQL_AUDITING_CLIENT_TEMPLATE.FAT&amp;display_string=Audit&amp;VAR:KEY=OTCTYFYPAP&amp;VAR:QUERY=RkZfSU1QQUlSX1BQRShBTk5fUiw0MDcxOCwsLFJGLEdCUCk=&amp;WINDOW=FIRST_POPUP&amp;HEIGHT=450&amp;WIDTH=","450&amp;START_MAXIMIZED=FALSE&amp;VAR:CALENDAR=FIVEDAY&amp;VAR:SYMBOL=23328Q10&amp;VAR:INDEX=0"}</definedName>
    <definedName name="_1481__FDSAUDITLINK__" localSheetId="34">{"fdsup://directions/FAT Viewer?action=UPDATE&amp;creator=factset&amp;DYN_ARGS=TRUE&amp;DOC_NAME=FAT:FQL_AUDITING_CLIENT_TEMPLATE.FAT&amp;display_string=Audit&amp;VAR:KEY=FSBUDAHELS&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046991&amp;VAR:INDEX=0"}</definedName>
    <definedName name="_1481__FDSAUDITLINK__" localSheetId="27">{"fdsup://directions/FAT Viewer?action=UPDATE&amp;creator=factset&amp;DYN_ARGS=TRUE&amp;DOC_NAME=FAT:FQL_AUDITING_CLIENT_TEMPLATE.FAT&amp;display_string=Audit&amp;VAR:KEY=FSBUDAHELS&amp;VAR:QUERY=RkZfQVNTRVRTX0NVUlIoQU5OX1IsNDA2NDEsLCxSRixHQlApLUZGX0NBU0hfU1QoQU5OX1IsNDA2NDEsLCxSR","ixHQlApLUZGX0xJQUJTX0NVUlIoQU5OX1IsNDA2NDEsLCxSRixHQlApK0ZGX0RFQlRfU1QoQU5OX1IsNDA2NDEsLCxSRixHQlAp&amp;WINDOW=FIRST_POPUP&amp;HEIGHT=450&amp;WIDTH=450&amp;START_MAXIMIZED=FALSE&amp;VAR:CALENDAR=FIVEDAY&amp;VAR:SYMBOL=046991&amp;VAR:INDEX=0"}</definedName>
    <definedName name="_1482__FDSAUDITLINK__" localSheetId="34">{"fdsup://directions/FAT Viewer?action=UPDATE&amp;creator=factset&amp;DYN_ARGS=TRUE&amp;DOC_NAME=FAT:FQL_AUDITING_CLIENT_TEMPLATE.FAT&amp;display_string=Audit&amp;VAR:KEY=FKTEZIZMRI&amp;VAR:QUERY=RkZfQVNTRVRTX0NVUlIoQU5OX1IsNDA2NDEsLCxSRiwpLUZGX0NBU0hfU1QoQU5OX1IsNDA2NDEsLCxSRiwpL","UZGX0xJQUJTX0NVUlIoQU5OX1IsNDA2NDEsLCxSRiwpK0ZGX0RFQlRfU1QoQU5OX1IsNDA2NDEsLCxSRiwp&amp;WINDOW=FIRST_POPUP&amp;HEIGHT=450&amp;WIDTH=450&amp;START_MAXIMIZED=FALSE&amp;VAR:CALENDAR=FIVEDAY&amp;VAR:SYMBOL=047715&amp;VAR:INDEX=0"}</definedName>
    <definedName name="_1482__FDSAUDITLINK__" localSheetId="27">{"fdsup://directions/FAT Viewer?action=UPDATE&amp;creator=factset&amp;DYN_ARGS=TRUE&amp;DOC_NAME=FAT:FQL_AUDITING_CLIENT_TEMPLATE.FAT&amp;display_string=Audit&amp;VAR:KEY=FKTEZIZMRI&amp;VAR:QUERY=RkZfQVNTRVRTX0NVUlIoQU5OX1IsNDA2NDEsLCxSRiwpLUZGX0NBU0hfU1QoQU5OX1IsNDA2NDEsLCxSRiwpL","UZGX0xJQUJTX0NVUlIoQU5OX1IsNDA2NDEsLCxSRiwpK0ZGX0RFQlRfU1QoQU5OX1IsNDA2NDEsLCxSRiwp&amp;WINDOW=FIRST_POPUP&amp;HEIGHT=450&amp;WIDTH=450&amp;START_MAXIMIZED=FALSE&amp;VAR:CALENDAR=FIVEDAY&amp;VAR:SYMBOL=047715&amp;VAR:INDEX=0"}</definedName>
    <definedName name="_1483__FDSAUDITLINK__" localSheetId="34">{"fdsup://directions/FAT Viewer?action=UPDATE&amp;creator=factset&amp;DYN_ARGS=TRUE&amp;DOC_NAME=FAT:FQL_AUDITING_CLIENT_TEMPLATE.FAT&amp;display_string=Audit&amp;VAR:KEY=ALUVKJERO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36191G10&amp;VAR:INDEX=0"}</definedName>
    <definedName name="_1483__FDSAUDITLINK__" localSheetId="27">{"fdsup://directions/FAT Viewer?action=UPDATE&amp;creator=factset&amp;DYN_ARGS=TRUE&amp;DOC_NAME=FAT:FQL_AUDITING_CLIENT_TEMPLATE.FAT&amp;display_string=Audit&amp;VAR:KEY=ALUVKJEROF&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36191G10&amp;VAR:INDEX=0"}</definedName>
    <definedName name="_1484__FDSAUDITLINK__" localSheetId="34">{"fdsup://directions/FAT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484__FDSAUDITLINK__" localSheetId="27">{"fdsup://directions/FAT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485__FDSAUDITLINK__" localSheetId="34">{"fdsup://directions/FAT Viewer?action=UPDATE&amp;creator=factset&amp;DYN_ARGS=TRUE&amp;DOC_NAME=FAT:FQL_AUDITING_CLIENT_TEMPLATE.FAT&amp;display_string=Audit&amp;VAR:KEY=SVAVYTEDWF&amp;VAR:QUERY=RkZfRklOX0FTU0VUU19JTVBBSVIoQU5OX1IsNDA3MTgtMVksLCxSRixHQlAp&amp;WINDOW=FIRST_POPUP&amp;HEIGH","T=450&amp;WIDTH=450&amp;START_MAXIMIZED=FALSE&amp;VAR:CALENDAR=FIVEDAY&amp;VAR:SYMBOL=36191G10&amp;VAR:INDEX=0"}</definedName>
    <definedName name="_1485__FDSAUDITLINK__" localSheetId="27">{"fdsup://directions/FAT Viewer?action=UPDATE&amp;creator=factset&amp;DYN_ARGS=TRUE&amp;DOC_NAME=FAT:FQL_AUDITING_CLIENT_TEMPLATE.FAT&amp;display_string=Audit&amp;VAR:KEY=SVAVYTEDWF&amp;VAR:QUERY=RkZfRklOX0FTU0VUU19JTVBBSVIoQU5OX1IsNDA3MTgtMVksLCxSRixHQlAp&amp;WINDOW=FIRST_POPUP&amp;HEIGH","T=450&amp;WIDTH=450&amp;START_MAXIMIZED=FALSE&amp;VAR:CALENDAR=FIVEDAY&amp;VAR:SYMBOL=36191G10&amp;VAR:INDEX=0"}</definedName>
    <definedName name="_1486__FDSAUDITLINK__" localSheetId="34">{"fdsup://directions/FAT Viewer?action=UPDATE&amp;creator=factset&amp;DYN_ARGS=TRUE&amp;DOC_NAME=FAT:FQL_AUDITING_CLIENT_TEMPLATE.FAT&amp;display_string=Audit&amp;VAR:KEY=GLAHCXOFSL&amp;VAR:QUERY=RkZfSU1QQUlSX1BQRShBTk5fUiw0MDcxOCwsLFJGLEdCUCk=&amp;WINDOW=FIRST_POPUP&amp;HEIGHT=450&amp;WIDTH=","450&amp;START_MAXIMIZED=FALSE&amp;VAR:CALENDAR=FIVEDAY&amp;VAR:SYMBOL=36191G10&amp;VAR:INDEX=0"}</definedName>
    <definedName name="_1486__FDSAUDITLINK__" localSheetId="27">{"fdsup://directions/FAT Viewer?action=UPDATE&amp;creator=factset&amp;DYN_ARGS=TRUE&amp;DOC_NAME=FAT:FQL_AUDITING_CLIENT_TEMPLATE.FAT&amp;display_string=Audit&amp;VAR:KEY=GLAHCXOFSL&amp;VAR:QUERY=RkZfSU1QQUlSX1BQRShBTk5fUiw0MDcxOCwsLFJGLEdCUCk=&amp;WINDOW=FIRST_POPUP&amp;HEIGHT=450&amp;WIDTH=","450&amp;START_MAXIMIZED=FALSE&amp;VAR:CALENDAR=FIVEDAY&amp;VAR:SYMBOL=36191G10&amp;VAR:INDEX=0"}</definedName>
    <definedName name="_1487__FDSAUDITLINK__" localSheetId="34">{"fdsup://directions/FAT Viewer?action=UPDATE&amp;creator=factset&amp;DYN_ARGS=TRUE&amp;DOC_NAME=FAT:FQL_AUDITING_CLIENT_TEMPLATE.FAT&amp;display_string=Audit&amp;VAR:KEY=WFUDKNSZMT&amp;VAR:QUERY=RkZfSU1QQUlSX1BQRShBTk5fUiw0MDcxOC0xWSwsLFJGLEdCUCk=&amp;WINDOW=FIRST_POPUP&amp;HEIGHT=450&amp;WI","DTH=450&amp;START_MAXIMIZED=FALSE&amp;VAR:CALENDAR=FIVEDAY&amp;VAR:SYMBOL=36191G10&amp;VAR:INDEX=0"}</definedName>
    <definedName name="_1487__FDSAUDITLINK__" localSheetId="27">{"fdsup://directions/FAT Viewer?action=UPDATE&amp;creator=factset&amp;DYN_ARGS=TRUE&amp;DOC_NAME=FAT:FQL_AUDITING_CLIENT_TEMPLATE.FAT&amp;display_string=Audit&amp;VAR:KEY=WFUDKNSZMT&amp;VAR:QUERY=RkZfSU1QQUlSX1BQRShBTk5fUiw0MDcxOC0xWSwsLFJGLEdCUCk=&amp;WINDOW=FIRST_POPUP&amp;HEIGHT=450&amp;WI","DTH=450&amp;START_MAXIMIZED=FALSE&amp;VAR:CALENDAR=FIVEDAY&amp;VAR:SYMBOL=36191G10&amp;VAR:INDEX=0"}</definedName>
    <definedName name="_1488__FDSAUDITLINK__" localSheetId="34">{"fdsup://directions/FAT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488__FDSAUDITLINK__" localSheetId="27">{"fdsup://directions/FAT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489__FDSAUDITLINK__" localSheetId="34">{"fdsup://directions/FAT Viewer?action=UPDATE&amp;creator=factset&amp;DYN_ARGS=TRUE&amp;DOC_NAME=FAT:FQL_AUDITING_CLIENT_TEMPLATE.FAT&amp;display_string=Audit&amp;VAR:KEY=CRUZUVCRYH&amp;VAR:QUERY=RkZfQVNTRVRTX0NVUlIoQU5OX1IsNDA2OTAsLCxSRixHQlApLUZGX0NBU0hfU1QoQU5OX1IsNDA2OTAsLCxSR","ixHQlApLUZGX0xJQUJTX0NVUlIoQU5OX1IsNDA2OTAsLCxSRixHQlApK0ZGX0RFQlRfU1QoQU5OX1IsNDA2OTAsLCxSRixHQlAp&amp;WINDOW=FIRST_POPUP&amp;HEIGHT=450&amp;WIDTH=450&amp;START_MAXIMIZED=FALSE&amp;VAR:CALENDAR=FIVEDAY&amp;VAR:SYMBOL=80669310&amp;VAR:INDEX=0"}</definedName>
    <definedName name="_1489__FDSAUDITLINK__" localSheetId="27">{"fdsup://directions/FAT Viewer?action=UPDATE&amp;creator=factset&amp;DYN_ARGS=TRUE&amp;DOC_NAME=FAT:FQL_AUDITING_CLIENT_TEMPLATE.FAT&amp;display_string=Audit&amp;VAR:KEY=CRUZUVCRYH&amp;VAR:QUERY=RkZfQVNTRVRTX0NVUlIoQU5OX1IsNDA2OTAsLCxSRixHQlApLUZGX0NBU0hfU1QoQU5OX1IsNDA2OTAsLCxSR","ixHQlApLUZGX0xJQUJTX0NVUlIoQU5OX1IsNDA2OTAsLCxSRixHQlApK0ZGX0RFQlRfU1QoQU5OX1IsNDA2OTAsLCxSRixHQlAp&amp;WINDOW=FIRST_POPUP&amp;HEIGHT=450&amp;WIDTH=450&amp;START_MAXIMIZED=FALSE&amp;VAR:CALENDAR=FIVEDAY&amp;VAR:SYMBOL=80669310&amp;VAR:INDEX=0"}</definedName>
    <definedName name="_1490__FDSAUDITLINK__" localSheetId="34">{"fdsup://directions/FAT Viewer?action=UPDATE&amp;creator=factset&amp;DYN_ARGS=TRUE&amp;DOC_NAME=FAT:FQL_AUDITING_CLIENT_TEMPLATE.FAT&amp;display_string=Audit&amp;VAR:KEY=KNQVYHYTQJ&amp;VAR:QUERY=RkZfQVNTRVRTX0NVUlIoQU5OX1IsNDA2OTAtMVksLCxSRixHQlApLUZGX0NBU0hfU1QoQU5OX1IsNDA2OTAtM","VksLCxSRixHQlApLUZGX0xJQUJTX0NVUlIoQU5OX1IsNDA2OTAtMVksLCxSRixHQlApK0ZGX0RFQlRfU1QoQU5OX1IsNDA2OTAtMVksLCxSRixHQlAp&amp;WINDOW=FIRST_POPUP&amp;HEIGHT=450&amp;WIDTH=450&amp;START_MAXIMIZED=FALSE&amp;VAR:CALENDAR=FIVEDAY&amp;VAR:SYMBOL=80669310&amp;VAR:INDEX=0"}</definedName>
    <definedName name="_1490__FDSAUDITLINK__" localSheetId="27">{"fdsup://directions/FAT Viewer?action=UPDATE&amp;creator=factset&amp;DYN_ARGS=TRUE&amp;DOC_NAME=FAT:FQL_AUDITING_CLIENT_TEMPLATE.FAT&amp;display_string=Audit&amp;VAR:KEY=KNQVYHYTQJ&amp;VAR:QUERY=RkZfQVNTRVRTX0NVUlIoQU5OX1IsNDA2OTAtMVksLCxSRixHQlApLUZGX0NBU0hfU1QoQU5OX1IsNDA2OTAtM","VksLCxSRixHQlApLUZGX0xJQUJTX0NVUlIoQU5OX1IsNDA2OTAtMVksLCxSRixHQlApK0ZGX0RFQlRfU1QoQU5OX1IsNDA2OTAtMVksLCxSRixHQlAp&amp;WINDOW=FIRST_POPUP&amp;HEIGHT=450&amp;WIDTH=450&amp;START_MAXIMIZED=FALSE&amp;VAR:CALENDAR=FIVEDAY&amp;VAR:SYMBOL=80669310&amp;VAR:INDEX=0"}</definedName>
    <definedName name="_1491__FDSAUDITLINK__" localSheetId="34">{"fdsup://directions/FAT Viewer?action=UPDATE&amp;creator=factset&amp;DYN_ARGS=TRUE&amp;DOC_NAME=FAT:FQL_AUDITING_CLIENT_TEMPLATE.FAT&amp;display_string=Audit&amp;VAR:KEY=SXKHWHGXGB&amp;VAR:QUERY=RkZfRklOX0FTU0VUU19JTVBBSVIoQU5OX1IsNDA2OTAsLCxSRixHQlAp&amp;WINDOW=FIRST_POPUP&amp;HEIGHT=45","0&amp;WIDTH=450&amp;START_MAXIMIZED=FALSE&amp;VAR:CALENDAR=FIVEDAY&amp;VAR:SYMBOL=80669310&amp;VAR:INDEX=0"}</definedName>
    <definedName name="_1491__FDSAUDITLINK__" localSheetId="27">{"fdsup://directions/FAT Viewer?action=UPDATE&amp;creator=factset&amp;DYN_ARGS=TRUE&amp;DOC_NAME=FAT:FQL_AUDITING_CLIENT_TEMPLATE.FAT&amp;display_string=Audit&amp;VAR:KEY=SXKHWHGXGB&amp;VAR:QUERY=RkZfRklOX0FTU0VUU19JTVBBSVIoQU5OX1IsNDA2OTAsLCxSRixHQlAp&amp;WINDOW=FIRST_POPUP&amp;HEIGHT=45","0&amp;WIDTH=450&amp;START_MAXIMIZED=FALSE&amp;VAR:CALENDAR=FIVEDAY&amp;VAR:SYMBOL=80669310&amp;VAR:INDEX=0"}</definedName>
    <definedName name="_1492__FDSAUDITLINK__" localSheetId="34">{"fdsup://directions/FAT Viewer?action=UPDATE&amp;creator=factset&amp;DYN_ARGS=TRUE&amp;DOC_NAME=FAT:FQL_AUDITING_CLIENT_TEMPLATE.FAT&amp;display_string=Audit&amp;VAR:KEY=IPSLIXMRAJ&amp;VAR:QUERY=RkZfRklOX0FTU0VUU19JTVBBSVIoQU5OX1IsNDA2OTAtMVksLCxSRixHQlAp&amp;WINDOW=FIRST_POPUP&amp;HEIGH","T=450&amp;WIDTH=450&amp;START_MAXIMIZED=FALSE&amp;VAR:CALENDAR=FIVEDAY&amp;VAR:SYMBOL=80669310&amp;VAR:INDEX=0"}</definedName>
    <definedName name="_1492__FDSAUDITLINK__" localSheetId="27">{"fdsup://directions/FAT Viewer?action=UPDATE&amp;creator=factset&amp;DYN_ARGS=TRUE&amp;DOC_NAME=FAT:FQL_AUDITING_CLIENT_TEMPLATE.FAT&amp;display_string=Audit&amp;VAR:KEY=IPSLIXMRAJ&amp;VAR:QUERY=RkZfRklOX0FTU0VUU19JTVBBSVIoQU5OX1IsNDA2OTAtMVksLCxSRixHQlAp&amp;WINDOW=FIRST_POPUP&amp;HEIGH","T=450&amp;WIDTH=450&amp;START_MAXIMIZED=FALSE&amp;VAR:CALENDAR=FIVEDAY&amp;VAR:SYMBOL=80669310&amp;VAR:INDEX=0"}</definedName>
    <definedName name="_1493__FDSAUDITLINK__" localSheetId="34">{"fdsup://Directions/FactSet Auditing Viewer?action=AUDIT_VALUE&amp;DB=129&amp;ID1=312748&amp;VALUEID=03101&amp;SDATE=2009&amp;PERIODTYPE=ANNR_STD&amp;window=popup_no_bar&amp;width=385&amp;height=120&amp;START_MAXIMIZED=FALSE&amp;creator=factset&amp;display_string=Audit"}</definedName>
    <definedName name="_1493__FDSAUDITLINK__" localSheetId="27">{"fdsup://Directions/FactSet Auditing Viewer?action=AUDIT_VALUE&amp;DB=129&amp;ID1=312748&amp;VALUEID=03101&amp;SDATE=2009&amp;PERIODTYPE=ANNR_STD&amp;window=popup_no_bar&amp;width=385&amp;height=120&amp;START_MAXIMIZED=FALSE&amp;creator=factset&amp;display_string=Audit"}</definedName>
    <definedName name="_1494__FDSAUDITLINK__" localSheetId="34">{"fdsup://Directions/FactSet Auditing Viewer?action=AUDIT_VALUE&amp;DB=129&amp;ID1=320898&amp;VALUEID=02201&amp;SDATE=2009&amp;PERIODTYPE=ANNR_STD&amp;window=popup_no_bar&amp;width=385&amp;height=120&amp;START_MAXIMIZED=FALSE&amp;creator=factset&amp;display_string=Audit"}</definedName>
    <definedName name="_1494__FDSAUDITLINK__" localSheetId="27">{"fdsup://Directions/FactSet Auditing Viewer?action=AUDIT_VALUE&amp;DB=129&amp;ID1=320898&amp;VALUEID=02201&amp;SDATE=2009&amp;PERIODTYPE=ANNR_STD&amp;window=popup_no_bar&amp;width=385&amp;height=120&amp;START_MAXIMIZED=FALSE&amp;creator=factset&amp;display_string=Audit"}</definedName>
    <definedName name="_1495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95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496__FDSAUDITLINK__" localSheetId="34">{"fdsup://directions/FAT Viewer?action=UPDATE&amp;creator=factset&amp;DYN_ARGS=TRUE&amp;DOC_NAME=FAT:FQL_AUDITING_CLIENT_TEMPLATE.FAT&amp;display_string=Audit&amp;VAR:KEY=HUBEZUXEP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047715&amp;VAR:INDEX=0"}</definedName>
    <definedName name="_1496__FDSAUDITLINK__" localSheetId="27">{"fdsup://directions/FAT Viewer?action=UPDATE&amp;creator=factset&amp;DYN_ARGS=TRUE&amp;DOC_NAME=FAT:FQL_AUDITING_CLIENT_TEMPLATE.FAT&amp;display_string=Audit&amp;VAR:KEY=HUBEZUXEP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047715&amp;VAR:INDEX=0"}</definedName>
    <definedName name="_1497__FDSAUDITLINK__" localSheetId="34">{"fdsup://directions/FAT Viewer?action=UPDATE&amp;creator=factset&amp;DYN_ARGS=TRUE&amp;DOC_NAME=FAT:FQL_AUDITING_CLIENT_TEMPLATE.FAT&amp;display_string=Audit&amp;VAR:KEY=ULEVANYPOZ&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92847A20&amp;VAR:INDEX=0"}</definedName>
    <definedName name="_1497__FDSAUDITLINK__" localSheetId="27">{"fdsup://directions/FAT Viewer?action=UPDATE&amp;creator=factset&amp;DYN_ARGS=TRUE&amp;DOC_NAME=FAT:FQL_AUDITING_CLIENT_TEMPLATE.FAT&amp;display_string=Audit&amp;VAR:KEY=ULEVANYPOZ&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92847A20&amp;VAR:INDEX=0"}</definedName>
    <definedName name="_1498__FDSAUDITLINK__" localSheetId="34">{"fdsup://directions/FAT Viewer?action=UPDATE&amp;creator=factset&amp;DYN_ARGS=TRUE&amp;DOC_NAME=FAT:FQL_AUDITING_CLIENT_TEMPLATE.FAT&amp;display_string=Audit&amp;VAR:KEY=MHEHKLGTWN&amp;VAR:QUERY=RkZfRklOX0FTU0VUU19JTVBBSVIoQU5OX1IsNDA3MTgsLCxSRixHQlAp&amp;WINDOW=FIRST_POPUP&amp;HEIGHT=45","0&amp;WIDTH=450&amp;START_MAXIMIZED=FALSE&amp;VAR:CALENDAR=FIVEDAY&amp;VAR:SYMBOL=92847A20&amp;VAR:INDEX=0"}</definedName>
    <definedName name="_1498__FDSAUDITLINK__" localSheetId="27">{"fdsup://directions/FAT Viewer?action=UPDATE&amp;creator=factset&amp;DYN_ARGS=TRUE&amp;DOC_NAME=FAT:FQL_AUDITING_CLIENT_TEMPLATE.FAT&amp;display_string=Audit&amp;VAR:KEY=MHEHKLGTWN&amp;VAR:QUERY=RkZfRklOX0FTU0VUU19JTVBBSVIoQU5OX1IsNDA3MTgsLCxSRixHQlAp&amp;WINDOW=FIRST_POPUP&amp;HEIGHT=45","0&amp;WIDTH=450&amp;START_MAXIMIZED=FALSE&amp;VAR:CALENDAR=FIVEDAY&amp;VAR:SYMBOL=92847A20&amp;VAR:INDEX=0"}</definedName>
    <definedName name="_1499__FDSAUDITLINK__" localSheetId="34">{"fdsup://directions/FAT Viewer?action=UPDATE&amp;creator=factset&amp;DYN_ARGS=TRUE&amp;DOC_NAME=FAT:FQL_AUDITING_CLIENT_TEMPLATE.FAT&amp;display_string=Audit&amp;VAR:KEY=GZCLINEPMF&amp;VAR:QUERY=RkZfRklOX0FTU0VUU19JTVBBSVIoQU5OX1IsNDA3MTgtMVksLCxSRixHQlAp&amp;WINDOW=FIRST_POPUP&amp;HEIGH","T=450&amp;WIDTH=450&amp;START_MAXIMIZED=FALSE&amp;VAR:CALENDAR=FIVEDAY&amp;VAR:SYMBOL=92847A20&amp;VAR:INDEX=0"}</definedName>
    <definedName name="_1499__FDSAUDITLINK__" localSheetId="27">{"fdsup://directions/FAT Viewer?action=UPDATE&amp;creator=factset&amp;DYN_ARGS=TRUE&amp;DOC_NAME=FAT:FQL_AUDITING_CLIENT_TEMPLATE.FAT&amp;display_string=Audit&amp;VAR:KEY=GZCLINEPMF&amp;VAR:QUERY=RkZfRklOX0FTU0VUU19JTVBBSVIoQU5OX1IsNDA3MTgtMVksLCxSRixHQlAp&amp;WINDOW=FIRST_POPUP&amp;HEIGH","T=450&amp;WIDTH=450&amp;START_MAXIMIZED=FALSE&amp;VAR:CALENDAR=FIVEDAY&amp;VAR:SYMBOL=92847A20&amp;VAR:INDEX=0"}</definedName>
    <definedName name="_1500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00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01__FDSAUDITLINK__" localSheetId="34">{"fdsup://Directions/FactSet Auditing Viewer?action=AUDIT_VALUE&amp;DB=129&amp;ID1=010486&amp;VALUEID=02201&amp;SDATE=2009&amp;PERIODTYPE=ANNR_STD&amp;window=popup_no_bar&amp;width=385&amp;height=120&amp;START_MAXIMIZED=FALSE&amp;creator=factset&amp;display_string=Audit"}</definedName>
    <definedName name="_1501__FDSAUDITLINK__" localSheetId="27">{"fdsup://Directions/FactSet Auditing Viewer?action=AUDIT_VALUE&amp;DB=129&amp;ID1=010486&amp;VALUEID=02201&amp;SDATE=2009&amp;PERIODTYPE=ANNR_STD&amp;window=popup_no_bar&amp;width=385&amp;height=120&amp;START_MAXIMIZED=FALSE&amp;creator=factset&amp;display_string=Audit"}</definedName>
    <definedName name="_1502__FDSAUDITLINK__" localSheetId="34">{"fdsup://directions/FAT Viewer?action=UPDATE&amp;creator=factset&amp;DYN_ARGS=TRUE&amp;DOC_NAME=FAT:FQL_AUDITING_CLIENT_TEMPLATE.FAT&amp;display_string=Audit&amp;VAR:KEY=ABYFINKVEJ&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67060Y10&amp;VAR:INDEX=0"}</definedName>
    <definedName name="_1502__FDSAUDITLINK__" localSheetId="27">{"fdsup://directions/FAT Viewer?action=UPDATE&amp;creator=factset&amp;DYN_ARGS=TRUE&amp;DOC_NAME=FAT:FQL_AUDITING_CLIENT_TEMPLATE.FAT&amp;display_string=Audit&amp;VAR:KEY=ABYFINKVEJ&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67060Y10&amp;VAR:INDEX=0"}</definedName>
    <definedName name="_1503__FDSAUDITLINK__" localSheetId="34">{"fdsup://Directions/FactSet Auditing Viewer?action=AUDIT_VALUE&amp;DB=129&amp;ID1=320898&amp;VALUEID=03051&amp;SDATE=2009&amp;PERIODTYPE=ANNR_STD&amp;window=popup_no_bar&amp;width=385&amp;height=120&amp;START_MAXIMIZED=FALSE&amp;creator=factset&amp;display_string=Audit"}</definedName>
    <definedName name="_1503__FDSAUDITLINK__" localSheetId="27">{"fdsup://Directions/FactSet Auditing Viewer?action=AUDIT_VALUE&amp;DB=129&amp;ID1=320898&amp;VALUEID=03051&amp;SDATE=2009&amp;PERIODTYPE=ANNR_STD&amp;window=popup_no_bar&amp;width=385&amp;height=120&amp;START_MAXIMIZED=FALSE&amp;creator=factset&amp;display_string=Audit"}</definedName>
    <definedName name="_1504__FDSAUDITLINK__" localSheetId="34">{"fdsup://directions/FAT Viewer?action=UPDATE&amp;creator=factset&amp;DYN_ARGS=TRUE&amp;DOC_NAME=FAT:FQL_AUDITING_CLIENT_TEMPLATE.FAT&amp;display_string=Audit&amp;VAR:KEY=MVIVCHAJIB&amp;VAR:QUERY=RkZfRklOX0FTU0VUU19JTVBBSVIoQU5OX1IsNDA3MTgsLCxSRixHQlAp&amp;WINDOW=FIRST_POPUP&amp;HEIGHT=45","0&amp;WIDTH=450&amp;START_MAXIMIZED=FALSE&amp;VAR:CALENDAR=FIVEDAY&amp;VAR:SYMBOL=67060Y10&amp;VAR:INDEX=0"}</definedName>
    <definedName name="_1504__FDSAUDITLINK__" localSheetId="27">{"fdsup://directions/FAT Viewer?action=UPDATE&amp;creator=factset&amp;DYN_ARGS=TRUE&amp;DOC_NAME=FAT:FQL_AUDITING_CLIENT_TEMPLATE.FAT&amp;display_string=Audit&amp;VAR:KEY=MVIVCHAJIB&amp;VAR:QUERY=RkZfRklOX0FTU0VUU19JTVBBSVIoQU5OX1IsNDA3MTgsLCxSRixHQlAp&amp;WINDOW=FIRST_POPUP&amp;HEIGHT=45","0&amp;WIDTH=450&amp;START_MAXIMIZED=FALSE&amp;VAR:CALENDAR=FIVEDAY&amp;VAR:SYMBOL=67060Y10&amp;VAR:INDEX=0"}</definedName>
    <definedName name="_1505__FDSAUDITLINK__" localSheetId="34">{"fdsup://Directions/FactSet Auditing Viewer?action=AUDIT_VALUE&amp;DB=129&amp;ID1=010486&amp;VALUEID=02001&amp;SDATE=2009&amp;PERIODTYPE=ANNR_STD&amp;window=popup_no_bar&amp;width=385&amp;height=120&amp;START_MAXIMIZED=FALSE&amp;creator=factset&amp;display_string=Audit"}</definedName>
    <definedName name="_1505__FDSAUDITLINK__" localSheetId="27">{"fdsup://Directions/FactSet Auditing Viewer?action=AUDIT_VALUE&amp;DB=129&amp;ID1=010486&amp;VALUEID=02001&amp;SDATE=2009&amp;PERIODTYPE=ANNR_STD&amp;window=popup_no_bar&amp;width=385&amp;height=120&amp;START_MAXIMIZED=FALSE&amp;creator=factset&amp;display_string=Audit"}</definedName>
    <definedName name="_1506__FDSAUDITLINK__" localSheetId="34">{"fdsup://directions/FAT Viewer?action=UPDATE&amp;creator=factset&amp;DYN_ARGS=TRUE&amp;DOC_NAME=FAT:FQL_AUDITING_CLIENT_TEMPLATE.FAT&amp;display_string=Audit&amp;VAR:KEY=ZIXODOZIZE&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312748&amp;VAR:INDEX=0"}</definedName>
    <definedName name="_1506__FDSAUDITLINK__" localSheetId="27">{"fdsup://directions/FAT Viewer?action=UPDATE&amp;creator=factset&amp;DYN_ARGS=TRUE&amp;DOC_NAME=FAT:FQL_AUDITING_CLIENT_TEMPLATE.FAT&amp;display_string=Audit&amp;VAR:KEY=ZIXODOZIZE&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312748&amp;VAR:INDEX=0"}</definedName>
    <definedName name="_1507__FDSAUDITLINK__" localSheetId="34">{"fdsup://directions/FAT Viewer?action=UPDATE&amp;creator=factset&amp;DYN_ARGS=TRUE&amp;DOC_NAME=FAT:FQL_AUDITING_CLIENT_TEMPLATE.FAT&amp;display_string=Audit&amp;VAR:KEY=OPMLARQRKP&amp;VAR:QUERY=RkZfSU1QQUlSX1BQRShBTk5fUiw0MDcxOCwsLFJGLEdCUCk=&amp;WINDOW=FIRST_POPUP&amp;HEIGHT=450&amp;WIDTH=","450&amp;START_MAXIMIZED=FALSE&amp;VAR:CALENDAR=FIVEDAY&amp;VAR:SYMBOL=67060Y10&amp;VAR:INDEX=0"}</definedName>
    <definedName name="_1507__FDSAUDITLINK__" localSheetId="27">{"fdsup://directions/FAT Viewer?action=UPDATE&amp;creator=factset&amp;DYN_ARGS=TRUE&amp;DOC_NAME=FAT:FQL_AUDITING_CLIENT_TEMPLATE.FAT&amp;display_string=Audit&amp;VAR:KEY=OPMLARQRKP&amp;VAR:QUERY=RkZfSU1QQUlSX1BQRShBTk5fUiw0MDcxOCwsLFJGLEdCUCk=&amp;WINDOW=FIRST_POPUP&amp;HEIGHT=450&amp;WIDTH=","450&amp;START_MAXIMIZED=FALSE&amp;VAR:CALENDAR=FIVEDAY&amp;VAR:SYMBOL=67060Y10&amp;VAR:INDEX=0"}</definedName>
    <definedName name="_1508__FDSAUDITLINK__" localSheetId="34">{"fdsup://directions/FAT Viewer?action=UPDATE&amp;creator=factset&amp;DYN_ARGS=TRUE&amp;DOC_NAME=FAT:FQL_AUDITING_CLIENT_TEMPLATE.FAT&amp;display_string=Audit&amp;VAR:KEY=XULEPQLATQ&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312748&amp;VAR:INDEX=0"}</definedName>
    <definedName name="_1508__FDSAUDITLINK__" localSheetId="27">{"fdsup://directions/FAT Viewer?action=UPDATE&amp;creator=factset&amp;DYN_ARGS=TRUE&amp;DOC_NAME=FAT:FQL_AUDITING_CLIENT_TEMPLATE.FAT&amp;display_string=Audit&amp;VAR:KEY=XULEPQLATQ&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312748&amp;VAR:INDEX=0"}</definedName>
    <definedName name="_1509__FDSAUDITLINK__" localSheetId="34">{"fdsup://Directions/FactSet Auditing Viewer?action=AUDIT_VALUE&amp;DB=129&amp;ID1=010486&amp;VALUEID=02001&amp;SDATE=201002&amp;PERIODTYPE=SEMI_STD&amp;window=popup_no_bar&amp;width=385&amp;height=120&amp;START_MAXIMIZED=FALSE&amp;creator=factset&amp;display_string=Audit"}</definedName>
    <definedName name="_1509__FDSAUDITLINK__" localSheetId="27">{"fdsup://Directions/FactSet Auditing Viewer?action=AUDIT_VALUE&amp;DB=129&amp;ID1=010486&amp;VALUEID=02001&amp;SDATE=201002&amp;PERIODTYPE=SEMI_STD&amp;window=popup_no_bar&amp;width=385&amp;height=120&amp;START_MAXIMIZED=FALSE&amp;creator=factset&amp;display_string=Audit"}</definedName>
    <definedName name="_1510__FDSAUDITLINK__" localSheetId="34">{"fdsup://Directions/FactSet Auditing Viewer?action=AUDIT_VALUE&amp;DB=129&amp;ID1=67060Y10&amp;VALUEID=04050&amp;SDATE=2009&amp;PERIODTYPE=ANNR_STD&amp;SCFT=3&amp;window=popup_no_bar&amp;width=385&amp;height=120&amp;START_MAXIMIZED=FALSE&amp;creator=factset&amp;display_string=Audit"}</definedName>
    <definedName name="_1510__FDSAUDITLINK__" localSheetId="27">{"fdsup://Directions/FactSet Auditing Viewer?action=AUDIT_VALUE&amp;DB=129&amp;ID1=67060Y10&amp;VALUEID=04050&amp;SDATE=2009&amp;PERIODTYPE=ANNR_STD&amp;SCFT=3&amp;window=popup_no_bar&amp;width=385&amp;height=120&amp;START_MAXIMIZED=FALSE&amp;creator=factset&amp;display_string=Audit"}</definedName>
    <definedName name="_1511__FDSAUDITLINK__" localSheetId="34">{"fdsup://directions/FAT Viewer?action=UPDATE&amp;creator=factset&amp;DYN_ARGS=TRUE&amp;DOC_NAME=FAT:FQL_AUDITING_CLIENT_TEMPLATE.FAT&amp;display_string=Audit&amp;VAR:KEY=PWFQVQFIFG&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320898&amp;VAR:INDEX=0"}</definedName>
    <definedName name="_1511__FDSAUDITLINK__" localSheetId="27">{"fdsup://directions/FAT Viewer?action=UPDATE&amp;creator=factset&amp;DYN_ARGS=TRUE&amp;DOC_NAME=FAT:FQL_AUDITING_CLIENT_TEMPLATE.FAT&amp;display_string=Audit&amp;VAR:KEY=PWFQVQFIFG&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320898&amp;VAR:INDEX=0"}</definedName>
    <definedName name="_1512__FDSAUDITLINK__" localSheetId="34">{"fdsup://Directions/FactSet Auditing Viewer?action=AUDIT_VALUE&amp;DB=129&amp;ID1=67060Y10&amp;VALUEID=04601&amp;SDATE=2009&amp;PERIODTYPE=ANNR_STD&amp;SCFT=3&amp;window=popup_no_bar&amp;width=385&amp;height=120&amp;START_MAXIMIZED=FALSE&amp;creator=factset&amp;display_string=Audit"}</definedName>
    <definedName name="_1512__FDSAUDITLINK__" localSheetId="27">{"fdsup://Directions/FactSet Auditing Viewer?action=AUDIT_VALUE&amp;DB=129&amp;ID1=67060Y10&amp;VALUEID=04601&amp;SDATE=2009&amp;PERIODTYPE=ANNR_STD&amp;SCFT=3&amp;window=popup_no_bar&amp;width=385&amp;height=120&amp;START_MAXIMIZED=FALSE&amp;creator=factset&amp;display_string=Audit"}</definedName>
    <definedName name="_1513__FDSAUDITLINK__" localSheetId="34">{"fdsup://Directions/FactSet Auditing Viewer?action=AUDIT_VALUE&amp;DB=129&amp;ID1=337647&amp;VALUEID=03101&amp;SDATE=2009&amp;PERIODTYPE=ANNR_STD&amp;window=popup_no_bar&amp;width=385&amp;height=120&amp;START_MAXIMIZED=FALSE&amp;creator=factset&amp;display_string=Audit"}</definedName>
    <definedName name="_1513__FDSAUDITLINK__" localSheetId="27">{"fdsup://Directions/FactSet Auditing Viewer?action=AUDIT_VALUE&amp;DB=129&amp;ID1=337647&amp;VALUEID=03101&amp;SDATE=2009&amp;PERIODTYPE=ANNR_STD&amp;window=popup_no_bar&amp;width=385&amp;height=120&amp;START_MAXIMIZED=FALSE&amp;creator=factset&amp;display_string=Audit"}</definedName>
    <definedName name="_1514__FDSAUDITLINK__" localSheetId="34">{"fdsup://directions/FAT Viewer?action=UPDATE&amp;creator=factset&amp;DYN_ARGS=TRUE&amp;DOC_NAME=FAT:FQL_AUDITING_CLIENT_TEMPLATE.FAT&amp;display_string=Audit&amp;VAR:KEY=ELOBIVGNAL&amp;VAR:QUERY=RkZfRklOX0FTU0VUU19JTVBBSVIoQU5OX1IsNDA3MTgsLCxSRixHQlAp&amp;WINDOW=FIRST_POPUP&amp;HEIGHT=45","0&amp;WIDTH=450&amp;START_MAXIMIZED=FALSE&amp;VAR:CALENDAR=FIVEDAY&amp;VAR:SYMBOL=69511310&amp;VAR:INDEX=0"}</definedName>
    <definedName name="_1514__FDSAUDITLINK__" localSheetId="27">{"fdsup://directions/FAT Viewer?action=UPDATE&amp;creator=factset&amp;DYN_ARGS=TRUE&amp;DOC_NAME=FAT:FQL_AUDITING_CLIENT_TEMPLATE.FAT&amp;display_string=Audit&amp;VAR:KEY=ELOBIVGNAL&amp;VAR:QUERY=RkZfRklOX0FTU0VUU19JTVBBSVIoQU5OX1IsNDA3MTgsLCxSRixHQlAp&amp;WINDOW=FIRST_POPUP&amp;HEIGHT=45","0&amp;WIDTH=450&amp;START_MAXIMIZED=FALSE&amp;VAR:CALENDAR=FIVEDAY&amp;VAR:SYMBOL=69511310&amp;VAR:INDEX=0"}</definedName>
    <definedName name="_1515__FDSAUDITLINK__" localSheetId="34">{"fdsup://directions/FAT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515__FDSAUDITLINK__" localSheetId="27">{"fdsup://directions/FAT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516__FDSAUDITLINK__" localSheetId="34">{"fdsup://Directions/FactSet Auditing Viewer?action=AUDIT_VALUE&amp;DB=129&amp;ID1=B126KH&amp;VALUEID=02001&amp;SDATE=2009&amp;PERIODTYPE=ANNR_STD&amp;window=popup_no_bar&amp;width=385&amp;height=120&amp;START_MAXIMIZED=FALSE&amp;creator=factset&amp;display_string=Audit"}</definedName>
    <definedName name="_1516__FDSAUDITLINK__" localSheetId="27">{"fdsup://Directions/FactSet Auditing Viewer?action=AUDIT_VALUE&amp;DB=129&amp;ID1=B126KH&amp;VALUEID=02001&amp;SDATE=2009&amp;PERIODTYPE=ANNR_STD&amp;window=popup_no_bar&amp;width=385&amp;height=120&amp;START_MAXIMIZED=FALSE&amp;creator=factset&amp;display_string=Audit"}</definedName>
    <definedName name="_1517__FDSAUDITLINK__" localSheetId="34">{"fdsup://Directions/FactSet Auditing Viewer?action=AUDIT_VALUE&amp;DB=129&amp;ID1=046991&amp;VALUEID=02201&amp;SDATE=2008&amp;PERIODTYPE=ANNR_STD&amp;window=popup_no_bar&amp;width=385&amp;height=120&amp;START_MAXIMIZED=FALSE&amp;creator=factset&amp;display_string=Audit"}</definedName>
    <definedName name="_1517__FDSAUDITLINK__" localSheetId="27">{"fdsup://Directions/FactSet Auditing Viewer?action=AUDIT_VALUE&amp;DB=129&amp;ID1=046991&amp;VALUEID=02201&amp;SDATE=2008&amp;PERIODTYPE=ANNR_STD&amp;window=popup_no_bar&amp;width=385&amp;height=120&amp;START_MAXIMIZED=FALSE&amp;creator=factset&amp;display_string=Audit"}</definedName>
    <definedName name="_1518__FDSAUDITLINK__" localSheetId="34">{"fdsup://Directions/FactSet Auditing Viewer?action=AUDIT_VALUE&amp;DB=129&amp;ID1=047715&amp;VALUEID=02001&amp;SDATE=2009&amp;PERIODTYPE=ANNR_STD&amp;window=popup_no_bar&amp;width=385&amp;height=120&amp;START_MAXIMIZED=FALSE&amp;creator=factset&amp;display_string=Audit"}</definedName>
    <definedName name="_1518__FDSAUDITLINK__" localSheetId="27">{"fdsup://Directions/FactSet Auditing Viewer?action=AUDIT_VALUE&amp;DB=129&amp;ID1=047715&amp;VALUEID=02001&amp;SDATE=2009&amp;PERIODTYPE=ANNR_STD&amp;window=popup_no_bar&amp;width=385&amp;height=120&amp;START_MAXIMIZED=FALSE&amp;creator=factset&amp;display_string=Audit"}</definedName>
    <definedName name="_1519__FDSAUDITLINK__" localSheetId="34">{"fdsup://Directions/FactSet Auditing Viewer?action=AUDIT_VALUE&amp;DB=129&amp;ID1=B126KH&amp;VALUEID=03101&amp;SDATE=2009&amp;PERIODTYPE=ANNR_STD&amp;window=popup_no_bar&amp;width=385&amp;height=120&amp;START_MAXIMIZED=FALSE&amp;creator=factset&amp;display_string=Audit"}</definedName>
    <definedName name="_1519__FDSAUDITLINK__" localSheetId="27">{"fdsup://Directions/FactSet Auditing Viewer?action=AUDIT_VALUE&amp;DB=129&amp;ID1=B126KH&amp;VALUEID=03101&amp;SDATE=2009&amp;PERIODTYPE=ANNR_STD&amp;window=popup_no_bar&amp;width=385&amp;height=120&amp;START_MAXIMIZED=FALSE&amp;creator=factset&amp;display_string=Audit"}</definedName>
    <definedName name="_1520__FDSAUDITLINK__" localSheetId="34">{"fdsup://Directions/FactSet Auditing Viewer?action=AUDIT_VALUE&amp;DB=129&amp;ID1=B126KH&amp;VALUEID=03051&amp;SDATE=2009&amp;PERIODTYPE=ANNR_STD&amp;window=popup_no_bar&amp;width=385&amp;height=120&amp;START_MAXIMIZED=FALSE&amp;creator=factset&amp;display_string=Audit"}</definedName>
    <definedName name="_1520__FDSAUDITLINK__" localSheetId="27">{"fdsup://Directions/FactSet Auditing Viewer?action=AUDIT_VALUE&amp;DB=129&amp;ID1=B126KH&amp;VALUEID=03051&amp;SDATE=2009&amp;PERIODTYPE=ANNR_STD&amp;window=popup_no_bar&amp;width=385&amp;height=120&amp;START_MAXIMIZED=FALSE&amp;creator=factset&amp;display_string=Audit"}</definedName>
    <definedName name="_1521__FDSAUDITLINK__" localSheetId="34">{"fdsup://Directions/FactSet Auditing Viewer?action=AUDIT_VALUE&amp;DB=129&amp;ID1=312748&amp;VALUEID=01001&amp;SDATE=2008&amp;PERIODTYPE=ANNR_STD&amp;window=popup_no_bar&amp;width=385&amp;height=120&amp;START_MAXIMIZED=FALSE&amp;creator=factset&amp;display_string=Audit"}</definedName>
    <definedName name="_1521__FDSAUDITLINK__" localSheetId="27">{"fdsup://Directions/FactSet Auditing Viewer?action=AUDIT_VALUE&amp;DB=129&amp;ID1=312748&amp;VALUEID=01001&amp;SDATE=2008&amp;PERIODTYPE=ANNR_STD&amp;window=popup_no_bar&amp;width=385&amp;height=120&amp;START_MAXIMIZED=FALSE&amp;creator=factset&amp;display_string=Audit"}</definedName>
    <definedName name="_1522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22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23__FDSAUDITLINK__" localSheetId="34">{"fdsup://directions/FAT Viewer?action=UPDATE&amp;creator=factset&amp;DYN_ARGS=TRUE&amp;DOC_NAME=FAT:FQL_AUDITING_CLIENT_TEMPLATE.FAT&amp;display_string=Audit&amp;VAR:KEY=QBOFSHUVGD&amp;VAR:QUERY=RkZfRklOX0FTU0VUU19JTVBBSVIoQU5OX1IsNDA3MTgtMVksLCxSRixHQlAp&amp;WINDOW=FIRST_POPUP&amp;HEIGH","T=450&amp;WIDTH=450&amp;START_MAXIMIZED=FALSE&amp;VAR:CALENDAR=FIVEDAY&amp;VAR:SYMBOL=41131010&amp;VAR:INDEX=0"}</definedName>
    <definedName name="_1523__FDSAUDITLINK__" localSheetId="27">{"fdsup://directions/FAT Viewer?action=UPDATE&amp;creator=factset&amp;DYN_ARGS=TRUE&amp;DOC_NAME=FAT:FQL_AUDITING_CLIENT_TEMPLATE.FAT&amp;display_string=Audit&amp;VAR:KEY=QBOFSHUVGD&amp;VAR:QUERY=RkZfRklOX0FTU0VUU19JTVBBSVIoQU5OX1IsNDA3MTgtMVksLCxSRixHQlAp&amp;WINDOW=FIRST_POPUP&amp;HEIGH","T=450&amp;WIDTH=450&amp;START_MAXIMIZED=FALSE&amp;VAR:CALENDAR=FIVEDAY&amp;VAR:SYMBOL=41131010&amp;VAR:INDEX=0"}</definedName>
    <definedName name="_1524__FDSAUDITLINK__" localSheetId="34">{"fdsup://directions/FAT Viewer?action=UPDATE&amp;creator=factset&amp;DYN_ARGS=TRUE&amp;DOC_NAME=FAT:FQL_AUDITING_CLIENT_TEMPLATE.FAT&amp;display_string=Audit&amp;VAR:KEY=TEBSBADOF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309272&amp;VAR:INDEX=0"}</definedName>
    <definedName name="_1524__FDSAUDITLINK__" localSheetId="27">{"fdsup://directions/FAT Viewer?action=UPDATE&amp;creator=factset&amp;DYN_ARGS=TRUE&amp;DOC_NAME=FAT:FQL_AUDITING_CLIENT_TEMPLATE.FAT&amp;display_string=Audit&amp;VAR:KEY=TEBSBADOF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309272&amp;VAR:INDEX=0"}</definedName>
    <definedName name="_1525__FDSAUDITLINK__" localSheetId="34">{"fdsup://Directions/FactSet Auditing Viewer?action=AUDIT_VALUE&amp;DB=129&amp;ID1=010486&amp;VALUEID=04049&amp;SDATE=2009&amp;PERIODTYPE=ANNR_STD&amp;window=popup_no_bar&amp;width=385&amp;height=120&amp;START_MAXIMIZED=FALSE&amp;creator=factset&amp;display_string=Audit"}</definedName>
    <definedName name="_1525__FDSAUDITLINK__" localSheetId="27">{"fdsup://Directions/FactSet Auditing Viewer?action=AUDIT_VALUE&amp;DB=129&amp;ID1=010486&amp;VALUEID=04049&amp;SDATE=2009&amp;PERIODTYPE=ANNR_STD&amp;window=popup_no_bar&amp;width=385&amp;height=120&amp;START_MAXIMIZED=FALSE&amp;creator=factset&amp;display_string=Audit"}</definedName>
    <definedName name="_1526__FDSAUDITLINK__" localSheetId="34">{"fdsup://Directions/FactSet Auditing Viewer?action=AUDIT_VALUE&amp;DB=129&amp;ID1=010486&amp;VALUEID=04601&amp;SDATE=2010&amp;PERIODTYPE=ANNR_STD&amp;window=popup_no_bar&amp;width=385&amp;height=120&amp;START_MAXIMIZED=FALSE&amp;creator=factset&amp;display_string=Audit"}</definedName>
    <definedName name="_1526__FDSAUDITLINK__" localSheetId="27">{"fdsup://Directions/FactSet Auditing Viewer?action=AUDIT_VALUE&amp;DB=129&amp;ID1=010486&amp;VALUEID=04601&amp;SDATE=2010&amp;PERIODTYPE=ANNR_STD&amp;window=popup_no_bar&amp;width=385&amp;height=120&amp;START_MAXIMIZED=FALSE&amp;creator=factset&amp;display_string=Audit"}</definedName>
    <definedName name="_1527__FDSAUDITLINK__" localSheetId="34">{"fdsup://Directions/FactSet Auditing Viewer?action=AUDIT_VALUE&amp;DB=129&amp;ID1=010486&amp;VALUEID=04601&amp;SDATE=2009&amp;PERIODTYPE=ANNR_STD&amp;window=popup_no_bar&amp;width=385&amp;height=120&amp;START_MAXIMIZED=FALSE&amp;creator=factset&amp;display_string=Audit"}</definedName>
    <definedName name="_1527__FDSAUDITLINK__" localSheetId="27">{"fdsup://Directions/FactSet Auditing Viewer?action=AUDIT_VALUE&amp;DB=129&amp;ID1=010486&amp;VALUEID=04601&amp;SDATE=2009&amp;PERIODTYPE=ANNR_STD&amp;window=popup_no_bar&amp;width=385&amp;height=120&amp;START_MAXIMIZED=FALSE&amp;creator=factset&amp;display_string=Audit"}</definedName>
    <definedName name="_152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152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1529__FDSAUDITLINK__" localSheetId="34">{"fdsup://Directions/FactSet Auditing Viewer?action=AUDIT_VALUE&amp;DB=129&amp;ID1=41131010&amp;VALUEID=04049&amp;SDATE=2010&amp;PERIODTYPE=ANNR_STD&amp;SCFT=3&amp;window=popup_no_bar&amp;width=385&amp;height=120&amp;START_MAXIMIZED=FALSE&amp;creator=factset&amp;display_string=Audit"}</definedName>
    <definedName name="_1529__FDSAUDITLINK__" localSheetId="27">{"fdsup://Directions/FactSet Auditing Viewer?action=AUDIT_VALUE&amp;DB=129&amp;ID1=41131010&amp;VALUEID=04049&amp;SDATE=2010&amp;PERIODTYPE=ANNR_STD&amp;SCFT=3&amp;window=popup_no_bar&amp;width=385&amp;height=120&amp;START_MAXIMIZED=FALSE&amp;creator=factset&amp;display_string=Audit"}</definedName>
    <definedName name="_1530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530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531__FDSAUDITLINK__" localSheetId="34">{"fdsup://directions/FAT Viewer?action=UPDATE&amp;creator=factset&amp;DYN_ARGS=TRUE&amp;DOC_NAME=FAT:FQL_AUDITING_CLIENT_TEMPLATE.FAT&amp;display_string=Audit&amp;VAR:KEY=XGRIZONQX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B126KH&amp;VAR:INDEX=0"}</definedName>
    <definedName name="_1531__FDSAUDITLINK__" localSheetId="27">{"fdsup://directions/FAT Viewer?action=UPDATE&amp;creator=factset&amp;DYN_ARGS=TRUE&amp;DOC_NAME=FAT:FQL_AUDITING_CLIENT_TEMPLATE.FAT&amp;display_string=Audit&amp;VAR:KEY=XGRIZONQXU&amp;VAR:QUERY=RkZfQVNTRVRTX0NVUlIoQU5OX1IsNDA2NDEtMVksLCxSRixHQlApLUZGX0NBU0hfU1QoQU5OX1IsNDA2NDEtM","VksLCxSRixHQlApLUZGX0xJQUJTX0NVUlIoQU5OX1IsNDA2NDEtMVksLCxSRixHQlApK0ZGX0RFQlRfU1QoQU5OX1IsNDA2NDEtMVksLCxSRixHQlAp&amp;WINDOW=FIRST_POPUP&amp;HEIGHT=450&amp;WIDTH=450&amp;START_MAXIMIZED=FALSE&amp;VAR:CALENDAR=FIVEDAY&amp;VAR:SYMBOL=B126KH&amp;VAR:INDEX=0"}</definedName>
    <definedName name="_1532__FDSAUDITLINK__" localSheetId="34">{"fdsup://Directions/FactSet Auditing Viewer?action=AUDIT_VALUE&amp;DB=129&amp;ID1=41131010&amp;VALUEID=04601&amp;SDATE=2009&amp;PERIODTYPE=ANNR_STD&amp;SCFT=3&amp;window=popup_no_bar&amp;width=385&amp;height=120&amp;START_MAXIMIZED=FALSE&amp;creator=factset&amp;display_string=Audit"}</definedName>
    <definedName name="_1532__FDSAUDITLINK__" localSheetId="27">{"fdsup://Directions/FactSet Auditing Viewer?action=AUDIT_VALUE&amp;DB=129&amp;ID1=41131010&amp;VALUEID=04601&amp;SDATE=2009&amp;PERIODTYPE=ANNR_STD&amp;SCFT=3&amp;window=popup_no_bar&amp;width=385&amp;height=120&amp;START_MAXIMIZED=FALSE&amp;creator=factset&amp;display_string=Audit"}</definedName>
    <definedName name="_1533__FDSAUDITLINK__" localSheetId="34">{"fdsup://Directions/FactSet Auditing Viewer?action=AUDIT_VALUE&amp;DB=129&amp;ID1=010486&amp;VALUEID=02201&amp;SDATE=2010&amp;PERIODTYPE=ANNR_STD&amp;window=popup_no_bar&amp;width=385&amp;height=120&amp;START_MAXIMIZED=FALSE&amp;creator=factset&amp;display_string=Audit"}</definedName>
    <definedName name="_1533__FDSAUDITLINK__" localSheetId="27">{"fdsup://Directions/FactSet Auditing Viewer?action=AUDIT_VALUE&amp;DB=129&amp;ID1=010486&amp;VALUEID=02201&amp;SDATE=2010&amp;PERIODTYPE=ANNR_STD&amp;window=popup_no_bar&amp;width=385&amp;height=120&amp;START_MAXIMIZED=FALSE&amp;creator=factset&amp;display_string=Audit"}</definedName>
    <definedName name="_1534__FDSAUDITLINK__" localSheetId="34">{"fdsup://directions/FAT Viewer?action=UPDATE&amp;creator=factset&amp;DYN_ARGS=TRUE&amp;DOC_NAME=FAT:FQL_AUDITING_CLIENT_TEMPLATE.FAT&amp;display_string=Audit&amp;VAR:KEY=RCTYZUTADQ&amp;VAR:QUERY=RkZfQVNTRVRTX0NVUlIoQU5OX1IsNDA2NDEsLCxSRiwpLUZGX0NBU0hfU1QoQU5OX1IsNDA2NDEsLCxSRiwpL","UZGX0xJQUJTX0NVUlIoQU5OX1IsNDA2NDEsLCxSRiwpK0ZGX0RFQlRfU1QoQU5OX1IsNDA2NDEsLCxSRiwp&amp;WINDOW=FIRST_POPUP&amp;HEIGHT=450&amp;WIDTH=450&amp;START_MAXIMIZED=FALSE&amp;VAR:CALENDAR=FIVEDAY&amp;VAR:SYMBOL=B1P6ZR&amp;VAR:INDEX=0"}</definedName>
    <definedName name="_1534__FDSAUDITLINK__" localSheetId="27">{"fdsup://directions/FAT Viewer?action=UPDATE&amp;creator=factset&amp;DYN_ARGS=TRUE&amp;DOC_NAME=FAT:FQL_AUDITING_CLIENT_TEMPLATE.FAT&amp;display_string=Audit&amp;VAR:KEY=RCTYZUTADQ&amp;VAR:QUERY=RkZfQVNTRVRTX0NVUlIoQU5OX1IsNDA2NDEsLCxSRiwpLUZGX0NBU0hfU1QoQU5OX1IsNDA2NDEsLCxSRiwpL","UZGX0xJQUJTX0NVUlIoQU5OX1IsNDA2NDEsLCxSRiwpK0ZGX0RFQlRfU1QoQU5OX1IsNDA2NDEsLCxSRiwp&amp;WINDOW=FIRST_POPUP&amp;HEIGHT=450&amp;WIDTH=450&amp;START_MAXIMIZED=FALSE&amp;VAR:CALENDAR=FIVEDAY&amp;VAR:SYMBOL=B1P6ZR&amp;VAR:INDEX=0"}</definedName>
    <definedName name="_1535__FDSAUDITLINK__" localSheetId="34">{"fdsup://Directions/FactSet Auditing Viewer?action=AUDIT_VALUE&amp;DB=129&amp;ID1=010486&amp;VALUEID=02001&amp;SDATE=2010&amp;PERIODTYPE=ANNR_STD&amp;window=popup_no_bar&amp;width=385&amp;height=120&amp;START_MAXIMIZED=FALSE&amp;creator=factset&amp;display_string=Audit"}</definedName>
    <definedName name="_1535__FDSAUDITLINK__" localSheetId="27">{"fdsup://Directions/FactSet Auditing Viewer?action=AUDIT_VALUE&amp;DB=129&amp;ID1=010486&amp;VALUEID=02001&amp;SDATE=2010&amp;PERIODTYPE=ANNR_STD&amp;window=popup_no_bar&amp;width=385&amp;height=120&amp;START_MAXIMIZED=FALSE&amp;creator=factset&amp;display_string=Audit"}</definedName>
    <definedName name="_1536__FDSAUDITLINK__" localSheetId="34">{"fdsup://Directions/FactSet Auditing Viewer?action=AUDIT_VALUE&amp;DB=129&amp;ID1=010486&amp;VALUEID=03101&amp;SDATE=2010&amp;PERIODTYPE=ANNR_STD&amp;window=popup_no_bar&amp;width=385&amp;height=120&amp;START_MAXIMIZED=FALSE&amp;creator=factset&amp;display_string=Audit"}</definedName>
    <definedName name="_1536__FDSAUDITLINK__" localSheetId="27">{"fdsup://Directions/FactSet Auditing Viewer?action=AUDIT_VALUE&amp;DB=129&amp;ID1=010486&amp;VALUEID=03101&amp;SDATE=2010&amp;PERIODTYPE=ANNR_STD&amp;window=popup_no_bar&amp;width=385&amp;height=120&amp;START_MAXIMIZED=FALSE&amp;creator=factset&amp;display_string=Audit"}</definedName>
    <definedName name="_1537__FDSAUDITLINK__" localSheetId="34">{"fdsup://directions/FAT Viewer?action=UPDATE&amp;creator=factset&amp;DYN_ARGS=TRUE&amp;DOC_NAME=FAT:FQL_AUDITING_CLIENT_TEMPLATE.FAT&amp;display_string=Audit&amp;VAR:KEY=IZOPCPUHMB&amp;VAR:QUERY=RkZfSU1QQUlSX1BQRShBTk5fUiw0MDcxOC0xWSwsLFJGLEdCUCk=&amp;WINDOW=FIRST_POPUP&amp;HEIGHT=450&amp;WI","DTH=450&amp;START_MAXIMIZED=FALSE&amp;VAR:CALENDAR=FIVEDAY&amp;VAR:SYMBOL=04983820&amp;VAR:INDEX=0"}</definedName>
    <definedName name="_1537__FDSAUDITLINK__" localSheetId="27">{"fdsup://directions/FAT Viewer?action=UPDATE&amp;creator=factset&amp;DYN_ARGS=TRUE&amp;DOC_NAME=FAT:FQL_AUDITING_CLIENT_TEMPLATE.FAT&amp;display_string=Audit&amp;VAR:KEY=IZOPCPUHMB&amp;VAR:QUERY=RkZfSU1QQUlSX1BQRShBTk5fUiw0MDcxOC0xWSwsLFJGLEdCUCk=&amp;WINDOW=FIRST_POPUP&amp;HEIGHT=450&amp;WI","DTH=450&amp;START_MAXIMIZED=FALSE&amp;VAR:CALENDAR=FIVEDAY&amp;VAR:SYMBOL=04983820&amp;VAR:INDEX=0"}</definedName>
    <definedName name="_1538__FDSAUDITLINK__" localSheetId="34">{"fdsup://Directions/FactSet Auditing Viewer?action=AUDIT_VALUE&amp;DB=129&amp;ID1=337647&amp;VALUEID=01001&amp;SDATE=2010&amp;PERIODTYPE=ANNR_STD&amp;SCFT=3&amp;window=popup_no_bar&amp;width=385&amp;height=120&amp;START_MAXIMIZED=FALSE&amp;creator=factset&amp;display_string=Audit"}</definedName>
    <definedName name="_1538__FDSAUDITLINK__" localSheetId="27">{"fdsup://Directions/FactSet Auditing Viewer?action=AUDIT_VALUE&amp;DB=129&amp;ID1=337647&amp;VALUEID=01001&amp;SDATE=2010&amp;PERIODTYPE=ANNR_STD&amp;SCFT=3&amp;window=popup_no_bar&amp;width=385&amp;height=120&amp;START_MAXIMIZED=FALSE&amp;creator=factset&amp;display_string=Audit"}</definedName>
    <definedName name="_1539__FDSAUDITLINK__" localSheetId="34">{"fdsup://directions/FAT Viewer?action=UPDATE&amp;creator=factset&amp;DYN_ARGS=TRUE&amp;DOC_NAME=FAT:FQL_AUDITING_CLIENT_TEMPLATE.FAT&amp;display_string=Audit&amp;VAR:KEY=ADUDIVOLY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91543M10&amp;VAR:INDEX=0"}</definedName>
    <definedName name="_1539__FDSAUDITLINK__" localSheetId="27">{"fdsup://directions/FAT Viewer?action=UPDATE&amp;creator=factset&amp;DYN_ARGS=TRUE&amp;DOC_NAME=FAT:FQL_AUDITING_CLIENT_TEMPLATE.FAT&amp;display_string=Audit&amp;VAR:KEY=ADUDIVOLY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91543M10&amp;VAR:INDEX=0"}</definedName>
    <definedName name="_1540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1540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1541__FDSAUDITLINK__" localSheetId="34">{"fdsup://directions/FAT Viewer?action=UPDATE&amp;creator=factset&amp;DYN_ARGS=TRUE&amp;DOC_NAME=FAT:FQL_AUDITING_CLIENT_TEMPLATE.FAT&amp;display_string=Audit&amp;VAR:KEY=MJOTYBQFCZ&amp;VAR:QUERY=RkZfRklOX0FTU0VUU19JTVBBSVIoQU5OX1IsNDA3MTgtMVksLCxSRixHQlAp&amp;WINDOW=FIRST_POPUP&amp;HEIGH","T=450&amp;WIDTH=450&amp;START_MAXIMIZED=FALSE&amp;VAR:CALENDAR=FIVEDAY&amp;VAR:SYMBOL=91543M10&amp;VAR:INDEX=0"}</definedName>
    <definedName name="_1541__FDSAUDITLINK__" localSheetId="27">{"fdsup://directions/FAT Viewer?action=UPDATE&amp;creator=factset&amp;DYN_ARGS=TRUE&amp;DOC_NAME=FAT:FQL_AUDITING_CLIENT_TEMPLATE.FAT&amp;display_string=Audit&amp;VAR:KEY=MJOTYBQFCZ&amp;VAR:QUERY=RkZfRklOX0FTU0VUU19JTVBBSVIoQU5OX1IsNDA3MTgtMVksLCxSRixHQlAp&amp;WINDOW=FIRST_POPUP&amp;HEIGH","T=450&amp;WIDTH=450&amp;START_MAXIMIZED=FALSE&amp;VAR:CALENDAR=FIVEDAY&amp;VAR:SYMBOL=91543M10&amp;VAR:INDEX=0"}</definedName>
    <definedName name="_1542__FDSAUDITLINK__" localSheetId="34">{"fdsup://directions/FAT Viewer?action=UPDATE&amp;creator=factset&amp;DYN_ARGS=TRUE&amp;DOC_NAME=FAT:FQL_AUDITING_CLIENT_TEMPLATE.FAT&amp;display_string=Audit&amp;VAR:KEY=KHUXONQVAD&amp;VAR:QUERY=RkZfSU1QQUlSX1BQRShBTk5fUiw0MDcxOCwsLFJGLEdCUCk=&amp;WINDOW=FIRST_POPUP&amp;HEIGHT=450&amp;WIDTH=","450&amp;START_MAXIMIZED=FALSE&amp;VAR:CALENDAR=FIVEDAY&amp;VAR:SYMBOL=91543M10&amp;VAR:INDEX=0"}</definedName>
    <definedName name="_1542__FDSAUDITLINK__" localSheetId="27">{"fdsup://directions/FAT Viewer?action=UPDATE&amp;creator=factset&amp;DYN_ARGS=TRUE&amp;DOC_NAME=FAT:FQL_AUDITING_CLIENT_TEMPLATE.FAT&amp;display_string=Audit&amp;VAR:KEY=KHUXONQVAD&amp;VAR:QUERY=RkZfSU1QQUlSX1BQRShBTk5fUiw0MDcxOCwsLFJGLEdCUCk=&amp;WINDOW=FIRST_POPUP&amp;HEIGHT=450&amp;WIDTH=","450&amp;START_MAXIMIZED=FALSE&amp;VAR:CALENDAR=FIVEDAY&amp;VAR:SYMBOL=91543M10&amp;VAR:INDEX=0"}</definedName>
    <definedName name="_1543__FDSAUDITLINK__" localSheetId="34">{"fdsup://directions/FAT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543__FDSAUDITLINK__" localSheetId="27">{"fdsup://directions/FAT Viewer?action=UPDATE&amp;creator=factset&amp;DYN_ARGS=TRUE&amp;DOC_NAME=FAT:FQL_AUDITING_CLIENT_TEMPLATE.FAT&amp;display_string=Audit&amp;VAR:KEY=BYTQBCNQVQ&amp;VAR:QUERY=KEZGX0lNUEFJUl9QUEUoQU5OX1IsNDA2NDEsLCxSRiwpQEZGX0lNUEFJUl9QUEUoQU5OX1IsMCwsLFJGLCkp&amp;","WINDOW=FIRST_POPUP&amp;HEIGHT=450&amp;WIDTH=450&amp;START_MAXIMIZED=FALSE&amp;VAR:CALENDAR=FIVEDAY&amp;VAR:SYMBOL=0&amp;VAR:INDEX=0"}</definedName>
    <definedName name="_1544__FDSAUDITLINK__" localSheetId="34">{"fdsup://directions/FAT Viewer?action=UPDATE&amp;creator=factset&amp;DYN_ARGS=TRUE&amp;DOC_NAME=FAT:FQL_AUDITING_CLIENT_TEMPLATE.FAT&amp;display_string=Audit&amp;VAR:KEY=ODIDGBGTGZ&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23307830&amp;VAR:INDEX=0"}</definedName>
    <definedName name="_1544__FDSAUDITLINK__" localSheetId="27">{"fdsup://directions/FAT Viewer?action=UPDATE&amp;creator=factset&amp;DYN_ARGS=TRUE&amp;DOC_NAME=FAT:FQL_AUDITING_CLIENT_TEMPLATE.FAT&amp;display_string=Audit&amp;VAR:KEY=ODIDGBGTGZ&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23307830&amp;VAR:INDEX=0"}</definedName>
    <definedName name="_1545__FDSAUDITLINK__" localSheetId="34">{"fdsup://directions/FAT Viewer?action=UPDATE&amp;creator=factset&amp;DYN_ARGS=TRUE&amp;DOC_NAME=FAT:FQL_AUDITING_CLIENT_TEMPLATE.FAT&amp;display_string=Audit&amp;VAR:KEY=ERKFGZWJK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23307830&amp;VAR:INDEX=0"}</definedName>
    <definedName name="_1545__FDSAUDITLINK__" localSheetId="27">{"fdsup://directions/FAT Viewer?action=UPDATE&amp;creator=factset&amp;DYN_ARGS=TRUE&amp;DOC_NAME=FAT:FQL_AUDITING_CLIENT_TEMPLATE.FAT&amp;display_string=Audit&amp;VAR:KEY=ERKFGZWJK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23307830&amp;VAR:INDEX=0"}</definedName>
    <definedName name="_1546__FDSAUDITLINK__" localSheetId="34">{"fdsup://directions/FAT Viewer?action=UPDATE&amp;creator=factset&amp;DYN_ARGS=TRUE&amp;DOC_NAME=FAT:FQL_AUDITING_CLIENT_TEMPLATE.FAT&amp;display_string=Audit&amp;VAR:KEY=CVERGPWNYN&amp;VAR:QUERY=RkZfRklOX0FTU0VUU19JTVBBSVIoQU5OX1IsNDA3MTgsLCxSRixHQlAp&amp;WINDOW=FIRST_POPUP&amp;HEIGHT=45","0&amp;WIDTH=450&amp;START_MAXIMIZED=FALSE&amp;VAR:CALENDAR=FIVEDAY&amp;VAR:SYMBOL=23307830&amp;VAR:INDEX=0"}</definedName>
    <definedName name="_1546__FDSAUDITLINK__" localSheetId="27">{"fdsup://directions/FAT Viewer?action=UPDATE&amp;creator=factset&amp;DYN_ARGS=TRUE&amp;DOC_NAME=FAT:FQL_AUDITING_CLIENT_TEMPLATE.FAT&amp;display_string=Audit&amp;VAR:KEY=CVERGPWNYN&amp;VAR:QUERY=RkZfRklOX0FTU0VUU19JTVBBSVIoQU5OX1IsNDA3MTgsLCxSRixHQlAp&amp;WINDOW=FIRST_POPUP&amp;HEIGHT=45","0&amp;WIDTH=450&amp;START_MAXIMIZED=FALSE&amp;VAR:CALENDAR=FIVEDAY&amp;VAR:SYMBOL=23307830&amp;VAR:INDEX=0"}</definedName>
    <definedName name="_1547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1547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1548__FDSAUDITLINK__" localSheetId="34">{"fdsup://directions/FAT Viewer?action=UPDATE&amp;creator=factset&amp;DYN_ARGS=TRUE&amp;DOC_NAME=FAT:FQL_AUDITING_CLIENT_TEMPLATE.FAT&amp;display_string=Audit&amp;VAR:KEY=OPMVETIFQL&amp;VAR:QUERY=RkZfSU1QQUlSX1BQRShBTk5fUiw0MDcxOCwsLFJGLEdCUCk=&amp;WINDOW=FIRST_POPUP&amp;HEIGHT=450&amp;WIDTH=","450&amp;START_MAXIMIZED=FALSE&amp;VAR:CALENDAR=FIVEDAY&amp;VAR:SYMBOL=23307830&amp;VAR:INDEX=0"}</definedName>
    <definedName name="_1548__FDSAUDITLINK__" localSheetId="27">{"fdsup://directions/FAT Viewer?action=UPDATE&amp;creator=factset&amp;DYN_ARGS=TRUE&amp;DOC_NAME=FAT:FQL_AUDITING_CLIENT_TEMPLATE.FAT&amp;display_string=Audit&amp;VAR:KEY=OPMVETIFQL&amp;VAR:QUERY=RkZfSU1QQUlSX1BQRShBTk5fUiw0MDcxOCwsLFJGLEdCUCk=&amp;WINDOW=FIRST_POPUP&amp;HEIGHT=450&amp;WIDTH=","450&amp;START_MAXIMIZED=FALSE&amp;VAR:CALENDAR=FIVEDAY&amp;VAR:SYMBOL=23307830&amp;VAR:INDEX=0"}</definedName>
    <definedName name="_1549__FDSAUDITLINK__" localSheetId="34">{"fdsup://directions/FAT Viewer?action=UPDATE&amp;creator=factset&amp;DYN_ARGS=TRUE&amp;DOC_NAME=FAT:FQL_AUDITING_CLIENT_TEMPLATE.FAT&amp;display_string=Audit&amp;VAR:KEY=IHOTOXWRWF&amp;VAR:QUERY=RkZfSU1QQUlSX1BQRShBTk5fUiw0MDcxOC0xWSwsLFJGLEdCUCk=&amp;WINDOW=FIRST_POPUP&amp;HEIGHT=450&amp;WI","DTH=450&amp;START_MAXIMIZED=FALSE&amp;VAR:CALENDAR=FIVEDAY&amp;VAR:SYMBOL=23307830&amp;VAR:INDEX=0"}</definedName>
    <definedName name="_1549__FDSAUDITLINK__" localSheetId="27">{"fdsup://directions/FAT Viewer?action=UPDATE&amp;creator=factset&amp;DYN_ARGS=TRUE&amp;DOC_NAME=FAT:FQL_AUDITING_CLIENT_TEMPLATE.FAT&amp;display_string=Audit&amp;VAR:KEY=IHOTOXWRWF&amp;VAR:QUERY=RkZfSU1QQUlSX1BQRShBTk5fUiw0MDcxOC0xWSwsLFJGLEdCUCk=&amp;WINDOW=FIRST_POPUP&amp;HEIGHT=450&amp;WI","DTH=450&amp;START_MAXIMIZED=FALSE&amp;VAR:CALENDAR=FIVEDAY&amp;VAR:SYMBOL=23307830&amp;VAR:INDEX=0"}</definedName>
    <definedName name="_1550__FDSAUDITLINK__" localSheetId="34">{"fdsup://Directions/FactSet Auditing Viewer?action=AUDIT_VALUE&amp;DB=129&amp;ID1=047715&amp;VALUEID=02201&amp;SDATE=2009&amp;PERIODTYPE=ANNR_STD&amp;window=popup_no_bar&amp;width=385&amp;height=120&amp;START_MAXIMIZED=FALSE&amp;creator=factset&amp;display_string=Audit"}</definedName>
    <definedName name="_1550__FDSAUDITLINK__" localSheetId="27">{"fdsup://Directions/FactSet Auditing Viewer?action=AUDIT_VALUE&amp;DB=129&amp;ID1=047715&amp;VALUEID=02201&amp;SDATE=2009&amp;PERIODTYPE=ANNR_STD&amp;window=popup_no_bar&amp;width=385&amp;height=120&amp;START_MAXIMIZED=FALSE&amp;creator=factset&amp;display_string=Audit"}</definedName>
    <definedName name="_1551__FDSAUDITLINK__" localSheetId="34">{"fdsup://directions/FAT Viewer?action=UPDATE&amp;creator=factset&amp;DYN_ARGS=TRUE&amp;DOC_NAME=FAT:FQL_AUDITING_CLIENT_TEMPLATE.FAT&amp;display_string=Audit&amp;VAR:KEY=OPGVUDUPQJ&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30250Q10&amp;VAR:INDEX=0"}</definedName>
    <definedName name="_1551__FDSAUDITLINK__" localSheetId="27">{"fdsup://directions/FAT Viewer?action=UPDATE&amp;creator=factset&amp;DYN_ARGS=TRUE&amp;DOC_NAME=FAT:FQL_AUDITING_CLIENT_TEMPLATE.FAT&amp;display_string=Audit&amp;VAR:KEY=OPGVUDUPQJ&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30250Q10&amp;VAR:INDEX=0"}</definedName>
    <definedName name="_1552__FDSAUDITLINK__" localSheetId="34">{"fdsup://directions/FAT Viewer?action=UPDATE&amp;creator=factset&amp;DYN_ARGS=TRUE&amp;DOC_NAME=FAT:FQL_AUDITING_CLIENT_TEMPLATE.FAT&amp;display_string=Audit&amp;VAR:KEY=MTIBOJWZYP&amp;VAR:QUERY=RkZfRklOX0FTU0VUU19JTVBBSVIoQU5OX1IsNDA3MTgsLCxSRixHQlAp&amp;WINDOW=FIRST_POPUP&amp;HEIGHT=45","0&amp;WIDTH=450&amp;START_MAXIMIZED=FALSE&amp;VAR:CALENDAR=FIVEDAY&amp;VAR:SYMBOL=30250Q10&amp;VAR:INDEX=0"}</definedName>
    <definedName name="_1552__FDSAUDITLINK__" localSheetId="27">{"fdsup://directions/FAT Viewer?action=UPDATE&amp;creator=factset&amp;DYN_ARGS=TRUE&amp;DOC_NAME=FAT:FQL_AUDITING_CLIENT_TEMPLATE.FAT&amp;display_string=Audit&amp;VAR:KEY=MTIBOJWZYP&amp;VAR:QUERY=RkZfRklOX0FTU0VUU19JTVBBSVIoQU5OX1IsNDA3MTgsLCxSRixHQlAp&amp;WINDOW=FIRST_POPUP&amp;HEIGHT=45","0&amp;WIDTH=450&amp;START_MAXIMIZED=FALSE&amp;VAR:CALENDAR=FIVEDAY&amp;VAR:SYMBOL=30250Q10&amp;VAR:INDEX=0"}</definedName>
    <definedName name="_1553__FDSAUDITLINK__" localSheetId="34">{"fdsup://directions/FAT Viewer?action=UPDATE&amp;creator=factset&amp;DYN_ARGS=TRUE&amp;DOC_NAME=FAT:FQL_AUDITING_CLIENT_TEMPLATE.FAT&amp;display_string=Audit&amp;VAR:KEY=KXYHMDQJOD&amp;VAR:QUERY=RkZfRklOX0FTU0VUU19JTVBBSVIoQU5OX1IsNDA3MTgtMVksLCxSRixHQlAp&amp;WINDOW=FIRST_POPUP&amp;HEIGH","T=450&amp;WIDTH=450&amp;START_MAXIMIZED=FALSE&amp;VAR:CALENDAR=FIVEDAY&amp;VAR:SYMBOL=30250Q10&amp;VAR:INDEX=0"}</definedName>
    <definedName name="_1553__FDSAUDITLINK__" localSheetId="27">{"fdsup://directions/FAT Viewer?action=UPDATE&amp;creator=factset&amp;DYN_ARGS=TRUE&amp;DOC_NAME=FAT:FQL_AUDITING_CLIENT_TEMPLATE.FAT&amp;display_string=Audit&amp;VAR:KEY=KXYHMDQJOD&amp;VAR:QUERY=RkZfRklOX0FTU0VUU19JTVBBSVIoQU5OX1IsNDA3MTgtMVksLCxSRixHQlAp&amp;WINDOW=FIRST_POPUP&amp;HEIGH","T=450&amp;WIDTH=450&amp;START_MAXIMIZED=FALSE&amp;VAR:CALENDAR=FIVEDAY&amp;VAR:SYMBOL=30250Q10&amp;VAR:INDEX=0"}</definedName>
    <definedName name="_1554__FDSAUDITLINK__" localSheetId="34">{"fdsup://directions/FAT Viewer?action=UPDATE&amp;creator=factset&amp;DYN_ARGS=TRUE&amp;DOC_NAME=FAT:FQL_AUDITING_CLIENT_TEMPLATE.FAT&amp;display_string=Audit&amp;VAR:KEY=SHUBCHOFCN&amp;VAR:QUERY=RkZfSU1QQUlSX1BQRShBTk5fUiw0MDcxOCwsLFJGLEdCUCk=&amp;WINDOW=FIRST_POPUP&amp;HEIGHT=450&amp;WIDTH=","450&amp;START_MAXIMIZED=FALSE&amp;VAR:CALENDAR=FIVEDAY&amp;VAR:SYMBOL=30250Q10&amp;VAR:INDEX=0"}</definedName>
    <definedName name="_1554__FDSAUDITLINK__" localSheetId="27">{"fdsup://directions/FAT Viewer?action=UPDATE&amp;creator=factset&amp;DYN_ARGS=TRUE&amp;DOC_NAME=FAT:FQL_AUDITING_CLIENT_TEMPLATE.FAT&amp;display_string=Audit&amp;VAR:KEY=SHUBCHOFCN&amp;VAR:QUERY=RkZfSU1QQUlSX1BQRShBTk5fUiw0MDcxOCwsLFJGLEdCUCk=&amp;WINDOW=FIRST_POPUP&amp;HEIGHT=450&amp;WIDTH=","450&amp;START_MAXIMIZED=FALSE&amp;VAR:CALENDAR=FIVEDAY&amp;VAR:SYMBOL=30250Q10&amp;VAR:INDEX=0"}</definedName>
    <definedName name="_1555__FDSAUDITLINK__" localSheetId="34">{"fdsup://directions/FAT Viewer?action=UPDATE&amp;creator=factset&amp;DYN_ARGS=TRUE&amp;DOC_NAME=FAT:FQL_AUDITING_CLIENT_TEMPLATE.FAT&amp;display_string=Audit&amp;VAR:KEY=YPQTAVCHEZ&amp;VAR:QUERY=RkZfSU1QQUlSX1BQRShBTk5fUiw0MDcxOC0xWSwsLFJGLEdCUCk=&amp;WINDOW=FIRST_POPUP&amp;HEIGHT=450&amp;WI","DTH=450&amp;START_MAXIMIZED=FALSE&amp;VAR:CALENDAR=FIVEDAY&amp;VAR:SYMBOL=30250Q10&amp;VAR:INDEX=0"}</definedName>
    <definedName name="_1555__FDSAUDITLINK__" localSheetId="27">{"fdsup://directions/FAT Viewer?action=UPDATE&amp;creator=factset&amp;DYN_ARGS=TRUE&amp;DOC_NAME=FAT:FQL_AUDITING_CLIENT_TEMPLATE.FAT&amp;display_string=Audit&amp;VAR:KEY=YPQTAVCHEZ&amp;VAR:QUERY=RkZfSU1QQUlSX1BQRShBTk5fUiw0MDcxOC0xWSwsLFJGLEdCUCk=&amp;WINDOW=FIRST_POPUP&amp;HEIGHT=450&amp;WI","DTH=450&amp;START_MAXIMIZED=FALSE&amp;VAR:CALENDAR=FIVEDAY&amp;VAR:SYMBOL=30250Q10&amp;VAR:INDEX=0"}</definedName>
    <definedName name="_1556__FDSAUDITLINK__" localSheetId="34">{"fdsup://Directions/FactSet Auditing Viewer?action=AUDIT_VALUE&amp;DB=129&amp;ID1=010486&amp;VALUEID=01001&amp;SDATE=2010&amp;PERIODTYPE=ANNR_STD&amp;window=popup_no_bar&amp;width=385&amp;height=120&amp;START_MAXIMIZED=FALSE&amp;creator=factset&amp;display_string=Audit"}</definedName>
    <definedName name="_1556__FDSAUDITLINK__" localSheetId="27">{"fdsup://Directions/FactSet Auditing Viewer?action=AUDIT_VALUE&amp;DB=129&amp;ID1=010486&amp;VALUEID=01001&amp;SDATE=2010&amp;PERIODTYPE=ANNR_STD&amp;window=popup_no_bar&amp;width=385&amp;height=120&amp;START_MAXIMIZED=FALSE&amp;creator=factset&amp;display_string=Audit"}</definedName>
    <definedName name="_1557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57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58__FDSAUDITLINK__" localSheetId="34">{"fdsup://directions/FAT Viewer?action=UPDATE&amp;creator=factset&amp;DYN_ARGS=TRUE&amp;DOC_NAME=FAT:FQL_AUDITING_CLIENT_TEMPLATE.FAT&amp;display_string=Audit&amp;VAR:KEY=AVSDMXUZUP&amp;VAR:QUERY=RkZfRklOX0FTU0VUU19JTVBBSVIoQU5OX1IsNDA3MTgsLCxSRixHQlAp&amp;WINDOW=FIRST_POPUP&amp;HEIGHT=45","0&amp;WIDTH=450&amp;START_MAXIMIZED=FALSE&amp;VAR:CALENDAR=FIVEDAY&amp;VAR:SYMBOL=84918P10&amp;VAR:INDEX=0"}</definedName>
    <definedName name="_1558__FDSAUDITLINK__" localSheetId="27">{"fdsup://directions/FAT Viewer?action=UPDATE&amp;creator=factset&amp;DYN_ARGS=TRUE&amp;DOC_NAME=FAT:FQL_AUDITING_CLIENT_TEMPLATE.FAT&amp;display_string=Audit&amp;VAR:KEY=AVSDMXUZUP&amp;VAR:QUERY=RkZfRklOX0FTU0VUU19JTVBBSVIoQU5OX1IsNDA3MTgsLCxSRixHQlAp&amp;WINDOW=FIRST_POPUP&amp;HEIGHT=45","0&amp;WIDTH=450&amp;START_MAXIMIZED=FALSE&amp;VAR:CALENDAR=FIVEDAY&amp;VAR:SYMBOL=84918P10&amp;VAR:INDEX=0"}</definedName>
    <definedName name="_1559__FDSAUDITLINK__" localSheetId="34">{"fdsup://directions/FAT Viewer?action=UPDATE&amp;creator=factset&amp;DYN_ARGS=TRUE&amp;DOC_NAME=FAT:FQL_AUDITING_CLIENT_TEMPLATE.FAT&amp;display_string=Audit&amp;VAR:KEY=INORENCHWN&amp;VAR:QUERY=RkZfRklOX0FTU0VUU19JTVBBSVIoQU5OX1IsNDA3MTgtMVksLCxSRixHQlAp&amp;WINDOW=FIRST_POPUP&amp;HEIGH","T=450&amp;WIDTH=450&amp;START_MAXIMIZED=FALSE&amp;VAR:CALENDAR=FIVEDAY&amp;VAR:SYMBOL=84918P10&amp;VAR:INDEX=0"}</definedName>
    <definedName name="_1559__FDSAUDITLINK__" localSheetId="27">{"fdsup://directions/FAT Viewer?action=UPDATE&amp;creator=factset&amp;DYN_ARGS=TRUE&amp;DOC_NAME=FAT:FQL_AUDITING_CLIENT_TEMPLATE.FAT&amp;display_string=Audit&amp;VAR:KEY=INORENCHWN&amp;VAR:QUERY=RkZfRklOX0FTU0VUU19JTVBBSVIoQU5OX1IsNDA3MTgtMVksLCxSRixHQlAp&amp;WINDOW=FIRST_POPUP&amp;HEIGH","T=450&amp;WIDTH=450&amp;START_MAXIMIZED=FALSE&amp;VAR:CALENDAR=FIVEDAY&amp;VAR:SYMBOL=84918P10&amp;VAR:INDEX=0"}</definedName>
    <definedName name="_1560__FDSAUDITLINK__" localSheetId="34">{"fdsup://directions/FAT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60__FDSAUDITLINK__" localSheetId="27">{"fdsup://directions/FAT Viewer?action=UPDATE&amp;creator=factset&amp;DYN_ARGS=TRUE&amp;DOC_NAME=FAT:FQL_AUDITING_CLIENT_TEMPLATE.FAT&amp;display_string=Audit&amp;VAR:KEY=JEPIPGNSVW&amp;VAR:QUERY=KChGRl9ERUJUKFFUUiw0MDY0MSwsLCwpQEZGX0RFQlQoU0VNSSw0MDY0MSwsLCwpKUBGRl9ERUJUKEFOTl9SL","DQwNjQxLCwsLCkp&amp;WINDOW=FIRST_POPUP&amp;HEIGHT=450&amp;WIDTH=450&amp;START_MAXIMIZED=FALSE&amp;VAR:CALENDAR=FIVEDAY&amp;VAR:SYMBOL=0&amp;VAR:INDEX=0"}</definedName>
    <definedName name="_1561__FDSAUDITLINK__" localSheetId="34">{"fdsup://directions/FAT Viewer?action=UPDATE&amp;creator=factset&amp;DYN_ARGS=TRUE&amp;DOC_NAME=FAT:FQL_AUDITING_CLIENT_TEMPLATE.FAT&amp;display_string=Audit&amp;VAR:KEY=SBOJYFEHCP&amp;VAR:QUERY=RkZfSU1QQUlSX1BQRShBTk5fUiw0MDcxOC0xWSwsLFJGLEdCUCk=&amp;WINDOW=FIRST_POPUP&amp;HEIGHT=450&amp;WI","DTH=450&amp;START_MAXIMIZED=FALSE&amp;VAR:CALENDAR=FIVEDAY&amp;VAR:SYMBOL=84918P10&amp;VAR:INDEX=0"}</definedName>
    <definedName name="_1561__FDSAUDITLINK__" localSheetId="27">{"fdsup://directions/FAT Viewer?action=UPDATE&amp;creator=factset&amp;DYN_ARGS=TRUE&amp;DOC_NAME=FAT:FQL_AUDITING_CLIENT_TEMPLATE.FAT&amp;display_string=Audit&amp;VAR:KEY=SBOJYFEHCP&amp;VAR:QUERY=RkZfSU1QQUlSX1BQRShBTk5fUiw0MDcxOC0xWSwsLFJGLEdCUCk=&amp;WINDOW=FIRST_POPUP&amp;HEIGHT=450&amp;WI","DTH=450&amp;START_MAXIMIZED=FALSE&amp;VAR:CALENDAR=FIVEDAY&amp;VAR:SYMBOL=84918P10&amp;VAR:INDEX=0"}</definedName>
    <definedName name="_1562__FDSAUDITLINK__" localSheetId="34">{"fdsup://Directions/FactSet Auditing Viewer?action=AUDIT_VALUE&amp;DB=129&amp;ID1=337647&amp;VALUEID=02001&amp;SDATE=2009&amp;PERIODTYPE=ANNR_STD&amp;window=popup_no_bar&amp;width=385&amp;height=120&amp;START_MAXIMIZED=FALSE&amp;creator=factset&amp;display_string=Audit"}</definedName>
    <definedName name="_1562__FDSAUDITLINK__" localSheetId="27">{"fdsup://Directions/FactSet Auditing Viewer?action=AUDIT_VALUE&amp;DB=129&amp;ID1=337647&amp;VALUEID=02001&amp;SDATE=2009&amp;PERIODTYPE=ANNR_STD&amp;window=popup_no_bar&amp;width=385&amp;height=120&amp;START_MAXIMIZED=FALSE&amp;creator=factset&amp;display_string=Audit"}</definedName>
    <definedName name="_1563__FDSAUDITLINK__" localSheetId="34">{"fdsup://directions/FAT Viewer?action=UPDATE&amp;creator=factset&amp;DYN_ARGS=TRUE&amp;DOC_NAME=FAT:FQL_AUDITING_CLIENT_TEMPLATE.FAT&amp;display_string=Audit&amp;VAR:KEY=QDKTANGRYX&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07330X10&amp;VAR:INDEX=0"}</definedName>
    <definedName name="_1563__FDSAUDITLINK__" localSheetId="27">{"fdsup://directions/FAT Viewer?action=UPDATE&amp;creator=factset&amp;DYN_ARGS=TRUE&amp;DOC_NAME=FAT:FQL_AUDITING_CLIENT_TEMPLATE.FAT&amp;display_string=Audit&amp;VAR:KEY=QDKTANGRYX&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07330X10&amp;VAR:INDEX=0"}</definedName>
    <definedName name="_1564__FDSAUDITLINK__" localSheetId="34">{"fdsup://directions/FAT Viewer?action=UPDATE&amp;creator=factset&amp;DYN_ARGS=TRUE&amp;DOC_NAME=FAT:FQL_AUDITING_CLIENT_TEMPLATE.FAT&amp;display_string=Audit&amp;VAR:KEY=SXKNWPCHIT&amp;VAR:QUERY=RkZfRklOX0FTU0VUU19JTVBBSVIoQU5OX1IsNDA3MTgsLCxSRixHQlAp&amp;WINDOW=FIRST_POPUP&amp;HEIGHT=45","0&amp;WIDTH=450&amp;START_MAXIMIZED=FALSE&amp;VAR:CALENDAR=FIVEDAY&amp;VAR:SYMBOL=07330X10&amp;VAR:INDEX=0"}</definedName>
    <definedName name="_1564__FDSAUDITLINK__" localSheetId="27">{"fdsup://directions/FAT Viewer?action=UPDATE&amp;creator=factset&amp;DYN_ARGS=TRUE&amp;DOC_NAME=FAT:FQL_AUDITING_CLIENT_TEMPLATE.FAT&amp;display_string=Audit&amp;VAR:KEY=SXKNWPCHIT&amp;VAR:QUERY=RkZfRklOX0FTU0VUU19JTVBBSVIoQU5OX1IsNDA3MTgsLCxSRixHQlAp&amp;WINDOW=FIRST_POPUP&amp;HEIGHT=45","0&amp;WIDTH=450&amp;START_MAXIMIZED=FALSE&amp;VAR:CALENDAR=FIVEDAY&amp;VAR:SYMBOL=07330X10&amp;VAR:INDEX=0"}</definedName>
    <definedName name="_1565__FDSAUDITLINK__" localSheetId="34">{"fdsup://directions/FAT Viewer?action=UPDATE&amp;creator=factset&amp;DYN_ARGS=TRUE&amp;DOC_NAME=FAT:FQL_AUDITING_CLIENT_TEMPLATE.FAT&amp;display_string=Audit&amp;VAR:KEY=MRCBWBITAD&amp;VAR:QUERY=RkZfRklOX0FTU0VUU19JTVBBSVIoQU5OX1IsNDA3MTgtMVksLCxSRixHQlAp&amp;WINDOW=FIRST_POPUP&amp;HEIGH","T=450&amp;WIDTH=450&amp;START_MAXIMIZED=FALSE&amp;VAR:CALENDAR=FIVEDAY&amp;VAR:SYMBOL=07330X10&amp;VAR:INDEX=0"}</definedName>
    <definedName name="_1565__FDSAUDITLINK__" localSheetId="27">{"fdsup://directions/FAT Viewer?action=UPDATE&amp;creator=factset&amp;DYN_ARGS=TRUE&amp;DOC_NAME=FAT:FQL_AUDITING_CLIENT_TEMPLATE.FAT&amp;display_string=Audit&amp;VAR:KEY=MRCBWBITAD&amp;VAR:QUERY=RkZfRklOX0FTU0VUU19JTVBBSVIoQU5OX1IsNDA3MTgtMVksLCxSRixHQlAp&amp;WINDOW=FIRST_POPUP&amp;HEIGH","T=450&amp;WIDTH=450&amp;START_MAXIMIZED=FALSE&amp;VAR:CALENDAR=FIVEDAY&amp;VAR:SYMBOL=07330X10&amp;VAR:INDEX=0"}</definedName>
    <definedName name="_1566__FDSAUDITLINK__" localSheetId="34">{"fdsup://directions/FAT Viewer?action=UPDATE&amp;creator=factset&amp;DYN_ARGS=TRUE&amp;DOC_NAME=FAT:FQL_AUDITING_CLIENT_TEMPLATE.FAT&amp;display_string=Audit&amp;VAR:KEY=ELGNMHCVWH&amp;VAR:QUERY=RkZfSU1QQUlSX1BQRShBTk5fUiw0MDcxOCwsLFJGLEdCUCk=&amp;WINDOW=FIRST_POPUP&amp;HEIGHT=450&amp;WIDTH=","450&amp;START_MAXIMIZED=FALSE&amp;VAR:CALENDAR=FIVEDAY&amp;VAR:SYMBOL=07330X10&amp;VAR:INDEX=0"}</definedName>
    <definedName name="_1566__FDSAUDITLINK__" localSheetId="27">{"fdsup://directions/FAT Viewer?action=UPDATE&amp;creator=factset&amp;DYN_ARGS=TRUE&amp;DOC_NAME=FAT:FQL_AUDITING_CLIENT_TEMPLATE.FAT&amp;display_string=Audit&amp;VAR:KEY=ELGNMHCVWH&amp;VAR:QUERY=RkZfSU1QQUlSX1BQRShBTk5fUiw0MDcxOCwsLFJGLEdCUCk=&amp;WINDOW=FIRST_POPUP&amp;HEIGHT=450&amp;WIDTH=","450&amp;START_MAXIMIZED=FALSE&amp;VAR:CALENDAR=FIVEDAY&amp;VAR:SYMBOL=07330X10&amp;VAR:INDEX=0"}</definedName>
    <definedName name="_1567__FDSAUDITLINK__" localSheetId="34">{"fdsup://directions/FAT Viewer?action=UPDATE&amp;creator=factset&amp;DYN_ARGS=TRUE&amp;DOC_NAME=FAT:FQL_AUDITING_CLIENT_TEMPLATE.FAT&amp;display_string=Audit&amp;VAR:KEY=KTYZUREBWN&amp;VAR:QUERY=RkZfSU1QQUlSX1BQRShBTk5fUiw0MDcxOC0xWSwsLFJGLEdCUCk=&amp;WINDOW=FIRST_POPUP&amp;HEIGHT=450&amp;WI","DTH=450&amp;START_MAXIMIZED=FALSE&amp;VAR:CALENDAR=FIVEDAY&amp;VAR:SYMBOL=07330X10&amp;VAR:INDEX=0"}</definedName>
    <definedName name="_1567__FDSAUDITLINK__" localSheetId="27">{"fdsup://directions/FAT Viewer?action=UPDATE&amp;creator=factset&amp;DYN_ARGS=TRUE&amp;DOC_NAME=FAT:FQL_AUDITING_CLIENT_TEMPLATE.FAT&amp;display_string=Audit&amp;VAR:KEY=KTYZUREBWN&amp;VAR:QUERY=RkZfSU1QQUlSX1BQRShBTk5fUiw0MDcxOC0xWSwsLFJGLEdCUCk=&amp;WINDOW=FIRST_POPUP&amp;HEIGHT=450&amp;WI","DTH=450&amp;START_MAXIMIZED=FALSE&amp;VAR:CALENDAR=FIVEDAY&amp;VAR:SYMBOL=07330X10&amp;VAR:INDEX=0"}</definedName>
    <definedName name="_1568__FDSAUDITLINK__" localSheetId="34">{"fdsup://directions/FAT Viewer?action=UPDATE&amp;creator=factset&amp;DYN_ARGS=TRUE&amp;DOC_NAME=FAT:FQL_AUDITING_CLIENT_TEMPLATE.FAT&amp;display_string=Audit&amp;VAR:KEY=QDSHWVKXEL&amp;VAR:QUERY=KChGRl9ERUJUKFFUUiw0MDcxOCwsLCxVU0QpQEZGX0RFQlQoU0VNSSw0MDcxOCwsLCxVU0QpKUBGRl9ERUJUK","EFOTl9SLDQwNzE4LCwsLFVTRCkp&amp;WINDOW=FIRST_POPUP&amp;HEIGHT=450&amp;WIDTH=450&amp;START_MAXIMIZED=FALSE&amp;VAR:CALENDAR=FIVEDAY&amp;VAR:SYMBOL=80669310&amp;VAR:INDEX=0"}</definedName>
    <definedName name="_1568__FDSAUDITLINK__" localSheetId="27">{"fdsup://directions/FAT Viewer?action=UPDATE&amp;creator=factset&amp;DYN_ARGS=TRUE&amp;DOC_NAME=FAT:FQL_AUDITING_CLIENT_TEMPLATE.FAT&amp;display_string=Audit&amp;VAR:KEY=QDSHWVKXEL&amp;VAR:QUERY=KChGRl9ERUJUKFFUUiw0MDcxOCwsLCxVU0QpQEZGX0RFQlQoU0VNSSw0MDcxOCwsLCxVU0QpKUBGRl9ERUJUK","EFOTl9SLDQwNzE4LCwsLFVTRCkp&amp;WINDOW=FIRST_POPUP&amp;HEIGHT=450&amp;WIDTH=450&amp;START_MAXIMIZED=FALSE&amp;VAR:CALENDAR=FIVEDAY&amp;VAR:SYMBOL=80669310&amp;VAR:INDEX=0"}</definedName>
    <definedName name="_1569__FDSAUDITLINK__" localSheetId="34">{"fdsup://Directions/FactSet Auditing Viewer?action=AUDIT_VALUE&amp;DB=129&amp;ID1=80669310&amp;VALUEID=01250&amp;SDATE=2008&amp;PERIODTYPE=ANNR_STD&amp;SCFT=3&amp;window=popup_no_bar&amp;width=385&amp;height=120&amp;START_MAXIMIZED=FALSE&amp;creator=factset&amp;display_string=Audit"}</definedName>
    <definedName name="_1569__FDSAUDITLINK__" localSheetId="27">{"fdsup://Directions/FactSet Auditing Viewer?action=AUDIT_VALUE&amp;DB=129&amp;ID1=80669310&amp;VALUEID=01250&amp;SDATE=2008&amp;PERIODTYPE=ANNR_STD&amp;SCFT=3&amp;window=popup_no_bar&amp;width=385&amp;height=120&amp;START_MAXIMIZED=FALSE&amp;creator=factset&amp;display_string=Audit"}</definedName>
    <definedName name="_1570__FDSAUDITLINK__" localSheetId="34">{"fdsup://Directions/FactSet Auditing Viewer?action=AUDIT_VALUE&amp;DB=129&amp;ID1=80669310&amp;VALUEID=01001&amp;SDATE=2008&amp;PERIODTYPE=ANNR_STD&amp;SCFT=3&amp;window=popup_no_bar&amp;width=385&amp;height=120&amp;START_MAXIMIZED=FALSE&amp;creator=factset&amp;display_string=Audit"}</definedName>
    <definedName name="_1570__FDSAUDITLINK__" localSheetId="27">{"fdsup://Directions/FactSet Auditing Viewer?action=AUDIT_VALUE&amp;DB=129&amp;ID1=80669310&amp;VALUEID=01001&amp;SDATE=2008&amp;PERIODTYPE=ANNR_STD&amp;SCFT=3&amp;window=popup_no_bar&amp;width=385&amp;height=120&amp;START_MAXIMIZED=FALSE&amp;creator=factset&amp;display_string=Audit"}</definedName>
    <definedName name="_1571__FDSAUDITLINK__" localSheetId="34">{"fdsup://Directions/FactSet Auditing Viewer?action=AUDIT_VALUE&amp;DB=129&amp;ID1=67060Y10&amp;VALUEID=01250&amp;SDATE=2009&amp;PERIODTYPE=ANNR_STD&amp;SCFT=3&amp;window=popup_no_bar&amp;width=385&amp;height=120&amp;START_MAXIMIZED=FALSE&amp;creator=factset&amp;display_string=Audit"}</definedName>
    <definedName name="_1571__FDSAUDITLINK__" localSheetId="27">{"fdsup://Directions/FactSet Auditing Viewer?action=AUDIT_VALUE&amp;DB=129&amp;ID1=67060Y10&amp;VALUEID=01250&amp;SDATE=2009&amp;PERIODTYPE=ANNR_STD&amp;SCFT=3&amp;window=popup_no_bar&amp;width=385&amp;height=120&amp;START_MAXIMIZED=FALSE&amp;creator=factset&amp;display_string=Audit"}</definedName>
    <definedName name="_1572__FDSAUDITLINK__" localSheetId="34">{"fdsup://Directions/FactSet Auditing Viewer?action=AUDIT_VALUE&amp;DB=129&amp;ID1=67060Y10&amp;VALUEID=01001&amp;SDATE=2009&amp;PERIODTYPE=ANNR_STD&amp;SCFT=3&amp;window=popup_no_bar&amp;width=385&amp;height=120&amp;START_MAXIMIZED=FALSE&amp;creator=factset&amp;display_string=Audit"}</definedName>
    <definedName name="_1572__FDSAUDITLINK__" localSheetId="27">{"fdsup://Directions/FactSet Auditing Viewer?action=AUDIT_VALUE&amp;DB=129&amp;ID1=67060Y10&amp;VALUEID=01001&amp;SDATE=2009&amp;PERIODTYPE=ANNR_STD&amp;SCFT=3&amp;window=popup_no_bar&amp;width=385&amp;height=120&amp;START_MAXIMIZED=FALSE&amp;creator=factset&amp;display_string=Audit"}</definedName>
    <definedName name="_1573__FDSAUDITLINK__" localSheetId="34">{"fdsup://Directions/FactSet Auditing Viewer?action=AUDIT_VALUE&amp;DB=129&amp;ID1=41131010&amp;VALUEID=01250&amp;SDATE=2010&amp;PERIODTYPE=ANNR_STD&amp;SCFT=3&amp;window=popup_no_bar&amp;width=385&amp;height=120&amp;START_MAXIMIZED=FALSE&amp;creator=factset&amp;display_string=Audit"}</definedName>
    <definedName name="_1573__FDSAUDITLINK__" localSheetId="27">{"fdsup://Directions/FactSet Auditing Viewer?action=AUDIT_VALUE&amp;DB=129&amp;ID1=41131010&amp;VALUEID=01250&amp;SDATE=2010&amp;PERIODTYPE=ANNR_STD&amp;SCFT=3&amp;window=popup_no_bar&amp;width=385&amp;height=120&amp;START_MAXIMIZED=FALSE&amp;creator=factset&amp;display_string=Audit"}</definedName>
    <definedName name="_1574__FDSAUDITLINK__" localSheetId="34">{"fdsup://Directions/FactSet Auditing Viewer?action=AUDIT_VALUE&amp;DB=129&amp;ID1=41131010&amp;VALUEID=01250&amp;SDATE=2009&amp;PERIODTYPE=ANNR_STD&amp;SCFT=3&amp;window=popup_no_bar&amp;width=385&amp;height=120&amp;START_MAXIMIZED=FALSE&amp;creator=factset&amp;display_string=Audit"}</definedName>
    <definedName name="_1574__FDSAUDITLINK__" localSheetId="27">{"fdsup://Directions/FactSet Auditing Viewer?action=AUDIT_VALUE&amp;DB=129&amp;ID1=41131010&amp;VALUEID=01250&amp;SDATE=2009&amp;PERIODTYPE=ANNR_STD&amp;SCFT=3&amp;window=popup_no_bar&amp;width=385&amp;height=120&amp;START_MAXIMIZED=FALSE&amp;creator=factset&amp;display_string=Audit"}</definedName>
    <definedName name="_1575__FDSAUDITLINK__" localSheetId="34">{"fdsup://Directions/FactSet Auditing Viewer?action=AUDIT_VALUE&amp;DB=129&amp;ID1=41131010&amp;VALUEID=01001&amp;SDATE=2010&amp;PERIODTYPE=ANNR_STD&amp;SCFT=3&amp;window=popup_no_bar&amp;width=385&amp;height=120&amp;START_MAXIMIZED=FALSE&amp;creator=factset&amp;display_string=Audit"}</definedName>
    <definedName name="_1575__FDSAUDITLINK__" localSheetId="27">{"fdsup://Directions/FactSet Auditing Viewer?action=AUDIT_VALUE&amp;DB=129&amp;ID1=41131010&amp;VALUEID=01001&amp;SDATE=2010&amp;PERIODTYPE=ANNR_STD&amp;SCFT=3&amp;window=popup_no_bar&amp;width=385&amp;height=120&amp;START_MAXIMIZED=FALSE&amp;creator=factset&amp;display_string=Audit"}</definedName>
    <definedName name="_1576__FDSAUDITLINK__" localSheetId="34">{"fdsup://Directions/FactSet Auditing Viewer?action=AUDIT_VALUE&amp;DB=129&amp;ID1=41131010&amp;VALUEID=01001&amp;SDATE=2009&amp;PERIODTYPE=ANNR_STD&amp;SCFT=3&amp;window=popup_no_bar&amp;width=385&amp;height=120&amp;START_MAXIMIZED=FALSE&amp;creator=factset&amp;display_string=Audit"}</definedName>
    <definedName name="_1576__FDSAUDITLINK__" localSheetId="27">{"fdsup://Directions/FactSet Auditing Viewer?action=AUDIT_VALUE&amp;DB=129&amp;ID1=41131010&amp;VALUEID=01001&amp;SDATE=2009&amp;PERIODTYPE=ANNR_STD&amp;SCFT=3&amp;window=popup_no_bar&amp;width=385&amp;height=120&amp;START_MAXIMIZED=FALSE&amp;creator=factset&amp;display_string=Audit"}</definedName>
    <definedName name="_1577__FDSAUDITLINK__" localSheetId="34">{"fdsup://directions/FAT Viewer?action=UPDATE&amp;creator=factset&amp;DYN_ARGS=TRUE&amp;DOC_NAME=FAT:FQL_AUDITING_CLIENT_TEMPLATE.FAT&amp;display_string=Audit&amp;VAR:KEY=CBWFOVKLGH&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36191G10&amp;VAR:INDEX=0"}</definedName>
    <definedName name="_1577__FDSAUDITLINK__" localSheetId="27">{"fdsup://directions/FAT Viewer?action=UPDATE&amp;creator=factset&amp;DYN_ARGS=TRUE&amp;DOC_NAME=FAT:FQL_AUDITING_CLIENT_TEMPLATE.FAT&amp;display_string=Audit&amp;VAR:KEY=CBWFOVKLGH&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36191G10&amp;VAR:INDEX=0"}</definedName>
    <definedName name="_1578__FDSAUDITLINK__" localSheetId="34">{"fdsup://directions/FAT Viewer?action=UPDATE&amp;creator=factset&amp;DYN_ARGS=TRUE&amp;DOC_NAME=FAT:FQL_AUDITING_CLIENT_TEMPLATE.FAT&amp;display_string=Audit&amp;VAR:KEY=CTYRUXWZOL&amp;VAR:QUERY=RkZfQVNTRVRTX0NVUlIoQU5OX1IsNDA3MTgsLCxSRiwpLUZGX0NBU0hfU1QoQU5OX1IsNDA3MTgsLCxSRiwpL","UZGX0xJQUJTX0NVUlIoQU5OX1IsNDA3MTgsLCxSRiwpK0ZGX0RFQlRfU1QoQU5OX1IsNDA3MTgsLCxSRiwp&amp;WINDOW=FIRST_POPUP&amp;HEIGHT=450&amp;WIDTH=450&amp;START_MAXIMIZED=FALSE&amp;VAR:CALENDAR=FIVEDAY&amp;VAR:SYMBOL=0&amp;VAR:INDEX=0"}</definedName>
    <definedName name="_1578__FDSAUDITLINK__" localSheetId="27">{"fdsup://directions/FAT Viewer?action=UPDATE&amp;creator=factset&amp;DYN_ARGS=TRUE&amp;DOC_NAME=FAT:FQL_AUDITING_CLIENT_TEMPLATE.FAT&amp;display_string=Audit&amp;VAR:KEY=CTYRUXWZOL&amp;VAR:QUERY=RkZfQVNTRVRTX0NVUlIoQU5OX1IsNDA3MTgsLCxSRiwpLUZGX0NBU0hfU1QoQU5OX1IsNDA3MTgsLCxSRiwpL","UZGX0xJQUJTX0NVUlIoQU5OX1IsNDA3MTgsLCxSRiwpK0ZGX0RFQlRfU1QoQU5OX1IsNDA3MTgsLCxSRiwp&amp;WINDOW=FIRST_POPUP&amp;HEIGHT=450&amp;WIDTH=450&amp;START_MAXIMIZED=FALSE&amp;VAR:CALENDAR=FIVEDAY&amp;VAR:SYMBOL=0&amp;VAR:INDEX=0"}</definedName>
    <definedName name="_1579__FDSAUDITLINK__" localSheetId="34">{"fdsup://directions/FAT Viewer?action=UPDATE&amp;creator=factset&amp;DYN_ARGS=TRUE&amp;DOC_NAME=FAT:FQL_AUDITING_CLIENT_TEMPLATE.FAT&amp;display_string=Audit&amp;VAR:KEY=GJARMHYRUR&amp;VAR:QUERY=RkZfQVNTRVRTX0NVUlIoQU5OX1IsNDA2OTAtMVksLCxSRixVU0QpLUZGX0NBU0hfU1QoQU5OX1IsNDA2OTAtM","VksLCxSRixVU0QpLUZGX0xJQUJTX0NVUlIoQU5OX1IsNDA2OTAtMVksLCxSRixVU0QpK0ZGX0RFQlRfU1QoQU5OX1IsNDA2OTAtMVksLCxSRixVU0Qp&amp;WINDOW=FIRST_POPUP&amp;HEIGHT=450&amp;WIDTH=450&amp;START_MAXIMIZED=FALSE&amp;VAR:CALENDAR=FIVEDAY&amp;VAR:SYMBOL=80669310&amp;VAR:INDEX=0"}</definedName>
    <definedName name="_1579__FDSAUDITLINK__" localSheetId="27">{"fdsup://directions/FAT Viewer?action=UPDATE&amp;creator=factset&amp;DYN_ARGS=TRUE&amp;DOC_NAME=FAT:FQL_AUDITING_CLIENT_TEMPLATE.FAT&amp;display_string=Audit&amp;VAR:KEY=GJARMHYRUR&amp;VAR:QUERY=RkZfQVNTRVRTX0NVUlIoQU5OX1IsNDA2OTAtMVksLCxSRixVU0QpLUZGX0NBU0hfU1QoQU5OX1IsNDA2OTAtM","VksLCxSRixVU0QpLUZGX0xJQUJTX0NVUlIoQU5OX1IsNDA2OTAtMVksLCxSRixVU0QpK0ZGX0RFQlRfU1QoQU5OX1IsNDA2OTAtMVksLCxSRixVU0Qp&amp;WINDOW=FIRST_POPUP&amp;HEIGHT=450&amp;WIDTH=450&amp;START_MAXIMIZED=FALSE&amp;VAR:CALENDAR=FIVEDAY&amp;VAR:SYMBOL=80669310&amp;VAR:INDEX=0"}</definedName>
    <definedName name="_1580__FDSAUDITLINK__" localSheetId="34">{"fdsup://directions/FAT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580__FDSAUDITLINK__" localSheetId="27">{"fdsup://directions/FAT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581__FDSAUDITLINK__" localSheetId="34">{"fdsup://directions/FAT Viewer?action=UPDATE&amp;creator=factset&amp;DYN_ARGS=TRUE&amp;DOC_NAME=FAT:FQL_AUDITING_CLIENT_TEMPLATE.FAT&amp;display_string=Audit&amp;VAR:KEY=WXGFSZUVGN&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69511310&amp;VAR:INDEX=0"}</definedName>
    <definedName name="_1581__FDSAUDITLINK__" localSheetId="27">{"fdsup://directions/FAT Viewer?action=UPDATE&amp;creator=factset&amp;DYN_ARGS=TRUE&amp;DOC_NAME=FAT:FQL_AUDITING_CLIENT_TEMPLATE.FAT&amp;display_string=Audit&amp;VAR:KEY=WXGFSZUVGN&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69511310&amp;VAR:INDEX=0"}</definedName>
    <definedName name="_1582__FDSAUDITLINK__" localSheetId="34">{"fdsup://directions/FAT Viewer?action=UPDATE&amp;creator=factset&amp;DYN_ARGS=TRUE&amp;DOC_NAME=FAT:FQL_AUDITING_CLIENT_TEMPLATE.FAT&amp;display_string=Audit&amp;VAR:KEY=GJAPYNQXQP&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41131010&amp;VAR:INDEX=0"}</definedName>
    <definedName name="_1582__FDSAUDITLINK__" localSheetId="27">{"fdsup://directions/FAT Viewer?action=UPDATE&amp;creator=factset&amp;DYN_ARGS=TRUE&amp;DOC_NAME=FAT:FQL_AUDITING_CLIENT_TEMPLATE.FAT&amp;display_string=Audit&amp;VAR:KEY=GJAPYNQXQP&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41131010&amp;VAR:INDEX=0"}</definedName>
    <definedName name="_1583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83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84__FDSAUDITLINK__" localSheetId="34">{"fdsup://directions/FAT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84__FDSAUDITLINK__" localSheetId="27">{"fdsup://directions/FAT Viewer?action=UPDATE&amp;creator=factset&amp;DYN_ARGS=TRUE&amp;DOC_NAME=FAT:FQL_AUDITING_CLIENT_TEMPLATE.FAT&amp;display_string=Audit&amp;VAR:KEY=VWVYDKHGFE&amp;VAR:QUERY=KEZGX0FTU0VUU19DVVJSKEFOTl9SLDQwNjQxLCwsUkYsKUBGRl9BU1NFVFNfQ1VSUihBTk5fUiwwLCwsUkYsK","SktKEZGX0NBU0hfU1QoQU5OX1IsNDA2NDEsLCxSRiwpQEZGX0NBU0hfU1QoQU5OX1IsMCwsLFJGLCkpLShGRl9MSUFCU19DVVJSKEFOTl9SLDQwNjQxLCwsUkYsKUBGRl9MSUFCU19DVVJSKEFOTl9SLDAsLCxSRiwpKSsoRkZfREVCVF9TVChBTk5fUiw0MDY0MSwsLFJGLClARkZfREVCVF9TVChBTk5fUiwwLCwsUkYsKSk=&amp;WINDOW=FIRS","T_POPUP&amp;HEIGHT=450&amp;WIDTH=450&amp;START_MAXIMIZED=FALSE&amp;VAR:CALENDAR=FIVEDAY&amp;VAR:SYMBOL=0&amp;VAR:INDEX=0"}</definedName>
    <definedName name="_1585__FDSAUDITLINK__" localSheetId="34">{"fdsup://directions/FAT Viewer?action=UPDATE&amp;creator=factset&amp;DYN_ARGS=TRUE&amp;DOC_NAME=FAT:FQL_AUDITING_CLIENT_TEMPLATE.FAT&amp;display_string=Audit&amp;VAR:KEY=SXMHMDSL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23307830&amp;VAR:INDEX=0"}</definedName>
    <definedName name="_1585__FDSAUDITLINK__" localSheetId="27">{"fdsup://directions/FAT Viewer?action=UPDATE&amp;creator=factset&amp;DYN_ARGS=TRUE&amp;DOC_NAME=FAT:FQL_AUDITING_CLIENT_TEMPLATE.FAT&amp;display_string=Audit&amp;VAR:KEY=SXMHMDSL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23307830&amp;VAR:INDEX=0"}</definedName>
    <definedName name="_1586__FDSAUDITLINK__" localSheetId="34">{"fdsup://directions/FAT Viewer?action=UPDATE&amp;creator=factset&amp;DYN_ARGS=TRUE&amp;DOC_NAME=FAT:FQL_AUDITING_CLIENT_TEMPLATE.FAT&amp;display_string=Audit&amp;VAR:KEY=OXGHYZMB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30250Q10&amp;VAR:INDEX=0"}</definedName>
    <definedName name="_1586__FDSAUDITLINK__" localSheetId="27">{"fdsup://directions/FAT Viewer?action=UPDATE&amp;creator=factset&amp;DYN_ARGS=TRUE&amp;DOC_NAME=FAT:FQL_AUDITING_CLIENT_TEMPLATE.FAT&amp;display_string=Audit&amp;VAR:KEY=OXGHYZMBUD&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30250Q10&amp;VAR:INDEX=0"}</definedName>
    <definedName name="_1587__FDSAUDITLINK__" localSheetId="34">{"fdsup://directions/FAT Viewer?action=UPDATE&amp;creator=factset&amp;DYN_ARGS=TRUE&amp;DOC_NAME=FAT:FQL_AUDITING_CLIENT_TEMPLATE.FAT&amp;display_string=Audit&amp;VAR:KEY=MBKPANOJKN&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84918P10&amp;VAR:INDEX=0"}</definedName>
    <definedName name="_1587__FDSAUDITLINK__" localSheetId="27">{"fdsup://directions/FAT Viewer?action=UPDATE&amp;creator=factset&amp;DYN_ARGS=TRUE&amp;DOC_NAME=FAT:FQL_AUDITING_CLIENT_TEMPLATE.FAT&amp;display_string=Audit&amp;VAR:KEY=MBKPANOJKN&amp;VAR:QUERY=RkZfQVNTRVRTX0NVUlIoQU5OX1IsNDA3MTgtMVksLCxSRixVU0QpLUZGX0NBU0hfU1QoQU5OX1IsNDA3MTgtM","VksLCxSRixVU0QpLUZGX0xJQUJTX0NVUlIoQU5OX1IsNDA3MTgtMVksLCxSRixVU0QpK0ZGX0RFQlRfU1QoQU5OX1IsNDA3MTgtMVksLCxSRixVU0Qp&amp;WINDOW=FIRST_POPUP&amp;HEIGHT=450&amp;WIDTH=450&amp;START_MAXIMIZED=FALSE&amp;VAR:CALENDAR=FIVEDAY&amp;VAR:SYMBOL=84918P10&amp;VAR:INDEX=0"}</definedName>
    <definedName name="_1588__FDSAUDITLINK__" localSheetId="34">{"fdsup://directions/FAT Viewer?action=UPDATE&amp;creator=factset&amp;DYN_ARGS=TRUE&amp;DOC_NAME=FAT:FQL_AUDITING_CLIENT_TEMPLATE.FAT&amp;display_string=Audit&amp;VAR:KEY=LQFCDWFGV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047715&amp;VAR:INDEX=0"}</definedName>
    <definedName name="_1588__FDSAUDITLINK__" localSheetId="27">{"fdsup://directions/FAT Viewer?action=UPDATE&amp;creator=factset&amp;DYN_ARGS=TRUE&amp;DOC_NAME=FAT:FQL_AUDITING_CLIENT_TEMPLATE.FAT&amp;display_string=Audit&amp;VAR:KEY=LQFCDWFGVQ&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047715&amp;VAR:INDEX=0"}</definedName>
    <definedName name="_1589__FDSAUDITLINK__" localSheetId="34">{"fdsup://directions/FAT Viewer?action=UPDATE&amp;creator=factset&amp;DYN_ARGS=TRUE&amp;DOC_NAME=FAT:FQL_AUDITING_CLIENT_TEMPLATE.FAT&amp;display_string=Audit&amp;VAR:KEY=IVEPCPSXOZ&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92847A20&amp;VAR:INDEX=0"}</definedName>
    <definedName name="_1589__FDSAUDITLINK__" localSheetId="27">{"fdsup://directions/FAT Viewer?action=UPDATE&amp;creator=factset&amp;DYN_ARGS=TRUE&amp;DOC_NAME=FAT:FQL_AUDITING_CLIENT_TEMPLATE.FAT&amp;display_string=Audit&amp;VAR:KEY=IVEPCPSXOZ&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92847A20&amp;VAR:INDEX=0"}</definedName>
    <definedName name="_1590__FDSAUDITLINK__" localSheetId="34">{"fdsup://directions/FAT Viewer?action=UPDATE&amp;creator=factset&amp;DYN_ARGS=TRUE&amp;DOC_NAME=FAT:FQL_AUDITING_CLIENT_TEMPLATE.FAT&amp;display_string=Audit&amp;VAR:KEY=OHOHAVIJ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67060Y10&amp;VAR:INDEX=0"}</definedName>
    <definedName name="_1590__FDSAUDITLINK__" localSheetId="27">{"fdsup://directions/FAT Viewer?action=UPDATE&amp;creator=factset&amp;DYN_ARGS=TRUE&amp;DOC_NAME=FAT:FQL_AUDITING_CLIENT_TEMPLATE.FAT&amp;display_string=Audit&amp;VAR:KEY=OHOHAVIJ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67060Y10&amp;VAR:INDEX=0"}</definedName>
    <definedName name="_1591__FDSAUDITLINK__" localSheetId="34">{"fdsup://directions/FAT Viewer?action=UPDATE&amp;creator=factset&amp;DYN_ARGS=TRUE&amp;DOC_NAME=FAT:FQL_AUDITING_CLIENT_TEMPLATE.FAT&amp;display_string=Audit&amp;VAR:KEY=GTEXCXEBGF&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69511310&amp;VAR:INDEX=0"}</definedName>
    <definedName name="_1591__FDSAUDITLINK__" localSheetId="27">{"fdsup://directions/FAT Viewer?action=UPDATE&amp;creator=factset&amp;DYN_ARGS=TRUE&amp;DOC_NAME=FAT:FQL_AUDITING_CLIENT_TEMPLATE.FAT&amp;display_string=Audit&amp;VAR:KEY=GTEXCXEBGF&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69511310&amp;VAR:INDEX=0"}</definedName>
    <definedName name="_1592__FDSAUDITLINK__" localSheetId="34">{"fdsup://directions/FAT Viewer?action=UPDATE&amp;creator=factset&amp;DYN_ARGS=TRUE&amp;DOC_NAME=FAT:FQL_AUDITING_CLIENT_TEMPLATE.FAT&amp;display_string=Audit&amp;VAR:KEY=IXQLSRAHUZ&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41131010&amp;VAR:INDEX=0"}</definedName>
    <definedName name="_1592__FDSAUDITLINK__" localSheetId="27">{"fdsup://directions/FAT Viewer?action=UPDATE&amp;creator=factset&amp;DYN_ARGS=TRUE&amp;DOC_NAME=FAT:FQL_AUDITING_CLIENT_TEMPLATE.FAT&amp;display_string=Audit&amp;VAR:KEY=IXQLSRAHUZ&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41131010&amp;VAR:INDEX=0"}</definedName>
    <definedName name="_1593__FDSAUDITLINK__" localSheetId="34">{"fdsup://directions/FAT Viewer?action=UPDATE&amp;creator=factset&amp;DYN_ARGS=TRUE&amp;DOC_NAME=FAT:FQL_AUDITING_CLIENT_TEMPLATE.FAT&amp;display_string=Audit&amp;VAR:KEY=HMFWVCDOPK&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B1P6ZR&amp;VAR:INDEX=0"}</definedName>
    <definedName name="_1593__FDSAUDITLINK__" localSheetId="27">{"fdsup://directions/FAT Viewer?action=UPDATE&amp;creator=factset&amp;DYN_ARGS=TRUE&amp;DOC_NAME=FAT:FQL_AUDITING_CLIENT_TEMPLATE.FAT&amp;display_string=Audit&amp;VAR:KEY=HMFWVCDOPK&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B1P6ZR&amp;VAR:INDEX=0"}</definedName>
    <definedName name="_1594__FDSAUDITLINK__" localSheetId="34">{"fdsup://directions/FAT Viewer?action=UPDATE&amp;creator=factset&amp;DYN_ARGS=TRUE&amp;DOC_NAME=FAT:FQL_AUDITING_CLIENT_TEMPLATE.FAT&amp;display_string=Audit&amp;VAR:KEY=WRSNKDSR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91543M10&amp;VAR:INDEX=0"}</definedName>
    <definedName name="_1594__FDSAUDITLINK__" localSheetId="27">{"fdsup://directions/FAT Viewer?action=UPDATE&amp;creator=factset&amp;DYN_ARGS=TRUE&amp;DOC_NAME=FAT:FQL_AUDITING_CLIENT_TEMPLATE.FAT&amp;display_string=Audit&amp;VAR:KEY=WRSNKDSR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91543M10&amp;VAR:INDEX=0"}</definedName>
    <definedName name="_1595__FDSAUDITLINK__" localSheetId="34">{"fdsup://directions/FAT Viewer?action=UPDATE&amp;creator=factset&amp;DYN_ARGS=TRUE&amp;DOC_NAME=FAT:FQL_AUDITING_CLIENT_TEMPLATE.FAT&amp;display_string=Audit&amp;VAR:KEY=GNMXOBCZ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23307830&amp;VAR:INDEX=0"}</definedName>
    <definedName name="_1595__FDSAUDITLINK__" localSheetId="27">{"fdsup://directions/FAT Viewer?action=UPDATE&amp;creator=factset&amp;DYN_ARGS=TRUE&amp;DOC_NAME=FAT:FQL_AUDITING_CLIENT_TEMPLATE.FAT&amp;display_string=Audit&amp;VAR:KEY=GNMXOBCZQX&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23307830&amp;VAR:INDEX=0"}</definedName>
    <definedName name="_1596__FDSAUDITLINK__" localSheetId="34">{"fdsup://directions/FAT Viewer?action=UPDATE&amp;creator=factset&amp;DYN_ARGS=TRUE&amp;DOC_NAME=FAT:FQL_AUDITING_CLIENT_TEMPLATE.FAT&amp;display_string=Audit&amp;VAR:KEY=GDYXMHGT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30250Q10&amp;VAR:INDEX=0"}</definedName>
    <definedName name="_1596__FDSAUDITLINK__" localSheetId="27">{"fdsup://directions/FAT Viewer?action=UPDATE&amp;creator=factset&amp;DYN_ARGS=TRUE&amp;DOC_NAME=FAT:FQL_AUDITING_CLIENT_TEMPLATE.FAT&amp;display_string=Audit&amp;VAR:KEY=GDYXMHGTA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30250Q10&amp;VAR:INDEX=0"}</definedName>
    <definedName name="_1597__FDSAUDITLINK__" localSheetId="34">{"fdsup://directions/FAT Viewer?action=UPDATE&amp;creator=factset&amp;DYN_ARGS=TRUE&amp;DOC_NAME=FAT:FQL_AUDITING_CLIENT_TEMPLATE.FAT&amp;display_string=Audit&amp;VAR:KEY=KBSRIDSHIT&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84918P10&amp;VAR:INDEX=0"}</definedName>
    <definedName name="_1597__FDSAUDITLINK__" localSheetId="27">{"fdsup://directions/FAT Viewer?action=UPDATE&amp;creator=factset&amp;DYN_ARGS=TRUE&amp;DOC_NAME=FAT:FQL_AUDITING_CLIENT_TEMPLATE.FAT&amp;display_string=Audit&amp;VAR:KEY=KBSRIDSHIT&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84918P10&amp;VAR:INDEX=0"}</definedName>
    <definedName name="_1598__FDSAUDITLINK__" localSheetId="34">{"fdsup://directions/FAT Viewer?action=UPDATE&amp;creator=factset&amp;DYN_ARGS=TRUE&amp;DOC_NAME=FAT:FQL_AUDITING_CLIENT_TEMPLATE.FAT&amp;display_string=Audit&amp;VAR:KEY=KTADWJWHY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07330X10&amp;VAR:INDEX=0"}</definedName>
    <definedName name="_1598__FDSAUDITLINK__" localSheetId="27">{"fdsup://directions/FAT Viewer?action=UPDATE&amp;creator=factset&amp;DYN_ARGS=TRUE&amp;DOC_NAME=FAT:FQL_AUDITING_CLIENT_TEMPLATE.FAT&amp;display_string=Audit&amp;VAR:KEY=KTADWJWHYD&amp;VAR:QUERY=RkZfQVNTRVRTX0NVUlIoQU5OX1IsNDA3MTgsLCxSRixVU0QpLUZGX0NBU0hfU1QoQU5OX1IsNDA3MTgsLCxSR","ixVU0QpLUZGX0xJQUJTX0NVUlIoQU5OX1IsNDA3MTgsLCxSRixVU0QpK0ZGX0RFQlRfU1QoQU5OX1IsNDA3MTgsLCxSRixVU0Qp&amp;WINDOW=FIRST_POPUP&amp;HEIGHT=450&amp;WIDTH=450&amp;START_MAXIMIZED=FALSE&amp;VAR:CALENDAR=FIVEDAY&amp;VAR:SYMBOL=07330X10&amp;VAR:INDEX=0"}</definedName>
    <definedName name="_1599__FDSAUDITLINK__" localSheetId="34">{"fdsup://directions/FAT Viewer?action=UPDATE&amp;creator=factset&amp;DYN_ARGS=TRUE&amp;DOC_NAME=FAT:FQL_AUDITING_CLIENT_TEMPLATE.FAT&amp;display_string=Audit&amp;VAR:KEY=WBSBUHYVSB&amp;VAR:QUERY=RkZfU0hMRFJTX0VRKEFOTl9SLDQwNzE4LCwsUkYsVVNEKQ==&amp;WINDOW=FIRST_POPUP&amp;HEIGHT=450&amp;WIDTH=","450&amp;START_MAXIMIZED=FALSE&amp;VAR:CALENDAR=FIVEDAY&amp;VAR:SYMBOL=92847A20&amp;VAR:INDEX=0"}</definedName>
    <definedName name="_1599__FDSAUDITLINK__" localSheetId="27">{"fdsup://directions/FAT Viewer?action=UPDATE&amp;creator=factset&amp;DYN_ARGS=TRUE&amp;DOC_NAME=FAT:FQL_AUDITING_CLIENT_TEMPLATE.FAT&amp;display_string=Audit&amp;VAR:KEY=WBSBUHYVSB&amp;VAR:QUERY=RkZfU0hMRFJTX0VRKEFOTl9SLDQwNzE4LCwsUkYsVVNEKQ==&amp;WINDOW=FIRST_POPUP&amp;HEIGHT=450&amp;WIDTH=","450&amp;START_MAXIMIZED=FALSE&amp;VAR:CALENDAR=FIVEDAY&amp;VAR:SYMBOL=92847A20&amp;VAR:INDEX=0"}</definedName>
    <definedName name="_1600__FDSAUDITLINK__" localSheetId="34">{"fdsup://directions/FAT Viewer?action=UPDATE&amp;creator=factset&amp;DYN_ARGS=TRUE&amp;DOC_NAME=FAT:FQL_AUDITING_CLIENT_TEMPLATE.FAT&amp;display_string=Audit&amp;VAR:KEY=ADUDIVOLY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91543M10&amp;VAR:INDEX=0"}</definedName>
    <definedName name="_1600__FDSAUDITLINK__" localSheetId="27">{"fdsup://directions/FAT Viewer?action=UPDATE&amp;creator=factset&amp;DYN_ARGS=TRUE&amp;DOC_NAME=FAT:FQL_AUDITING_CLIENT_TEMPLATE.FAT&amp;display_string=Audit&amp;VAR:KEY=ADUDIVOLYR&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91543M10&amp;VAR:INDEX=0"}</definedName>
    <definedName name="_1601__FDSAUDITLINK__" localSheetId="34">{"fdsup://directions/FAT Viewer?action=UPDATE&amp;creator=factset&amp;DYN_ARGS=TRUE&amp;DOC_NAME=FAT:FQL_AUDITING_CLIENT_TEMPLATE.FAT&amp;display_string=Audit&amp;VAR:KEY=ERKFGZWJK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23307830&amp;VAR:INDEX=0"}</definedName>
    <definedName name="_1601__FDSAUDITLINK__" localSheetId="27">{"fdsup://directions/FAT Viewer?action=UPDATE&amp;creator=factset&amp;DYN_ARGS=TRUE&amp;DOC_NAME=FAT:FQL_AUDITING_CLIENT_TEMPLATE.FAT&amp;display_string=Audit&amp;VAR:KEY=ERKFGZWJKH&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23307830&amp;VAR:INDEX=0"}</definedName>
    <definedName name="_1602__FDSAUDITLINK__" localSheetId="34">{"fdsup://directions/FAT Viewer?action=UPDATE&amp;creator=factset&amp;DYN_ARGS=TRUE&amp;DOC_NAME=FAT:FQL_AUDITING_CLIENT_TEMPLATE.FAT&amp;display_string=Audit&amp;VAR:KEY=OPGVUDUPQJ&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30250Q10&amp;VAR:INDEX=0"}</definedName>
    <definedName name="_1602__FDSAUDITLINK__" localSheetId="27">{"fdsup://directions/FAT Viewer?action=UPDATE&amp;creator=factset&amp;DYN_ARGS=TRUE&amp;DOC_NAME=FAT:FQL_AUDITING_CLIENT_TEMPLATE.FAT&amp;display_string=Audit&amp;VAR:KEY=OPGVUDUPQJ&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30250Q10&amp;VAR:INDEX=0"}</definedName>
    <definedName name="_1603__FDSAUDITLINK__" localSheetId="34">{"fdsup://directions/FAT Viewer?action=UPDATE&amp;creator=factset&amp;DYN_ARGS=TRUE&amp;DOC_NAME=FAT:FQL_AUDITING_CLIENT_TEMPLATE.FAT&amp;display_string=Audit&amp;VAR:KEY=GFUVELAPKV&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84918P10&amp;VAR:INDEX=0"}</definedName>
    <definedName name="_1603__FDSAUDITLINK__" localSheetId="27">{"fdsup://directions/FAT Viewer?action=UPDATE&amp;creator=factset&amp;DYN_ARGS=TRUE&amp;DOC_NAME=FAT:FQL_AUDITING_CLIENT_TEMPLATE.FAT&amp;display_string=Audit&amp;VAR:KEY=GFUVELAPKV&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84918P10&amp;VAR:INDEX=0"}</definedName>
    <definedName name="_1604__FDSAUDITLINK__" localSheetId="34">{"fdsup://directions/FAT Viewer?action=UPDATE&amp;creator=factset&amp;DYN_ARGS=TRUE&amp;DOC_NAME=FAT:FQL_AUDITING_CLIENT_TEMPLATE.FAT&amp;display_string=Audit&amp;VAR:KEY=QDKTANGRYX&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07330X10&amp;VAR:INDEX=0"}</definedName>
    <definedName name="_1604__FDSAUDITLINK__" localSheetId="27">{"fdsup://directions/FAT Viewer?action=UPDATE&amp;creator=factset&amp;DYN_ARGS=TRUE&amp;DOC_NAME=FAT:FQL_AUDITING_CLIENT_TEMPLATE.FAT&amp;display_string=Audit&amp;VAR:KEY=QDKTANGRYX&amp;VAR:QUERY=RkZfQVNTRVRTX0NVUlIoQU5OX1IsNDA3MTgtMVksLCxSRixHQlApLUZGX0NBU0hfU1QoQU5OX1IsNDA3MTgtM","VksLCxSRixHQlApLUZGX0xJQUJTX0NVUlIoQU5OX1IsNDA3MTgtMVksLCxSRixHQlApK0ZGX0RFQlRfU1QoQU5OX1IsNDA3MTgtMVksLCxSRixHQlAp&amp;WINDOW=FIRST_POPUP&amp;HEIGHT=450&amp;WIDTH=450&amp;START_MAXIMIZED=FALSE&amp;VAR:CALENDAR=FIVEDAY&amp;VAR:SYMBOL=07330X10&amp;VAR:INDEX=0"}</definedName>
    <definedName name="_1605__FDSAUDITLINK__" localSheetId="34">{"fdsup://directions/FAT Viewer?action=UPDATE&amp;creator=factset&amp;DYN_ARGS=TRUE&amp;DOC_NAME=FAT:FQL_AUDITING_CLIENT_TEMPLATE.FAT&amp;display_string=Audit&amp;VAR:KEY=KDIHAJQBYL&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92847A20&amp;VAR:INDEX=0"}</definedName>
    <definedName name="_1605__FDSAUDITLINK__" localSheetId="27">{"fdsup://directions/FAT Viewer?action=UPDATE&amp;creator=factset&amp;DYN_ARGS=TRUE&amp;DOC_NAME=FAT:FQL_AUDITING_CLIENT_TEMPLATE.FAT&amp;display_string=Audit&amp;VAR:KEY=KDIHAJQBYL&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92847A20&amp;VAR:INDEX=0"}</definedName>
    <definedName name="_1606__FDSAUDITLINK__" localSheetId="34">{"fdsup://directions/FAT Viewer?action=UPDATE&amp;creator=factset&amp;DYN_ARGS=TRUE&amp;DOC_NAME=FAT:FQL_AUDITING_CLIENT_TEMPLATE.FAT&amp;display_string=Audit&amp;VAR:KEY=QRONIRORSN&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84918P10&amp;VAR:INDEX=0"}</definedName>
    <definedName name="_1606__FDSAUDITLINK__" localSheetId="27">{"fdsup://directions/FAT Viewer?action=UPDATE&amp;creator=factset&amp;DYN_ARGS=TRUE&amp;DOC_NAME=FAT:FQL_AUDITING_CLIENT_TEMPLATE.FAT&amp;display_string=Audit&amp;VAR:KEY=QRONIRORSN&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84918P10&amp;VAR:INDEX=0"}</definedName>
    <definedName name="_1607__FDSAUDITLINK__" localSheetId="34">{"fdsup://directions/FAT Viewer?action=UPDATE&amp;creator=factset&amp;DYN_ARGS=TRUE&amp;DOC_NAME=FAT:FQL_AUDITING_CLIENT_TEMPLATE.FAT&amp;display_string=Audit&amp;VAR:KEY=OBQJSDKVWZ&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07330X10&amp;VAR:INDEX=0"}</definedName>
    <definedName name="_1607__FDSAUDITLINK__" localSheetId="27">{"fdsup://directions/FAT Viewer?action=UPDATE&amp;creator=factset&amp;DYN_ARGS=TRUE&amp;DOC_NAME=FAT:FQL_AUDITING_CLIENT_TEMPLATE.FAT&amp;display_string=Audit&amp;VAR:KEY=OBQJSDKVWZ&amp;VAR:QUERY=RkZfQVNTRVRTX0NVUlIoQU5OX1IsNDA3MTgsLCxSRixHQlApLUZGX0NBU0hfU1QoQU5OX1IsNDA3MTgsLCxSR","ixHQlApLUZGX0xJQUJTX0NVUlIoQU5OX1IsNDA3MTgsLCxSRixHQlApK0ZGX0RFQlRfU1QoQU5OX1IsNDA3MTgsLCxSRixHQlAp&amp;WINDOW=FIRST_POPUP&amp;HEIGHT=450&amp;WIDTH=450&amp;START_MAXIMIZED=FALSE&amp;VAR:CALENDAR=FIVEDAY&amp;VAR:SYMBOL=07330X10&amp;VAR:INDEX=0"}</definedName>
    <definedName name="_1608__FDSAUDITLINK__" localSheetId="34">{"fdsup://directions/FAT Viewer?action=UPDATE&amp;creator=factset&amp;DYN_ARGS=TRUE&amp;DOC_NAME=FAT:FQL_AUDITING_CLIENT_TEMPLATE.FAT&amp;display_string=Audit&amp;VAR:KEY=SVALEZQDUV&amp;VAR:QUERY=RkZfU0hMRFJTX0VRKEFOTl9SLDQwNzE4LCwsUkYsR0JQKQ==&amp;WINDOW=FIRST_POPUP&amp;HEIGHT=450&amp;WIDTH=","450&amp;START_MAXIMIZED=FALSE&amp;VAR:CALENDAR=FIVEDAY&amp;VAR:SYMBOL=92847A20&amp;VAR:INDEX=0"}</definedName>
    <definedName name="_1608__FDSAUDITLINK__" localSheetId="27">{"fdsup://directions/FAT Viewer?action=UPDATE&amp;creator=factset&amp;DYN_ARGS=TRUE&amp;DOC_NAME=FAT:FQL_AUDITING_CLIENT_TEMPLATE.FAT&amp;display_string=Audit&amp;VAR:KEY=SVALEZQDUV&amp;VAR:QUERY=RkZfU0hMRFJTX0VRKEFOTl9SLDQwNzE4LCwsUkYsR0JQKQ==&amp;WINDOW=FIRST_POPUP&amp;HEIGHT=450&amp;WIDTH=","450&amp;START_MAXIMIZED=FALSE&amp;VAR:CALENDAR=FIVEDAY&amp;VAR:SYMBOL=92847A20&amp;VAR:INDEX=0"}</definedName>
    <definedName name="_1609__FDSAUDITLINK__" localSheetId="34">{"fdsup://Directions/FactSet Auditing Viewer?action=AUDIT_VALUE&amp;DB=129&amp;ID1=80669310&amp;VALUEID=01451&amp;SDATE=2009&amp;PERIODTYPE=ANNR_STD&amp;SCFT=3&amp;window=popup_no_bar&amp;width=385&amp;height=120&amp;START_MAXIMIZED=FALSE&amp;creator=factset&amp;display_string=Audit"}</definedName>
    <definedName name="_1609__FDSAUDITLINK__" localSheetId="27">{"fdsup://Directions/FactSet Auditing Viewer?action=AUDIT_VALUE&amp;DB=129&amp;ID1=80669310&amp;VALUEID=01451&amp;SDATE=2009&amp;PERIODTYPE=ANNR_STD&amp;SCFT=3&amp;window=popup_no_bar&amp;width=385&amp;height=120&amp;START_MAXIMIZED=FALSE&amp;creator=factset&amp;display_string=Audit"}</definedName>
    <definedName name="_1610__FDSAUDITLINK__" localSheetId="34">{"fdsup://Directions/FactSet Auditing Viewer?action=AUDIT_VALUE&amp;DB=129&amp;ID1=80669310&amp;VALUEID=01401&amp;SDATE=2009&amp;PERIODTYPE=ANNR_STD&amp;SCFT=3&amp;window=popup_no_bar&amp;width=385&amp;height=120&amp;START_MAXIMIZED=FALSE&amp;creator=factset&amp;display_string=Audit"}</definedName>
    <definedName name="_1610__FDSAUDITLINK__" localSheetId="27">{"fdsup://Directions/FactSet Auditing Viewer?action=AUDIT_VALUE&amp;DB=129&amp;ID1=80669310&amp;VALUEID=01401&amp;SDATE=2009&amp;PERIODTYPE=ANNR_STD&amp;SCFT=3&amp;window=popup_no_bar&amp;width=385&amp;height=120&amp;START_MAXIMIZED=FALSE&amp;creator=factset&amp;display_string=Audit"}</definedName>
    <definedName name="_1611__FDSAUDITLINK__" localSheetId="34">{"fdsup://directions/FAT Viewer?action=UPDATE&amp;creator=factset&amp;DYN_ARGS=TRUE&amp;DOC_NAME=FAT:FQL_AUDITING_CLIENT_TEMPLATE.FAT&amp;display_string=Audit&amp;VAR:KEY=UHQLERSTCN&amp;VAR:QUERY=KChGRl9ERUJUKFFUUiw0MDcxOCwsLCwpQEZGX0RFQlQoU0VNSSw0MDcxOCwsLCwpKUBGRl9ERUJUKEFOTl9SL","DQwNzE4LCwsLCkp&amp;WINDOW=FIRST_POPUP&amp;HEIGHT=450&amp;WIDTH=450&amp;START_MAXIMIZED=FALSE&amp;VAR:CALENDAR=FIVEDAY&amp;VAR:SYMBOL=0&amp;VAR:INDEX=0"}</definedName>
    <definedName name="_1611__FDSAUDITLINK__" localSheetId="27">{"fdsup://directions/FAT Viewer?action=UPDATE&amp;creator=factset&amp;DYN_ARGS=TRUE&amp;DOC_NAME=FAT:FQL_AUDITING_CLIENT_TEMPLATE.FAT&amp;display_string=Audit&amp;VAR:KEY=UHQLERSTCN&amp;VAR:QUERY=KChGRl9ERUJUKFFUUiw0MDcxOCwsLCwpQEZGX0RFQlQoU0VNSSw0MDcxOCwsLCwpKUBGRl9ERUJUKEFOTl9SL","DQwNzE4LCwsLCkp&amp;WINDOW=FIRST_POPUP&amp;HEIGHT=450&amp;WIDTH=450&amp;START_MAXIMIZED=FALSE&amp;VAR:CALENDAR=FIVEDAY&amp;VAR:SYMBOL=0&amp;VAR:INDEX=0"}</definedName>
    <definedName name="_1612__FDSAUDITLINK__" localSheetId="34">{"fdsup://Directions/FactSet Auditing Viewer?action=AUDIT_VALUE&amp;DB=129&amp;ID1=80669310&amp;VALUEID=03101&amp;SDATE=2009&amp;PERIODTYPE=ANNR_STD&amp;SCFT=3&amp;window=popup_no_bar&amp;width=385&amp;height=120&amp;START_MAXIMIZED=FALSE&amp;creator=factset&amp;display_string=Audit"}</definedName>
    <definedName name="_1612__FDSAUDITLINK__" localSheetId="27">{"fdsup://Directions/FactSet Auditing Viewer?action=AUDIT_VALUE&amp;DB=129&amp;ID1=80669310&amp;VALUEID=03101&amp;SDATE=2009&amp;PERIODTYPE=ANNR_STD&amp;SCFT=3&amp;window=popup_no_bar&amp;width=385&amp;height=120&amp;START_MAXIMIZED=FALSE&amp;creator=factset&amp;display_string=Audit"}</definedName>
    <definedName name="_1613__FDSAUDITLINK__" localSheetId="34">{"fdsup://Directions/FactSet Auditing Viewer?action=AUDIT_VALUE&amp;DB=129&amp;ID1=80669310&amp;VALUEID=02001&amp;SDATE=2009&amp;PERIODTYPE=ANNR_STD&amp;SCFT=3&amp;window=popup_no_bar&amp;width=385&amp;height=120&amp;START_MAXIMIZED=FALSE&amp;creator=factset&amp;display_string=Audit"}</definedName>
    <definedName name="_1613__FDSAUDITLINK__" localSheetId="27">{"fdsup://Directions/FactSet Auditing Viewer?action=AUDIT_VALUE&amp;DB=129&amp;ID1=80669310&amp;VALUEID=02001&amp;SDATE=2009&amp;PERIODTYPE=ANNR_STD&amp;SCFT=3&amp;window=popup_no_bar&amp;width=385&amp;height=120&amp;START_MAXIMIZED=FALSE&amp;creator=factset&amp;display_string=Audit"}</definedName>
    <definedName name="_1614__FDSAUDITLINK__" localSheetId="34">{"fdsup://Directions/FactSet Auditing Viewer?action=AUDIT_VALUE&amp;DB=129&amp;ID1=80669310&amp;VALUEID=02201&amp;SDATE=2009&amp;PERIODTYPE=ANNR_STD&amp;SCFT=3&amp;window=popup_no_bar&amp;width=385&amp;height=120&amp;START_MAXIMIZED=FALSE&amp;creator=factset&amp;display_string=Audit"}</definedName>
    <definedName name="_1614__FDSAUDITLINK__" localSheetId="27">{"fdsup://Directions/FactSet Auditing Viewer?action=AUDIT_VALUE&amp;DB=129&amp;ID1=80669310&amp;VALUEID=02201&amp;SDATE=2009&amp;PERIODTYPE=ANNR_STD&amp;SCFT=3&amp;window=popup_no_bar&amp;width=385&amp;height=120&amp;START_MAXIMIZED=FALSE&amp;creator=factset&amp;display_string=Audit"}</definedName>
    <definedName name="_1615__FDSAUDITLINK__" localSheetId="34">{"fdsup://Directions/FactSet Auditing Viewer?action=AUDIT_VALUE&amp;DB=129&amp;ID1=80669310&amp;VALUEID=01250&amp;SDATE=2009&amp;PERIODTYPE=ANNR_STD&amp;SCFT=3&amp;window=popup_no_bar&amp;width=385&amp;height=120&amp;START_MAXIMIZED=FALSE&amp;creator=factset&amp;display_string=Audit"}</definedName>
    <definedName name="_1615__FDSAUDITLINK__" localSheetId="27">{"fdsup://Directions/FactSet Auditing Viewer?action=AUDIT_VALUE&amp;DB=129&amp;ID1=80669310&amp;VALUEID=01250&amp;SDATE=2009&amp;PERIODTYPE=ANNR_STD&amp;SCFT=3&amp;window=popup_no_bar&amp;width=385&amp;height=120&amp;START_MAXIMIZED=FALSE&amp;creator=factset&amp;display_string=Audit"}</definedName>
    <definedName name="_1616__FDSAUDITLINK__" localSheetId="34">{"fdsup://Directions/FactSet Auditing Viewer?action=AUDIT_VALUE&amp;DB=129&amp;ID1=80669310&amp;VALUEID=01001&amp;SDATE=2009&amp;PERIODTYPE=ANNR_STD&amp;SCFT=3&amp;window=popup_no_bar&amp;width=385&amp;height=120&amp;START_MAXIMIZED=FALSE&amp;creator=factset&amp;display_string=Audit"}</definedName>
    <definedName name="_1616__FDSAUDITLINK__" localSheetId="27">{"fdsup://Directions/FactSet Auditing Viewer?action=AUDIT_VALUE&amp;DB=129&amp;ID1=80669310&amp;VALUEID=01001&amp;SDATE=2009&amp;PERIODTYPE=ANNR_STD&amp;SCFT=3&amp;window=popup_no_bar&amp;width=385&amp;height=120&amp;START_MAXIMIZED=FALSE&amp;creator=factset&amp;display_string=Audit"}</definedName>
    <definedName name="_1617__FDSAUDITLINK__" localSheetId="34">{"fdsup://Directions/FactSet Auditing Viewer?action=AUDIT_VALUE&amp;DB=129&amp;ID1=80669310&amp;VALUEID=18184&amp;SDATE=2009&amp;PERIODTYPE=ANNR_STD&amp;SCFT=3&amp;window=popup_no_bar&amp;width=385&amp;height=120&amp;START_MAXIMIZED=FALSE&amp;creator=factset&amp;display_string=Audit"}</definedName>
    <definedName name="_1617__FDSAUDITLINK__" localSheetId="27">{"fdsup://Directions/FactSet Auditing Viewer?action=AUDIT_VALUE&amp;DB=129&amp;ID1=80669310&amp;VALUEID=18184&amp;SDATE=2009&amp;PERIODTYPE=ANNR_STD&amp;SCFT=3&amp;window=popup_no_bar&amp;width=385&amp;height=120&amp;START_MAXIMIZED=FALSE&amp;creator=factset&amp;display_string=Audit"}</definedName>
    <definedName name="_1618__FDSAUDITLINK__" localSheetId="34">{"fdsup://Directions/FactSet Auditing Viewer?action=AUDIT_VALUE&amp;DB=129&amp;ID1=80669310&amp;VALUEID=02999&amp;SDATE=2009&amp;PERIODTYPE=ANNR_STD&amp;SCFT=3&amp;window=popup_no_bar&amp;width=385&amp;height=120&amp;START_MAXIMIZED=FALSE&amp;creator=factset&amp;display_string=Audit"}</definedName>
    <definedName name="_1618__FDSAUDITLINK__" localSheetId="27">{"fdsup://Directions/FactSet Auditing Viewer?action=AUDIT_VALUE&amp;DB=129&amp;ID1=80669310&amp;VALUEID=02999&amp;SDATE=2009&amp;PERIODTYPE=ANNR_STD&amp;SCFT=3&amp;window=popup_no_bar&amp;width=385&amp;height=120&amp;START_MAXIMIZED=FALSE&amp;creator=factset&amp;display_string=Audit"}</definedName>
    <definedName name="_1619__FDSAUDITLINK__" localSheetId="34">{"fdsup://Directions/FactSet Auditing Viewer?action=AUDIT_VALUE&amp;DB=129&amp;ID1=80669310&amp;VALUEID=04049&amp;SDATE=2009&amp;PERIODTYPE=ANNR_STD&amp;SCFT=3&amp;window=popup_no_bar&amp;width=385&amp;height=120&amp;START_MAXIMIZED=FALSE&amp;creator=factset&amp;display_string=Audit"}</definedName>
    <definedName name="_1619__FDSAUDITLINK__" localSheetId="27">{"fdsup://Directions/FactSet Auditing Viewer?action=AUDIT_VALUE&amp;DB=129&amp;ID1=80669310&amp;VALUEID=04049&amp;SDATE=2009&amp;PERIODTYPE=ANNR_STD&amp;SCFT=3&amp;window=popup_no_bar&amp;width=385&amp;height=120&amp;START_MAXIMIZED=FALSE&amp;creator=factset&amp;display_string=Audit"}</definedName>
    <definedName name="_1620__FDSAUDITLINK__" localSheetId="34">{"fdsup://Directions/FactSet Auditing Viewer?action=AUDIT_VALUE&amp;DB=129&amp;ID1=80669310&amp;VALUEID=04601&amp;SDATE=2009&amp;PERIODTYPE=ANNR_STD&amp;SCFT=3&amp;window=popup_no_bar&amp;width=385&amp;height=120&amp;START_MAXIMIZED=FALSE&amp;creator=factset&amp;display_string=Audit"}</definedName>
    <definedName name="_1620__FDSAUDITLINK__" localSheetId="27">{"fdsup://Directions/FactSet Auditing Viewer?action=AUDIT_VALUE&amp;DB=129&amp;ID1=80669310&amp;VALUEID=04601&amp;SDATE=2009&amp;PERIODTYPE=ANNR_STD&amp;SCFT=3&amp;window=popup_no_bar&amp;width=385&amp;height=120&amp;START_MAXIMIZED=FALSE&amp;creator=factset&amp;display_string=Audit"}</definedName>
    <definedName name="_1621__FDSAUDITLINK__" localSheetId="34">{"fdsup://Directions/FactSet Auditing Viewer?action=AUDIT_VALUE&amp;DB=129&amp;ID1=80669310&amp;VALUEID=01451&amp;SDATE=2009&amp;PERIODTYPE=ANNR_STD&amp;SCFT=3&amp;window=popup_no_bar&amp;width=385&amp;height=120&amp;START_MAXIMIZED=FALSE&amp;creator=factset&amp;display_string=Audit"}</definedName>
    <definedName name="_1621__FDSAUDITLINK__" localSheetId="27">{"fdsup://Directions/FactSet Auditing Viewer?action=AUDIT_VALUE&amp;DB=129&amp;ID1=80669310&amp;VALUEID=01451&amp;SDATE=2009&amp;PERIODTYPE=ANNR_STD&amp;SCFT=3&amp;window=popup_no_bar&amp;width=385&amp;height=120&amp;START_MAXIMIZED=FALSE&amp;creator=factset&amp;display_string=Audit"}</definedName>
    <definedName name="_1622__FDSAUDITLINK__" localSheetId="34">{"fdsup://Directions/FactSet Auditing Viewer?action=AUDIT_VALUE&amp;DB=129&amp;ID1=80669310&amp;VALUEID=01401&amp;SDATE=2009&amp;PERIODTYPE=ANNR_STD&amp;SCFT=3&amp;window=popup_no_bar&amp;width=385&amp;height=120&amp;START_MAXIMIZED=FALSE&amp;creator=factset&amp;display_string=Audit"}</definedName>
    <definedName name="_1622__FDSAUDITLINK__" localSheetId="27">{"fdsup://Directions/FactSet Auditing Viewer?action=AUDIT_VALUE&amp;DB=129&amp;ID1=80669310&amp;VALUEID=01401&amp;SDATE=2009&amp;PERIODTYPE=ANNR_STD&amp;SCFT=3&amp;window=popup_no_bar&amp;width=385&amp;height=120&amp;START_MAXIMIZED=FALSE&amp;creator=factset&amp;display_string=Audit"}</definedName>
    <definedName name="_1623__FDSAUDITLINK__" localSheetId="34">{"fdsup://Directions/FactSet Auditing Viewer?action=AUDIT_VALUE&amp;DB=129&amp;ID1=80669310&amp;VALUEID=02001&amp;SDATE=201003&amp;PERIODTYPE=QTR_STD&amp;SCFT=3&amp;window=popup_no_bar&amp;width=385&amp;height=120&amp;START_MAXIMIZED=FALSE&amp;creator=factset&amp;display_string=Audit"}</definedName>
    <definedName name="_1623__FDSAUDITLINK__" localSheetId="27">{"fdsup://Directions/FactSet Auditing Viewer?action=AUDIT_VALUE&amp;DB=129&amp;ID1=80669310&amp;VALUEID=02001&amp;SDATE=201003&amp;PERIODTYPE=QTR_STD&amp;SCFT=3&amp;window=popup_no_bar&amp;width=385&amp;height=120&amp;START_MAXIMIZED=FALSE&amp;creator=factset&amp;display_string=Audit"}</definedName>
    <definedName name="_1624__FDSAUDITLINK__" localSheetId="34">{"fdsup://Directions/FactSet Auditing Viewer?action=AUDIT_VALUE&amp;DB=129&amp;ID1=80669310&amp;VALUEID=03101&amp;SDATE=2009&amp;PERIODTYPE=ANNR_STD&amp;SCFT=3&amp;window=popup_no_bar&amp;width=385&amp;height=120&amp;START_MAXIMIZED=FALSE&amp;creator=factset&amp;display_string=Audit"}</definedName>
    <definedName name="_1624__FDSAUDITLINK__" localSheetId="27">{"fdsup://Directions/FactSet Auditing Viewer?action=AUDIT_VALUE&amp;DB=129&amp;ID1=80669310&amp;VALUEID=03101&amp;SDATE=2009&amp;PERIODTYPE=ANNR_STD&amp;SCFT=3&amp;window=popup_no_bar&amp;width=385&amp;height=120&amp;START_MAXIMIZED=FALSE&amp;creator=factset&amp;display_string=Audit"}</definedName>
    <definedName name="_1625__FDSAUDITLINK__" localSheetId="34">{"fdsup://Directions/FactSet Auditing Viewer?action=AUDIT_VALUE&amp;DB=129&amp;ID1=80669310&amp;VALUEID=02001&amp;SDATE=2009&amp;PERIODTYPE=ANNR_STD&amp;SCFT=3&amp;window=popup_no_bar&amp;width=385&amp;height=120&amp;START_MAXIMIZED=FALSE&amp;creator=factset&amp;display_string=Audit"}</definedName>
    <definedName name="_1625__FDSAUDITLINK__" localSheetId="27">{"fdsup://Directions/FactSet Auditing Viewer?action=AUDIT_VALUE&amp;DB=129&amp;ID1=80669310&amp;VALUEID=02001&amp;SDATE=2009&amp;PERIODTYPE=ANNR_STD&amp;SCFT=3&amp;window=popup_no_bar&amp;width=385&amp;height=120&amp;START_MAXIMIZED=FALSE&amp;creator=factset&amp;display_string=Audit"}</definedName>
    <definedName name="_1626__FDSAUDITLINK__" localSheetId="34">{"fdsup://Directions/FactSet Auditing Viewer?action=AUDIT_VALUE&amp;DB=129&amp;ID1=80669310&amp;VALUEID=02201&amp;SDATE=2009&amp;PERIODTYPE=ANNR_STD&amp;SCFT=3&amp;window=popup_no_bar&amp;width=385&amp;height=120&amp;START_MAXIMIZED=FALSE&amp;creator=factset&amp;display_string=Audit"}</definedName>
    <definedName name="_1626__FDSAUDITLINK__" localSheetId="27">{"fdsup://Directions/FactSet Auditing Viewer?action=AUDIT_VALUE&amp;DB=129&amp;ID1=80669310&amp;VALUEID=02201&amp;SDATE=2009&amp;PERIODTYPE=ANNR_STD&amp;SCFT=3&amp;window=popup_no_bar&amp;width=385&amp;height=120&amp;START_MAXIMIZED=FALSE&amp;creator=factset&amp;display_string=Audit"}</definedName>
    <definedName name="_1627__FDSAUDITLINK__" localSheetId="34">{"fdsup://Directions/FactSet Auditing Viewer?action=AUDIT_VALUE&amp;DB=129&amp;ID1=80669310&amp;VALUEID=18184&amp;SDATE=2009&amp;PERIODTYPE=ANNR_STD&amp;SCFT=3&amp;window=popup_no_bar&amp;width=385&amp;height=120&amp;START_MAXIMIZED=FALSE&amp;creator=factset&amp;display_string=Audit"}</definedName>
    <definedName name="_1627__FDSAUDITLINK__" localSheetId="27">{"fdsup://Directions/FactSet Auditing Viewer?action=AUDIT_VALUE&amp;DB=129&amp;ID1=80669310&amp;VALUEID=18184&amp;SDATE=2009&amp;PERIODTYPE=ANNR_STD&amp;SCFT=3&amp;window=popup_no_bar&amp;width=385&amp;height=120&amp;START_MAXIMIZED=FALSE&amp;creator=factset&amp;display_string=Audit"}</definedName>
    <definedName name="_1628__FDSAUDITLINK__" localSheetId="34">{"fdsup://Directions/FactSet Auditing Viewer?action=AUDIT_VALUE&amp;DB=129&amp;ID1=80669310&amp;VALUEID=02999&amp;SDATE=2009&amp;PERIODTYPE=ANNR_STD&amp;SCFT=3&amp;window=popup_no_bar&amp;width=385&amp;height=120&amp;START_MAXIMIZED=FALSE&amp;creator=factset&amp;display_string=Audit"}</definedName>
    <definedName name="_1628__FDSAUDITLINK__" localSheetId="27">{"fdsup://Directions/FactSet Auditing Viewer?action=AUDIT_VALUE&amp;DB=129&amp;ID1=80669310&amp;VALUEID=02999&amp;SDATE=2009&amp;PERIODTYPE=ANNR_STD&amp;SCFT=3&amp;window=popup_no_bar&amp;width=385&amp;height=120&amp;START_MAXIMIZED=FALSE&amp;creator=factset&amp;display_string=Audit"}</definedName>
    <definedName name="_1629__FDSAUDITLINK__" localSheetId="34">{"fdsup://Directions/FactSet Auditing Viewer?action=AUDIT_VALUE&amp;DB=129&amp;ID1=80669310&amp;VALUEID=04049&amp;SDATE=2009&amp;PERIODTYPE=ANNR_STD&amp;SCFT=3&amp;window=popup_no_bar&amp;width=385&amp;height=120&amp;START_MAXIMIZED=FALSE&amp;creator=factset&amp;display_string=Audit"}</definedName>
    <definedName name="_1629__FDSAUDITLINK__" localSheetId="27">{"fdsup://Directions/FactSet Auditing Viewer?action=AUDIT_VALUE&amp;DB=129&amp;ID1=80669310&amp;VALUEID=04049&amp;SDATE=2009&amp;PERIODTYPE=ANNR_STD&amp;SCFT=3&amp;window=popup_no_bar&amp;width=385&amp;height=120&amp;START_MAXIMIZED=FALSE&amp;creator=factset&amp;display_string=Audit"}</definedName>
    <definedName name="_1630__FDSAUDITLINK__" localSheetId="34">{"fdsup://Directions/FactSet Auditing Viewer?action=AUDIT_VALUE&amp;DB=129&amp;ID1=80669310&amp;VALUEID=04601&amp;SDATE=2009&amp;PERIODTYPE=ANNR_STD&amp;SCFT=3&amp;window=popup_no_bar&amp;width=385&amp;height=120&amp;START_MAXIMIZED=FALSE&amp;creator=factset&amp;display_string=Audit"}</definedName>
    <definedName name="_1630__FDSAUDITLINK__" localSheetId="27">{"fdsup://Directions/FactSet Auditing Viewer?action=AUDIT_VALUE&amp;DB=129&amp;ID1=80669310&amp;VALUEID=04601&amp;SDATE=2009&amp;PERIODTYPE=ANNR_STD&amp;SCFT=3&amp;window=popup_no_bar&amp;width=385&amp;height=120&amp;START_MAXIMIZED=FALSE&amp;creator=factset&amp;display_string=Audit"}</definedName>
    <definedName name="_1631__FDSAUDITLINK__" localSheetId="34">{"fdsup://Directions/FactSet Auditing Viewer?action=AUDIT_VALUE&amp;DB=129&amp;ID1=80669310&amp;VALUEID=01250&amp;SDATE=2009&amp;PERIODTYPE=ANNR_STD&amp;SCFT=3&amp;window=popup_no_bar&amp;width=385&amp;height=120&amp;START_MAXIMIZED=FALSE&amp;creator=factset&amp;display_string=Audit"}</definedName>
    <definedName name="_1631__FDSAUDITLINK__" localSheetId="27">{"fdsup://Directions/FactSet Auditing Viewer?action=AUDIT_VALUE&amp;DB=129&amp;ID1=80669310&amp;VALUEID=01250&amp;SDATE=2009&amp;PERIODTYPE=ANNR_STD&amp;SCFT=3&amp;window=popup_no_bar&amp;width=385&amp;height=120&amp;START_MAXIMIZED=FALSE&amp;creator=factset&amp;display_string=Audit"}</definedName>
    <definedName name="_1632__FDSAUDITLINK__" localSheetId="34">{"fdsup://Directions/FactSet Auditing Viewer?action=AUDIT_VALUE&amp;DB=129&amp;ID1=80669310&amp;VALUEID=01001&amp;SDATE=2009&amp;PERIODTYPE=ANNR_STD&amp;SCFT=3&amp;window=popup_no_bar&amp;width=385&amp;height=120&amp;START_MAXIMIZED=FALSE&amp;creator=factset&amp;display_string=Audit"}</definedName>
    <definedName name="_1632__FDSAUDITLINK__" localSheetId="27">{"fdsup://Directions/FactSet Auditing Viewer?action=AUDIT_VALUE&amp;DB=129&amp;ID1=80669310&amp;VALUEID=01001&amp;SDATE=2009&amp;PERIODTYPE=ANNR_STD&amp;SCFT=3&amp;window=popup_no_bar&amp;width=385&amp;height=120&amp;START_MAXIMIZED=FALSE&amp;creator=factset&amp;display_string=Audit"}</definedName>
    <definedName name="_1633__FDSAUDITLINK__" localSheetId="34">{"fdsup://directions/FAT Viewer?action=UPDATE&amp;creator=factset&amp;DYN_ARGS=TRUE&amp;DOC_NAME=FAT:FQL_AUDITING_CLIENT_TEMPLATE.FAT&amp;display_string=Audit&amp;VAR:KEY=TQRIBQTMLY&amp;VAR:QUERY=RkZfSU1QQUlSX1BQRShBTk5fUiw0MDM5NSwsLFJGLCk=&amp;WINDOW=FIRST_POPUP&amp;HEIGHT=450&amp;WIDTH=450&amp;","START_MAXIMIZED=FALSE&amp;VAR:CALENDAR=FIVEDAY&amp;VAR:SYMBOL=NASDAQ:LIFE&amp;VAR:INDEX=0"}</definedName>
    <definedName name="_1633__FDSAUDITLINK__" localSheetId="27">{"fdsup://directions/FAT Viewer?action=UPDATE&amp;creator=factset&amp;DYN_ARGS=TRUE&amp;DOC_NAME=FAT:FQL_AUDITING_CLIENT_TEMPLATE.FAT&amp;display_string=Audit&amp;VAR:KEY=TQRIBQTMLY&amp;VAR:QUERY=RkZfSU1QQUlSX1BQRShBTk5fUiw0MDM5NSwsLFJGLCk=&amp;WINDOW=FIRST_POPUP&amp;HEIGHT=450&amp;WIDTH=450&amp;","START_MAXIMIZED=FALSE&amp;VAR:CALENDAR=FIVEDAY&amp;VAR:SYMBOL=NASDAQ:LIFE&amp;VAR:INDEX=0"}</definedName>
    <definedName name="_1634__FDSAUDITLINK__" localSheetId="34">{"fdsup://directions/FAT Viewer?action=UPDATE&amp;creator=factset&amp;DYN_ARGS=TRUE&amp;DOC_NAME=FAT:FQL_AUDITING_CLIENT_TEMPLATE.FAT&amp;display_string=Audit&amp;VAR:KEY=NIDWBCHIPO&amp;VAR:QUERY=RkZfSU1QQUlSX1BQRShBTk5fUiw0MDM5NS0xWSwsLFJGLCk=&amp;WINDOW=FIRST_POPUP&amp;HEIGHT=450&amp;WIDTH=","450&amp;START_MAXIMIZED=FALSE&amp;VAR:CALENDAR=FIVEDAY&amp;VAR:SYMBOL=NASDAQ:LIFE&amp;VAR:INDEX=0"}</definedName>
    <definedName name="_1634__FDSAUDITLINK__" localSheetId="27">{"fdsup://directions/FAT Viewer?action=UPDATE&amp;creator=factset&amp;DYN_ARGS=TRUE&amp;DOC_NAME=FAT:FQL_AUDITING_CLIENT_TEMPLATE.FAT&amp;display_string=Audit&amp;VAR:KEY=NIDWBCHIPO&amp;VAR:QUERY=RkZfSU1QQUlSX1BQRShBTk5fUiw0MDM5NS0xWSwsLFJGLCk=&amp;WINDOW=FIRST_POPUP&amp;HEIGHT=450&amp;WIDTH=","450&amp;START_MAXIMIZED=FALSE&amp;VAR:CALENDAR=FIVEDAY&amp;VAR:SYMBOL=NASDAQ:LIFE&amp;VAR:INDEX=0"}</definedName>
    <definedName name="_1635__FDSAUDITLINK__" localSheetId="34">{"fdsup://directions/FAT Viewer?action=UPDATE&amp;creator=factset&amp;DYN_ARGS=TRUE&amp;DOC_NAME=FAT:FQL_AUDITING_CLIENT_TEMPLATE.FAT&amp;display_string=Audit&amp;VAR:KEY=XCVUTWLIRQ&amp;VAR:QUERY=RkZfQVNTRVRTX0NVUlIoQU5OX1IsNDAzOTUsLCxSRiwpLUZGX0NBU0hfU1QoQU5OX1IsNDAzOTUsLCxSRiwpL","UZGX0xJQUJTX0NVUlIoQU5OX1IsNDAzOTUsLCxSRiwpK0ZGX0RFQlRfU1QoQU5OX1IsNDAzOTUsLCxSRiwp&amp;WINDOW=FIRST_POPUP&amp;HEIGHT=450&amp;WIDTH=450&amp;START_MAXIMIZED=FALSE&amp;VAR:CALENDAR=FIVEDAY&amp;VAR:SYMBOL=NYSE:CVD&amp;VAR:INDEX=0"}</definedName>
    <definedName name="_1635__FDSAUDITLINK__" localSheetId="27">{"fdsup://directions/FAT Viewer?action=UPDATE&amp;creator=factset&amp;DYN_ARGS=TRUE&amp;DOC_NAME=FAT:FQL_AUDITING_CLIENT_TEMPLATE.FAT&amp;display_string=Audit&amp;VAR:KEY=XCVUTWLIRQ&amp;VAR:QUERY=RkZfQVNTRVRTX0NVUlIoQU5OX1IsNDAzOTUsLCxSRiwpLUZGX0NBU0hfU1QoQU5OX1IsNDAzOTUsLCxSRiwpL","UZGX0xJQUJTX0NVUlIoQU5OX1IsNDAzOTUsLCxSRiwpK0ZGX0RFQlRfU1QoQU5OX1IsNDAzOTUsLCxSRiwp&amp;WINDOW=FIRST_POPUP&amp;HEIGHT=450&amp;WIDTH=450&amp;START_MAXIMIZED=FALSE&amp;VAR:CALENDAR=FIVEDAY&amp;VAR:SYMBOL=NYSE:CVD&amp;VAR:INDEX=0"}</definedName>
    <definedName name="_1636__FDSAUDITLINK__" localSheetId="34">{"fdsup://directions/FAT Viewer?action=UPDATE&amp;creator=factset&amp;DYN_ARGS=TRUE&amp;DOC_NAME=FAT:FQL_AUDITING_CLIENT_TEMPLATE.FAT&amp;display_string=Audit&amp;VAR:KEY=XGTWPUJEFS&amp;VAR:QUERY=RkZfQVNTRVRTX0NVUlIoQU5OX1IsNDAzOTUtMVksLCxSRiwpLUZGX0NBU0hfU1QoQU5OX1IsNDAzOTUtMVksL","CxSRiwpLUZGX0xJQUJTX0NVUlIoQU5OX1IsNDAzOTUtMVksLCxSRiwpK0ZGX0RFQlRfU1QoQU5OX1IsNDAzOTUtMVksLCxSRiwp&amp;WINDOW=FIRST_POPUP&amp;HEIGHT=450&amp;WIDTH=450&amp;START_MAXIMIZED=FALSE&amp;VAR:CALENDAR=FIVEDAY&amp;VAR:SYMBOL=NYSE:CVD&amp;VAR:INDEX=0"}</definedName>
    <definedName name="_1636__FDSAUDITLINK__" localSheetId="27">{"fdsup://directions/FAT Viewer?action=UPDATE&amp;creator=factset&amp;DYN_ARGS=TRUE&amp;DOC_NAME=FAT:FQL_AUDITING_CLIENT_TEMPLATE.FAT&amp;display_string=Audit&amp;VAR:KEY=XGTWPUJEFS&amp;VAR:QUERY=RkZfQVNTRVRTX0NVUlIoQU5OX1IsNDAzOTUtMVksLCxSRiwpLUZGX0NBU0hfU1QoQU5OX1IsNDAzOTUtMVksL","CxSRiwpLUZGX0xJQUJTX0NVUlIoQU5OX1IsNDAzOTUtMVksLCxSRiwpK0ZGX0RFQlRfU1QoQU5OX1IsNDAzOTUtMVksLCxSRiwp&amp;WINDOW=FIRST_POPUP&amp;HEIGHT=450&amp;WIDTH=450&amp;START_MAXIMIZED=FALSE&amp;VAR:CALENDAR=FIVEDAY&amp;VAR:SYMBOL=NYSE:CVD&amp;VAR:INDEX=0"}</definedName>
    <definedName name="_1637__FDSAUDITLINK__" localSheetId="34">{"fdsup://directions/FAT Viewer?action=UPDATE&amp;creator=factset&amp;DYN_ARGS=TRUE&amp;DOC_NAME=FAT:FQL_AUDITING_CLIENT_TEMPLATE.FAT&amp;display_string=Audit&amp;VAR:KEY=PQBCFYTIXS&amp;VAR:QUERY=RkZfRklOX0FTU0VUU19JTVBBSVIoQU5OX1IsNDAzOTUsLCxSRiwp&amp;WINDOW=FIRST_POPUP&amp;HEIGHT=450&amp;WI","DTH=450&amp;START_MAXIMIZED=FALSE&amp;VAR:CALENDAR=FIVEDAY&amp;VAR:SYMBOL=NYSE:CVD&amp;VAR:INDEX=0"}</definedName>
    <definedName name="_1637__FDSAUDITLINK__" localSheetId="27">{"fdsup://directions/FAT Viewer?action=UPDATE&amp;creator=factset&amp;DYN_ARGS=TRUE&amp;DOC_NAME=FAT:FQL_AUDITING_CLIENT_TEMPLATE.FAT&amp;display_string=Audit&amp;VAR:KEY=PQBCFYTIXS&amp;VAR:QUERY=RkZfRklOX0FTU0VUU19JTVBBSVIoQU5OX1IsNDAzOTUsLCxSRiwp&amp;WINDOW=FIRST_POPUP&amp;HEIGHT=450&amp;WI","DTH=450&amp;START_MAXIMIZED=FALSE&amp;VAR:CALENDAR=FIVEDAY&amp;VAR:SYMBOL=NYSE:CVD&amp;VAR:INDEX=0"}</definedName>
    <definedName name="_1638__FDSAUDITLINK__" localSheetId="34">{"fdsup://directions/FAT Viewer?action=UPDATE&amp;creator=factset&amp;DYN_ARGS=TRUE&amp;DOC_NAME=FAT:FQL_AUDITING_CLIENT_TEMPLATE.FAT&amp;display_string=Audit&amp;VAR:KEY=NUFMFWVMVW&amp;VAR:QUERY=RkZfRklOX0FTU0VUU19JTVBBSVIoQU5OX1IsNDAzOTUtMVksLCxSRiwp&amp;WINDOW=FIRST_POPUP&amp;HEIGHT=45","0&amp;WIDTH=450&amp;START_MAXIMIZED=FALSE&amp;VAR:CALENDAR=FIVEDAY&amp;VAR:SYMBOL=NYSE:CVD&amp;VAR:INDEX=0"}</definedName>
    <definedName name="_1638__FDSAUDITLINK__" localSheetId="27">{"fdsup://directions/FAT Viewer?action=UPDATE&amp;creator=factset&amp;DYN_ARGS=TRUE&amp;DOC_NAME=FAT:FQL_AUDITING_CLIENT_TEMPLATE.FAT&amp;display_string=Audit&amp;VAR:KEY=NUFMFWVMVW&amp;VAR:QUERY=RkZfRklOX0FTU0VUU19JTVBBSVIoQU5OX1IsNDAzOTUtMVksLCxSRiwp&amp;WINDOW=FIRST_POPUP&amp;HEIGHT=45","0&amp;WIDTH=450&amp;START_MAXIMIZED=FALSE&amp;VAR:CALENDAR=FIVEDAY&amp;VAR:SYMBOL=NYSE:CVD&amp;VAR:INDEX=0"}</definedName>
    <definedName name="_1639__FDSAUDITLINK__" localSheetId="34">{"fdsup://directions/FAT Viewer?action=UPDATE&amp;creator=factset&amp;DYN_ARGS=TRUE&amp;DOC_NAME=FAT:FQL_AUDITING_CLIENT_TEMPLATE.FAT&amp;display_string=Audit&amp;VAR:KEY=ZKTKJYRSJU&amp;VAR:QUERY=RkZfSU1QQUlSX1BQRShBTk5fUiw0MDM5NSwsLFJGLCk=&amp;WINDOW=FIRST_POPUP&amp;HEIGHT=450&amp;WIDTH=450&amp;","START_MAXIMIZED=FALSE&amp;VAR:CALENDAR=FIVEDAY&amp;VAR:SYMBOL=NYSE:CVD&amp;VAR:INDEX=0"}</definedName>
    <definedName name="_1639__FDSAUDITLINK__" localSheetId="27">{"fdsup://directions/FAT Viewer?action=UPDATE&amp;creator=factset&amp;DYN_ARGS=TRUE&amp;DOC_NAME=FAT:FQL_AUDITING_CLIENT_TEMPLATE.FAT&amp;display_string=Audit&amp;VAR:KEY=ZKTKJYRSJU&amp;VAR:QUERY=RkZfSU1QQUlSX1BQRShBTk5fUiw0MDM5NSwsLFJGLCk=&amp;WINDOW=FIRST_POPUP&amp;HEIGHT=450&amp;WIDTH=450&amp;","START_MAXIMIZED=FALSE&amp;VAR:CALENDAR=FIVEDAY&amp;VAR:SYMBOL=NYSE:CVD&amp;VAR:INDEX=0"}</definedName>
    <definedName name="_1640__FDSAUDITLINK__" localSheetId="34">{"fdsup://directions/FAT Viewer?action=UPDATE&amp;creator=factset&amp;DYN_ARGS=TRUE&amp;DOC_NAME=FAT:FQL_AUDITING_CLIENT_TEMPLATE.FAT&amp;display_string=Audit&amp;VAR:KEY=HYNOVQBETU&amp;VAR:QUERY=RkZfSU1QQUlSX1BQRShBTk5fUiw0MDM5NS0xWSwsLFJGLCk=&amp;WINDOW=FIRST_POPUP&amp;HEIGHT=450&amp;WIDTH=","450&amp;START_MAXIMIZED=FALSE&amp;VAR:CALENDAR=FIVEDAY&amp;VAR:SYMBOL=NYSE:CVD&amp;VAR:INDEX=0"}</definedName>
    <definedName name="_1640__FDSAUDITLINK__" localSheetId="27">{"fdsup://directions/FAT Viewer?action=UPDATE&amp;creator=factset&amp;DYN_ARGS=TRUE&amp;DOC_NAME=FAT:FQL_AUDITING_CLIENT_TEMPLATE.FAT&amp;display_string=Audit&amp;VAR:KEY=HYNOVQBETU&amp;VAR:QUERY=RkZfSU1QQUlSX1BQRShBTk5fUiw0MDM5NS0xWSwsLFJGLCk=&amp;WINDOW=FIRST_POPUP&amp;HEIGHT=450&amp;WIDTH=","450&amp;START_MAXIMIZED=FALSE&amp;VAR:CALENDAR=FIVEDAY&amp;VAR:SYMBOL=NYSE:CVD&amp;VAR:INDEX=0"}</definedName>
    <definedName name="_1641__FDSAUDITLINK__" localSheetId="34">{"fdsup://Directions/FactSet Auditing Viewer?action=AUDIT_VALUE&amp;DB=129&amp;ID1=B07MXC&amp;VALUEID=18184&amp;SDATE=2009&amp;PERIODTYPE=ANNR_STD&amp;window=popup_no_bar&amp;width=385&amp;height=120&amp;START_MAXIMIZED=FALSE&amp;creator=factset&amp;display_string=Audit"}</definedName>
    <definedName name="_1641__FDSAUDITLINK__" localSheetId="27">{"fdsup://Directions/FactSet Auditing Viewer?action=AUDIT_VALUE&amp;DB=129&amp;ID1=B07MXC&amp;VALUEID=18184&amp;SDATE=2009&amp;PERIODTYPE=ANNR_STD&amp;window=popup_no_bar&amp;width=385&amp;height=120&amp;START_MAXIMIZED=FALSE&amp;creator=factset&amp;display_string=Audit"}</definedName>
    <definedName name="_1642__FDSAUDITLINK__" localSheetId="34">{"fdsup://Directions/FactSet Auditing Viewer?action=AUDIT_VALUE&amp;DB=129&amp;ID1=B07MXC&amp;VALUEID=02999&amp;SDATE=2009&amp;PERIODTYPE=ANNR_STD&amp;window=popup_no_bar&amp;width=385&amp;height=120&amp;START_MAXIMIZED=FALSE&amp;creator=factset&amp;display_string=Audit"}</definedName>
    <definedName name="_1642__FDSAUDITLINK__" localSheetId="27">{"fdsup://Directions/FactSet Auditing Viewer?action=AUDIT_VALUE&amp;DB=129&amp;ID1=B07MXC&amp;VALUEID=02999&amp;SDATE=2009&amp;PERIODTYPE=ANNR_STD&amp;window=popup_no_bar&amp;width=385&amp;height=120&amp;START_MAXIMIZED=FALSE&amp;creator=factset&amp;display_string=Audit"}</definedName>
    <definedName name="_1643__FDSAUDITLINK__" localSheetId="34">{"fdsup://directions/FAT Viewer?action=UPDATE&amp;creator=factset&amp;DYN_ARGS=TRUE&amp;DOC_NAME=FAT:FQL_AUDITING_CLIENT_TEMPLATE.FAT&amp;display_string=Audit&amp;VAR:KEY=DWFEPUPQHE&amp;VAR:QUERY=RkZfQVNTRVRTX0NVUlIoQU5OX1IsNDAzOTUsLCxSRixFVVIpLUZGX0NBU0hfU1QoQU5OX1IsNDAzOTUsLCxSR","ixFVVIpLUZGX0xJQUJTX0NVUlIoQU5OX1IsNDAzOTUsLCxSRixFVVIpK0ZGX0RFQlRfU1QoQU5OX1IsNDAzOTUsLCxSRixFVVIp&amp;WINDOW=FIRST_POPUP&amp;HEIGHT=450&amp;WIDTH=450&amp;START_MAXIMIZED=FALSE&amp;VAR:CALENDAR=FIVEDAY&amp;VAR:SYMBOL=B07MXC&amp;VAR:INDEX=0"}</definedName>
    <definedName name="_1643__FDSAUDITLINK__" localSheetId="27">{"fdsup://directions/FAT Viewer?action=UPDATE&amp;creator=factset&amp;DYN_ARGS=TRUE&amp;DOC_NAME=FAT:FQL_AUDITING_CLIENT_TEMPLATE.FAT&amp;display_string=Audit&amp;VAR:KEY=DWFEPUPQHE&amp;VAR:QUERY=RkZfQVNTRVRTX0NVUlIoQU5OX1IsNDAzOTUsLCxSRixFVVIpLUZGX0NBU0hfU1QoQU5OX1IsNDAzOTUsLCxSR","ixFVVIpLUZGX0xJQUJTX0NVUlIoQU5OX1IsNDAzOTUsLCxSRixFVVIpK0ZGX0RFQlRfU1QoQU5OX1IsNDAzOTUsLCxSRixFVVIp&amp;WINDOW=FIRST_POPUP&amp;HEIGHT=450&amp;WIDTH=450&amp;START_MAXIMIZED=FALSE&amp;VAR:CALENDAR=FIVEDAY&amp;VAR:SYMBOL=B07MXC&amp;VAR:INDEX=0"}</definedName>
    <definedName name="_1644__FDSAUDITLINK__" localSheetId="34">{"fdsup://directions/FAT Viewer?action=UPDATE&amp;creator=factset&amp;DYN_ARGS=TRUE&amp;DOC_NAME=FAT:FQL_AUDITING_CLIENT_TEMPLATE.FAT&amp;display_string=Audit&amp;VAR:KEY=NGNGPOPCBI&amp;VAR:QUERY=RkZfQVNTRVRTX0NVUlIoQU5OX1IsNDAzOTUtMVksLCxSRixFVVIpLUZGX0NBU0hfU1QoQU5OX1IsNDAzOTUtM","VksLCxSRixFVVIpLUZGX0xJQUJTX0NVUlIoQU5OX1IsNDAzOTUtMVksLCxSRixFVVIpK0ZGX0RFQlRfU1QoQU5OX1IsNDAzOTUtMVksLCxSRixFVVIp&amp;WINDOW=FIRST_POPUP&amp;HEIGHT=450&amp;WIDTH=450&amp;START_MAXIMIZED=FALSE&amp;VAR:CALENDAR=FIVEDAY&amp;VAR:SYMBOL=B07MXC&amp;VAR:INDEX=0"}</definedName>
    <definedName name="_1644__FDSAUDITLINK__" localSheetId="27">{"fdsup://directions/FAT Viewer?action=UPDATE&amp;creator=factset&amp;DYN_ARGS=TRUE&amp;DOC_NAME=FAT:FQL_AUDITING_CLIENT_TEMPLATE.FAT&amp;display_string=Audit&amp;VAR:KEY=NGNGPOPCBI&amp;VAR:QUERY=RkZfQVNTRVRTX0NVUlIoQU5OX1IsNDAzOTUtMVksLCxSRixFVVIpLUZGX0NBU0hfU1QoQU5OX1IsNDAzOTUtM","VksLCxSRixFVVIpLUZGX0xJQUJTX0NVUlIoQU5OX1IsNDAzOTUtMVksLCxSRixFVVIpK0ZGX0RFQlRfU1QoQU5OX1IsNDAzOTUtMVksLCxSRixFVVIp&amp;WINDOW=FIRST_POPUP&amp;HEIGHT=450&amp;WIDTH=450&amp;START_MAXIMIZED=FALSE&amp;VAR:CALENDAR=FIVEDAY&amp;VAR:SYMBOL=B07MXC&amp;VAR:INDEX=0"}</definedName>
    <definedName name="_1645__FDSAUDITLINK__" localSheetId="34">{"fdsup://directions/FAT Viewer?action=UPDATE&amp;creator=factset&amp;DYN_ARGS=TRUE&amp;DOC_NAME=FAT:FQL_AUDITING_CLIENT_TEMPLATE.FAT&amp;display_string=Audit&amp;VAR:KEY=NONIXAPEBM&amp;VAR:QUERY=RkZfRklOX0FTU0VUU19JTVBBSVIoQU5OX1IsNDAzOTUsLCxSRixFVVIp&amp;WINDOW=FIRST_POPUP&amp;HEIGHT=45","0&amp;WIDTH=450&amp;START_MAXIMIZED=FALSE&amp;VAR:CALENDAR=FIVEDAY&amp;VAR:SYMBOL=B07MXC&amp;VAR:INDEX=0"}</definedName>
    <definedName name="_1645__FDSAUDITLINK__" localSheetId="27">{"fdsup://directions/FAT Viewer?action=UPDATE&amp;creator=factset&amp;DYN_ARGS=TRUE&amp;DOC_NAME=FAT:FQL_AUDITING_CLIENT_TEMPLATE.FAT&amp;display_string=Audit&amp;VAR:KEY=NONIXAPEBM&amp;VAR:QUERY=RkZfRklOX0FTU0VUU19JTVBBSVIoQU5OX1IsNDAzOTUsLCxSRixFVVIp&amp;WINDOW=FIRST_POPUP&amp;HEIGHT=45","0&amp;WIDTH=450&amp;START_MAXIMIZED=FALSE&amp;VAR:CALENDAR=FIVEDAY&amp;VAR:SYMBOL=B07MXC&amp;VAR:INDEX=0"}</definedName>
    <definedName name="_1646__FDSAUDITLINK__" localSheetId="34">{"fdsup://directions/FAT Viewer?action=UPDATE&amp;creator=factset&amp;DYN_ARGS=TRUE&amp;DOC_NAME=FAT:FQL_AUDITING_CLIENT_TEMPLATE.FAT&amp;display_string=Audit&amp;VAR:KEY=PEXYXSJIPO&amp;VAR:QUERY=RkZfRklOX0FTU0VUU19JTVBBSVIoQU5OX1IsNDAzOTUtMVksLCxSRixFVVIp&amp;WINDOW=FIRST_POPUP&amp;HEIGH","T=450&amp;WIDTH=450&amp;START_MAXIMIZED=FALSE&amp;VAR:CALENDAR=FIVEDAY&amp;VAR:SYMBOL=B07MXC&amp;VAR:INDEX=0"}</definedName>
    <definedName name="_1646__FDSAUDITLINK__" localSheetId="27">{"fdsup://directions/FAT Viewer?action=UPDATE&amp;creator=factset&amp;DYN_ARGS=TRUE&amp;DOC_NAME=FAT:FQL_AUDITING_CLIENT_TEMPLATE.FAT&amp;display_string=Audit&amp;VAR:KEY=PEXYXSJIPO&amp;VAR:QUERY=RkZfRklOX0FTU0VUU19JTVBBSVIoQU5OX1IsNDAzOTUtMVksLCxSRixFVVIp&amp;WINDOW=FIRST_POPUP&amp;HEIGH","T=450&amp;WIDTH=450&amp;START_MAXIMIZED=FALSE&amp;VAR:CALENDAR=FIVEDAY&amp;VAR:SYMBOL=B07MXC&amp;VAR:INDEX=0"}</definedName>
    <definedName name="_1647__FDSAUDITLINK__" localSheetId="34">{"fdsup://directions/FAT Viewer?action=UPDATE&amp;creator=factset&amp;DYN_ARGS=TRUE&amp;DOC_NAME=FAT:FQL_AUDITING_CLIENT_TEMPLATE.FAT&amp;display_string=Audit&amp;VAR:KEY=RMPOFYLYDI&amp;VAR:QUERY=RkZfSU1QQUlSX1BQRShBTk5fUiw0MDM5NSwsLFJGLEVVUik=&amp;WINDOW=FIRST_POPUP&amp;HEIGHT=450&amp;WIDTH=","450&amp;START_MAXIMIZED=FALSE&amp;VAR:CALENDAR=FIVEDAY&amp;VAR:SYMBOL=B07MXC&amp;VAR:INDEX=0"}</definedName>
    <definedName name="_1647__FDSAUDITLINK__" localSheetId="27">{"fdsup://directions/FAT Viewer?action=UPDATE&amp;creator=factset&amp;DYN_ARGS=TRUE&amp;DOC_NAME=FAT:FQL_AUDITING_CLIENT_TEMPLATE.FAT&amp;display_string=Audit&amp;VAR:KEY=RMPOFYLYDI&amp;VAR:QUERY=RkZfSU1QQUlSX1BQRShBTk5fUiw0MDM5NSwsLFJGLEVVUik=&amp;WINDOW=FIRST_POPUP&amp;HEIGHT=450&amp;WIDTH=","450&amp;START_MAXIMIZED=FALSE&amp;VAR:CALENDAR=FIVEDAY&amp;VAR:SYMBOL=B07MXC&amp;VAR:INDEX=0"}</definedName>
    <definedName name="_1648__FDSAUDITLINK__" localSheetId="34">{"fdsup://directions/FAT Viewer?action=UPDATE&amp;creator=factset&amp;DYN_ARGS=TRUE&amp;DOC_NAME=FAT:FQL_AUDITING_CLIENT_TEMPLATE.FAT&amp;display_string=Audit&amp;VAR:KEY=LYZKXEJMFA&amp;VAR:QUERY=RkZfSU1QQUlSX1BQRShBTk5fUiw0MDM5NS0xWSwsLFJGLEVVUik=&amp;WINDOW=FIRST_POPUP&amp;HEIGHT=450&amp;WI","DTH=450&amp;START_MAXIMIZED=FALSE&amp;VAR:CALENDAR=FIVEDAY&amp;VAR:SYMBOL=B07MXC&amp;VAR:INDEX=0"}</definedName>
    <definedName name="_1648__FDSAUDITLINK__" localSheetId="27">{"fdsup://directions/FAT Viewer?action=UPDATE&amp;creator=factset&amp;DYN_ARGS=TRUE&amp;DOC_NAME=FAT:FQL_AUDITING_CLIENT_TEMPLATE.FAT&amp;display_string=Audit&amp;VAR:KEY=LYZKXEJMFA&amp;VAR:QUERY=RkZfSU1QQUlSX1BQRShBTk5fUiw0MDM5NS0xWSwsLFJGLEVVUik=&amp;WINDOW=FIRST_POPUP&amp;HEIGHT=450&amp;WI","DTH=450&amp;START_MAXIMIZED=FALSE&amp;VAR:CALENDAR=FIVEDAY&amp;VAR:SYMBOL=B07MXC&amp;VAR:INDEX=0"}</definedName>
    <definedName name="_1649__FDSAUDITLINK__" localSheetId="34">{"fdsup://Directions/FactSet Auditing Viewer?action=AUDIT_VALUE&amp;DB=129&amp;ID1=B07MXC&amp;VALUEID=04050&amp;SDATE=2009&amp;PERIODTYPE=ANNR_STD&amp;window=popup_no_bar&amp;width=385&amp;height=120&amp;START_MAXIMIZED=FALSE&amp;creator=factset&amp;display_string=Audit"}</definedName>
    <definedName name="_1649__FDSAUDITLINK__" localSheetId="27">{"fdsup://Directions/FactSet Auditing Viewer?action=AUDIT_VALUE&amp;DB=129&amp;ID1=B07MXC&amp;VALUEID=04050&amp;SDATE=2009&amp;PERIODTYPE=ANNR_STD&amp;window=popup_no_bar&amp;width=385&amp;height=120&amp;START_MAXIMIZED=FALSE&amp;creator=factset&amp;display_string=Audit"}</definedName>
    <definedName name="_1650__FDSAUDITLINK__" localSheetId="34">{"fdsup://Directions/FactSet Auditing Viewer?action=AUDIT_VALUE&amp;DB=129&amp;ID1=B07MXC&amp;VALUEID=04050&amp;SDATE=2008&amp;PERIODTYPE=ANNR_STD&amp;window=popup_no_bar&amp;width=385&amp;height=120&amp;START_MAXIMIZED=FALSE&amp;creator=factset&amp;display_string=Audit"}</definedName>
    <definedName name="_1650__FDSAUDITLINK__" localSheetId="27">{"fdsup://Directions/FactSet Auditing Viewer?action=AUDIT_VALUE&amp;DB=129&amp;ID1=B07MXC&amp;VALUEID=04050&amp;SDATE=2008&amp;PERIODTYPE=ANNR_STD&amp;window=popup_no_bar&amp;width=385&amp;height=120&amp;START_MAXIMIZED=FALSE&amp;creator=factset&amp;display_string=Audit"}</definedName>
    <definedName name="_1651__FDSAUDITLINK__" localSheetId="34">{"fdsup://Directions/FactSet Auditing Viewer?action=AUDIT_VALUE&amp;DB=129&amp;ID1=B07MXC&amp;VALUEID=04049&amp;SDATE=2009&amp;PERIODTYPE=ANNR_STD&amp;window=popup_no_bar&amp;width=385&amp;height=120&amp;START_MAXIMIZED=FALSE&amp;creator=factset&amp;display_string=Audit"}</definedName>
    <definedName name="_1651__FDSAUDITLINK__" localSheetId="27">{"fdsup://Directions/FactSet Auditing Viewer?action=AUDIT_VALUE&amp;DB=129&amp;ID1=B07MXC&amp;VALUEID=04049&amp;SDATE=2009&amp;PERIODTYPE=ANNR_STD&amp;window=popup_no_bar&amp;width=385&amp;height=120&amp;START_MAXIMIZED=FALSE&amp;creator=factset&amp;display_string=Audit"}</definedName>
    <definedName name="_1652__FDSAUDITLINK__" localSheetId="34">{"fdsup://Directions/FactSet Auditing Viewer?action=AUDIT_VALUE&amp;DB=129&amp;ID1=B07MXC&amp;VALUEID=04049&amp;SDATE=2008&amp;PERIODTYPE=ANNR_STD&amp;window=popup_no_bar&amp;width=385&amp;height=120&amp;START_MAXIMIZED=FALSE&amp;creator=factset&amp;display_string=Audit"}</definedName>
    <definedName name="_1652__FDSAUDITLINK__" localSheetId="27">{"fdsup://Directions/FactSet Auditing Viewer?action=AUDIT_VALUE&amp;DB=129&amp;ID1=B07MXC&amp;VALUEID=04049&amp;SDATE=2008&amp;PERIODTYPE=ANNR_STD&amp;window=popup_no_bar&amp;width=385&amp;height=120&amp;START_MAXIMIZED=FALSE&amp;creator=factset&amp;display_string=Audit"}</definedName>
    <definedName name="_1653__FDSAUDITLINK__" localSheetId="34">{"fdsup://Directions/FactSet Auditing Viewer?action=AUDIT_VALUE&amp;DB=129&amp;ID1=B07MXC&amp;VALUEID=04601&amp;SDATE=2009&amp;PERIODTYPE=ANNR_STD&amp;window=popup_no_bar&amp;width=385&amp;height=120&amp;START_MAXIMIZED=FALSE&amp;creator=factset&amp;display_string=Audit"}</definedName>
    <definedName name="_1653__FDSAUDITLINK__" localSheetId="27">{"fdsup://Directions/FactSet Auditing Viewer?action=AUDIT_VALUE&amp;DB=129&amp;ID1=B07MXC&amp;VALUEID=04601&amp;SDATE=2009&amp;PERIODTYPE=ANNR_STD&amp;window=popup_no_bar&amp;width=385&amp;height=120&amp;START_MAXIMIZED=FALSE&amp;creator=factset&amp;display_string=Audit"}</definedName>
    <definedName name="_1654__FDSAUDITLINK__" localSheetId="34">{"fdsup://Directions/FactSet Auditing Viewer?action=AUDIT_VALUE&amp;DB=129&amp;ID1=B07MXC&amp;VALUEID=04601&amp;SDATE=2008&amp;PERIODTYPE=ANNR_STD&amp;window=popup_no_bar&amp;width=385&amp;height=120&amp;START_MAXIMIZED=FALSE&amp;creator=factset&amp;display_string=Audit"}</definedName>
    <definedName name="_1654__FDSAUDITLINK__" localSheetId="27">{"fdsup://Directions/FactSet Auditing Viewer?action=AUDIT_VALUE&amp;DB=129&amp;ID1=B07MXC&amp;VALUEID=04601&amp;SDATE=2008&amp;PERIODTYPE=ANNR_STD&amp;window=popup_no_bar&amp;width=385&amp;height=120&amp;START_MAXIMIZED=FALSE&amp;creator=factset&amp;display_string=Audit"}</definedName>
    <definedName name="_1655__FDSAUDITLINK__" localSheetId="34">{"fdsup://Directions/FactSet Auditing Viewer?action=AUDIT_VALUE&amp;DB=129&amp;ID1=092316&amp;VALUEID=18184&amp;SDATE=2009&amp;PERIODTYPE=ANNR_STD&amp;window=popup_no_bar&amp;width=385&amp;height=120&amp;START_MAXIMIZED=FALSE&amp;creator=factset&amp;display_string=Audit"}</definedName>
    <definedName name="_1655__FDSAUDITLINK__" localSheetId="27">{"fdsup://Directions/FactSet Auditing Viewer?action=AUDIT_VALUE&amp;DB=129&amp;ID1=092316&amp;VALUEID=18184&amp;SDATE=2009&amp;PERIODTYPE=ANNR_STD&amp;window=popup_no_bar&amp;width=385&amp;height=120&amp;START_MAXIMIZED=FALSE&amp;creator=factset&amp;display_string=Audit"}</definedName>
    <definedName name="_1656__FDSAUDITLINK__" localSheetId="34">{"fdsup://Directions/FactSet Auditing Viewer?action=AUDIT_VALUE&amp;DB=129&amp;ID1=092316&amp;VALUEID=02999&amp;SDATE=2009&amp;PERIODTYPE=ANNR_STD&amp;window=popup_no_bar&amp;width=385&amp;height=120&amp;START_MAXIMIZED=FALSE&amp;creator=factset&amp;display_string=Audit"}</definedName>
    <definedName name="_1656__FDSAUDITLINK__" localSheetId="27">{"fdsup://Directions/FactSet Auditing Viewer?action=AUDIT_VALUE&amp;DB=129&amp;ID1=092316&amp;VALUEID=02999&amp;SDATE=2009&amp;PERIODTYPE=ANNR_STD&amp;window=popup_no_bar&amp;width=385&amp;height=120&amp;START_MAXIMIZED=FALSE&amp;creator=factset&amp;display_string=Audit"}</definedName>
    <definedName name="_1657__FDSAUDITLINK__" localSheetId="34">{"fdsup://directions/FAT Viewer?action=UPDATE&amp;creator=factset&amp;DYN_ARGS=TRUE&amp;DOC_NAME=FAT:FQL_AUDITING_CLIENT_TEMPLATE.FAT&amp;display_string=Audit&amp;VAR:KEY=JOPODQHQX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092316&amp;VAR:INDEX=0"}</definedName>
    <definedName name="_1657__FDSAUDITLINK__" localSheetId="27">{"fdsup://directions/FAT Viewer?action=UPDATE&amp;creator=factset&amp;DYN_ARGS=TRUE&amp;DOC_NAME=FAT:FQL_AUDITING_CLIENT_TEMPLATE.FAT&amp;display_string=Audit&amp;VAR:KEY=JOPODQHQX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092316&amp;VAR:INDEX=0"}</definedName>
    <definedName name="_1658__FDSAUDITLINK__" localSheetId="34">{"fdsup://directions/FAT Viewer?action=UPDATE&amp;creator=factset&amp;DYN_ARGS=TRUE&amp;DOC_NAME=FAT:FQL_AUDITING_CLIENT_TEMPLATE.FAT&amp;display_string=Audit&amp;VAR:KEY=FUTCNSLWX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092316&amp;VAR:INDEX=0"}</definedName>
    <definedName name="_1658__FDSAUDITLINK__" localSheetId="27">{"fdsup://directions/FAT Viewer?action=UPDATE&amp;creator=factset&amp;DYN_ARGS=TRUE&amp;DOC_NAME=FAT:FQL_AUDITING_CLIENT_TEMPLATE.FAT&amp;display_string=Audit&amp;VAR:KEY=FUTCNSLWX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092316&amp;VAR:INDEX=0"}</definedName>
    <definedName name="_1659__FDSAUDITLINK__" localSheetId="34">{"fdsup://directions/FAT Viewer?action=UPDATE&amp;creator=factset&amp;DYN_ARGS=TRUE&amp;DOC_NAME=FAT:FQL_AUDITING_CLIENT_TEMPLATE.FAT&amp;display_string=Audit&amp;VAR:KEY=LUTMPWRCLW&amp;VAR:QUERY=RkZfRklOX0FTU0VUU19JTVBBSVIoQU5OX1IsNDAzOTUsLCxSRixHQlAp&amp;WINDOW=FIRST_POPUP&amp;HEIGHT=45","0&amp;WIDTH=450&amp;START_MAXIMIZED=FALSE&amp;VAR:CALENDAR=FIVEDAY&amp;VAR:SYMBOL=092316&amp;VAR:INDEX=0"}</definedName>
    <definedName name="_1659__FDSAUDITLINK__" localSheetId="27">{"fdsup://directions/FAT Viewer?action=UPDATE&amp;creator=factset&amp;DYN_ARGS=TRUE&amp;DOC_NAME=FAT:FQL_AUDITING_CLIENT_TEMPLATE.FAT&amp;display_string=Audit&amp;VAR:KEY=LUTMPWRCLW&amp;VAR:QUERY=RkZfRklOX0FTU0VUU19JTVBBSVIoQU5OX1IsNDAzOTUsLCxSRixHQlAp&amp;WINDOW=FIRST_POPUP&amp;HEIGHT=45","0&amp;WIDTH=450&amp;START_MAXIMIZED=FALSE&amp;VAR:CALENDAR=FIVEDAY&amp;VAR:SYMBOL=092316&amp;VAR:INDEX=0"}</definedName>
    <definedName name="_1660__FDSAUDITLINK__" localSheetId="34">{"fdsup://directions/FAT Viewer?action=UPDATE&amp;creator=factset&amp;DYN_ARGS=TRUE&amp;DOC_NAME=FAT:FQL_AUDITING_CLIENT_TEMPLATE.FAT&amp;display_string=Audit&amp;VAR:KEY=TGPOBSBITE&amp;VAR:QUERY=RkZfRklOX0FTU0VUU19JTVBBSVIoQU5OX1IsNDAzOTUtMVksLCxSRixHQlAp&amp;WINDOW=FIRST_POPUP&amp;HEIGH","T=450&amp;WIDTH=450&amp;START_MAXIMIZED=FALSE&amp;VAR:CALENDAR=FIVEDAY&amp;VAR:SYMBOL=092316&amp;VAR:INDEX=0"}</definedName>
    <definedName name="_1660__FDSAUDITLINK__" localSheetId="27">{"fdsup://directions/FAT Viewer?action=UPDATE&amp;creator=factset&amp;DYN_ARGS=TRUE&amp;DOC_NAME=FAT:FQL_AUDITING_CLIENT_TEMPLATE.FAT&amp;display_string=Audit&amp;VAR:KEY=TGPOBSBITE&amp;VAR:QUERY=RkZfRklOX0FTU0VUU19JTVBBSVIoQU5OX1IsNDAzOTUtMVksLCxSRixHQlAp&amp;WINDOW=FIRST_POPUP&amp;HEIGH","T=450&amp;WIDTH=450&amp;START_MAXIMIZED=FALSE&amp;VAR:CALENDAR=FIVEDAY&amp;VAR:SYMBOL=092316&amp;VAR:INDEX=0"}</definedName>
    <definedName name="_1661__FDSAUDITLINK__" localSheetId="34">{"fdsup://directions/FAT Viewer?action=UPDATE&amp;creator=factset&amp;DYN_ARGS=TRUE&amp;DOC_NAME=FAT:FQL_AUDITING_CLIENT_TEMPLATE.FAT&amp;display_string=Audit&amp;VAR:KEY=NABIVSRWBM&amp;VAR:QUERY=RkZfSU1QQUlSX1BQRShBTk5fUiw0MDM5NSwsLFJGLEdCUCk=&amp;WINDOW=FIRST_POPUP&amp;HEIGHT=450&amp;WIDTH=","450&amp;START_MAXIMIZED=FALSE&amp;VAR:CALENDAR=FIVEDAY&amp;VAR:SYMBOL=092316&amp;VAR:INDEX=0"}</definedName>
    <definedName name="_1661__FDSAUDITLINK__" localSheetId="27">{"fdsup://directions/FAT Viewer?action=UPDATE&amp;creator=factset&amp;DYN_ARGS=TRUE&amp;DOC_NAME=FAT:FQL_AUDITING_CLIENT_TEMPLATE.FAT&amp;display_string=Audit&amp;VAR:KEY=NABIVSRWBM&amp;VAR:QUERY=RkZfSU1QQUlSX1BQRShBTk5fUiw0MDM5NSwsLFJGLEdCUCk=&amp;WINDOW=FIRST_POPUP&amp;HEIGHT=450&amp;WIDTH=","450&amp;START_MAXIMIZED=FALSE&amp;VAR:CALENDAR=FIVEDAY&amp;VAR:SYMBOL=092316&amp;VAR:INDEX=0"}</definedName>
    <definedName name="_1662__FDSAUDITLINK__" localSheetId="34">{"fdsup://directions/FAT Viewer?action=UPDATE&amp;creator=factset&amp;DYN_ARGS=TRUE&amp;DOC_NAME=FAT:FQL_AUDITING_CLIENT_TEMPLATE.FAT&amp;display_string=Audit&amp;VAR:KEY=VSNIRYVORK&amp;VAR:QUERY=RkZfSU1QQUlSX1BQRShBTk5fUiw0MDM5NS0xWSwsLFJGLEdCUCk=&amp;WINDOW=FIRST_POPUP&amp;HEIGHT=450&amp;WI","DTH=450&amp;START_MAXIMIZED=FALSE&amp;VAR:CALENDAR=FIVEDAY&amp;VAR:SYMBOL=092316&amp;VAR:INDEX=0"}</definedName>
    <definedName name="_1662__FDSAUDITLINK__" localSheetId="27">{"fdsup://directions/FAT Viewer?action=UPDATE&amp;creator=factset&amp;DYN_ARGS=TRUE&amp;DOC_NAME=FAT:FQL_AUDITING_CLIENT_TEMPLATE.FAT&amp;display_string=Audit&amp;VAR:KEY=VSNIRYVORK&amp;VAR:QUERY=RkZfSU1QQUlSX1BQRShBTk5fUiw0MDM5NS0xWSwsLFJGLEdCUCk=&amp;WINDOW=FIRST_POPUP&amp;HEIGHT=450&amp;WI","DTH=450&amp;START_MAXIMIZED=FALSE&amp;VAR:CALENDAR=FIVEDAY&amp;VAR:SYMBOL=092316&amp;VAR:INDEX=0"}</definedName>
    <definedName name="_1663__FDSAUDITLINK__" localSheetId="34">{"fdsup://Directions/FactSet Auditing Viewer?action=AUDIT_VALUE&amp;DB=129&amp;ID1=092316&amp;VALUEID=04050&amp;SDATE=2009&amp;PERIODTYPE=ANNR_STD&amp;window=popup_no_bar&amp;width=385&amp;height=120&amp;START_MAXIMIZED=FALSE&amp;creator=factset&amp;display_string=Audit"}</definedName>
    <definedName name="_1663__FDSAUDITLINK__" localSheetId="27">{"fdsup://Directions/FactSet Auditing Viewer?action=AUDIT_VALUE&amp;DB=129&amp;ID1=092316&amp;VALUEID=04050&amp;SDATE=2009&amp;PERIODTYPE=ANNR_STD&amp;window=popup_no_bar&amp;width=385&amp;height=120&amp;START_MAXIMIZED=FALSE&amp;creator=factset&amp;display_string=Audit"}</definedName>
    <definedName name="_1664__FDSAUDITLINK__" localSheetId="34">{"fdsup://Directions/FactSet Auditing Viewer?action=AUDIT_VALUE&amp;DB=129&amp;ID1=092316&amp;VALUEID=04050&amp;SDATE=2008&amp;PERIODTYPE=ANNR_STD&amp;window=popup_no_bar&amp;width=385&amp;height=120&amp;START_MAXIMIZED=FALSE&amp;creator=factset&amp;display_string=Audit"}</definedName>
    <definedName name="_1664__FDSAUDITLINK__" localSheetId="27">{"fdsup://Directions/FactSet Auditing Viewer?action=AUDIT_VALUE&amp;DB=129&amp;ID1=092316&amp;VALUEID=04050&amp;SDATE=2008&amp;PERIODTYPE=ANNR_STD&amp;window=popup_no_bar&amp;width=385&amp;height=120&amp;START_MAXIMIZED=FALSE&amp;creator=factset&amp;display_string=Audit"}</definedName>
    <definedName name="_1665__FDSAUDITLINK__" localSheetId="34">{"fdsup://Directions/FactSet Auditing Viewer?action=AUDIT_VALUE&amp;DB=129&amp;ID1=092316&amp;VALUEID=04049&amp;SDATE=2009&amp;PERIODTYPE=ANNR_STD&amp;window=popup_no_bar&amp;width=385&amp;height=120&amp;START_MAXIMIZED=FALSE&amp;creator=factset&amp;display_string=Audit"}</definedName>
    <definedName name="_1665__FDSAUDITLINK__" localSheetId="27">{"fdsup://Directions/FactSet Auditing Viewer?action=AUDIT_VALUE&amp;DB=129&amp;ID1=092316&amp;VALUEID=04049&amp;SDATE=2009&amp;PERIODTYPE=ANNR_STD&amp;window=popup_no_bar&amp;width=385&amp;height=120&amp;START_MAXIMIZED=FALSE&amp;creator=factset&amp;display_string=Audit"}</definedName>
    <definedName name="_1666__FDSAUDITLINK__" localSheetId="34">{"fdsup://Directions/FactSet Auditing Viewer?action=AUDIT_VALUE&amp;DB=129&amp;ID1=092316&amp;VALUEID=04049&amp;SDATE=2008&amp;PERIODTYPE=ANNR_STD&amp;window=popup_no_bar&amp;width=385&amp;height=120&amp;START_MAXIMIZED=FALSE&amp;creator=factset&amp;display_string=Audit"}</definedName>
    <definedName name="_1666__FDSAUDITLINK__" localSheetId="27">{"fdsup://Directions/FactSet Auditing Viewer?action=AUDIT_VALUE&amp;DB=129&amp;ID1=092316&amp;VALUEID=04049&amp;SDATE=2008&amp;PERIODTYPE=ANNR_STD&amp;window=popup_no_bar&amp;width=385&amp;height=120&amp;START_MAXIMIZED=FALSE&amp;creator=factset&amp;display_string=Audit"}</definedName>
    <definedName name="_1667__FDSAUDITLINK__" localSheetId="34">{"fdsup://Directions/FactSet Auditing Viewer?action=AUDIT_VALUE&amp;DB=129&amp;ID1=092316&amp;VALUEID=04601&amp;SDATE=2009&amp;PERIODTYPE=ANNR_STD&amp;window=popup_no_bar&amp;width=385&amp;height=120&amp;START_MAXIMIZED=FALSE&amp;creator=factset&amp;display_string=Audit"}</definedName>
    <definedName name="_1667__FDSAUDITLINK__" localSheetId="27">{"fdsup://Directions/FactSet Auditing Viewer?action=AUDIT_VALUE&amp;DB=129&amp;ID1=092316&amp;VALUEID=04601&amp;SDATE=2009&amp;PERIODTYPE=ANNR_STD&amp;window=popup_no_bar&amp;width=385&amp;height=120&amp;START_MAXIMIZED=FALSE&amp;creator=factset&amp;display_string=Audit"}</definedName>
    <definedName name="_1668__FDSAUDITLINK__" localSheetId="34">{"fdsup://Directions/FactSet Auditing Viewer?action=AUDIT_VALUE&amp;DB=129&amp;ID1=092316&amp;VALUEID=04601&amp;SDATE=2008&amp;PERIODTYPE=ANNR_STD&amp;window=popup_no_bar&amp;width=385&amp;height=120&amp;START_MAXIMIZED=FALSE&amp;creator=factset&amp;display_string=Audit"}</definedName>
    <definedName name="_1668__FDSAUDITLINK__" localSheetId="27">{"fdsup://Directions/FactSet Auditing Viewer?action=AUDIT_VALUE&amp;DB=129&amp;ID1=092316&amp;VALUEID=04601&amp;SDATE=2008&amp;PERIODTYPE=ANNR_STD&amp;window=popup_no_bar&amp;width=385&amp;height=120&amp;START_MAXIMIZED=FALSE&amp;creator=factset&amp;display_string=Audit"}</definedName>
    <definedName name="_1669__FDSAUDITLINK__" localSheetId="34">{"fdsup://Directions/FactSet Auditing Viewer?action=AUDIT_VALUE&amp;DB=129&amp;ID1=714630&amp;VALUEID=18184&amp;SDATE=2009&amp;PERIODTYPE=ANNR_STD&amp;window=popup_no_bar&amp;width=385&amp;height=120&amp;START_MAXIMIZED=FALSE&amp;creator=factset&amp;display_string=Audit"}</definedName>
    <definedName name="_1669__FDSAUDITLINK__" localSheetId="27">{"fdsup://Directions/FactSet Auditing Viewer?action=AUDIT_VALUE&amp;DB=129&amp;ID1=714630&amp;VALUEID=18184&amp;SDATE=2009&amp;PERIODTYPE=ANNR_STD&amp;window=popup_no_bar&amp;width=385&amp;height=120&amp;START_MAXIMIZED=FALSE&amp;creator=factset&amp;display_string=Audit"}</definedName>
    <definedName name="_1670__FDSAUDITLINK__" localSheetId="34">{"fdsup://Directions/FactSet Auditing Viewer?action=AUDIT_VALUE&amp;DB=129&amp;ID1=714630&amp;VALUEID=02999&amp;SDATE=2009&amp;PERIODTYPE=ANNR_STD&amp;window=popup_no_bar&amp;width=385&amp;height=120&amp;START_MAXIMIZED=FALSE&amp;creator=factset&amp;display_string=Audit"}</definedName>
    <definedName name="_1670__FDSAUDITLINK__" localSheetId="27">{"fdsup://Directions/FactSet Auditing Viewer?action=AUDIT_VALUE&amp;DB=129&amp;ID1=714630&amp;VALUEID=02999&amp;SDATE=2009&amp;PERIODTYPE=ANNR_STD&amp;window=popup_no_bar&amp;width=385&amp;height=120&amp;START_MAXIMIZED=FALSE&amp;creator=factset&amp;display_string=Audit"}</definedName>
    <definedName name="_1671__FDSAUDITLINK__" localSheetId="34">{"fdsup://directions/FAT Viewer?action=UPDATE&amp;creator=factset&amp;DYN_ARGS=TRUE&amp;DOC_NAME=FAT:FQL_AUDITING_CLIENT_TEMPLATE.FAT&amp;display_string=Audit&amp;VAR:KEY=VGRETQLCFU&amp;VAR:QUERY=RkZfQVNTRVRTX0NVUlIoQU5OX1IsNDAzOTUsLCxSRixFVVIpLUZGX0NBU0hfU1QoQU5OX1IsNDAzOTUsLCxSR","ixFVVIpLUZGX0xJQUJTX0NVUlIoQU5OX1IsNDAzOTUsLCxSRixFVVIpK0ZGX0RFQlRfU1QoQU5OX1IsNDAzOTUsLCxSRixFVVIp&amp;WINDOW=FIRST_POPUP&amp;HEIGHT=450&amp;WIDTH=450&amp;START_MAXIMIZED=FALSE&amp;VAR:CALENDAR=FIVEDAY&amp;VAR:SYMBOL=714630&amp;VAR:INDEX=0"}</definedName>
    <definedName name="_1671__FDSAUDITLINK__" localSheetId="27">{"fdsup://directions/FAT Viewer?action=UPDATE&amp;creator=factset&amp;DYN_ARGS=TRUE&amp;DOC_NAME=FAT:FQL_AUDITING_CLIENT_TEMPLATE.FAT&amp;display_string=Audit&amp;VAR:KEY=VGRETQLCFU&amp;VAR:QUERY=RkZfQVNTRVRTX0NVUlIoQU5OX1IsNDAzOTUsLCxSRixFVVIpLUZGX0NBU0hfU1QoQU5OX1IsNDAzOTUsLCxSR","ixFVVIpLUZGX0xJQUJTX0NVUlIoQU5OX1IsNDAzOTUsLCxSRixFVVIpK0ZGX0RFQlRfU1QoQU5OX1IsNDAzOTUsLCxSRixFVVIp&amp;WINDOW=FIRST_POPUP&amp;HEIGHT=450&amp;WIDTH=450&amp;START_MAXIMIZED=FALSE&amp;VAR:CALENDAR=FIVEDAY&amp;VAR:SYMBOL=714630&amp;VAR:INDEX=0"}</definedName>
    <definedName name="_1672__FDSAUDITLINK__" localSheetId="34">{"fdsup://directions/FAT Viewer?action=UPDATE&amp;creator=factset&amp;DYN_ARGS=TRUE&amp;DOC_NAME=FAT:FQL_AUDITING_CLIENT_TEMPLATE.FAT&amp;display_string=Audit&amp;VAR:KEY=HULGDITWVO&amp;VAR:QUERY=RkZfQVNTRVRTX0NVUlIoQU5OX1IsNDAzOTUtMVksLCxSRixFVVIpLUZGX0NBU0hfU1QoQU5OX1IsNDAzOTUtM","VksLCxSRixFVVIpLUZGX0xJQUJTX0NVUlIoQU5OX1IsNDAzOTUtMVksLCxSRixFVVIpK0ZGX0RFQlRfU1QoQU5OX1IsNDAzOTUtMVksLCxSRixFVVIp&amp;WINDOW=FIRST_POPUP&amp;HEIGHT=450&amp;WIDTH=450&amp;START_MAXIMIZED=FALSE&amp;VAR:CALENDAR=FIVEDAY&amp;VAR:SYMBOL=714630&amp;VAR:INDEX=0"}</definedName>
    <definedName name="_1672__FDSAUDITLINK__" localSheetId="27">{"fdsup://directions/FAT Viewer?action=UPDATE&amp;creator=factset&amp;DYN_ARGS=TRUE&amp;DOC_NAME=FAT:FQL_AUDITING_CLIENT_TEMPLATE.FAT&amp;display_string=Audit&amp;VAR:KEY=HULGDITWVO&amp;VAR:QUERY=RkZfQVNTRVRTX0NVUlIoQU5OX1IsNDAzOTUtMVksLCxSRixFVVIpLUZGX0NBU0hfU1QoQU5OX1IsNDAzOTUtM","VksLCxSRixFVVIpLUZGX0xJQUJTX0NVUlIoQU5OX1IsNDAzOTUtMVksLCxSRixFVVIpK0ZGX0RFQlRfU1QoQU5OX1IsNDAzOTUtMVksLCxSRixFVVIp&amp;WINDOW=FIRST_POPUP&amp;HEIGHT=450&amp;WIDTH=450&amp;START_MAXIMIZED=FALSE&amp;VAR:CALENDAR=FIVEDAY&amp;VAR:SYMBOL=714630&amp;VAR:INDEX=0"}</definedName>
    <definedName name="_1673__FDSAUDITLINK__" localSheetId="34">{"fdsup://directions/FAT Viewer?action=UPDATE&amp;creator=factset&amp;DYN_ARGS=TRUE&amp;DOC_NAME=FAT:FQL_AUDITING_CLIENT_TEMPLATE.FAT&amp;display_string=Audit&amp;VAR:KEY=HOBGBQLABG&amp;VAR:QUERY=RkZfRklOX0FTU0VUU19JTVBBSVIoQU5OX1IsNDAzOTUsLCxSRixFVVIp&amp;WINDOW=FIRST_POPUP&amp;HEIGHT=45","0&amp;WIDTH=450&amp;START_MAXIMIZED=FALSE&amp;VAR:CALENDAR=FIVEDAY&amp;VAR:SYMBOL=714630&amp;VAR:INDEX=0"}</definedName>
    <definedName name="_1673__FDSAUDITLINK__" localSheetId="27">{"fdsup://directions/FAT Viewer?action=UPDATE&amp;creator=factset&amp;DYN_ARGS=TRUE&amp;DOC_NAME=FAT:FQL_AUDITING_CLIENT_TEMPLATE.FAT&amp;display_string=Audit&amp;VAR:KEY=HOBGBQLABG&amp;VAR:QUERY=RkZfRklOX0FTU0VUU19JTVBBSVIoQU5OX1IsNDAzOTUsLCxSRixFVVIp&amp;WINDOW=FIRST_POPUP&amp;HEIGHT=45","0&amp;WIDTH=450&amp;START_MAXIMIZED=FALSE&amp;VAR:CALENDAR=FIVEDAY&amp;VAR:SYMBOL=714630&amp;VAR:INDEX=0"}</definedName>
    <definedName name="_1674__FDSAUDITLINK__" localSheetId="34">{"fdsup://directions/FAT Viewer?action=UPDATE&amp;creator=factset&amp;DYN_ARGS=TRUE&amp;DOC_NAME=FAT:FQL_AUDITING_CLIENT_TEMPLATE.FAT&amp;display_string=Audit&amp;VAR:KEY=JCRYLKVYRK&amp;VAR:QUERY=RkZfRklOX0FTU0VUU19JTVBBSVIoQU5OX1IsNDAzOTUtMVksLCxSRixFVVIp&amp;WINDOW=FIRST_POPUP&amp;HEIGH","T=450&amp;WIDTH=450&amp;START_MAXIMIZED=FALSE&amp;VAR:CALENDAR=FIVEDAY&amp;VAR:SYMBOL=714630&amp;VAR:INDEX=0"}</definedName>
    <definedName name="_1674__FDSAUDITLINK__" localSheetId="27">{"fdsup://directions/FAT Viewer?action=UPDATE&amp;creator=factset&amp;DYN_ARGS=TRUE&amp;DOC_NAME=FAT:FQL_AUDITING_CLIENT_TEMPLATE.FAT&amp;display_string=Audit&amp;VAR:KEY=JCRYLKVYRK&amp;VAR:QUERY=RkZfRklOX0FTU0VUU19JTVBBSVIoQU5OX1IsNDAzOTUtMVksLCxSRixFVVIp&amp;WINDOW=FIRST_POPUP&amp;HEIGH","T=450&amp;WIDTH=450&amp;START_MAXIMIZED=FALSE&amp;VAR:CALENDAR=FIVEDAY&amp;VAR:SYMBOL=714630&amp;VAR:INDEX=0"}</definedName>
    <definedName name="_1675__FDSAUDITLINK__" localSheetId="34">{"fdsup://directions/FAT Viewer?action=UPDATE&amp;creator=factset&amp;DYN_ARGS=TRUE&amp;DOC_NAME=FAT:FQL_AUDITING_CLIENT_TEMPLATE.FAT&amp;display_string=Audit&amp;VAR:KEY=HYHOBALKRM&amp;VAR:QUERY=RkZfSU1QQUlSX1BQRShBTk5fUiw0MDM5NSwsLFJGLEVVUik=&amp;WINDOW=FIRST_POPUP&amp;HEIGHT=450&amp;WIDTH=","450&amp;START_MAXIMIZED=FALSE&amp;VAR:CALENDAR=FIVEDAY&amp;VAR:SYMBOL=714630&amp;VAR:INDEX=0"}</definedName>
    <definedName name="_1675__FDSAUDITLINK__" localSheetId="27">{"fdsup://directions/FAT Viewer?action=UPDATE&amp;creator=factset&amp;DYN_ARGS=TRUE&amp;DOC_NAME=FAT:FQL_AUDITING_CLIENT_TEMPLATE.FAT&amp;display_string=Audit&amp;VAR:KEY=HYHOBALKRM&amp;VAR:QUERY=RkZfSU1QQUlSX1BQRShBTk5fUiw0MDM5NSwsLFJGLEVVUik=&amp;WINDOW=FIRST_POPUP&amp;HEIGHT=450&amp;WIDTH=","450&amp;START_MAXIMIZED=FALSE&amp;VAR:CALENDAR=FIVEDAY&amp;VAR:SYMBOL=714630&amp;VAR:INDEX=0"}</definedName>
    <definedName name="_1676__FDSAUDITLINK__" localSheetId="34">{"fdsup://directions/FAT Viewer?action=UPDATE&amp;creator=factset&amp;DYN_ARGS=TRUE&amp;DOC_NAME=FAT:FQL_AUDITING_CLIENT_TEMPLATE.FAT&amp;display_string=Audit&amp;VAR:KEY=JKVUHYRKLC&amp;VAR:QUERY=RkZfSU1QQUlSX1BQRShBTk5fUiw0MDM5NS0xWSwsLFJGLEVVUik=&amp;WINDOW=FIRST_POPUP&amp;HEIGHT=450&amp;WI","DTH=450&amp;START_MAXIMIZED=FALSE&amp;VAR:CALENDAR=FIVEDAY&amp;VAR:SYMBOL=714630&amp;VAR:INDEX=0"}</definedName>
    <definedName name="_1676__FDSAUDITLINK__" localSheetId="27">{"fdsup://directions/FAT Viewer?action=UPDATE&amp;creator=factset&amp;DYN_ARGS=TRUE&amp;DOC_NAME=FAT:FQL_AUDITING_CLIENT_TEMPLATE.FAT&amp;display_string=Audit&amp;VAR:KEY=JKVUHYRKLC&amp;VAR:QUERY=RkZfSU1QQUlSX1BQRShBTk5fUiw0MDM5NS0xWSwsLFJGLEVVUik=&amp;WINDOW=FIRST_POPUP&amp;HEIGHT=450&amp;WI","DTH=450&amp;START_MAXIMIZED=FALSE&amp;VAR:CALENDAR=FIVEDAY&amp;VAR:SYMBOL=714630&amp;VAR:INDEX=0"}</definedName>
    <definedName name="_1677__FDSAUDITLINK__" localSheetId="34">{"fdsup://Directions/FactSet Auditing Viewer?action=AUDIT_VALUE&amp;DB=129&amp;ID1=714630&amp;VALUEID=04049&amp;SDATE=2009&amp;PERIODTYPE=ANNR_STD&amp;window=popup_no_bar&amp;width=385&amp;height=120&amp;START_MAXIMIZED=FALSE&amp;creator=factset&amp;display_string=Audit"}</definedName>
    <definedName name="_1677__FDSAUDITLINK__" localSheetId="27">{"fdsup://Directions/FactSet Auditing Viewer?action=AUDIT_VALUE&amp;DB=129&amp;ID1=714630&amp;VALUEID=04049&amp;SDATE=2009&amp;PERIODTYPE=ANNR_STD&amp;window=popup_no_bar&amp;width=385&amp;height=120&amp;START_MAXIMIZED=FALSE&amp;creator=factset&amp;display_string=Audit"}</definedName>
    <definedName name="_1678__FDSAUDITLINK__" localSheetId="34">{"fdsup://Directions/FactSet Auditing Viewer?action=AUDIT_VALUE&amp;DB=129&amp;ID1=714630&amp;VALUEID=04601&amp;SDATE=2009&amp;PERIODTYPE=ANNR_STD&amp;window=popup_no_bar&amp;width=385&amp;height=120&amp;START_MAXIMIZED=FALSE&amp;creator=factset&amp;display_string=Audit"}</definedName>
    <definedName name="_1678__FDSAUDITLINK__" localSheetId="27">{"fdsup://Directions/FactSet Auditing Viewer?action=AUDIT_VALUE&amp;DB=129&amp;ID1=714630&amp;VALUEID=04601&amp;SDATE=2009&amp;PERIODTYPE=ANNR_STD&amp;window=popup_no_bar&amp;width=385&amp;height=120&amp;START_MAXIMIZED=FALSE&amp;creator=factset&amp;display_string=Audit"}</definedName>
    <definedName name="_1679__FDSAUDITLINK__" localSheetId="34">{"fdsup://Directions/FactSet Auditing Viewer?action=AUDIT_VALUE&amp;DB=129&amp;ID1=69946210&amp;VALUEID=01451&amp;SDATE=2010&amp;PERIODTYPE=ANNR_STD&amp;window=popup_no_bar&amp;width=385&amp;height=120&amp;START_MAXIMIZED=FALSE&amp;creator=factset&amp;display_string=Audit"}</definedName>
    <definedName name="_1679__FDSAUDITLINK__" localSheetId="27">{"fdsup://Directions/FactSet Auditing Viewer?action=AUDIT_VALUE&amp;DB=129&amp;ID1=69946210&amp;VALUEID=01451&amp;SDATE=2010&amp;PERIODTYPE=ANNR_STD&amp;window=popup_no_bar&amp;width=385&amp;height=120&amp;START_MAXIMIZED=FALSE&amp;creator=factset&amp;display_string=Audit"}</definedName>
    <definedName name="_1680__FDSAUDITLINK__" localSheetId="34">{"fdsup://Directions/FactSet Auditing Viewer?action=AUDIT_VALUE&amp;DB=129&amp;ID1=69946210&amp;VALUEID=01401&amp;SDATE=2010&amp;PERIODTYPE=ANNR_STD&amp;window=popup_no_bar&amp;width=385&amp;height=120&amp;START_MAXIMIZED=FALSE&amp;creator=factset&amp;display_string=Audit"}</definedName>
    <definedName name="_1680__FDSAUDITLINK__" localSheetId="27">{"fdsup://Directions/FactSet Auditing Viewer?action=AUDIT_VALUE&amp;DB=129&amp;ID1=69946210&amp;VALUEID=01401&amp;SDATE=2010&amp;PERIODTYPE=ANNR_STD&amp;window=popup_no_bar&amp;width=385&amp;height=120&amp;START_MAXIMIZED=FALSE&amp;creator=factset&amp;display_string=Audit"}</definedName>
    <definedName name="_1681__FDSAUDITLINK__" localSheetId="34">{"fdsup://Directions/FactSet Auditing Viewer?action=AUDIT_VALUE&amp;DB=129&amp;ID1=09058M10&amp;VALUEID=01451&amp;SDATE=2009&amp;PERIODTYPE=ANNR_STD&amp;window=popup_no_bar&amp;width=385&amp;height=120&amp;START_MAXIMIZED=FALSE&amp;creator=factset&amp;display_string=Audit"}</definedName>
    <definedName name="_1681__FDSAUDITLINK__" localSheetId="27">{"fdsup://Directions/FactSet Auditing Viewer?action=AUDIT_VALUE&amp;DB=129&amp;ID1=09058M10&amp;VALUEID=01451&amp;SDATE=2009&amp;PERIODTYPE=ANNR_STD&amp;window=popup_no_bar&amp;width=385&amp;height=120&amp;START_MAXIMIZED=FALSE&amp;creator=factset&amp;display_string=Audit"}</definedName>
    <definedName name="_1682__FDSAUDITLINK__" localSheetId="34">{"fdsup://Directions/FactSet Auditing Viewer?action=AUDIT_VALUE&amp;DB=129&amp;ID1=09058M10&amp;VALUEID=01401&amp;SDATE=2009&amp;PERIODTYPE=ANNR_STD&amp;window=popup_no_bar&amp;width=385&amp;height=120&amp;START_MAXIMIZED=FALSE&amp;creator=factset&amp;display_string=Audit"}</definedName>
    <definedName name="_1682__FDSAUDITLINK__" localSheetId="27">{"fdsup://Directions/FactSet Auditing Viewer?action=AUDIT_VALUE&amp;DB=129&amp;ID1=09058M10&amp;VALUEID=01401&amp;SDATE=2009&amp;PERIODTYPE=ANNR_STD&amp;window=popup_no_bar&amp;width=385&amp;height=120&amp;START_MAXIMIZED=FALSE&amp;creator=factset&amp;display_string=Audit"}</definedName>
    <definedName name="_1683__FDSAUDITLINK__" localSheetId="34">{"fdsup://Directions/FactSet Auditing Viewer?action=AUDIT_VALUE&amp;DB=129&amp;ID1=82921410&amp;VALUEID=01451&amp;SDATE=2009&amp;PERIODTYPE=ANNR_STD&amp;window=popup_no_bar&amp;width=385&amp;height=120&amp;START_MAXIMIZED=FALSE&amp;creator=factset&amp;display_string=Audit"}</definedName>
    <definedName name="_1683__FDSAUDITLINK__" localSheetId="27">{"fdsup://Directions/FactSet Auditing Viewer?action=AUDIT_VALUE&amp;DB=129&amp;ID1=82921410&amp;VALUEID=01451&amp;SDATE=2009&amp;PERIODTYPE=ANNR_STD&amp;window=popup_no_bar&amp;width=385&amp;height=120&amp;START_MAXIMIZED=FALSE&amp;creator=factset&amp;display_string=Audit"}</definedName>
    <definedName name="_1684__FDSAUDITLINK__" localSheetId="34">{"fdsup://Directions/FactSet Auditing Viewer?action=AUDIT_VALUE&amp;DB=129&amp;ID1=82921410&amp;VALUEID=01401&amp;SDATE=2009&amp;PERIODTYPE=ANNR_STD&amp;window=popup_no_bar&amp;width=385&amp;height=120&amp;START_MAXIMIZED=FALSE&amp;creator=factset&amp;display_string=Audit"}</definedName>
    <definedName name="_1684__FDSAUDITLINK__" localSheetId="27">{"fdsup://Directions/FactSet Auditing Viewer?action=AUDIT_VALUE&amp;DB=129&amp;ID1=82921410&amp;VALUEID=01401&amp;SDATE=2009&amp;PERIODTYPE=ANNR_STD&amp;window=popup_no_bar&amp;width=385&amp;height=120&amp;START_MAXIMIZED=FALSE&amp;creator=factset&amp;display_string=Audit"}</definedName>
    <definedName name="_1685__FDSAUDITLINK__" localSheetId="34">{"fdsup://Directions/FactSet Auditing Viewer?action=AUDIT_VALUE&amp;DB=129&amp;ID1=53217V10&amp;VALUEID=01451&amp;SDATE=2009&amp;PERIODTYPE=ANNR_STD&amp;window=popup_no_bar&amp;width=385&amp;height=120&amp;START_MAXIMIZED=FALSE&amp;creator=factset&amp;display_string=Audit"}</definedName>
    <definedName name="_1685__FDSAUDITLINK__" localSheetId="27">{"fdsup://Directions/FactSet Auditing Viewer?action=AUDIT_VALUE&amp;DB=129&amp;ID1=53217V10&amp;VALUEID=01451&amp;SDATE=2009&amp;PERIODTYPE=ANNR_STD&amp;window=popup_no_bar&amp;width=385&amp;height=120&amp;START_MAXIMIZED=FALSE&amp;creator=factset&amp;display_string=Audit"}</definedName>
    <definedName name="_1686__FDSAUDITLINK__" localSheetId="34">{"fdsup://Directions/FactSet Auditing Viewer?action=AUDIT_VALUE&amp;DB=129&amp;ID1=53217V10&amp;VALUEID=01401&amp;SDATE=2009&amp;PERIODTYPE=ANNR_STD&amp;window=popup_no_bar&amp;width=385&amp;height=120&amp;START_MAXIMIZED=FALSE&amp;creator=factset&amp;display_string=Audit"}</definedName>
    <definedName name="_1686__FDSAUDITLINK__" localSheetId="27">{"fdsup://Directions/FactSet Auditing Viewer?action=AUDIT_VALUE&amp;DB=129&amp;ID1=53217V10&amp;VALUEID=01401&amp;SDATE=2009&amp;PERIODTYPE=ANNR_STD&amp;window=popup_no_bar&amp;width=385&amp;height=120&amp;START_MAXIMIZED=FALSE&amp;creator=factset&amp;display_string=Audit"}</definedName>
    <definedName name="_1687__FDSAUDITLINK__" localSheetId="34">{"fdsup://Directions/FactSet Auditing Viewer?action=AUDIT_VALUE&amp;DB=129&amp;ID1=22281610&amp;VALUEID=01451&amp;SDATE=2009&amp;PERIODTYPE=ANNR_STD&amp;window=popup_no_bar&amp;width=385&amp;height=120&amp;START_MAXIMIZED=FALSE&amp;creator=factset&amp;display_string=Audit"}</definedName>
    <definedName name="_1687__FDSAUDITLINK__" localSheetId="27">{"fdsup://Directions/FactSet Auditing Viewer?action=AUDIT_VALUE&amp;DB=129&amp;ID1=22281610&amp;VALUEID=01451&amp;SDATE=2009&amp;PERIODTYPE=ANNR_STD&amp;window=popup_no_bar&amp;width=385&amp;height=120&amp;START_MAXIMIZED=FALSE&amp;creator=factset&amp;display_string=Audit"}</definedName>
    <definedName name="_1688__FDSAUDITLINK__" localSheetId="34">{"fdsup://Directions/FactSet Auditing Viewer?action=AUDIT_VALUE&amp;DB=129&amp;ID1=22281610&amp;VALUEID=01401&amp;SDATE=2009&amp;PERIODTYPE=ANNR_STD&amp;window=popup_no_bar&amp;width=385&amp;height=120&amp;START_MAXIMIZED=FALSE&amp;creator=factset&amp;display_string=Audit"}</definedName>
    <definedName name="_1688__FDSAUDITLINK__" localSheetId="27">{"fdsup://Directions/FactSet Auditing Viewer?action=AUDIT_VALUE&amp;DB=129&amp;ID1=22281610&amp;VALUEID=01401&amp;SDATE=2009&amp;PERIODTYPE=ANNR_STD&amp;window=popup_no_bar&amp;width=385&amp;height=120&amp;START_MAXIMIZED=FALSE&amp;creator=factset&amp;display_string=Audit"}</definedName>
    <definedName name="_1689__FDSAUDITLINK__" localSheetId="34">{"fdsup://Directions/FactSet Auditing Viewer?action=AUDIT_VALUE&amp;DB=129&amp;ID1=69946210&amp;VALUEID=02001&amp;SDATE=201004&amp;PERIODTYPE=QTR_STD&amp;window=popup_no_bar&amp;width=385&amp;height=120&amp;START_MAXIMIZED=FALSE&amp;creator=factset&amp;display_string=Audit"}</definedName>
    <definedName name="_1689__FDSAUDITLINK__" localSheetId="27">{"fdsup://Directions/FactSet Auditing Viewer?action=AUDIT_VALUE&amp;DB=129&amp;ID1=69946210&amp;VALUEID=02001&amp;SDATE=201004&amp;PERIODTYPE=QTR_STD&amp;window=popup_no_bar&amp;width=385&amp;height=120&amp;START_MAXIMIZED=FALSE&amp;creator=factset&amp;display_string=Audit"}</definedName>
    <definedName name="_1690__FDSAUDITLINK__" localSheetId="34">{"fdsup://Directions/FactSet Auditing Viewer?action=AUDIT_VALUE&amp;DB=129&amp;ID1=09058M10&amp;VALUEID=02001&amp;SDATE=201003&amp;PERIODTYPE=QTR_STD&amp;window=popup_no_bar&amp;width=385&amp;height=120&amp;START_MAXIMIZED=FALSE&amp;creator=factset&amp;display_string=Audit"}</definedName>
    <definedName name="_1690__FDSAUDITLINK__" localSheetId="27">{"fdsup://Directions/FactSet Auditing Viewer?action=AUDIT_VALUE&amp;DB=129&amp;ID1=09058M10&amp;VALUEID=02001&amp;SDATE=201003&amp;PERIODTYPE=QTR_STD&amp;window=popup_no_bar&amp;width=385&amp;height=120&amp;START_MAXIMIZED=FALSE&amp;creator=factset&amp;display_string=Audit"}</definedName>
    <definedName name="_1691__FDSAUDITLINK__" localSheetId="34">{"fdsup://Directions/FactSet Auditing Viewer?action=AUDIT_VALUE&amp;DB=129&amp;ID1=82921410&amp;VALUEID=02001&amp;SDATE=201003&amp;PERIODTYPE=QTR_STD&amp;window=popup_no_bar&amp;width=385&amp;height=120&amp;START_MAXIMIZED=FALSE&amp;creator=factset&amp;display_string=Audit"}</definedName>
    <definedName name="_1691__FDSAUDITLINK__" localSheetId="27">{"fdsup://Directions/FactSet Auditing Viewer?action=AUDIT_VALUE&amp;DB=129&amp;ID1=82921410&amp;VALUEID=02001&amp;SDATE=201003&amp;PERIODTYPE=QTR_STD&amp;window=popup_no_bar&amp;width=385&amp;height=120&amp;START_MAXIMIZED=FALSE&amp;creator=factset&amp;display_string=Audit"}</definedName>
    <definedName name="_1692__FDSAUDITLINK__" localSheetId="34">{"fdsup://Directions/FactSet Auditing Viewer?action=AUDIT_VALUE&amp;DB=129&amp;ID1=53217V10&amp;VALUEID=02001&amp;SDATE=201002&amp;PERIODTYPE=QTR_STD&amp;window=popup_no_bar&amp;width=385&amp;height=120&amp;START_MAXIMIZED=FALSE&amp;creator=factset&amp;display_string=Audit"}</definedName>
    <definedName name="_1692__FDSAUDITLINK__" localSheetId="27">{"fdsup://Directions/FactSet Auditing Viewer?action=AUDIT_VALUE&amp;DB=129&amp;ID1=53217V10&amp;VALUEID=02001&amp;SDATE=201002&amp;PERIODTYPE=QTR_STD&amp;window=popup_no_bar&amp;width=385&amp;height=120&amp;START_MAXIMIZED=FALSE&amp;creator=factset&amp;display_string=Audit"}</definedName>
    <definedName name="_1693__FDSAUDITLINK__" localSheetId="34">{"fdsup://Directions/FactSet Auditing Viewer?action=AUDIT_VALUE&amp;DB=129&amp;ID1=53217V10&amp;VALUEID=03426&amp;SDATE=201002&amp;PERIODTYPE=QTR_STD&amp;window=popup_no_bar&amp;width=385&amp;height=120&amp;START_MAXIMIZED=FALSE&amp;creator=factset&amp;display_string=Audit"}</definedName>
    <definedName name="_1693__FDSAUDITLINK__" localSheetId="27">{"fdsup://Directions/FactSet Auditing Viewer?action=AUDIT_VALUE&amp;DB=129&amp;ID1=53217V10&amp;VALUEID=03426&amp;SDATE=201002&amp;PERIODTYPE=QTR_STD&amp;window=popup_no_bar&amp;width=385&amp;height=120&amp;START_MAXIMIZED=FALSE&amp;creator=factset&amp;display_string=Audit"}</definedName>
    <definedName name="_1694__FDSAUDITLINK__" localSheetId="34">{"fdsup://Directions/FactSet Auditing Viewer?action=AUDIT_VALUE&amp;DB=129&amp;ID1=22281610&amp;VALUEID=02001&amp;SDATE=201002&amp;PERIODTYPE=QTR_STD&amp;window=popup_no_bar&amp;width=385&amp;height=120&amp;START_MAXIMIZED=FALSE&amp;creator=factset&amp;display_string=Audit"}</definedName>
    <definedName name="_1694__FDSAUDITLINK__" localSheetId="27">{"fdsup://Directions/FactSet Auditing Viewer?action=AUDIT_VALUE&amp;DB=129&amp;ID1=22281610&amp;VALUEID=02001&amp;SDATE=201002&amp;PERIODTYPE=QTR_STD&amp;window=popup_no_bar&amp;width=385&amp;height=120&amp;START_MAXIMIZED=FALSE&amp;creator=factset&amp;display_string=Audit"}</definedName>
    <definedName name="_1695__FDSAUDITLINK__" localSheetId="34">{"fdsup://Directions/FactSet Auditing Viewer?action=AUDIT_VALUE&amp;DB=129&amp;ID1=69946210&amp;VALUEID=03051&amp;SDATE=2009&amp;PERIODTYPE=ANNR_STD&amp;window=popup_no_bar&amp;width=385&amp;height=120&amp;START_MAXIMIZED=FALSE&amp;creator=factset&amp;display_string=Audit"}</definedName>
    <definedName name="_1695__FDSAUDITLINK__" localSheetId="27">{"fdsup://Directions/FactSet Auditing Viewer?action=AUDIT_VALUE&amp;DB=129&amp;ID1=69946210&amp;VALUEID=03051&amp;SDATE=2009&amp;PERIODTYPE=ANNR_STD&amp;window=popup_no_bar&amp;width=385&amp;height=120&amp;START_MAXIMIZED=FALSE&amp;creator=factset&amp;display_string=Audit"}</definedName>
    <definedName name="_1696__FDSAUDITLINK__" localSheetId="34">{"fdsup://Directions/FactSet Auditing Viewer?action=AUDIT_VALUE&amp;DB=129&amp;ID1=69946210&amp;VALUEID=03101&amp;SDATE=2009&amp;PERIODTYPE=ANNR_STD&amp;window=popup_no_bar&amp;width=385&amp;height=120&amp;START_MAXIMIZED=FALSE&amp;creator=factset&amp;display_string=Audit"}</definedName>
    <definedName name="_1696__FDSAUDITLINK__" localSheetId="27">{"fdsup://Directions/FactSet Auditing Viewer?action=AUDIT_VALUE&amp;DB=129&amp;ID1=69946210&amp;VALUEID=03101&amp;SDATE=2009&amp;PERIODTYPE=ANNR_STD&amp;window=popup_no_bar&amp;width=385&amp;height=120&amp;START_MAXIMIZED=FALSE&amp;creator=factset&amp;display_string=Audit"}</definedName>
    <definedName name="_1697__FDSAUDITLINK__" localSheetId="34">{"fdsup://Directions/FactSet Auditing Viewer?action=AUDIT_VALUE&amp;DB=129&amp;ID1=69946210&amp;VALUEID=02001&amp;SDATE=2009&amp;PERIODTYPE=ANNR_STD&amp;window=popup_no_bar&amp;width=385&amp;height=120&amp;START_MAXIMIZED=FALSE&amp;creator=factset&amp;display_string=Audit"}</definedName>
    <definedName name="_1697__FDSAUDITLINK__" localSheetId="27">{"fdsup://Directions/FactSet Auditing Viewer?action=AUDIT_VALUE&amp;DB=129&amp;ID1=69946210&amp;VALUEID=02001&amp;SDATE=2009&amp;PERIODTYPE=ANNR_STD&amp;window=popup_no_bar&amp;width=385&amp;height=120&amp;START_MAXIMIZED=FALSE&amp;creator=factset&amp;display_string=Audit"}</definedName>
    <definedName name="_1698__FDSAUDITLINK__" localSheetId="34">{"fdsup://Directions/FactSet Auditing Viewer?action=AUDIT_VALUE&amp;DB=129&amp;ID1=69946210&amp;VALUEID=02201&amp;SDATE=2009&amp;PERIODTYPE=ANNR_STD&amp;window=popup_no_bar&amp;width=385&amp;height=120&amp;START_MAXIMIZED=FALSE&amp;creator=factset&amp;display_string=Audit"}</definedName>
    <definedName name="_1698__FDSAUDITLINK__" localSheetId="27">{"fdsup://Directions/FactSet Auditing Viewer?action=AUDIT_VALUE&amp;DB=129&amp;ID1=69946210&amp;VALUEID=02201&amp;SDATE=2009&amp;PERIODTYPE=ANNR_STD&amp;window=popup_no_bar&amp;width=385&amp;height=120&amp;START_MAXIMIZED=FALSE&amp;creator=factset&amp;display_string=Audit"}</definedName>
    <definedName name="_1699__FDSAUDITLINK__" localSheetId="34">{"fdsup://directions/FAT Viewer?action=UPDATE&amp;creator=factset&amp;DYN_ARGS=TRUE&amp;DOC_NAME=FAT:FQL_AUDITING_CLIENT_TEMPLATE.FAT&amp;display_string=Audit&amp;VAR:KEY=HQNEDADUPG&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69946210&amp;VAR:INDEX=0"}</definedName>
    <definedName name="_1699__FDSAUDITLINK__" localSheetId="27">{"fdsup://directions/FAT Viewer?action=UPDATE&amp;creator=factset&amp;DYN_ARGS=TRUE&amp;DOC_NAME=FAT:FQL_AUDITING_CLIENT_TEMPLATE.FAT&amp;display_string=Audit&amp;VAR:KEY=HQNEDADUPG&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69946210&amp;VAR:INDEX=0"}</definedName>
    <definedName name="_1700__FDSAUDITLINK__" localSheetId="34">{"fdsup://Directions/FactSet Auditing Viewer?action=AUDIT_VALUE&amp;DB=129&amp;ID1=09058M10&amp;VALUEID=03051&amp;SDATE=2008&amp;PERIODTYPE=ANNR_STD&amp;window=popup_no_bar&amp;width=385&amp;height=120&amp;START_MAXIMIZED=FALSE&amp;creator=factset&amp;display_string=Audit"}</definedName>
    <definedName name="_1700__FDSAUDITLINK__" localSheetId="27">{"fdsup://Directions/FactSet Auditing Viewer?action=AUDIT_VALUE&amp;DB=129&amp;ID1=09058M10&amp;VALUEID=03051&amp;SDATE=2008&amp;PERIODTYPE=ANNR_STD&amp;window=popup_no_bar&amp;width=385&amp;height=120&amp;START_MAXIMIZED=FALSE&amp;creator=factset&amp;display_string=Audit"}</definedName>
    <definedName name="_1701__FDSAUDITLINK__" localSheetId="34">{"fdsup://Directions/FactSet Auditing Viewer?action=AUDIT_VALUE&amp;DB=129&amp;ID1=09058M10&amp;VALUEID=03101&amp;SDATE=2008&amp;PERIODTYPE=ANNR_STD&amp;window=popup_no_bar&amp;width=385&amp;height=120&amp;START_MAXIMIZED=FALSE&amp;creator=factset&amp;display_string=Audit"}</definedName>
    <definedName name="_1701__FDSAUDITLINK__" localSheetId="27">{"fdsup://Directions/FactSet Auditing Viewer?action=AUDIT_VALUE&amp;DB=129&amp;ID1=09058M10&amp;VALUEID=03101&amp;SDATE=2008&amp;PERIODTYPE=ANNR_STD&amp;window=popup_no_bar&amp;width=385&amp;height=120&amp;START_MAXIMIZED=FALSE&amp;creator=factset&amp;display_string=Audit"}</definedName>
    <definedName name="_1702__FDSAUDITLINK__" localSheetId="34">{"fdsup://Directions/FactSet Auditing Viewer?action=AUDIT_VALUE&amp;DB=129&amp;ID1=09058M10&amp;VALUEID=02001&amp;SDATE=2008&amp;PERIODTYPE=ANNR_STD&amp;window=popup_no_bar&amp;width=385&amp;height=120&amp;START_MAXIMIZED=FALSE&amp;creator=factset&amp;display_string=Audit"}</definedName>
    <definedName name="_1702__FDSAUDITLINK__" localSheetId="27">{"fdsup://Directions/FactSet Auditing Viewer?action=AUDIT_VALUE&amp;DB=129&amp;ID1=09058M10&amp;VALUEID=02001&amp;SDATE=2008&amp;PERIODTYPE=ANNR_STD&amp;window=popup_no_bar&amp;width=385&amp;height=120&amp;START_MAXIMIZED=FALSE&amp;creator=factset&amp;display_string=Audit"}</definedName>
    <definedName name="_1703__FDSAUDITLINK__" localSheetId="34">{"fdsup://Directions/FactSet Auditing Viewer?action=AUDIT_VALUE&amp;DB=129&amp;ID1=09058M10&amp;VALUEID=02201&amp;SDATE=2008&amp;PERIODTYPE=ANNR_STD&amp;window=popup_no_bar&amp;width=385&amp;height=120&amp;START_MAXIMIZED=FALSE&amp;creator=factset&amp;display_string=Audit"}</definedName>
    <definedName name="_1703__FDSAUDITLINK__" localSheetId="27">{"fdsup://Directions/FactSet Auditing Viewer?action=AUDIT_VALUE&amp;DB=129&amp;ID1=09058M10&amp;VALUEID=02201&amp;SDATE=2008&amp;PERIODTYPE=ANNR_STD&amp;window=popup_no_bar&amp;width=385&amp;height=120&amp;START_MAXIMIZED=FALSE&amp;creator=factset&amp;display_string=Audit"}</definedName>
    <definedName name="_1704__FDSAUDITLINK__" localSheetId="34">{"fdsup://directions/FAT Viewer?action=UPDATE&amp;creator=factset&amp;DYN_ARGS=TRUE&amp;DOC_NAME=FAT:FQL_AUDITING_CLIENT_TEMPLATE.FAT&amp;display_string=Audit&amp;VAR:KEY=JMDETUZSN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09058M10&amp;VAR:INDEX=0"}</definedName>
    <definedName name="_1704__FDSAUDITLINK__" localSheetId="27">{"fdsup://directions/FAT Viewer?action=UPDATE&amp;creator=factset&amp;DYN_ARGS=TRUE&amp;DOC_NAME=FAT:FQL_AUDITING_CLIENT_TEMPLATE.FAT&amp;display_string=Audit&amp;VAR:KEY=JMDETUZSN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09058M10&amp;VAR:INDEX=0"}</definedName>
    <definedName name="_1705__FDSAUDITLINK__" localSheetId="34">{"fdsup://Directions/FactSet Auditing Viewer?action=AUDIT_VALUE&amp;DB=129&amp;ID1=82921410&amp;VALUEID=03101&amp;SDATE=2008&amp;PERIODTYPE=ANNR_STD&amp;window=popup_no_bar&amp;width=385&amp;height=120&amp;START_MAXIMIZED=FALSE&amp;creator=factset&amp;display_string=Audit"}</definedName>
    <definedName name="_1705__FDSAUDITLINK__" localSheetId="27">{"fdsup://Directions/FactSet Auditing Viewer?action=AUDIT_VALUE&amp;DB=129&amp;ID1=82921410&amp;VALUEID=03101&amp;SDATE=2008&amp;PERIODTYPE=ANNR_STD&amp;window=popup_no_bar&amp;width=385&amp;height=120&amp;START_MAXIMIZED=FALSE&amp;creator=factset&amp;display_string=Audit"}</definedName>
    <definedName name="_1706__FDSAUDITLINK__" localSheetId="34">{"fdsup://Directions/FactSet Auditing Viewer?action=AUDIT_VALUE&amp;DB=129&amp;ID1=82921410&amp;VALUEID=02001&amp;SDATE=2008&amp;PERIODTYPE=ANNR_STD&amp;window=popup_no_bar&amp;width=385&amp;height=120&amp;START_MAXIMIZED=FALSE&amp;creator=factset&amp;display_string=Audit"}</definedName>
    <definedName name="_1706__FDSAUDITLINK__" localSheetId="27">{"fdsup://Directions/FactSet Auditing Viewer?action=AUDIT_VALUE&amp;DB=129&amp;ID1=82921410&amp;VALUEID=02001&amp;SDATE=2008&amp;PERIODTYPE=ANNR_STD&amp;window=popup_no_bar&amp;width=385&amp;height=120&amp;START_MAXIMIZED=FALSE&amp;creator=factset&amp;display_string=Audit"}</definedName>
    <definedName name="_1707__FDSAUDITLINK__" localSheetId="34">{"fdsup://Directions/FactSet Auditing Viewer?action=AUDIT_VALUE&amp;DB=129&amp;ID1=82921410&amp;VALUEID=02201&amp;SDATE=2008&amp;PERIODTYPE=ANNR_STD&amp;window=popup_no_bar&amp;width=385&amp;height=120&amp;START_MAXIMIZED=FALSE&amp;creator=factset&amp;display_string=Audit"}</definedName>
    <definedName name="_1707__FDSAUDITLINK__" localSheetId="27">{"fdsup://Directions/FactSet Auditing Viewer?action=AUDIT_VALUE&amp;DB=129&amp;ID1=82921410&amp;VALUEID=02201&amp;SDATE=2008&amp;PERIODTYPE=ANNR_STD&amp;window=popup_no_bar&amp;width=385&amp;height=120&amp;START_MAXIMIZED=FALSE&amp;creator=factset&amp;display_string=Audit"}</definedName>
    <definedName name="_1708__FDSAUDITLINK__" localSheetId="34">{"fdsup://directions/FAT Viewer?action=UPDATE&amp;creator=factset&amp;DYN_ARGS=TRUE&amp;DOC_NAME=FAT:FQL_AUDITING_CLIENT_TEMPLATE.FAT&amp;display_string=Audit&amp;VAR:KEY=JMNWFWPUPY&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82921410&amp;VAR:INDEX=0"}</definedName>
    <definedName name="_1708__FDSAUDITLINK__" localSheetId="27">{"fdsup://directions/FAT Viewer?action=UPDATE&amp;creator=factset&amp;DYN_ARGS=TRUE&amp;DOC_NAME=FAT:FQL_AUDITING_CLIENT_TEMPLATE.FAT&amp;display_string=Audit&amp;VAR:KEY=JMNWFWPUPY&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82921410&amp;VAR:INDEX=0"}</definedName>
    <definedName name="_1709__FDSAUDITLINK__" localSheetId="34">{"fdsup://Directions/FactSet Auditing Viewer?action=AUDIT_VALUE&amp;DB=129&amp;ID1=53217V10&amp;VALUEID=03051&amp;SDATE=2008&amp;PERIODTYPE=ANNR_STD&amp;window=popup_no_bar&amp;width=385&amp;height=120&amp;START_MAXIMIZED=FALSE&amp;creator=factset&amp;display_string=Audit"}</definedName>
    <definedName name="_1709__FDSAUDITLINK__" localSheetId="27">{"fdsup://Directions/FactSet Auditing Viewer?action=AUDIT_VALUE&amp;DB=129&amp;ID1=53217V10&amp;VALUEID=03051&amp;SDATE=2008&amp;PERIODTYPE=ANNR_STD&amp;window=popup_no_bar&amp;width=385&amp;height=120&amp;START_MAXIMIZED=FALSE&amp;creator=factset&amp;display_string=Audit"}</definedName>
    <definedName name="_1710__FDSAUDITLINK__" localSheetId="34">{"fdsup://Directions/FactSet Auditing Viewer?action=AUDIT_VALUE&amp;DB=129&amp;ID1=53217V10&amp;VALUEID=03101&amp;SDATE=2008&amp;PERIODTYPE=ANNR_STD&amp;window=popup_no_bar&amp;width=385&amp;height=120&amp;START_MAXIMIZED=FALSE&amp;creator=factset&amp;display_string=Audit"}</definedName>
    <definedName name="_1710__FDSAUDITLINK__" localSheetId="27">{"fdsup://Directions/FactSet Auditing Viewer?action=AUDIT_VALUE&amp;DB=129&amp;ID1=53217V10&amp;VALUEID=03101&amp;SDATE=2008&amp;PERIODTYPE=ANNR_STD&amp;window=popup_no_bar&amp;width=385&amp;height=120&amp;START_MAXIMIZED=FALSE&amp;creator=factset&amp;display_string=Audit"}</definedName>
    <definedName name="_1711__FDSAUDITLINK__" localSheetId="34">{"fdsup://Directions/FactSet Auditing Viewer?action=AUDIT_VALUE&amp;DB=129&amp;ID1=53217V10&amp;VALUEID=02001&amp;SDATE=2008&amp;PERIODTYPE=ANNR_STD&amp;window=popup_no_bar&amp;width=385&amp;height=120&amp;START_MAXIMIZED=FALSE&amp;creator=factset&amp;display_string=Audit"}</definedName>
    <definedName name="_1711__FDSAUDITLINK__" localSheetId="27">{"fdsup://Directions/FactSet Auditing Viewer?action=AUDIT_VALUE&amp;DB=129&amp;ID1=53217V10&amp;VALUEID=02001&amp;SDATE=2008&amp;PERIODTYPE=ANNR_STD&amp;window=popup_no_bar&amp;width=385&amp;height=120&amp;START_MAXIMIZED=FALSE&amp;creator=factset&amp;display_string=Audit"}</definedName>
    <definedName name="_1712__FDSAUDITLINK__" localSheetId="34">{"fdsup://Directions/FactSet Auditing Viewer?action=AUDIT_VALUE&amp;DB=129&amp;ID1=53217V10&amp;VALUEID=02201&amp;SDATE=2008&amp;PERIODTYPE=ANNR_STD&amp;window=popup_no_bar&amp;width=385&amp;height=120&amp;START_MAXIMIZED=FALSE&amp;creator=factset&amp;display_string=Audit"}</definedName>
    <definedName name="_1712__FDSAUDITLINK__" localSheetId="27">{"fdsup://Directions/FactSet Auditing Viewer?action=AUDIT_VALUE&amp;DB=129&amp;ID1=53217V10&amp;VALUEID=02201&amp;SDATE=2008&amp;PERIODTYPE=ANNR_STD&amp;window=popup_no_bar&amp;width=385&amp;height=120&amp;START_MAXIMIZED=FALSE&amp;creator=factset&amp;display_string=Audit"}</definedName>
    <definedName name="_1713__FDSAUDITLINK__" localSheetId="34">{"fdsup://directions/FAT Viewer?action=UPDATE&amp;creator=factset&amp;DYN_ARGS=TRUE&amp;DOC_NAME=FAT:FQL_AUDITING_CLIENT_TEMPLATE.FAT&amp;display_string=Audit&amp;VAR:KEY=HQDGLAPGDM&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53217V10&amp;VAR:INDEX=0"}</definedName>
    <definedName name="_1713__FDSAUDITLINK__" localSheetId="27">{"fdsup://directions/FAT Viewer?action=UPDATE&amp;creator=factset&amp;DYN_ARGS=TRUE&amp;DOC_NAME=FAT:FQL_AUDITING_CLIENT_TEMPLATE.FAT&amp;display_string=Audit&amp;VAR:KEY=HQDGLAPGDM&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53217V10&amp;VAR:INDEX=0"}</definedName>
    <definedName name="_1714__FDSAUDITLINK__" localSheetId="34">{"fdsup://Directions/FactSet Auditing Viewer?action=AUDIT_VALUE&amp;DB=129&amp;ID1=22281610&amp;VALUEID=03051&amp;SDATE=2008&amp;PERIODTYPE=ANNR_STD&amp;window=popup_no_bar&amp;width=385&amp;height=120&amp;START_MAXIMIZED=FALSE&amp;creator=factset&amp;display_string=Audit"}</definedName>
    <definedName name="_1714__FDSAUDITLINK__" localSheetId="27">{"fdsup://Directions/FactSet Auditing Viewer?action=AUDIT_VALUE&amp;DB=129&amp;ID1=22281610&amp;VALUEID=03051&amp;SDATE=2008&amp;PERIODTYPE=ANNR_STD&amp;window=popup_no_bar&amp;width=385&amp;height=120&amp;START_MAXIMIZED=FALSE&amp;creator=factset&amp;display_string=Audit"}</definedName>
    <definedName name="_1715__FDSAUDITLINK__" localSheetId="34">{"fdsup://Directions/FactSet Auditing Viewer?action=AUDIT_VALUE&amp;DB=129&amp;ID1=22281610&amp;VALUEID=03101&amp;SDATE=2008&amp;PERIODTYPE=ANNR_STD&amp;window=popup_no_bar&amp;width=385&amp;height=120&amp;START_MAXIMIZED=FALSE&amp;creator=factset&amp;display_string=Audit"}</definedName>
    <definedName name="_1715__FDSAUDITLINK__" localSheetId="27">{"fdsup://Directions/FactSet Auditing Viewer?action=AUDIT_VALUE&amp;DB=129&amp;ID1=22281610&amp;VALUEID=03101&amp;SDATE=2008&amp;PERIODTYPE=ANNR_STD&amp;window=popup_no_bar&amp;width=385&amp;height=120&amp;START_MAXIMIZED=FALSE&amp;creator=factset&amp;display_string=Audit"}</definedName>
    <definedName name="_1716__FDSAUDITLINK__" localSheetId="34">{"fdsup://Directions/FactSet Auditing Viewer?action=AUDIT_VALUE&amp;DB=129&amp;ID1=22281610&amp;VALUEID=02001&amp;SDATE=2008&amp;PERIODTYPE=ANNR_STD&amp;window=popup_no_bar&amp;width=385&amp;height=120&amp;START_MAXIMIZED=FALSE&amp;creator=factset&amp;display_string=Audit"}</definedName>
    <definedName name="_1716__FDSAUDITLINK__" localSheetId="27">{"fdsup://Directions/FactSet Auditing Viewer?action=AUDIT_VALUE&amp;DB=129&amp;ID1=22281610&amp;VALUEID=02001&amp;SDATE=2008&amp;PERIODTYPE=ANNR_STD&amp;window=popup_no_bar&amp;width=385&amp;height=120&amp;START_MAXIMIZED=FALSE&amp;creator=factset&amp;display_string=Audit"}</definedName>
    <definedName name="_1717__FDSAUDITLINK__" localSheetId="34">{"fdsup://Directions/FactSet Auditing Viewer?action=AUDIT_VALUE&amp;DB=129&amp;ID1=22281610&amp;VALUEID=02201&amp;SDATE=2008&amp;PERIODTYPE=ANNR_STD&amp;window=popup_no_bar&amp;width=385&amp;height=120&amp;START_MAXIMIZED=FALSE&amp;creator=factset&amp;display_string=Audit"}</definedName>
    <definedName name="_1717__FDSAUDITLINK__" localSheetId="27">{"fdsup://Directions/FactSet Auditing Viewer?action=AUDIT_VALUE&amp;DB=129&amp;ID1=22281610&amp;VALUEID=02201&amp;SDATE=2008&amp;PERIODTYPE=ANNR_STD&amp;window=popup_no_bar&amp;width=385&amp;height=120&amp;START_MAXIMIZED=FALSE&amp;creator=factset&amp;display_string=Audit"}</definedName>
    <definedName name="_1718__FDSAUDITLINK__" localSheetId="34">{"fdsup://directions/FAT Viewer?action=UPDATE&amp;creator=factset&amp;DYN_ARGS=TRUE&amp;DOC_NAME=FAT:FQL_AUDITING_CLIENT_TEMPLATE.FAT&amp;display_string=Audit&amp;VAR:KEY=ZMTUJULSHA&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22281610&amp;VAR:INDEX=0"}</definedName>
    <definedName name="_1718__FDSAUDITLINK__" localSheetId="27">{"fdsup://directions/FAT Viewer?action=UPDATE&amp;creator=factset&amp;DYN_ARGS=TRUE&amp;DOC_NAME=FAT:FQL_AUDITING_CLIENT_TEMPLATE.FAT&amp;display_string=Audit&amp;VAR:KEY=ZMTUJULSHA&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22281610&amp;VAR:INDEX=0"}</definedName>
    <definedName name="_1719__FDSAUDITLINK__" localSheetId="34">{"fdsup://Directions/FactSet Auditing Viewer?action=AUDIT_VALUE&amp;DB=129&amp;ID1=69946210&amp;VALUEID=03051&amp;SDATE=2010&amp;PERIODTYPE=ANNR_STD&amp;window=popup_no_bar&amp;width=385&amp;height=120&amp;START_MAXIMIZED=FALSE&amp;creator=factset&amp;display_string=Audit"}</definedName>
    <definedName name="_1719__FDSAUDITLINK__" localSheetId="27">{"fdsup://Directions/FactSet Auditing Viewer?action=AUDIT_VALUE&amp;DB=129&amp;ID1=69946210&amp;VALUEID=03051&amp;SDATE=2010&amp;PERIODTYPE=ANNR_STD&amp;window=popup_no_bar&amp;width=385&amp;height=120&amp;START_MAXIMIZED=FALSE&amp;creator=factset&amp;display_string=Audit"}</definedName>
    <definedName name="_1720__FDSAUDITLINK__" localSheetId="34">{"fdsup://Directions/FactSet Auditing Viewer?action=AUDIT_VALUE&amp;DB=129&amp;ID1=69946210&amp;VALUEID=03101&amp;SDATE=2010&amp;PERIODTYPE=ANNR_STD&amp;window=popup_no_bar&amp;width=385&amp;height=120&amp;START_MAXIMIZED=FALSE&amp;creator=factset&amp;display_string=Audit"}</definedName>
    <definedName name="_1720__FDSAUDITLINK__" localSheetId="27">{"fdsup://Directions/FactSet Auditing Viewer?action=AUDIT_VALUE&amp;DB=129&amp;ID1=69946210&amp;VALUEID=03101&amp;SDATE=2010&amp;PERIODTYPE=ANNR_STD&amp;window=popup_no_bar&amp;width=385&amp;height=120&amp;START_MAXIMIZED=FALSE&amp;creator=factset&amp;display_string=Audit"}</definedName>
    <definedName name="_1721__FDSAUDITLINK__" localSheetId="34">{"fdsup://Directions/FactSet Auditing Viewer?action=AUDIT_VALUE&amp;DB=129&amp;ID1=69946210&amp;VALUEID=02001&amp;SDATE=2010&amp;PERIODTYPE=ANNR_STD&amp;window=popup_no_bar&amp;width=385&amp;height=120&amp;START_MAXIMIZED=FALSE&amp;creator=factset&amp;display_string=Audit"}</definedName>
    <definedName name="_1721__FDSAUDITLINK__" localSheetId="27">{"fdsup://Directions/FactSet Auditing Viewer?action=AUDIT_VALUE&amp;DB=129&amp;ID1=69946210&amp;VALUEID=02001&amp;SDATE=2010&amp;PERIODTYPE=ANNR_STD&amp;window=popup_no_bar&amp;width=385&amp;height=120&amp;START_MAXIMIZED=FALSE&amp;creator=factset&amp;display_string=Audit"}</definedName>
    <definedName name="_1722__FDSAUDITLINK__" localSheetId="34">{"fdsup://Directions/FactSet Auditing Viewer?action=AUDIT_VALUE&amp;DB=129&amp;ID1=69946210&amp;VALUEID=02201&amp;SDATE=2010&amp;PERIODTYPE=ANNR_STD&amp;window=popup_no_bar&amp;width=385&amp;height=120&amp;START_MAXIMIZED=FALSE&amp;creator=factset&amp;display_string=Audit"}</definedName>
    <definedName name="_1722__FDSAUDITLINK__" localSheetId="27">{"fdsup://Directions/FactSet Auditing Viewer?action=AUDIT_VALUE&amp;DB=129&amp;ID1=69946210&amp;VALUEID=02201&amp;SDATE=2010&amp;PERIODTYPE=ANNR_STD&amp;window=popup_no_bar&amp;width=385&amp;height=120&amp;START_MAXIMIZED=FALSE&amp;creator=factset&amp;display_string=Audit"}</definedName>
    <definedName name="_1723__FDSAUDITLINK__" localSheetId="34">{"fdsup://directions/FAT Viewer?action=UPDATE&amp;creator=factset&amp;DYN_ARGS=TRUE&amp;DOC_NAME=FAT:FQL_AUDITING_CLIENT_TEMPLATE.FAT&amp;display_string=Audit&amp;VAR:KEY=JGPAZSRGFQ&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69946210&amp;VAR:INDEX=0"}</definedName>
    <definedName name="_1723__FDSAUDITLINK__" localSheetId="27">{"fdsup://directions/FAT Viewer?action=UPDATE&amp;creator=factset&amp;DYN_ARGS=TRUE&amp;DOC_NAME=FAT:FQL_AUDITING_CLIENT_TEMPLATE.FAT&amp;display_string=Audit&amp;VAR:KEY=JGPAZSRGFQ&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69946210&amp;VAR:INDEX=0"}</definedName>
    <definedName name="_1724__FDSAUDITLINK__" localSheetId="34">{"fdsup://Directions/FactSet Auditing Viewer?action=AUDIT_VALUE&amp;DB=129&amp;ID1=09058M10&amp;VALUEID=03051&amp;SDATE=2009&amp;PERIODTYPE=ANNR_STD&amp;window=popup_no_bar&amp;width=385&amp;height=120&amp;START_MAXIMIZED=FALSE&amp;creator=factset&amp;display_string=Audit"}</definedName>
    <definedName name="_1724__FDSAUDITLINK__" localSheetId="27">{"fdsup://Directions/FactSet Auditing Viewer?action=AUDIT_VALUE&amp;DB=129&amp;ID1=09058M10&amp;VALUEID=03051&amp;SDATE=2009&amp;PERIODTYPE=ANNR_STD&amp;window=popup_no_bar&amp;width=385&amp;height=120&amp;START_MAXIMIZED=FALSE&amp;creator=factset&amp;display_string=Audit"}</definedName>
    <definedName name="_1725__FDSAUDITLINK__" localSheetId="34">{"fdsup://Directions/FactSet Auditing Viewer?action=AUDIT_VALUE&amp;DB=129&amp;ID1=09058M10&amp;VALUEID=03101&amp;SDATE=2009&amp;PERIODTYPE=ANNR_STD&amp;window=popup_no_bar&amp;width=385&amp;height=120&amp;START_MAXIMIZED=FALSE&amp;creator=factset&amp;display_string=Audit"}</definedName>
    <definedName name="_1725__FDSAUDITLINK__" localSheetId="27">{"fdsup://Directions/FactSet Auditing Viewer?action=AUDIT_VALUE&amp;DB=129&amp;ID1=09058M10&amp;VALUEID=03101&amp;SDATE=2009&amp;PERIODTYPE=ANNR_STD&amp;window=popup_no_bar&amp;width=385&amp;height=120&amp;START_MAXIMIZED=FALSE&amp;creator=factset&amp;display_string=Audit"}</definedName>
    <definedName name="_1726__FDSAUDITLINK__" localSheetId="34">{"fdsup://Directions/FactSet Auditing Viewer?action=AUDIT_VALUE&amp;DB=129&amp;ID1=09058M10&amp;VALUEID=02001&amp;SDATE=2009&amp;PERIODTYPE=ANNR_STD&amp;window=popup_no_bar&amp;width=385&amp;height=120&amp;START_MAXIMIZED=FALSE&amp;creator=factset&amp;display_string=Audit"}</definedName>
    <definedName name="_1726__FDSAUDITLINK__" localSheetId="27">{"fdsup://Directions/FactSet Auditing Viewer?action=AUDIT_VALUE&amp;DB=129&amp;ID1=09058M10&amp;VALUEID=02001&amp;SDATE=2009&amp;PERIODTYPE=ANNR_STD&amp;window=popup_no_bar&amp;width=385&amp;height=120&amp;START_MAXIMIZED=FALSE&amp;creator=factset&amp;display_string=Audit"}</definedName>
    <definedName name="_1727__FDSAUDITLINK__" localSheetId="34">{"fdsup://Directions/FactSet Auditing Viewer?action=AUDIT_VALUE&amp;DB=129&amp;ID1=09058M10&amp;VALUEID=02201&amp;SDATE=2009&amp;PERIODTYPE=ANNR_STD&amp;window=popup_no_bar&amp;width=385&amp;height=120&amp;START_MAXIMIZED=FALSE&amp;creator=factset&amp;display_string=Audit"}</definedName>
    <definedName name="_1727__FDSAUDITLINK__" localSheetId="27">{"fdsup://Directions/FactSet Auditing Viewer?action=AUDIT_VALUE&amp;DB=129&amp;ID1=09058M10&amp;VALUEID=02201&amp;SDATE=2009&amp;PERIODTYPE=ANNR_STD&amp;window=popup_no_bar&amp;width=385&amp;height=120&amp;START_MAXIMIZED=FALSE&amp;creator=factset&amp;display_string=Audit"}</definedName>
    <definedName name="_1728__FDSAUDITLINK__" localSheetId="34">{"fdsup://directions/FAT Viewer?action=UPDATE&amp;creator=factset&amp;DYN_ARGS=TRUE&amp;DOC_NAME=FAT:FQL_AUDITING_CLIENT_TEMPLATE.FAT&amp;display_string=Audit&amp;VAR:KEY=HAJMVQLKNG&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09058M10&amp;VAR:INDEX=0"}</definedName>
    <definedName name="_1728__FDSAUDITLINK__" localSheetId="27">{"fdsup://directions/FAT Viewer?action=UPDATE&amp;creator=factset&amp;DYN_ARGS=TRUE&amp;DOC_NAME=FAT:FQL_AUDITING_CLIENT_TEMPLATE.FAT&amp;display_string=Audit&amp;VAR:KEY=HAJMVQLKNG&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09058M10&amp;VAR:INDEX=0"}</definedName>
    <definedName name="_1729__FDSAUDITLINK__" localSheetId="34">{"fdsup://Directions/FactSet Auditing Viewer?action=AUDIT_VALUE&amp;DB=129&amp;ID1=82921410&amp;VALUEID=03101&amp;SDATE=2009&amp;PERIODTYPE=ANNR_STD&amp;window=popup_no_bar&amp;width=385&amp;height=120&amp;START_MAXIMIZED=FALSE&amp;creator=factset&amp;display_string=Audit"}</definedName>
    <definedName name="_1729__FDSAUDITLINK__" localSheetId="27">{"fdsup://Directions/FactSet Auditing Viewer?action=AUDIT_VALUE&amp;DB=129&amp;ID1=82921410&amp;VALUEID=03101&amp;SDATE=2009&amp;PERIODTYPE=ANNR_STD&amp;window=popup_no_bar&amp;width=385&amp;height=120&amp;START_MAXIMIZED=FALSE&amp;creator=factset&amp;display_string=Audit"}</definedName>
    <definedName name="_1730__FDSAUDITLINK__" localSheetId="34">{"fdsup://Directions/FactSet Auditing Viewer?action=AUDIT_VALUE&amp;DB=129&amp;ID1=82921410&amp;VALUEID=02001&amp;SDATE=2009&amp;PERIODTYPE=ANNR_STD&amp;window=popup_no_bar&amp;width=385&amp;height=120&amp;START_MAXIMIZED=FALSE&amp;creator=factset&amp;display_string=Audit"}</definedName>
    <definedName name="_1730__FDSAUDITLINK__" localSheetId="27">{"fdsup://Directions/FactSet Auditing Viewer?action=AUDIT_VALUE&amp;DB=129&amp;ID1=82921410&amp;VALUEID=02001&amp;SDATE=2009&amp;PERIODTYPE=ANNR_STD&amp;window=popup_no_bar&amp;width=385&amp;height=120&amp;START_MAXIMIZED=FALSE&amp;creator=factset&amp;display_string=Audit"}</definedName>
    <definedName name="_1731__FDSAUDITLINK__" localSheetId="34">{"fdsup://Directions/FactSet Auditing Viewer?action=AUDIT_VALUE&amp;DB=129&amp;ID1=82921410&amp;VALUEID=02201&amp;SDATE=2009&amp;PERIODTYPE=ANNR_STD&amp;window=popup_no_bar&amp;width=385&amp;height=120&amp;START_MAXIMIZED=FALSE&amp;creator=factset&amp;display_string=Audit"}</definedName>
    <definedName name="_1731__FDSAUDITLINK__" localSheetId="27">{"fdsup://Directions/FactSet Auditing Viewer?action=AUDIT_VALUE&amp;DB=129&amp;ID1=82921410&amp;VALUEID=02201&amp;SDATE=2009&amp;PERIODTYPE=ANNR_STD&amp;window=popup_no_bar&amp;width=385&amp;height=120&amp;START_MAXIMIZED=FALSE&amp;creator=factset&amp;display_string=Audit"}</definedName>
    <definedName name="_1732__FDSAUDITLINK__" localSheetId="34">{"fdsup://directions/FAT Viewer?action=UPDATE&amp;creator=factset&amp;DYN_ARGS=TRUE&amp;DOC_NAME=FAT:FQL_AUDITING_CLIENT_TEMPLATE.FAT&amp;display_string=Audit&amp;VAR:KEY=XODKHOLANC&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82921410&amp;VAR:INDEX=0"}</definedName>
    <definedName name="_1732__FDSAUDITLINK__" localSheetId="27">{"fdsup://directions/FAT Viewer?action=UPDATE&amp;creator=factset&amp;DYN_ARGS=TRUE&amp;DOC_NAME=FAT:FQL_AUDITING_CLIENT_TEMPLATE.FAT&amp;display_string=Audit&amp;VAR:KEY=XODKHOLANC&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82921410&amp;VAR:INDEX=0"}</definedName>
    <definedName name="_1733__FDSAUDITLINK__" localSheetId="34">{"fdsup://Directions/FactSet Auditing Viewer?action=AUDIT_VALUE&amp;DB=129&amp;ID1=53217V10&amp;VALUEID=03051&amp;SDATE=2009&amp;PERIODTYPE=ANNR_STD&amp;window=popup_no_bar&amp;width=385&amp;height=120&amp;START_MAXIMIZED=FALSE&amp;creator=factset&amp;display_string=Audit"}</definedName>
    <definedName name="_1733__FDSAUDITLINK__" localSheetId="27">{"fdsup://Directions/FactSet Auditing Viewer?action=AUDIT_VALUE&amp;DB=129&amp;ID1=53217V10&amp;VALUEID=03051&amp;SDATE=2009&amp;PERIODTYPE=ANNR_STD&amp;window=popup_no_bar&amp;width=385&amp;height=120&amp;START_MAXIMIZED=FALSE&amp;creator=factset&amp;display_string=Audit"}</definedName>
    <definedName name="_1734__FDSAUDITLINK__" localSheetId="34">{"fdsup://Directions/FactSet Auditing Viewer?action=AUDIT_VALUE&amp;DB=129&amp;ID1=53217V10&amp;VALUEID=03101&amp;SDATE=2009&amp;PERIODTYPE=ANNR_STD&amp;window=popup_no_bar&amp;width=385&amp;height=120&amp;START_MAXIMIZED=FALSE&amp;creator=factset&amp;display_string=Audit"}</definedName>
    <definedName name="_1734__FDSAUDITLINK__" localSheetId="27">{"fdsup://Directions/FactSet Auditing Viewer?action=AUDIT_VALUE&amp;DB=129&amp;ID1=53217V10&amp;VALUEID=03101&amp;SDATE=2009&amp;PERIODTYPE=ANNR_STD&amp;window=popup_no_bar&amp;width=385&amp;height=120&amp;START_MAXIMIZED=FALSE&amp;creator=factset&amp;display_string=Audit"}</definedName>
    <definedName name="_1735__FDSAUDITLINK__" localSheetId="34">{"fdsup://Directions/FactSet Auditing Viewer?action=AUDIT_VALUE&amp;DB=129&amp;ID1=53217V10&amp;VALUEID=02001&amp;SDATE=2009&amp;PERIODTYPE=ANNR_STD&amp;window=popup_no_bar&amp;width=385&amp;height=120&amp;START_MAXIMIZED=FALSE&amp;creator=factset&amp;display_string=Audit"}</definedName>
    <definedName name="_1735__FDSAUDITLINK__" localSheetId="27">{"fdsup://Directions/FactSet Auditing Viewer?action=AUDIT_VALUE&amp;DB=129&amp;ID1=53217V10&amp;VALUEID=02001&amp;SDATE=2009&amp;PERIODTYPE=ANNR_STD&amp;window=popup_no_bar&amp;width=385&amp;height=120&amp;START_MAXIMIZED=FALSE&amp;creator=factset&amp;display_string=Audit"}</definedName>
    <definedName name="_1736__FDSAUDITLINK__" localSheetId="34">{"fdsup://Directions/FactSet Auditing Viewer?action=AUDIT_VALUE&amp;DB=129&amp;ID1=53217V10&amp;VALUEID=02201&amp;SDATE=2009&amp;PERIODTYPE=ANNR_STD&amp;window=popup_no_bar&amp;width=385&amp;height=120&amp;START_MAXIMIZED=FALSE&amp;creator=factset&amp;display_string=Audit"}</definedName>
    <definedName name="_1736__FDSAUDITLINK__" localSheetId="27">{"fdsup://Directions/FactSet Auditing Viewer?action=AUDIT_VALUE&amp;DB=129&amp;ID1=53217V10&amp;VALUEID=02201&amp;SDATE=2009&amp;PERIODTYPE=ANNR_STD&amp;window=popup_no_bar&amp;width=385&amp;height=120&amp;START_MAXIMIZED=FALSE&amp;creator=factset&amp;display_string=Audit"}</definedName>
    <definedName name="_1737__FDSAUDITLINK__" localSheetId="34">{"fdsup://directions/FAT Viewer?action=UPDATE&amp;creator=factset&amp;DYN_ARGS=TRUE&amp;DOC_NAME=FAT:FQL_AUDITING_CLIENT_TEMPLATE.FAT&amp;display_string=Audit&amp;VAR:KEY=RKNCJWHCF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53217V10&amp;VAR:INDEX=0"}</definedName>
    <definedName name="_1737__FDSAUDITLINK__" localSheetId="27">{"fdsup://directions/FAT Viewer?action=UPDATE&amp;creator=factset&amp;DYN_ARGS=TRUE&amp;DOC_NAME=FAT:FQL_AUDITING_CLIENT_TEMPLATE.FAT&amp;display_string=Audit&amp;VAR:KEY=RKNCJWHCF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53217V10&amp;VAR:INDEX=0"}</definedName>
    <definedName name="_1738__FDSAUDITLINK__" localSheetId="34">{"fdsup://Directions/FactSet Auditing Viewer?action=AUDIT_VALUE&amp;DB=129&amp;ID1=22281610&amp;VALUEID=03101&amp;SDATE=2009&amp;PERIODTYPE=ANNR_STD&amp;window=popup_no_bar&amp;width=385&amp;height=120&amp;START_MAXIMIZED=FALSE&amp;creator=factset&amp;display_string=Audit"}</definedName>
    <definedName name="_1738__FDSAUDITLINK__" localSheetId="27">{"fdsup://Directions/FactSet Auditing Viewer?action=AUDIT_VALUE&amp;DB=129&amp;ID1=22281610&amp;VALUEID=03101&amp;SDATE=2009&amp;PERIODTYPE=ANNR_STD&amp;window=popup_no_bar&amp;width=385&amp;height=120&amp;START_MAXIMIZED=FALSE&amp;creator=factset&amp;display_string=Audit"}</definedName>
    <definedName name="_1739__FDSAUDITLINK__" localSheetId="34">{"fdsup://Directions/FactSet Auditing Viewer?action=AUDIT_VALUE&amp;DB=129&amp;ID1=22281610&amp;VALUEID=02001&amp;SDATE=2009&amp;PERIODTYPE=ANNR_STD&amp;window=popup_no_bar&amp;width=385&amp;height=120&amp;START_MAXIMIZED=FALSE&amp;creator=factset&amp;display_string=Audit"}</definedName>
    <definedName name="_1739__FDSAUDITLINK__" localSheetId="27">{"fdsup://Directions/FactSet Auditing Viewer?action=AUDIT_VALUE&amp;DB=129&amp;ID1=22281610&amp;VALUEID=02001&amp;SDATE=2009&amp;PERIODTYPE=ANNR_STD&amp;window=popup_no_bar&amp;width=385&amp;height=120&amp;START_MAXIMIZED=FALSE&amp;creator=factset&amp;display_string=Audit"}</definedName>
    <definedName name="_1740__FDSAUDITLINK__" localSheetId="34">{"fdsup://Directions/FactSet Auditing Viewer?action=AUDIT_VALUE&amp;DB=129&amp;ID1=22281610&amp;VALUEID=02201&amp;SDATE=2009&amp;PERIODTYPE=ANNR_STD&amp;window=popup_no_bar&amp;width=385&amp;height=120&amp;START_MAXIMIZED=FALSE&amp;creator=factset&amp;display_string=Audit"}</definedName>
    <definedName name="_1740__FDSAUDITLINK__" localSheetId="27">{"fdsup://Directions/FactSet Auditing Viewer?action=AUDIT_VALUE&amp;DB=129&amp;ID1=22281610&amp;VALUEID=02201&amp;SDATE=2009&amp;PERIODTYPE=ANNR_STD&amp;window=popup_no_bar&amp;width=385&amp;height=120&amp;START_MAXIMIZED=FALSE&amp;creator=factset&amp;display_string=Audit"}</definedName>
    <definedName name="_1741__FDSAUDITLINK__" localSheetId="34">{"fdsup://directions/FAT Viewer?action=UPDATE&amp;creator=factset&amp;DYN_ARGS=TRUE&amp;DOC_NAME=FAT:FQL_AUDITING_CLIENT_TEMPLATE.FAT&amp;display_string=Audit&amp;VAR:KEY=JUNMDQFWP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22281610&amp;VAR:INDEX=0"}</definedName>
    <definedName name="_1741__FDSAUDITLINK__" localSheetId="27">{"fdsup://directions/FAT Viewer?action=UPDATE&amp;creator=factset&amp;DYN_ARGS=TRUE&amp;DOC_NAME=FAT:FQL_AUDITING_CLIENT_TEMPLATE.FAT&amp;display_string=Audit&amp;VAR:KEY=JUNMDQFWP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22281610&amp;VAR:INDEX=0"}</definedName>
    <definedName name="_1742__FDSAUDITLINK__" localSheetId="34">{"fdsup://directions/FAT Viewer?action=UPDATE&amp;creator=factset&amp;DYN_ARGS=TRUE&amp;DOC_NAME=FAT:FQL_AUDITING_CLIENT_TEMPLATE.FAT&amp;display_string=Audit&amp;VAR:KEY=HEJMPMFOZS&amp;VAR:QUERY=RkZfU0hMRFJTX0VRKEFOTl9SLDQwMzk1LCwsUkYsR0JQKQ==&amp;WINDOW=FIRST_POPUP&amp;HEIGHT=450&amp;WIDTH=","450&amp;START_MAXIMIZED=FALSE&amp;VAR:CALENDAR=FIVEDAY&amp;VAR:SYMBOL=69946210&amp;VAR:INDEX=0"}</definedName>
    <definedName name="_1742__FDSAUDITLINK__" localSheetId="27">{"fdsup://directions/FAT Viewer?action=UPDATE&amp;creator=factset&amp;DYN_ARGS=TRUE&amp;DOC_NAME=FAT:FQL_AUDITING_CLIENT_TEMPLATE.FAT&amp;display_string=Audit&amp;VAR:KEY=HEJMPMFOZS&amp;VAR:QUERY=RkZfU0hMRFJTX0VRKEFOTl9SLDQwMzk1LCwsUkYsR0JQKQ==&amp;WINDOW=FIRST_POPUP&amp;HEIGHT=450&amp;WIDTH=","450&amp;START_MAXIMIZED=FALSE&amp;VAR:CALENDAR=FIVEDAY&amp;VAR:SYMBOL=69946210&amp;VAR:INDEX=0"}</definedName>
    <definedName name="_1743__FDSAUDITLINK__" localSheetId="34">{"fdsup://directions/FAT Viewer?action=UPDATE&amp;creator=factset&amp;DYN_ARGS=TRUE&amp;DOC_NAME=FAT:FQL_AUDITING_CLIENT_TEMPLATE.FAT&amp;display_string=Audit&amp;VAR:KEY=BOTWFAZWPM&amp;VAR:QUERY=RkZfU0hMRFJTX0VRKEFOTl9SLDQwMzk1LCwsUkYsR0JQKQ==&amp;WINDOW=FIRST_POPUP&amp;HEIGHT=450&amp;WIDTH=","450&amp;START_MAXIMIZED=FALSE&amp;VAR:CALENDAR=FIVEDAY&amp;VAR:SYMBOL=09058M10&amp;VAR:INDEX=0"}</definedName>
    <definedName name="_1743__FDSAUDITLINK__" localSheetId="27">{"fdsup://directions/FAT Viewer?action=UPDATE&amp;creator=factset&amp;DYN_ARGS=TRUE&amp;DOC_NAME=FAT:FQL_AUDITING_CLIENT_TEMPLATE.FAT&amp;display_string=Audit&amp;VAR:KEY=BOTWFAZWPM&amp;VAR:QUERY=RkZfU0hMRFJTX0VRKEFOTl9SLDQwMzk1LCwsUkYsR0JQKQ==&amp;WINDOW=FIRST_POPUP&amp;HEIGHT=450&amp;WIDTH=","450&amp;START_MAXIMIZED=FALSE&amp;VAR:CALENDAR=FIVEDAY&amp;VAR:SYMBOL=09058M10&amp;VAR:INDEX=0"}</definedName>
    <definedName name="_1744__FDSAUDITLINK__" localSheetId="34">{"fdsup://directions/FAT Viewer?action=UPDATE&amp;creator=factset&amp;DYN_ARGS=TRUE&amp;DOC_NAME=FAT:FQL_AUDITING_CLIENT_TEMPLATE.FAT&amp;display_string=Audit&amp;VAR:KEY=DUBCTIDWTO&amp;VAR:QUERY=RkZfU0hMRFJTX0VRKEFOTl9SLDQwMzk1LCwsUkYsR0JQKQ==&amp;WINDOW=FIRST_POPUP&amp;HEIGHT=450&amp;WIDTH=","450&amp;START_MAXIMIZED=FALSE&amp;VAR:CALENDAR=FIVEDAY&amp;VAR:SYMBOL=82921410&amp;VAR:INDEX=0"}</definedName>
    <definedName name="_1744__FDSAUDITLINK__" localSheetId="27">{"fdsup://directions/FAT Viewer?action=UPDATE&amp;creator=factset&amp;DYN_ARGS=TRUE&amp;DOC_NAME=FAT:FQL_AUDITING_CLIENT_TEMPLATE.FAT&amp;display_string=Audit&amp;VAR:KEY=DUBCTIDWTO&amp;VAR:QUERY=RkZfU0hMRFJTX0VRKEFOTl9SLDQwMzk1LCwsUkYsR0JQKQ==&amp;WINDOW=FIRST_POPUP&amp;HEIGHT=450&amp;WIDTH=","450&amp;START_MAXIMIZED=FALSE&amp;VAR:CALENDAR=FIVEDAY&amp;VAR:SYMBOL=82921410&amp;VAR:INDEX=0"}</definedName>
    <definedName name="_1745__FDSAUDITLINK__" localSheetId="34">{"fdsup://directions/FAT Viewer?action=UPDATE&amp;creator=factset&amp;DYN_ARGS=TRUE&amp;DOC_NAME=FAT:FQL_AUDITING_CLIENT_TEMPLATE.FAT&amp;display_string=Audit&amp;VAR:KEY=DILWHWPSZU&amp;VAR:QUERY=RkZfU0hMRFJTX0VRKEFOTl9SLDQwMzk1LCwsUkYsR0JQKQ==&amp;WINDOW=FIRST_POPUP&amp;HEIGHT=450&amp;WIDTH=","450&amp;START_MAXIMIZED=FALSE&amp;VAR:CALENDAR=FIVEDAY&amp;VAR:SYMBOL=53217V10&amp;VAR:INDEX=0"}</definedName>
    <definedName name="_1745__FDSAUDITLINK__" localSheetId="27">{"fdsup://directions/FAT Viewer?action=UPDATE&amp;creator=factset&amp;DYN_ARGS=TRUE&amp;DOC_NAME=FAT:FQL_AUDITING_CLIENT_TEMPLATE.FAT&amp;display_string=Audit&amp;VAR:KEY=DILWHWPSZU&amp;VAR:QUERY=RkZfU0hMRFJTX0VRKEFOTl9SLDQwMzk1LCwsUkYsR0JQKQ==&amp;WINDOW=FIRST_POPUP&amp;HEIGHT=450&amp;WIDTH=","450&amp;START_MAXIMIZED=FALSE&amp;VAR:CALENDAR=FIVEDAY&amp;VAR:SYMBOL=53217V10&amp;VAR:INDEX=0"}</definedName>
    <definedName name="_1746__FDSAUDITLINK__" localSheetId="34">{"fdsup://directions/FAT Viewer?action=UPDATE&amp;creator=factset&amp;DYN_ARGS=TRUE&amp;DOC_NAME=FAT:FQL_AUDITING_CLIENT_TEMPLATE.FAT&amp;display_string=Audit&amp;VAR:KEY=PUXMVKFMZG&amp;VAR:QUERY=RkZfU0hMRFJTX0VRKEFOTl9SLDQwMzk1LCwsUkYsR0JQKQ==&amp;WINDOW=FIRST_POPUP&amp;HEIGHT=450&amp;WIDTH=","450&amp;START_MAXIMIZED=FALSE&amp;VAR:CALENDAR=FIVEDAY&amp;VAR:SYMBOL=22281610&amp;VAR:INDEX=0"}</definedName>
    <definedName name="_1746__FDSAUDITLINK__" localSheetId="27">{"fdsup://directions/FAT Viewer?action=UPDATE&amp;creator=factset&amp;DYN_ARGS=TRUE&amp;DOC_NAME=FAT:FQL_AUDITING_CLIENT_TEMPLATE.FAT&amp;display_string=Audit&amp;VAR:KEY=PUXMVKFMZG&amp;VAR:QUERY=RkZfU0hMRFJTX0VRKEFOTl9SLDQwMzk1LCwsUkYsR0JQKQ==&amp;WINDOW=FIRST_POPUP&amp;HEIGHT=450&amp;WIDTH=","450&amp;START_MAXIMIZED=FALSE&amp;VAR:CALENDAR=FIVEDAY&amp;VAR:SYMBOL=22281610&amp;VAR:INDEX=0"}</definedName>
    <definedName name="_1747__FDSAUDITLINK__" localSheetId="34">{"fdsup://Directions/FactSet Auditing Viewer?action=AUDIT_VALUE&amp;DB=129&amp;ID1=69946210&amp;VALUEID=18184&amp;SDATE=2010&amp;PERIODTYPE=ANNR_STD&amp;window=popup_no_bar&amp;width=385&amp;height=120&amp;START_MAXIMIZED=FALSE&amp;creator=factset&amp;display_string=Audit"}</definedName>
    <definedName name="_1747__FDSAUDITLINK__" localSheetId="27">{"fdsup://Directions/FactSet Auditing Viewer?action=AUDIT_VALUE&amp;DB=129&amp;ID1=69946210&amp;VALUEID=18184&amp;SDATE=2010&amp;PERIODTYPE=ANNR_STD&amp;window=popup_no_bar&amp;width=385&amp;height=120&amp;START_MAXIMIZED=FALSE&amp;creator=factset&amp;display_string=Audit"}</definedName>
    <definedName name="_1748__FDSAUDITLINK__" localSheetId="34">{"fdsup://Directions/FactSet Auditing Viewer?action=AUDIT_VALUE&amp;DB=129&amp;ID1=69946210&amp;VALUEID=02999&amp;SDATE=2010&amp;PERIODTYPE=ANNR_STD&amp;window=popup_no_bar&amp;width=385&amp;height=120&amp;START_MAXIMIZED=FALSE&amp;creator=factset&amp;display_string=Audit"}</definedName>
    <definedName name="_1748__FDSAUDITLINK__" localSheetId="27">{"fdsup://Directions/FactSet Auditing Viewer?action=AUDIT_VALUE&amp;DB=129&amp;ID1=69946210&amp;VALUEID=02999&amp;SDATE=2010&amp;PERIODTYPE=ANNR_STD&amp;window=popup_no_bar&amp;width=385&amp;height=120&amp;START_MAXIMIZED=FALSE&amp;creator=factset&amp;display_string=Audit"}</definedName>
    <definedName name="_1749__FDSAUDITLINK__" localSheetId="34">{"fdsup://directions/FAT Viewer?action=UPDATE&amp;creator=factset&amp;DYN_ARGS=TRUE&amp;DOC_NAME=FAT:FQL_AUDITING_CLIENT_TEMPLATE.FAT&amp;display_string=Audit&amp;VAR:KEY=JGPAZSRGFQ&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69946210&amp;VAR:INDEX=0"}</definedName>
    <definedName name="_1749__FDSAUDITLINK__" localSheetId="27">{"fdsup://directions/FAT Viewer?action=UPDATE&amp;creator=factset&amp;DYN_ARGS=TRUE&amp;DOC_NAME=FAT:FQL_AUDITING_CLIENT_TEMPLATE.FAT&amp;display_string=Audit&amp;VAR:KEY=JGPAZSRGFQ&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69946210&amp;VAR:INDEX=0"}</definedName>
    <definedName name="_1750__FDSAUDITLINK__" localSheetId="34">{"fdsup://directions/FAT Viewer?action=UPDATE&amp;creator=factset&amp;DYN_ARGS=TRUE&amp;DOC_NAME=FAT:FQL_AUDITING_CLIENT_TEMPLATE.FAT&amp;display_string=Audit&amp;VAR:KEY=HQNEDADUPG&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69946210&amp;VAR:INDEX=0"}</definedName>
    <definedName name="_1750__FDSAUDITLINK__" localSheetId="27">{"fdsup://directions/FAT Viewer?action=UPDATE&amp;creator=factset&amp;DYN_ARGS=TRUE&amp;DOC_NAME=FAT:FQL_AUDITING_CLIENT_TEMPLATE.FAT&amp;display_string=Audit&amp;VAR:KEY=HQNEDADUPG&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69946210&amp;VAR:INDEX=0"}</definedName>
    <definedName name="_1751__FDSAUDITLINK__" localSheetId="34">{"fdsup://directions/FAT Viewer?action=UPDATE&amp;creator=factset&amp;DYN_ARGS=TRUE&amp;DOC_NAME=FAT:FQL_AUDITING_CLIENT_TEMPLATE.FAT&amp;display_string=Audit&amp;VAR:KEY=ZGNAPONUNM&amp;VAR:QUERY=RkZfRklOX0FTU0VUU19JTVBBSVIoQU5OX1IsNDAzOTUsLCxSRixHQlAp&amp;WINDOW=FIRST_POPUP&amp;HEIGHT=45","0&amp;WIDTH=450&amp;START_MAXIMIZED=FALSE&amp;VAR:CALENDAR=FIVEDAY&amp;VAR:SYMBOL=69946210&amp;VAR:INDEX=0"}</definedName>
    <definedName name="_1751__FDSAUDITLINK__" localSheetId="27">{"fdsup://directions/FAT Viewer?action=UPDATE&amp;creator=factset&amp;DYN_ARGS=TRUE&amp;DOC_NAME=FAT:FQL_AUDITING_CLIENT_TEMPLATE.FAT&amp;display_string=Audit&amp;VAR:KEY=ZGNAPONUNM&amp;VAR:QUERY=RkZfRklOX0FTU0VUU19JTVBBSVIoQU5OX1IsNDAzOTUsLCxSRixHQlAp&amp;WINDOW=FIRST_POPUP&amp;HEIGHT=45","0&amp;WIDTH=450&amp;START_MAXIMIZED=FALSE&amp;VAR:CALENDAR=FIVEDAY&amp;VAR:SYMBOL=69946210&amp;VAR:INDEX=0"}</definedName>
    <definedName name="_1752__FDSAUDITLINK__" localSheetId="34">{"fdsup://directions/FAT Viewer?action=UPDATE&amp;creator=factset&amp;DYN_ARGS=TRUE&amp;DOC_NAME=FAT:FQL_AUDITING_CLIENT_TEMPLATE.FAT&amp;display_string=Audit&amp;VAR:KEY=XUNAPYZUBE&amp;VAR:QUERY=RkZfRklOX0FTU0VUU19JTVBBSVIoQU5OX1IsNDAzOTUtMVksLCxSRixHQlAp&amp;WINDOW=FIRST_POPUP&amp;HEIGH","T=450&amp;WIDTH=450&amp;START_MAXIMIZED=FALSE&amp;VAR:CALENDAR=FIVEDAY&amp;VAR:SYMBOL=69946210&amp;VAR:INDEX=0"}</definedName>
    <definedName name="_1752__FDSAUDITLINK__" localSheetId="27">{"fdsup://directions/FAT Viewer?action=UPDATE&amp;creator=factset&amp;DYN_ARGS=TRUE&amp;DOC_NAME=FAT:FQL_AUDITING_CLIENT_TEMPLATE.FAT&amp;display_string=Audit&amp;VAR:KEY=XUNAPYZUBE&amp;VAR:QUERY=RkZfRklOX0FTU0VUU19JTVBBSVIoQU5OX1IsNDAzOTUtMVksLCxSRixHQlAp&amp;WINDOW=FIRST_POPUP&amp;HEIGH","T=450&amp;WIDTH=450&amp;START_MAXIMIZED=FALSE&amp;VAR:CALENDAR=FIVEDAY&amp;VAR:SYMBOL=69946210&amp;VAR:INDEX=0"}</definedName>
    <definedName name="_1753__FDSAUDITLINK__" localSheetId="34">{"fdsup://directions/FAT Viewer?action=UPDATE&amp;creator=factset&amp;DYN_ARGS=TRUE&amp;DOC_NAME=FAT:FQL_AUDITING_CLIENT_TEMPLATE.FAT&amp;display_string=Audit&amp;VAR:KEY=TGXWZIROVG&amp;VAR:QUERY=RkZfSU1QQUlSX1BQRShBTk5fUiw0MDM5NSwsLFJGLEdCUCk=&amp;WINDOW=FIRST_POPUP&amp;HEIGHT=450&amp;WIDTH=","450&amp;START_MAXIMIZED=FALSE&amp;VAR:CALENDAR=FIVEDAY&amp;VAR:SYMBOL=69946210&amp;VAR:INDEX=0"}</definedName>
    <definedName name="_1753__FDSAUDITLINK__" localSheetId="27">{"fdsup://directions/FAT Viewer?action=UPDATE&amp;creator=factset&amp;DYN_ARGS=TRUE&amp;DOC_NAME=FAT:FQL_AUDITING_CLIENT_TEMPLATE.FAT&amp;display_string=Audit&amp;VAR:KEY=TGXWZIROVG&amp;VAR:QUERY=RkZfSU1QQUlSX1BQRShBTk5fUiw0MDM5NSwsLFJGLEdCUCk=&amp;WINDOW=FIRST_POPUP&amp;HEIGHT=450&amp;WIDTH=","450&amp;START_MAXIMIZED=FALSE&amp;VAR:CALENDAR=FIVEDAY&amp;VAR:SYMBOL=69946210&amp;VAR:INDEX=0"}</definedName>
    <definedName name="_1754__FDSAUDITLINK__" localSheetId="34">{"fdsup://directions/FAT Viewer?action=UPDATE&amp;creator=factset&amp;DYN_ARGS=TRUE&amp;DOC_NAME=FAT:FQL_AUDITING_CLIENT_TEMPLATE.FAT&amp;display_string=Audit&amp;VAR:KEY=RERQPGNEXQ&amp;VAR:QUERY=RkZfSU1QQUlSX1BQRShBTk5fUiw0MDM5NS0xWSwsLFJGLEdCUCk=&amp;WINDOW=FIRST_POPUP&amp;HEIGHT=450&amp;WI","DTH=450&amp;START_MAXIMIZED=FALSE&amp;VAR:CALENDAR=FIVEDAY&amp;VAR:SYMBOL=69946210&amp;VAR:INDEX=0"}</definedName>
    <definedName name="_1754__FDSAUDITLINK__" localSheetId="27">{"fdsup://directions/FAT Viewer?action=UPDATE&amp;creator=factset&amp;DYN_ARGS=TRUE&amp;DOC_NAME=FAT:FQL_AUDITING_CLIENT_TEMPLATE.FAT&amp;display_string=Audit&amp;VAR:KEY=RERQPGNEXQ&amp;VAR:QUERY=RkZfSU1QQUlSX1BQRShBTk5fUiw0MDM5NS0xWSwsLFJGLEdCUCk=&amp;WINDOW=FIRST_POPUP&amp;HEIGHT=450&amp;WI","DTH=450&amp;START_MAXIMIZED=FALSE&amp;VAR:CALENDAR=FIVEDAY&amp;VAR:SYMBOL=69946210&amp;VAR:INDEX=0"}</definedName>
    <definedName name="_1755__FDSAUDITLINK__" localSheetId="34">{"fdsup://Directions/FactSet Auditing Viewer?action=AUDIT_VALUE&amp;DB=129&amp;ID1=69946210&amp;VALUEID=04050&amp;SDATE=2010&amp;PERIODTYPE=ANNR_STD&amp;window=popup_no_bar&amp;width=385&amp;height=120&amp;START_MAXIMIZED=FALSE&amp;creator=factset&amp;display_string=Audit"}</definedName>
    <definedName name="_1755__FDSAUDITLINK__" localSheetId="27">{"fdsup://Directions/FactSet Auditing Viewer?action=AUDIT_VALUE&amp;DB=129&amp;ID1=69946210&amp;VALUEID=04050&amp;SDATE=2010&amp;PERIODTYPE=ANNR_STD&amp;window=popup_no_bar&amp;width=385&amp;height=120&amp;START_MAXIMIZED=FALSE&amp;creator=factset&amp;display_string=Audit"}</definedName>
    <definedName name="_1756__FDSAUDITLINK__" localSheetId="34">{"fdsup://Directions/FactSet Auditing Viewer?action=AUDIT_VALUE&amp;DB=129&amp;ID1=69946210&amp;VALUEID=04050&amp;SDATE=2009&amp;PERIODTYPE=ANNR_STD&amp;window=popup_no_bar&amp;width=385&amp;height=120&amp;START_MAXIMIZED=FALSE&amp;creator=factset&amp;display_string=Audit"}</definedName>
    <definedName name="_1756__FDSAUDITLINK__" localSheetId="27">{"fdsup://Directions/FactSet Auditing Viewer?action=AUDIT_VALUE&amp;DB=129&amp;ID1=69946210&amp;VALUEID=04050&amp;SDATE=2009&amp;PERIODTYPE=ANNR_STD&amp;window=popup_no_bar&amp;width=385&amp;height=120&amp;START_MAXIMIZED=FALSE&amp;creator=factset&amp;display_string=Audit"}</definedName>
    <definedName name="_1757__FDSAUDITLINK__" localSheetId="34">{"fdsup://Directions/FactSet Auditing Viewer?action=AUDIT_VALUE&amp;DB=129&amp;ID1=69946210&amp;VALUEID=04049&amp;SDATE=2010&amp;PERIODTYPE=ANNR_STD&amp;window=popup_no_bar&amp;width=385&amp;height=120&amp;START_MAXIMIZED=FALSE&amp;creator=factset&amp;display_string=Audit"}</definedName>
    <definedName name="_1757__FDSAUDITLINK__" localSheetId="27">{"fdsup://Directions/FactSet Auditing Viewer?action=AUDIT_VALUE&amp;DB=129&amp;ID1=69946210&amp;VALUEID=04049&amp;SDATE=2010&amp;PERIODTYPE=ANNR_STD&amp;window=popup_no_bar&amp;width=385&amp;height=120&amp;START_MAXIMIZED=FALSE&amp;creator=factset&amp;display_string=Audit"}</definedName>
    <definedName name="_1758__FDSAUDITLINK__" localSheetId="34">{"fdsup://Directions/FactSet Auditing Viewer?action=AUDIT_VALUE&amp;DB=129&amp;ID1=69946210&amp;VALUEID=04049&amp;SDATE=2009&amp;PERIODTYPE=ANNR_STD&amp;window=popup_no_bar&amp;width=385&amp;height=120&amp;START_MAXIMIZED=FALSE&amp;creator=factset&amp;display_string=Audit"}</definedName>
    <definedName name="_1758__FDSAUDITLINK__" localSheetId="27">{"fdsup://Directions/FactSet Auditing Viewer?action=AUDIT_VALUE&amp;DB=129&amp;ID1=69946210&amp;VALUEID=04049&amp;SDATE=2009&amp;PERIODTYPE=ANNR_STD&amp;window=popup_no_bar&amp;width=385&amp;height=120&amp;START_MAXIMIZED=FALSE&amp;creator=factset&amp;display_string=Audit"}</definedName>
    <definedName name="_1759__FDSAUDITLINK__" localSheetId="34">{"fdsup://Directions/FactSet Auditing Viewer?action=AUDIT_VALUE&amp;DB=129&amp;ID1=69946210&amp;VALUEID=04601&amp;SDATE=2010&amp;PERIODTYPE=ANNR_STD&amp;window=popup_no_bar&amp;width=385&amp;height=120&amp;START_MAXIMIZED=FALSE&amp;creator=factset&amp;display_string=Audit"}</definedName>
    <definedName name="_1759__FDSAUDITLINK__" localSheetId="27">{"fdsup://Directions/FactSet Auditing Viewer?action=AUDIT_VALUE&amp;DB=129&amp;ID1=69946210&amp;VALUEID=04601&amp;SDATE=2010&amp;PERIODTYPE=ANNR_STD&amp;window=popup_no_bar&amp;width=385&amp;height=120&amp;START_MAXIMIZED=FALSE&amp;creator=factset&amp;display_string=Audit"}</definedName>
    <definedName name="_1760__FDSAUDITLINK__" localSheetId="34">{"fdsup://Directions/FactSet Auditing Viewer?action=AUDIT_VALUE&amp;DB=129&amp;ID1=69946210&amp;VALUEID=04601&amp;SDATE=2009&amp;PERIODTYPE=ANNR_STD&amp;window=popup_no_bar&amp;width=385&amp;height=120&amp;START_MAXIMIZED=FALSE&amp;creator=factset&amp;display_string=Audit"}</definedName>
    <definedName name="_1760__FDSAUDITLINK__" localSheetId="27">{"fdsup://Directions/FactSet Auditing Viewer?action=AUDIT_VALUE&amp;DB=129&amp;ID1=69946210&amp;VALUEID=04601&amp;SDATE=2009&amp;PERIODTYPE=ANNR_STD&amp;window=popup_no_bar&amp;width=385&amp;height=120&amp;START_MAXIMIZED=FALSE&amp;creator=factset&amp;display_string=Audit"}</definedName>
    <definedName name="_1761__FDSAUDITLINK__" localSheetId="34">{"fdsup://Directions/FactSet Auditing Viewer?action=AUDIT_VALUE&amp;DB=129&amp;ID1=09058M10&amp;VALUEID=18184&amp;SDATE=2009&amp;PERIODTYPE=ANNR_STD&amp;window=popup_no_bar&amp;width=385&amp;height=120&amp;START_MAXIMIZED=FALSE&amp;creator=factset&amp;display_string=Audit"}</definedName>
    <definedName name="_1761__FDSAUDITLINK__" localSheetId="27">{"fdsup://Directions/FactSet Auditing Viewer?action=AUDIT_VALUE&amp;DB=129&amp;ID1=09058M10&amp;VALUEID=18184&amp;SDATE=2009&amp;PERIODTYPE=ANNR_STD&amp;window=popup_no_bar&amp;width=385&amp;height=120&amp;START_MAXIMIZED=FALSE&amp;creator=factset&amp;display_string=Audit"}</definedName>
    <definedName name="_1762__FDSAUDITLINK__" localSheetId="34">{"fdsup://Directions/FactSet Auditing Viewer?action=AUDIT_VALUE&amp;DB=129&amp;ID1=09058M10&amp;VALUEID=02999&amp;SDATE=2009&amp;PERIODTYPE=ANNR_STD&amp;window=popup_no_bar&amp;width=385&amp;height=120&amp;START_MAXIMIZED=FALSE&amp;creator=factset&amp;display_string=Audit"}</definedName>
    <definedName name="_1762__FDSAUDITLINK__" localSheetId="27">{"fdsup://Directions/FactSet Auditing Viewer?action=AUDIT_VALUE&amp;DB=129&amp;ID1=09058M10&amp;VALUEID=02999&amp;SDATE=2009&amp;PERIODTYPE=ANNR_STD&amp;window=popup_no_bar&amp;width=385&amp;height=120&amp;START_MAXIMIZED=FALSE&amp;creator=factset&amp;display_string=Audit"}</definedName>
    <definedName name="_1763__FDSAUDITLINK__" localSheetId="34">{"fdsup://directions/FAT Viewer?action=UPDATE&amp;creator=factset&amp;DYN_ARGS=TRUE&amp;DOC_NAME=FAT:FQL_AUDITING_CLIENT_TEMPLATE.FAT&amp;display_string=Audit&amp;VAR:KEY=HAJMVQLKNG&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09058M10&amp;VAR:INDEX=0"}</definedName>
    <definedName name="_1763__FDSAUDITLINK__" localSheetId="27">{"fdsup://directions/FAT Viewer?action=UPDATE&amp;creator=factset&amp;DYN_ARGS=TRUE&amp;DOC_NAME=FAT:FQL_AUDITING_CLIENT_TEMPLATE.FAT&amp;display_string=Audit&amp;VAR:KEY=HAJMVQLKNG&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09058M10&amp;VAR:INDEX=0"}</definedName>
    <definedName name="_1764__FDSAUDITLINK__" localSheetId="34">{"fdsup://directions/FAT Viewer?action=UPDATE&amp;creator=factset&amp;DYN_ARGS=TRUE&amp;DOC_NAME=FAT:FQL_AUDITING_CLIENT_TEMPLATE.FAT&amp;display_string=Audit&amp;VAR:KEY=JMDETUZSN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09058M10&amp;VAR:INDEX=0"}</definedName>
    <definedName name="_1764__FDSAUDITLINK__" localSheetId="27">{"fdsup://directions/FAT Viewer?action=UPDATE&amp;creator=factset&amp;DYN_ARGS=TRUE&amp;DOC_NAME=FAT:FQL_AUDITING_CLIENT_TEMPLATE.FAT&amp;display_string=Audit&amp;VAR:KEY=JMDETUZSNI&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09058M10&amp;VAR:INDEX=0"}</definedName>
    <definedName name="_1765__FDSAUDITLINK__" localSheetId="34">{"fdsup://Directions/FactSet Auditing Viewer?action=AUDIT_VALUE&amp;DB=129&amp;ID1=09058M10&amp;VALUEID=18225&amp;SDATE=2009&amp;PERIODTYPE=ANNR_STD&amp;window=popup_no_bar&amp;width=385&amp;height=120&amp;START_MAXIMIZED=FALSE&amp;creator=factset&amp;display_string=Audit"}</definedName>
    <definedName name="_1765__FDSAUDITLINK__" localSheetId="27">{"fdsup://Directions/FactSet Auditing Viewer?action=AUDIT_VALUE&amp;DB=129&amp;ID1=09058M10&amp;VALUEID=18225&amp;SDATE=2009&amp;PERIODTYPE=ANNR_STD&amp;window=popup_no_bar&amp;width=385&amp;height=120&amp;START_MAXIMIZED=FALSE&amp;creator=factset&amp;display_string=Audit"}</definedName>
    <definedName name="_1766__FDSAUDITLINK__" localSheetId="34">{"fdsup://directions/FAT Viewer?action=UPDATE&amp;creator=factset&amp;DYN_ARGS=TRUE&amp;DOC_NAME=FAT:FQL_AUDITING_CLIENT_TEMPLATE.FAT&amp;display_string=Audit&amp;VAR:KEY=NCPONQBWHQ&amp;VAR:QUERY=RkZfRklOX0FTU0VUU19JTVBBSVIoQU5OX1IsNDAzOTUsLCxSRixHQlAp&amp;WINDOW=FIRST_POPUP&amp;HEIGHT=45","0&amp;WIDTH=450&amp;START_MAXIMIZED=FALSE&amp;VAR:CALENDAR=FIVEDAY&amp;VAR:SYMBOL=09058M10&amp;VAR:INDEX=0"}</definedName>
    <definedName name="_1766__FDSAUDITLINK__" localSheetId="27">{"fdsup://directions/FAT Viewer?action=UPDATE&amp;creator=factset&amp;DYN_ARGS=TRUE&amp;DOC_NAME=FAT:FQL_AUDITING_CLIENT_TEMPLATE.FAT&amp;display_string=Audit&amp;VAR:KEY=NCPONQBWHQ&amp;VAR:QUERY=RkZfRklOX0FTU0VUU19JTVBBSVIoQU5OX1IsNDAzOTUsLCxSRixHQlAp&amp;WINDOW=FIRST_POPUP&amp;HEIGHT=45","0&amp;WIDTH=450&amp;START_MAXIMIZED=FALSE&amp;VAR:CALENDAR=FIVEDAY&amp;VAR:SYMBOL=09058M10&amp;VAR:INDEX=0"}</definedName>
    <definedName name="_1767__FDSAUDITLINK__" localSheetId="34">{"fdsup://directions/FAT Viewer?action=UPDATE&amp;creator=factset&amp;DYN_ARGS=TRUE&amp;DOC_NAME=FAT:FQL_AUDITING_CLIENT_TEMPLATE.FAT&amp;display_string=Audit&amp;VAR:KEY=JABQXQPEJW&amp;VAR:QUERY=RkZfRklOX0FTU0VUU19JTVBBSVIoQU5OX1IsNDAzOTUtMVksLCxSRixHQlAp&amp;WINDOW=FIRST_POPUP&amp;HEIGH","T=450&amp;WIDTH=450&amp;START_MAXIMIZED=FALSE&amp;VAR:CALENDAR=FIVEDAY&amp;VAR:SYMBOL=09058M10&amp;VAR:INDEX=0"}</definedName>
    <definedName name="_1767__FDSAUDITLINK__" localSheetId="27">{"fdsup://directions/FAT Viewer?action=UPDATE&amp;creator=factset&amp;DYN_ARGS=TRUE&amp;DOC_NAME=FAT:FQL_AUDITING_CLIENT_TEMPLATE.FAT&amp;display_string=Audit&amp;VAR:KEY=JABQXQPEJW&amp;VAR:QUERY=RkZfRklOX0FTU0VUU19JTVBBSVIoQU5OX1IsNDAzOTUtMVksLCxSRixHQlAp&amp;WINDOW=FIRST_POPUP&amp;HEIGH","T=450&amp;WIDTH=450&amp;START_MAXIMIZED=FALSE&amp;VAR:CALENDAR=FIVEDAY&amp;VAR:SYMBOL=09058M10&amp;VAR:INDEX=0"}</definedName>
    <definedName name="_1768__FDSAUDITLINK__" localSheetId="34">{"fdsup://directions/FAT Viewer?action=UPDATE&amp;creator=factset&amp;DYN_ARGS=TRUE&amp;DOC_NAME=FAT:FQL_AUDITING_CLIENT_TEMPLATE.FAT&amp;display_string=Audit&amp;VAR:KEY=XUBKTIVMPK&amp;VAR:QUERY=RkZfSU1QQUlSX1BQRShBTk5fUiw0MDM5NSwsLFJGLEdCUCk=&amp;WINDOW=FIRST_POPUP&amp;HEIGHT=450&amp;WIDTH=","450&amp;START_MAXIMIZED=FALSE&amp;VAR:CALENDAR=FIVEDAY&amp;VAR:SYMBOL=09058M10&amp;VAR:INDEX=0"}</definedName>
    <definedName name="_1768__FDSAUDITLINK__" localSheetId="27">{"fdsup://directions/FAT Viewer?action=UPDATE&amp;creator=factset&amp;DYN_ARGS=TRUE&amp;DOC_NAME=FAT:FQL_AUDITING_CLIENT_TEMPLATE.FAT&amp;display_string=Audit&amp;VAR:KEY=XUBKTIVMPK&amp;VAR:QUERY=RkZfSU1QQUlSX1BQRShBTk5fUiw0MDM5NSwsLFJGLEdCUCk=&amp;WINDOW=FIRST_POPUP&amp;HEIGHT=450&amp;WIDTH=","450&amp;START_MAXIMIZED=FALSE&amp;VAR:CALENDAR=FIVEDAY&amp;VAR:SYMBOL=09058M10&amp;VAR:INDEX=0"}</definedName>
    <definedName name="_1769__FDSAUDITLINK__" localSheetId="34">{"fdsup://directions/FAT Viewer?action=UPDATE&amp;creator=factset&amp;DYN_ARGS=TRUE&amp;DOC_NAME=FAT:FQL_AUDITING_CLIENT_TEMPLATE.FAT&amp;display_string=Audit&amp;VAR:KEY=NIPETULWLQ&amp;VAR:QUERY=RkZfSU1QQUlSX1BQRShBTk5fUiw0MDM5NS0xWSwsLFJGLEdCUCk=&amp;WINDOW=FIRST_POPUP&amp;HEIGHT=450&amp;WI","DTH=450&amp;START_MAXIMIZED=FALSE&amp;VAR:CALENDAR=FIVEDAY&amp;VAR:SYMBOL=09058M10&amp;VAR:INDEX=0"}</definedName>
    <definedName name="_1769__FDSAUDITLINK__" localSheetId="27">{"fdsup://directions/FAT Viewer?action=UPDATE&amp;creator=factset&amp;DYN_ARGS=TRUE&amp;DOC_NAME=FAT:FQL_AUDITING_CLIENT_TEMPLATE.FAT&amp;display_string=Audit&amp;VAR:KEY=NIPETULWLQ&amp;VAR:QUERY=RkZfSU1QQUlSX1BQRShBTk5fUiw0MDM5NS0xWSwsLFJGLEdCUCk=&amp;WINDOW=FIRST_POPUP&amp;HEIGHT=450&amp;WI","DTH=450&amp;START_MAXIMIZED=FALSE&amp;VAR:CALENDAR=FIVEDAY&amp;VAR:SYMBOL=09058M10&amp;VAR:INDEX=0"}</definedName>
    <definedName name="_1770__FDSAUDITLINK__" localSheetId="34">{"fdsup://Directions/FactSet Auditing Viewer?action=AUDIT_VALUE&amp;DB=129&amp;ID1=09058M10&amp;VALUEID=04050&amp;SDATE=2009&amp;PERIODTYPE=ANNR_STD&amp;window=popup_no_bar&amp;width=385&amp;height=120&amp;START_MAXIMIZED=FALSE&amp;creator=factset&amp;display_string=Audit"}</definedName>
    <definedName name="_1770__FDSAUDITLINK__" localSheetId="27">{"fdsup://Directions/FactSet Auditing Viewer?action=AUDIT_VALUE&amp;DB=129&amp;ID1=09058M10&amp;VALUEID=04050&amp;SDATE=2009&amp;PERIODTYPE=ANNR_STD&amp;window=popup_no_bar&amp;width=385&amp;height=120&amp;START_MAXIMIZED=FALSE&amp;creator=factset&amp;display_string=Audit"}</definedName>
    <definedName name="_1771__FDSAUDITLINK__" localSheetId="34">{"fdsup://Directions/FactSet Auditing Viewer?action=AUDIT_VALUE&amp;DB=129&amp;ID1=09058M10&amp;VALUEID=04050&amp;SDATE=2008&amp;PERIODTYPE=ANNR_STD&amp;window=popup_no_bar&amp;width=385&amp;height=120&amp;START_MAXIMIZED=FALSE&amp;creator=factset&amp;display_string=Audit"}</definedName>
    <definedName name="_1771__FDSAUDITLINK__" localSheetId="27">{"fdsup://Directions/FactSet Auditing Viewer?action=AUDIT_VALUE&amp;DB=129&amp;ID1=09058M10&amp;VALUEID=04050&amp;SDATE=2008&amp;PERIODTYPE=ANNR_STD&amp;window=popup_no_bar&amp;width=385&amp;height=120&amp;START_MAXIMIZED=FALSE&amp;creator=factset&amp;display_string=Audit"}</definedName>
    <definedName name="_1772__FDSAUDITLINK__" localSheetId="34">{"fdsup://Directions/FactSet Auditing Viewer?action=AUDIT_VALUE&amp;DB=129&amp;ID1=09058M10&amp;VALUEID=04049&amp;SDATE=2009&amp;PERIODTYPE=ANNR_STD&amp;window=popup_no_bar&amp;width=385&amp;height=120&amp;START_MAXIMIZED=FALSE&amp;creator=factset&amp;display_string=Audit"}</definedName>
    <definedName name="_1772__FDSAUDITLINK__" localSheetId="27">{"fdsup://Directions/FactSet Auditing Viewer?action=AUDIT_VALUE&amp;DB=129&amp;ID1=09058M10&amp;VALUEID=04049&amp;SDATE=2009&amp;PERIODTYPE=ANNR_STD&amp;window=popup_no_bar&amp;width=385&amp;height=120&amp;START_MAXIMIZED=FALSE&amp;creator=factset&amp;display_string=Audit"}</definedName>
    <definedName name="_1773__FDSAUDITLINK__" localSheetId="34">{"fdsup://Directions/FactSet Auditing Viewer?action=AUDIT_VALUE&amp;DB=129&amp;ID1=09058M10&amp;VALUEID=04049&amp;SDATE=2008&amp;PERIODTYPE=ANNR_STD&amp;window=popup_no_bar&amp;width=385&amp;height=120&amp;START_MAXIMIZED=FALSE&amp;creator=factset&amp;display_string=Audit"}</definedName>
    <definedName name="_1773__FDSAUDITLINK__" localSheetId="27">{"fdsup://Directions/FactSet Auditing Viewer?action=AUDIT_VALUE&amp;DB=129&amp;ID1=09058M10&amp;VALUEID=04049&amp;SDATE=2008&amp;PERIODTYPE=ANNR_STD&amp;window=popup_no_bar&amp;width=385&amp;height=120&amp;START_MAXIMIZED=FALSE&amp;creator=factset&amp;display_string=Audit"}</definedName>
    <definedName name="_1774__FDSAUDITLINK__" localSheetId="34">{"fdsup://Directions/FactSet Auditing Viewer?action=AUDIT_VALUE&amp;DB=129&amp;ID1=09058M10&amp;VALUEID=04601&amp;SDATE=2009&amp;PERIODTYPE=ANNR_STD&amp;window=popup_no_bar&amp;width=385&amp;height=120&amp;START_MAXIMIZED=FALSE&amp;creator=factset&amp;display_string=Audit"}</definedName>
    <definedName name="_1774__FDSAUDITLINK__" localSheetId="27">{"fdsup://Directions/FactSet Auditing Viewer?action=AUDIT_VALUE&amp;DB=129&amp;ID1=09058M10&amp;VALUEID=04601&amp;SDATE=2009&amp;PERIODTYPE=ANNR_STD&amp;window=popup_no_bar&amp;width=385&amp;height=120&amp;START_MAXIMIZED=FALSE&amp;creator=factset&amp;display_string=Audit"}</definedName>
    <definedName name="_1775__FDSAUDITLINK__" localSheetId="34">{"fdsup://Directions/FactSet Auditing Viewer?action=AUDIT_VALUE&amp;DB=129&amp;ID1=09058M10&amp;VALUEID=04601&amp;SDATE=2008&amp;PERIODTYPE=ANNR_STD&amp;window=popup_no_bar&amp;width=385&amp;height=120&amp;START_MAXIMIZED=FALSE&amp;creator=factset&amp;display_string=Audit"}</definedName>
    <definedName name="_1775__FDSAUDITLINK__" localSheetId="27">{"fdsup://Directions/FactSet Auditing Viewer?action=AUDIT_VALUE&amp;DB=129&amp;ID1=09058M10&amp;VALUEID=04601&amp;SDATE=2008&amp;PERIODTYPE=ANNR_STD&amp;window=popup_no_bar&amp;width=385&amp;height=120&amp;START_MAXIMIZED=FALSE&amp;creator=factset&amp;display_string=Audit"}</definedName>
    <definedName name="_1776__FDSAUDITLINK__" localSheetId="34">{"fdsup://Directions/FactSet Auditing Viewer?action=AUDIT_VALUE&amp;DB=129&amp;ID1=82921410&amp;VALUEID=18184&amp;SDATE=2009&amp;PERIODTYPE=ANNR_STD&amp;window=popup_no_bar&amp;width=385&amp;height=120&amp;START_MAXIMIZED=FALSE&amp;creator=factset&amp;display_string=Audit"}</definedName>
    <definedName name="_1776__FDSAUDITLINK__" localSheetId="27">{"fdsup://Directions/FactSet Auditing Viewer?action=AUDIT_VALUE&amp;DB=129&amp;ID1=82921410&amp;VALUEID=18184&amp;SDATE=2009&amp;PERIODTYPE=ANNR_STD&amp;window=popup_no_bar&amp;width=385&amp;height=120&amp;START_MAXIMIZED=FALSE&amp;creator=factset&amp;display_string=Audit"}</definedName>
    <definedName name="_1777__FDSAUDITLINK__" localSheetId="34">{"fdsup://Directions/FactSet Auditing Viewer?action=AUDIT_VALUE&amp;DB=129&amp;ID1=82921410&amp;VALUEID=02999&amp;SDATE=2009&amp;PERIODTYPE=ANNR_STD&amp;window=popup_no_bar&amp;width=385&amp;height=120&amp;START_MAXIMIZED=FALSE&amp;creator=factset&amp;display_string=Audit"}</definedName>
    <definedName name="_1777__FDSAUDITLINK__" localSheetId="27">{"fdsup://Directions/FactSet Auditing Viewer?action=AUDIT_VALUE&amp;DB=129&amp;ID1=82921410&amp;VALUEID=02999&amp;SDATE=2009&amp;PERIODTYPE=ANNR_STD&amp;window=popup_no_bar&amp;width=385&amp;height=120&amp;START_MAXIMIZED=FALSE&amp;creator=factset&amp;display_string=Audit"}</definedName>
    <definedName name="_1778__FDSAUDITLINK__" localSheetId="34">{"fdsup://directions/FAT Viewer?action=UPDATE&amp;creator=factset&amp;DYN_ARGS=TRUE&amp;DOC_NAME=FAT:FQL_AUDITING_CLIENT_TEMPLATE.FAT&amp;display_string=Audit&amp;VAR:KEY=XODKHOLANC&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82921410&amp;VAR:INDEX=0"}</definedName>
    <definedName name="_1778__FDSAUDITLINK__" localSheetId="27">{"fdsup://directions/FAT Viewer?action=UPDATE&amp;creator=factset&amp;DYN_ARGS=TRUE&amp;DOC_NAME=FAT:FQL_AUDITING_CLIENT_TEMPLATE.FAT&amp;display_string=Audit&amp;VAR:KEY=XODKHOLANC&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82921410&amp;VAR:INDEX=0"}</definedName>
    <definedName name="_1779__FDSAUDITLINK__" localSheetId="34">{"fdsup://directions/FAT Viewer?action=UPDATE&amp;creator=factset&amp;DYN_ARGS=TRUE&amp;DOC_NAME=FAT:FQL_AUDITING_CLIENT_TEMPLATE.FAT&amp;display_string=Audit&amp;VAR:KEY=JMNWFWPUPY&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82921410&amp;VAR:INDEX=0"}</definedName>
    <definedName name="_1779__FDSAUDITLINK__" localSheetId="27">{"fdsup://directions/FAT Viewer?action=UPDATE&amp;creator=factset&amp;DYN_ARGS=TRUE&amp;DOC_NAME=FAT:FQL_AUDITING_CLIENT_TEMPLATE.FAT&amp;display_string=Audit&amp;VAR:KEY=JMNWFWPUPY&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82921410&amp;VAR:INDEX=0"}</definedName>
    <definedName name="_1780__FDSAUDITLINK__" localSheetId="34">{"fdsup://directions/FAT Viewer?action=UPDATE&amp;creator=factset&amp;DYN_ARGS=TRUE&amp;DOC_NAME=FAT:FQL_AUDITING_CLIENT_TEMPLATE.FAT&amp;display_string=Audit&amp;VAR:KEY=NKPCJCTCVY&amp;VAR:QUERY=RkZfRklOX0FTU0VUU19JTVBBSVIoQU5OX1IsNDAzOTUsLCxSRixHQlAp&amp;WINDOW=FIRST_POPUP&amp;HEIGHT=45","0&amp;WIDTH=450&amp;START_MAXIMIZED=FALSE&amp;VAR:CALENDAR=FIVEDAY&amp;VAR:SYMBOL=82921410&amp;VAR:INDEX=0"}</definedName>
    <definedName name="_1780__FDSAUDITLINK__" localSheetId="27">{"fdsup://directions/FAT Viewer?action=UPDATE&amp;creator=factset&amp;DYN_ARGS=TRUE&amp;DOC_NAME=FAT:FQL_AUDITING_CLIENT_TEMPLATE.FAT&amp;display_string=Audit&amp;VAR:KEY=NKPCJCTCVY&amp;VAR:QUERY=RkZfRklOX0FTU0VUU19JTVBBSVIoQU5OX1IsNDAzOTUsLCxSRixHQlAp&amp;WINDOW=FIRST_POPUP&amp;HEIGHT=45","0&amp;WIDTH=450&amp;START_MAXIMIZED=FALSE&amp;VAR:CALENDAR=FIVEDAY&amp;VAR:SYMBOL=82921410&amp;VAR:INDEX=0"}</definedName>
    <definedName name="_1781__FDSAUDITLINK__" localSheetId="34">{"fdsup://directions/FAT Viewer?action=UPDATE&amp;creator=factset&amp;DYN_ARGS=TRUE&amp;DOC_NAME=FAT:FQL_AUDITING_CLIENT_TEMPLATE.FAT&amp;display_string=Audit&amp;VAR:KEY=HSPAHGNSXE&amp;VAR:QUERY=RkZfRklOX0FTU0VUU19JTVBBSVIoQU5OX1IsNDAzOTUtMVksLCxSRixHQlAp&amp;WINDOW=FIRST_POPUP&amp;HEIGH","T=450&amp;WIDTH=450&amp;START_MAXIMIZED=FALSE&amp;VAR:CALENDAR=FIVEDAY&amp;VAR:SYMBOL=82921410&amp;VAR:INDEX=0"}</definedName>
    <definedName name="_1781__FDSAUDITLINK__" localSheetId="27">{"fdsup://directions/FAT Viewer?action=UPDATE&amp;creator=factset&amp;DYN_ARGS=TRUE&amp;DOC_NAME=FAT:FQL_AUDITING_CLIENT_TEMPLATE.FAT&amp;display_string=Audit&amp;VAR:KEY=HSPAHGNSXE&amp;VAR:QUERY=RkZfRklOX0FTU0VUU19JTVBBSVIoQU5OX1IsNDAzOTUtMVksLCxSRixHQlAp&amp;WINDOW=FIRST_POPUP&amp;HEIGH","T=450&amp;WIDTH=450&amp;START_MAXIMIZED=FALSE&amp;VAR:CALENDAR=FIVEDAY&amp;VAR:SYMBOL=82921410&amp;VAR:INDEX=0"}</definedName>
    <definedName name="_1782__FDSAUDITLINK__" localSheetId="34">{"fdsup://directions/FAT Viewer?action=UPDATE&amp;creator=factset&amp;DYN_ARGS=TRUE&amp;DOC_NAME=FAT:FQL_AUDITING_CLIENT_TEMPLATE.FAT&amp;display_string=Audit&amp;VAR:KEY=TCTITEBKTQ&amp;VAR:QUERY=RkZfSU1QQUlSX1BQRShBTk5fUiw0MDM5NSwsLFJGLEdCUCk=&amp;WINDOW=FIRST_POPUP&amp;HEIGHT=450&amp;WIDTH=","450&amp;START_MAXIMIZED=FALSE&amp;VAR:CALENDAR=FIVEDAY&amp;VAR:SYMBOL=82921410&amp;VAR:INDEX=0"}</definedName>
    <definedName name="_1782__FDSAUDITLINK__" localSheetId="27">{"fdsup://directions/FAT Viewer?action=UPDATE&amp;creator=factset&amp;DYN_ARGS=TRUE&amp;DOC_NAME=FAT:FQL_AUDITING_CLIENT_TEMPLATE.FAT&amp;display_string=Audit&amp;VAR:KEY=TCTITEBKTQ&amp;VAR:QUERY=RkZfSU1QQUlSX1BQRShBTk5fUiw0MDM5NSwsLFJGLEdCUCk=&amp;WINDOW=FIRST_POPUP&amp;HEIGHT=450&amp;WIDTH=","450&amp;START_MAXIMIZED=FALSE&amp;VAR:CALENDAR=FIVEDAY&amp;VAR:SYMBOL=82921410&amp;VAR:INDEX=0"}</definedName>
    <definedName name="_1783__FDSAUDITLINK__" localSheetId="34">{"fdsup://directions/FAT Viewer?action=UPDATE&amp;creator=factset&amp;DYN_ARGS=TRUE&amp;DOC_NAME=FAT:FQL_AUDITING_CLIENT_TEMPLATE.FAT&amp;display_string=Audit&amp;VAR:KEY=ZMDUBERUNW&amp;VAR:QUERY=RkZfSU1QQUlSX1BQRShBTk5fUiw0MDM5NS0xWSwsLFJGLEdCUCk=&amp;WINDOW=FIRST_POPUP&amp;HEIGHT=450&amp;WI","DTH=450&amp;START_MAXIMIZED=FALSE&amp;VAR:CALENDAR=FIVEDAY&amp;VAR:SYMBOL=82921410&amp;VAR:INDEX=0"}</definedName>
    <definedName name="_1783__FDSAUDITLINK__" localSheetId="27">{"fdsup://directions/FAT Viewer?action=UPDATE&amp;creator=factset&amp;DYN_ARGS=TRUE&amp;DOC_NAME=FAT:FQL_AUDITING_CLIENT_TEMPLATE.FAT&amp;display_string=Audit&amp;VAR:KEY=ZMDUBERUNW&amp;VAR:QUERY=RkZfSU1QQUlSX1BQRShBTk5fUiw0MDM5NS0xWSwsLFJGLEdCUCk=&amp;WINDOW=FIRST_POPUP&amp;HEIGHT=450&amp;WI","DTH=450&amp;START_MAXIMIZED=FALSE&amp;VAR:CALENDAR=FIVEDAY&amp;VAR:SYMBOL=82921410&amp;VAR:INDEX=0"}</definedName>
    <definedName name="_1784__FDSAUDITLINK__" localSheetId="34">{"fdsup://Directions/FactSet Auditing Viewer?action=AUDIT_VALUE&amp;DB=129&amp;ID1=82921410&amp;VALUEID=04050&amp;SDATE=2009&amp;PERIODTYPE=ANNR_STD&amp;window=popup_no_bar&amp;width=385&amp;height=120&amp;START_MAXIMIZED=FALSE&amp;creator=factset&amp;display_string=Audit"}</definedName>
    <definedName name="_1784__FDSAUDITLINK__" localSheetId="27">{"fdsup://Directions/FactSet Auditing Viewer?action=AUDIT_VALUE&amp;DB=129&amp;ID1=82921410&amp;VALUEID=04050&amp;SDATE=2009&amp;PERIODTYPE=ANNR_STD&amp;window=popup_no_bar&amp;width=385&amp;height=120&amp;START_MAXIMIZED=FALSE&amp;creator=factset&amp;display_string=Audit"}</definedName>
    <definedName name="_1785__FDSAUDITLINK__" localSheetId="34">{"fdsup://Directions/FactSet Auditing Viewer?action=AUDIT_VALUE&amp;DB=129&amp;ID1=82921410&amp;VALUEID=04050&amp;SDATE=2008&amp;PERIODTYPE=ANNR_STD&amp;window=popup_no_bar&amp;width=385&amp;height=120&amp;START_MAXIMIZED=FALSE&amp;creator=factset&amp;display_string=Audit"}</definedName>
    <definedName name="_1785__FDSAUDITLINK__" localSheetId="27">{"fdsup://Directions/FactSet Auditing Viewer?action=AUDIT_VALUE&amp;DB=129&amp;ID1=82921410&amp;VALUEID=04050&amp;SDATE=2008&amp;PERIODTYPE=ANNR_STD&amp;window=popup_no_bar&amp;width=385&amp;height=120&amp;START_MAXIMIZED=FALSE&amp;creator=factset&amp;display_string=Audit"}</definedName>
    <definedName name="_1786__FDSAUDITLINK__" localSheetId="34">{"fdsup://Directions/FactSet Auditing Viewer?action=AUDIT_VALUE&amp;DB=129&amp;ID1=82921410&amp;VALUEID=04049&amp;SDATE=2009&amp;PERIODTYPE=ANNR_STD&amp;window=popup_no_bar&amp;width=385&amp;height=120&amp;START_MAXIMIZED=FALSE&amp;creator=factset&amp;display_string=Audit"}</definedName>
    <definedName name="_1786__FDSAUDITLINK__" localSheetId="27">{"fdsup://Directions/FactSet Auditing Viewer?action=AUDIT_VALUE&amp;DB=129&amp;ID1=82921410&amp;VALUEID=04049&amp;SDATE=2009&amp;PERIODTYPE=ANNR_STD&amp;window=popup_no_bar&amp;width=385&amp;height=120&amp;START_MAXIMIZED=FALSE&amp;creator=factset&amp;display_string=Audit"}</definedName>
    <definedName name="_1787__FDSAUDITLINK__" localSheetId="34">{"fdsup://Directions/FactSet Auditing Viewer?action=AUDIT_VALUE&amp;DB=129&amp;ID1=82921410&amp;VALUEID=04049&amp;SDATE=2008&amp;PERIODTYPE=ANNR_STD&amp;window=popup_no_bar&amp;width=385&amp;height=120&amp;START_MAXIMIZED=FALSE&amp;creator=factset&amp;display_string=Audit"}</definedName>
    <definedName name="_1787__FDSAUDITLINK__" localSheetId="27">{"fdsup://Directions/FactSet Auditing Viewer?action=AUDIT_VALUE&amp;DB=129&amp;ID1=82921410&amp;VALUEID=04049&amp;SDATE=2008&amp;PERIODTYPE=ANNR_STD&amp;window=popup_no_bar&amp;width=385&amp;height=120&amp;START_MAXIMIZED=FALSE&amp;creator=factset&amp;display_string=Audit"}</definedName>
    <definedName name="_1788__FDSAUDITLINK__" localSheetId="34">{"fdsup://Directions/FactSet Auditing Viewer?action=AUDIT_VALUE&amp;DB=129&amp;ID1=82921410&amp;VALUEID=04601&amp;SDATE=2009&amp;PERIODTYPE=ANNR_STD&amp;window=popup_no_bar&amp;width=385&amp;height=120&amp;START_MAXIMIZED=FALSE&amp;creator=factset&amp;display_string=Audit"}</definedName>
    <definedName name="_1788__FDSAUDITLINK__" localSheetId="27">{"fdsup://Directions/FactSet Auditing Viewer?action=AUDIT_VALUE&amp;DB=129&amp;ID1=82921410&amp;VALUEID=04601&amp;SDATE=2009&amp;PERIODTYPE=ANNR_STD&amp;window=popup_no_bar&amp;width=385&amp;height=120&amp;START_MAXIMIZED=FALSE&amp;creator=factset&amp;display_string=Audit"}</definedName>
    <definedName name="_1789__FDSAUDITLINK__" localSheetId="34">{"fdsup://Directions/FactSet Auditing Viewer?action=AUDIT_VALUE&amp;DB=129&amp;ID1=82921410&amp;VALUEID=04601&amp;SDATE=2008&amp;PERIODTYPE=ANNR_STD&amp;window=popup_no_bar&amp;width=385&amp;height=120&amp;START_MAXIMIZED=FALSE&amp;creator=factset&amp;display_string=Audit"}</definedName>
    <definedName name="_1789__FDSAUDITLINK__" localSheetId="27">{"fdsup://Directions/FactSet Auditing Viewer?action=AUDIT_VALUE&amp;DB=129&amp;ID1=82921410&amp;VALUEID=04601&amp;SDATE=2008&amp;PERIODTYPE=ANNR_STD&amp;window=popup_no_bar&amp;width=385&amp;height=120&amp;START_MAXIMIZED=FALSE&amp;creator=factset&amp;display_string=Audit"}</definedName>
    <definedName name="_1790__FDSAUDITLINK__" localSheetId="34">{"fdsup://Directions/FactSet Auditing Viewer?action=AUDIT_VALUE&amp;DB=129&amp;ID1=53217V10&amp;VALUEID=18184&amp;SDATE=2009&amp;PERIODTYPE=ANNR_STD&amp;window=popup_no_bar&amp;width=385&amp;height=120&amp;START_MAXIMIZED=FALSE&amp;creator=factset&amp;display_string=Audit"}</definedName>
    <definedName name="_1790__FDSAUDITLINK__" localSheetId="27">{"fdsup://Directions/FactSet Auditing Viewer?action=AUDIT_VALUE&amp;DB=129&amp;ID1=53217V10&amp;VALUEID=18184&amp;SDATE=2009&amp;PERIODTYPE=ANNR_STD&amp;window=popup_no_bar&amp;width=385&amp;height=120&amp;START_MAXIMIZED=FALSE&amp;creator=factset&amp;display_string=Audit"}</definedName>
    <definedName name="_1791__FDSAUDITLINK__" localSheetId="34">{"fdsup://Directions/FactSet Auditing Viewer?action=AUDIT_VALUE&amp;DB=129&amp;ID1=53217V10&amp;VALUEID=02999&amp;SDATE=2009&amp;PERIODTYPE=ANNR_STD&amp;window=popup_no_bar&amp;width=385&amp;height=120&amp;START_MAXIMIZED=FALSE&amp;creator=factset&amp;display_string=Audit"}</definedName>
    <definedName name="_1791__FDSAUDITLINK__" localSheetId="27">{"fdsup://Directions/FactSet Auditing Viewer?action=AUDIT_VALUE&amp;DB=129&amp;ID1=53217V10&amp;VALUEID=02999&amp;SDATE=2009&amp;PERIODTYPE=ANNR_STD&amp;window=popup_no_bar&amp;width=385&amp;height=120&amp;START_MAXIMIZED=FALSE&amp;creator=factset&amp;display_string=Audit"}</definedName>
    <definedName name="_1792__FDSAUDITLINK__" localSheetId="34">{"fdsup://directions/FAT Viewer?action=UPDATE&amp;creator=factset&amp;DYN_ARGS=TRUE&amp;DOC_NAME=FAT:FQL_AUDITING_CLIENT_TEMPLATE.FAT&amp;display_string=Audit&amp;VAR:KEY=RKNCJWHCF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53217V10&amp;VAR:INDEX=0"}</definedName>
    <definedName name="_1792__FDSAUDITLINK__" localSheetId="27">{"fdsup://directions/FAT Viewer?action=UPDATE&amp;creator=factset&amp;DYN_ARGS=TRUE&amp;DOC_NAME=FAT:FQL_AUDITING_CLIENT_TEMPLATE.FAT&amp;display_string=Audit&amp;VAR:KEY=RKNCJWHCF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53217V10&amp;VAR:INDEX=0"}</definedName>
    <definedName name="_1793__FDSAUDITLINK__" localSheetId="34">{"fdsup://directions/FAT Viewer?action=UPDATE&amp;creator=factset&amp;DYN_ARGS=TRUE&amp;DOC_NAME=FAT:FQL_AUDITING_CLIENT_TEMPLATE.FAT&amp;display_string=Audit&amp;VAR:KEY=HQDGLAPGDM&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53217V10&amp;VAR:INDEX=0"}</definedName>
    <definedName name="_1793__FDSAUDITLINK__" localSheetId="27">{"fdsup://directions/FAT Viewer?action=UPDATE&amp;creator=factset&amp;DYN_ARGS=TRUE&amp;DOC_NAME=FAT:FQL_AUDITING_CLIENT_TEMPLATE.FAT&amp;display_string=Audit&amp;VAR:KEY=HQDGLAPGDM&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53217V10&amp;VAR:INDEX=0"}</definedName>
    <definedName name="_1794__FDSAUDITLINK__" localSheetId="34">{"fdsup://directions/FAT Viewer?action=UPDATE&amp;creator=factset&amp;DYN_ARGS=TRUE&amp;DOC_NAME=FAT:FQL_AUDITING_CLIENT_TEMPLATE.FAT&amp;display_string=Audit&amp;VAR:KEY=VMHSLGFKXA&amp;VAR:QUERY=RkZfRklOX0FTU0VUU19JTVBBSVIoQU5OX1IsNDAzOTUsLCxSRixHQlAp&amp;WINDOW=FIRST_POPUP&amp;HEIGHT=45","0&amp;WIDTH=450&amp;START_MAXIMIZED=FALSE&amp;VAR:CALENDAR=FIVEDAY&amp;VAR:SYMBOL=53217V10&amp;VAR:INDEX=0"}</definedName>
    <definedName name="_1794__FDSAUDITLINK__" localSheetId="27">{"fdsup://directions/FAT Viewer?action=UPDATE&amp;creator=factset&amp;DYN_ARGS=TRUE&amp;DOC_NAME=FAT:FQL_AUDITING_CLIENT_TEMPLATE.FAT&amp;display_string=Audit&amp;VAR:KEY=VMHSLGFKXA&amp;VAR:QUERY=RkZfRklOX0FTU0VUU19JTVBBSVIoQU5OX1IsNDAzOTUsLCxSRixHQlAp&amp;WINDOW=FIRST_POPUP&amp;HEIGHT=45","0&amp;WIDTH=450&amp;START_MAXIMIZED=FALSE&amp;VAR:CALENDAR=FIVEDAY&amp;VAR:SYMBOL=53217V10&amp;VAR:INDEX=0"}</definedName>
    <definedName name="_1795__FDSAUDITLINK__" localSheetId="34">{"fdsup://directions/FAT Viewer?action=UPDATE&amp;creator=factset&amp;DYN_ARGS=TRUE&amp;DOC_NAME=FAT:FQL_AUDITING_CLIENT_TEMPLATE.FAT&amp;display_string=Audit&amp;VAR:KEY=JQRCRIHGDK&amp;VAR:QUERY=RkZfRklOX0FTU0VUU19JTVBBSVIoQU5OX1IsNDAzOTUtMVksLCxSRixHQlAp&amp;WINDOW=FIRST_POPUP&amp;HEIGH","T=450&amp;WIDTH=450&amp;START_MAXIMIZED=FALSE&amp;VAR:CALENDAR=FIVEDAY&amp;VAR:SYMBOL=53217V10&amp;VAR:INDEX=0"}</definedName>
    <definedName name="_1795__FDSAUDITLINK__" localSheetId="27">{"fdsup://directions/FAT Viewer?action=UPDATE&amp;creator=factset&amp;DYN_ARGS=TRUE&amp;DOC_NAME=FAT:FQL_AUDITING_CLIENT_TEMPLATE.FAT&amp;display_string=Audit&amp;VAR:KEY=JQRCRIHGDK&amp;VAR:QUERY=RkZfRklOX0FTU0VUU19JTVBBSVIoQU5OX1IsNDAzOTUtMVksLCxSRixHQlAp&amp;WINDOW=FIRST_POPUP&amp;HEIGH","T=450&amp;WIDTH=450&amp;START_MAXIMIZED=FALSE&amp;VAR:CALENDAR=FIVEDAY&amp;VAR:SYMBOL=53217V10&amp;VAR:INDEX=0"}</definedName>
    <definedName name="_1796__FDSAUDITLINK__" localSheetId="34">{"fdsup://directions/FAT Viewer?action=UPDATE&amp;creator=factset&amp;DYN_ARGS=TRUE&amp;DOC_NAME=FAT:FQL_AUDITING_CLIENT_TEMPLATE.FAT&amp;display_string=Audit&amp;VAR:KEY=VMRCZGNYTW&amp;VAR:QUERY=RkZfSU1QQUlSX1BQRShBTk5fUiw0MDM5NSwsLFJGLEdCUCk=&amp;WINDOW=FIRST_POPUP&amp;HEIGHT=450&amp;WIDTH=","450&amp;START_MAXIMIZED=FALSE&amp;VAR:CALENDAR=FIVEDAY&amp;VAR:SYMBOL=53217V10&amp;VAR:INDEX=0"}</definedName>
    <definedName name="_1796__FDSAUDITLINK__" localSheetId="27">{"fdsup://directions/FAT Viewer?action=UPDATE&amp;creator=factset&amp;DYN_ARGS=TRUE&amp;DOC_NAME=FAT:FQL_AUDITING_CLIENT_TEMPLATE.FAT&amp;display_string=Audit&amp;VAR:KEY=VMRCZGNYTW&amp;VAR:QUERY=RkZfSU1QQUlSX1BQRShBTk5fUiw0MDM5NSwsLFJGLEdCUCk=&amp;WINDOW=FIRST_POPUP&amp;HEIGHT=450&amp;WIDTH=","450&amp;START_MAXIMIZED=FALSE&amp;VAR:CALENDAR=FIVEDAY&amp;VAR:SYMBOL=53217V10&amp;VAR:INDEX=0"}</definedName>
    <definedName name="_1797__FDSAUDITLINK__" localSheetId="34">{"fdsup://directions/FAT Viewer?action=UPDATE&amp;creator=factset&amp;DYN_ARGS=TRUE&amp;DOC_NAME=FAT:FQL_AUDITING_CLIENT_TEMPLATE.FAT&amp;display_string=Audit&amp;VAR:KEY=XUTUDCJORI&amp;VAR:QUERY=RkZfSU1QQUlSX1BQRShBTk5fUiw0MDM5NS0xWSwsLFJGLEdCUCk=&amp;WINDOW=FIRST_POPUP&amp;HEIGHT=450&amp;WI","DTH=450&amp;START_MAXIMIZED=FALSE&amp;VAR:CALENDAR=FIVEDAY&amp;VAR:SYMBOL=53217V10&amp;VAR:INDEX=0"}</definedName>
    <definedName name="_1797__FDSAUDITLINK__" localSheetId="27">{"fdsup://directions/FAT Viewer?action=UPDATE&amp;creator=factset&amp;DYN_ARGS=TRUE&amp;DOC_NAME=FAT:FQL_AUDITING_CLIENT_TEMPLATE.FAT&amp;display_string=Audit&amp;VAR:KEY=XUTUDCJORI&amp;VAR:QUERY=RkZfSU1QQUlSX1BQRShBTk5fUiw0MDM5NS0xWSwsLFJGLEdCUCk=&amp;WINDOW=FIRST_POPUP&amp;HEIGHT=450&amp;WI","DTH=450&amp;START_MAXIMIZED=FALSE&amp;VAR:CALENDAR=FIVEDAY&amp;VAR:SYMBOL=53217V10&amp;VAR:INDEX=0"}</definedName>
    <definedName name="_1798__FDSAUDITLINK__" localSheetId="34">{"fdsup://Directions/FactSet Auditing Viewer?action=AUDIT_VALUE&amp;DB=129&amp;ID1=53217V10&amp;VALUEID=04050&amp;SDATE=2009&amp;PERIODTYPE=ANNR_STD&amp;window=popup_no_bar&amp;width=385&amp;height=120&amp;START_MAXIMIZED=FALSE&amp;creator=factset&amp;display_string=Audit"}</definedName>
    <definedName name="_1798__FDSAUDITLINK__" localSheetId="27">{"fdsup://Directions/FactSet Auditing Viewer?action=AUDIT_VALUE&amp;DB=129&amp;ID1=53217V10&amp;VALUEID=04050&amp;SDATE=2009&amp;PERIODTYPE=ANNR_STD&amp;window=popup_no_bar&amp;width=385&amp;height=120&amp;START_MAXIMIZED=FALSE&amp;creator=factset&amp;display_string=Audit"}</definedName>
    <definedName name="_1799__FDSAUDITLINK__" localSheetId="34">{"fdsup://Directions/FactSet Auditing Viewer?action=AUDIT_VALUE&amp;DB=129&amp;ID1=53217V10&amp;VALUEID=04050&amp;SDATE=2008&amp;PERIODTYPE=ANNR_STD&amp;window=popup_no_bar&amp;width=385&amp;height=120&amp;START_MAXIMIZED=FALSE&amp;creator=factset&amp;display_string=Audit"}</definedName>
    <definedName name="_1799__FDSAUDITLINK__" localSheetId="27">{"fdsup://Directions/FactSet Auditing Viewer?action=AUDIT_VALUE&amp;DB=129&amp;ID1=53217V10&amp;VALUEID=04050&amp;SDATE=2008&amp;PERIODTYPE=ANNR_STD&amp;window=popup_no_bar&amp;width=385&amp;height=120&amp;START_MAXIMIZED=FALSE&amp;creator=factset&amp;display_string=Audit"}</definedName>
    <definedName name="_1800__FDSAUDITLINK__" localSheetId="34">{"fdsup://Directions/FactSet Auditing Viewer?action=AUDIT_VALUE&amp;DB=129&amp;ID1=53217V10&amp;VALUEID=04049&amp;SDATE=2009&amp;PERIODTYPE=ANNR_STD&amp;window=popup_no_bar&amp;width=385&amp;height=120&amp;START_MAXIMIZED=FALSE&amp;creator=factset&amp;display_string=Audit"}</definedName>
    <definedName name="_1800__FDSAUDITLINK__" localSheetId="27">{"fdsup://Directions/FactSet Auditing Viewer?action=AUDIT_VALUE&amp;DB=129&amp;ID1=53217V10&amp;VALUEID=04049&amp;SDATE=2009&amp;PERIODTYPE=ANNR_STD&amp;window=popup_no_bar&amp;width=385&amp;height=120&amp;START_MAXIMIZED=FALSE&amp;creator=factset&amp;display_string=Audit"}</definedName>
    <definedName name="_1801__FDSAUDITLINK__" localSheetId="34">{"fdsup://Directions/FactSet Auditing Viewer?action=AUDIT_VALUE&amp;DB=129&amp;ID1=53217V10&amp;VALUEID=04049&amp;SDATE=2008&amp;PERIODTYPE=ANNR_STD&amp;window=popup_no_bar&amp;width=385&amp;height=120&amp;START_MAXIMIZED=FALSE&amp;creator=factset&amp;display_string=Audit"}</definedName>
    <definedName name="_1801__FDSAUDITLINK__" localSheetId="27">{"fdsup://Directions/FactSet Auditing Viewer?action=AUDIT_VALUE&amp;DB=129&amp;ID1=53217V10&amp;VALUEID=04049&amp;SDATE=2008&amp;PERIODTYPE=ANNR_STD&amp;window=popup_no_bar&amp;width=385&amp;height=120&amp;START_MAXIMIZED=FALSE&amp;creator=factset&amp;display_string=Audit"}</definedName>
    <definedName name="_1802__FDSAUDITLINK__" localSheetId="34">{"fdsup://Directions/FactSet Auditing Viewer?action=AUDIT_VALUE&amp;DB=129&amp;ID1=53217V10&amp;VALUEID=04601&amp;SDATE=2009&amp;PERIODTYPE=ANNR_STD&amp;window=popup_no_bar&amp;width=385&amp;height=120&amp;START_MAXIMIZED=FALSE&amp;creator=factset&amp;display_string=Audit"}</definedName>
    <definedName name="_1802__FDSAUDITLINK__" localSheetId="27">{"fdsup://Directions/FactSet Auditing Viewer?action=AUDIT_VALUE&amp;DB=129&amp;ID1=53217V10&amp;VALUEID=04601&amp;SDATE=2009&amp;PERIODTYPE=ANNR_STD&amp;window=popup_no_bar&amp;width=385&amp;height=120&amp;START_MAXIMIZED=FALSE&amp;creator=factset&amp;display_string=Audit"}</definedName>
    <definedName name="_1803__FDSAUDITLINK__" localSheetId="34">{"fdsup://Directions/FactSet Auditing Viewer?action=AUDIT_VALUE&amp;DB=129&amp;ID1=53217V10&amp;VALUEID=04601&amp;SDATE=2008&amp;PERIODTYPE=ANNR_STD&amp;window=popup_no_bar&amp;width=385&amp;height=120&amp;START_MAXIMIZED=FALSE&amp;creator=factset&amp;display_string=Audit"}</definedName>
    <definedName name="_1803__FDSAUDITLINK__" localSheetId="27">{"fdsup://Directions/FactSet Auditing Viewer?action=AUDIT_VALUE&amp;DB=129&amp;ID1=53217V10&amp;VALUEID=04601&amp;SDATE=2008&amp;PERIODTYPE=ANNR_STD&amp;window=popup_no_bar&amp;width=385&amp;height=120&amp;START_MAXIMIZED=FALSE&amp;creator=factset&amp;display_string=Audit"}</definedName>
    <definedName name="_180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80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805__FDSAUDITLINK__" localSheetId="34">{"fdsup://Directions/FactSet Auditing Viewer?action=AUDIT_VALUE&amp;DB=129&amp;ID1=22281610&amp;VALUEID=02999&amp;SDATE=2009&amp;PERIODTYPE=ANNR_STD&amp;window=popup_no_bar&amp;width=385&amp;height=120&amp;START_MAXIMIZED=FALSE&amp;creator=factset&amp;display_string=Audit"}</definedName>
    <definedName name="_1805__FDSAUDITLINK__" localSheetId="27">{"fdsup://Directions/FactSet Auditing Viewer?action=AUDIT_VALUE&amp;DB=129&amp;ID1=22281610&amp;VALUEID=02999&amp;SDATE=2009&amp;PERIODTYPE=ANNR_STD&amp;window=popup_no_bar&amp;width=385&amp;height=120&amp;START_MAXIMIZED=FALSE&amp;creator=factset&amp;display_string=Audit"}</definedName>
    <definedName name="_1806__FDSAUDITLINK__" localSheetId="34">{"fdsup://directions/FAT Viewer?action=UPDATE&amp;creator=factset&amp;DYN_ARGS=TRUE&amp;DOC_NAME=FAT:FQL_AUDITING_CLIENT_TEMPLATE.FAT&amp;display_string=Audit&amp;VAR:KEY=JUNMDQFWP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22281610&amp;VAR:INDEX=0"}</definedName>
    <definedName name="_1806__FDSAUDITLINK__" localSheetId="27">{"fdsup://directions/FAT Viewer?action=UPDATE&amp;creator=factset&amp;DYN_ARGS=TRUE&amp;DOC_NAME=FAT:FQL_AUDITING_CLIENT_TEMPLATE.FAT&amp;display_string=Audit&amp;VAR:KEY=JUNMDQFWPK&amp;VAR:QUERY=RkZfQVNTRVRTX0NVUlIoQU5OX1IsNDAzOTUsLCxSRixHQlApLUZGX0NBU0hfU1QoQU5OX1IsNDAzOTUsLCxSR","ixHQlApLUZGX0xJQUJTX0NVUlIoQU5OX1IsNDAzOTUsLCxSRixHQlApK0ZGX0RFQlRfU1QoQU5OX1IsNDAzOTUsLCxSRixHQlAp&amp;WINDOW=FIRST_POPUP&amp;HEIGHT=450&amp;WIDTH=450&amp;START_MAXIMIZED=FALSE&amp;VAR:CALENDAR=FIVEDAY&amp;VAR:SYMBOL=22281610&amp;VAR:INDEX=0"}</definedName>
    <definedName name="_1807__FDSAUDITLINK__" localSheetId="34">{"fdsup://directions/FAT Viewer?action=UPDATE&amp;creator=factset&amp;DYN_ARGS=TRUE&amp;DOC_NAME=FAT:FQL_AUDITING_CLIENT_TEMPLATE.FAT&amp;display_string=Audit&amp;VAR:KEY=ZMTUJULSHA&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22281610&amp;VAR:INDEX=0"}</definedName>
    <definedName name="_1807__FDSAUDITLINK__" localSheetId="27">{"fdsup://directions/FAT Viewer?action=UPDATE&amp;creator=factset&amp;DYN_ARGS=TRUE&amp;DOC_NAME=FAT:FQL_AUDITING_CLIENT_TEMPLATE.FAT&amp;display_string=Audit&amp;VAR:KEY=ZMTUJULSHA&amp;VAR:QUERY=RkZfQVNTRVRTX0NVUlIoQU5OX1IsNDAzOTUtMVksLCxSRixHQlApLUZGX0NBU0hfU1QoQU5OX1IsNDAzOTUtM","VksLCxSRixHQlApLUZGX0xJQUJTX0NVUlIoQU5OX1IsNDAzOTUtMVksLCxSRixHQlApK0ZGX0RFQlRfU1QoQU5OX1IsNDAzOTUtMVksLCxSRixHQlAp&amp;WINDOW=FIRST_POPUP&amp;HEIGHT=450&amp;WIDTH=450&amp;START_MAXIMIZED=FALSE&amp;VAR:CALENDAR=FIVEDAY&amp;VAR:SYMBOL=22281610&amp;VAR:INDEX=0"}</definedName>
    <definedName name="_1808__FDSAUDITLINK__" localSheetId="34">{"fdsup://directions/FAT Viewer?action=UPDATE&amp;creator=factset&amp;DYN_ARGS=TRUE&amp;DOC_NAME=FAT:FQL_AUDITING_CLIENT_TEMPLATE.FAT&amp;display_string=Audit&amp;VAR:KEY=RKTCFOXQDY&amp;VAR:QUERY=RkZfRklOX0FTU0VUU19JTVBBSVIoQU5OX1IsNDAzOTUsLCxSRixHQlAp&amp;WINDOW=FIRST_POPUP&amp;HEIGHT=45","0&amp;WIDTH=450&amp;START_MAXIMIZED=FALSE&amp;VAR:CALENDAR=FIVEDAY&amp;VAR:SYMBOL=22281610&amp;VAR:INDEX=0"}</definedName>
    <definedName name="_1808__FDSAUDITLINK__" localSheetId="27">{"fdsup://directions/FAT Viewer?action=UPDATE&amp;creator=factset&amp;DYN_ARGS=TRUE&amp;DOC_NAME=FAT:FQL_AUDITING_CLIENT_TEMPLATE.FAT&amp;display_string=Audit&amp;VAR:KEY=RKTCFOXQDY&amp;VAR:QUERY=RkZfRklOX0FTU0VUU19JTVBBSVIoQU5OX1IsNDAzOTUsLCxSRixHQlAp&amp;WINDOW=FIRST_POPUP&amp;HEIGHT=45","0&amp;WIDTH=450&amp;START_MAXIMIZED=FALSE&amp;VAR:CALENDAR=FIVEDAY&amp;VAR:SYMBOL=22281610&amp;VAR:INDEX=0"}</definedName>
    <definedName name="_1809__FDSAUDITLINK__" localSheetId="34">{"fdsup://directions/FAT Viewer?action=UPDATE&amp;creator=factset&amp;DYN_ARGS=TRUE&amp;DOC_NAME=FAT:FQL_AUDITING_CLIENT_TEMPLATE.FAT&amp;display_string=Audit&amp;VAR:KEY=HAZOLAPWFY&amp;VAR:QUERY=RkZfRklOX0FTU0VUU19JTVBBSVIoQU5OX1IsNDAzOTUtMVksLCxSRixHQlAp&amp;WINDOW=FIRST_POPUP&amp;HEIGH","T=450&amp;WIDTH=450&amp;START_MAXIMIZED=FALSE&amp;VAR:CALENDAR=FIVEDAY&amp;VAR:SYMBOL=22281610&amp;VAR:INDEX=0"}</definedName>
    <definedName name="_1809__FDSAUDITLINK__" localSheetId="27">{"fdsup://directions/FAT Viewer?action=UPDATE&amp;creator=factset&amp;DYN_ARGS=TRUE&amp;DOC_NAME=FAT:FQL_AUDITING_CLIENT_TEMPLATE.FAT&amp;display_string=Audit&amp;VAR:KEY=HAZOLAPWFY&amp;VAR:QUERY=RkZfRklOX0FTU0VUU19JTVBBSVIoQU5OX1IsNDAzOTUtMVksLCxSRixHQlAp&amp;WINDOW=FIRST_POPUP&amp;HEIGH","T=450&amp;WIDTH=450&amp;START_MAXIMIZED=FALSE&amp;VAR:CALENDAR=FIVEDAY&amp;VAR:SYMBOL=22281610&amp;VAR:INDEX=0"}</definedName>
    <definedName name="_1810__FDSAUDITLINK__" localSheetId="34">{"fdsup://directions/FAT Viewer?action=UPDATE&amp;creator=factset&amp;DYN_ARGS=TRUE&amp;DOC_NAME=FAT:FQL_AUDITING_CLIENT_TEMPLATE.FAT&amp;display_string=Audit&amp;VAR:KEY=ZMNUXEJGRW&amp;VAR:QUERY=RkZfSU1QQUlSX1BQRShBTk5fUiw0MDM5NSwsLFJGLEdCUCk=&amp;WINDOW=FIRST_POPUP&amp;HEIGHT=450&amp;WIDTH=","450&amp;START_MAXIMIZED=FALSE&amp;VAR:CALENDAR=FIVEDAY&amp;VAR:SYMBOL=22281610&amp;VAR:INDEX=0"}</definedName>
    <definedName name="_1810__FDSAUDITLINK__" localSheetId="27">{"fdsup://directions/FAT Viewer?action=UPDATE&amp;creator=factset&amp;DYN_ARGS=TRUE&amp;DOC_NAME=FAT:FQL_AUDITING_CLIENT_TEMPLATE.FAT&amp;display_string=Audit&amp;VAR:KEY=ZMNUXEJGRW&amp;VAR:QUERY=RkZfSU1QQUlSX1BQRShBTk5fUiw0MDM5NSwsLFJGLEdCUCk=&amp;WINDOW=FIRST_POPUP&amp;HEIGHT=450&amp;WIDTH=","450&amp;START_MAXIMIZED=FALSE&amp;VAR:CALENDAR=FIVEDAY&amp;VAR:SYMBOL=22281610&amp;VAR:INDEX=0"}</definedName>
    <definedName name="_1811__FDSAUDITLINK__" localSheetId="34">{"fdsup://directions/FAT Viewer?action=UPDATE&amp;creator=factset&amp;DYN_ARGS=TRUE&amp;DOC_NAME=FAT:FQL_AUDITING_CLIENT_TEMPLATE.FAT&amp;display_string=Audit&amp;VAR:KEY=LUDQPYLSTC&amp;VAR:QUERY=RkZfSU1QQUlSX1BQRShBTk5fUiw0MDM5NS0xWSwsLFJGLEdCUCk=&amp;WINDOW=FIRST_POPUP&amp;HEIGHT=450&amp;WI","DTH=450&amp;START_MAXIMIZED=FALSE&amp;VAR:CALENDAR=FIVEDAY&amp;VAR:SYMBOL=22281610&amp;VAR:INDEX=0"}</definedName>
    <definedName name="_1811__FDSAUDITLINK__" localSheetId="27">{"fdsup://directions/FAT Viewer?action=UPDATE&amp;creator=factset&amp;DYN_ARGS=TRUE&amp;DOC_NAME=FAT:FQL_AUDITING_CLIENT_TEMPLATE.FAT&amp;display_string=Audit&amp;VAR:KEY=LUDQPYLSTC&amp;VAR:QUERY=RkZfSU1QQUlSX1BQRShBTk5fUiw0MDM5NS0xWSwsLFJGLEdCUCk=&amp;WINDOW=FIRST_POPUP&amp;HEIGHT=450&amp;WI","DTH=450&amp;START_MAXIMIZED=FALSE&amp;VAR:CALENDAR=FIVEDAY&amp;VAR:SYMBOL=22281610&amp;VAR:INDEX=0"}</definedName>
    <definedName name="_1812__FDSAUDITLINK__" localSheetId="34">{"fdsup://Directions/FactSet Auditing Viewer?action=AUDIT_VALUE&amp;DB=129&amp;ID1=22281610&amp;VALUEID=04050&amp;SDATE=2009&amp;PERIODTYPE=ANNR_STD&amp;window=popup_no_bar&amp;width=385&amp;height=120&amp;START_MAXIMIZED=FALSE&amp;creator=factset&amp;display_string=Audit"}</definedName>
    <definedName name="_1812__FDSAUDITLINK__" localSheetId="27">{"fdsup://Directions/FactSet Auditing Viewer?action=AUDIT_VALUE&amp;DB=129&amp;ID1=22281610&amp;VALUEID=04050&amp;SDATE=2009&amp;PERIODTYPE=ANNR_STD&amp;window=popup_no_bar&amp;width=385&amp;height=120&amp;START_MAXIMIZED=FALSE&amp;creator=factset&amp;display_string=Audit"}</definedName>
    <definedName name="_1813__FDSAUDITLINK__" localSheetId="34">{"fdsup://Directions/FactSet Auditing Viewer?action=AUDIT_VALUE&amp;DB=129&amp;ID1=22281610&amp;VALUEID=04050&amp;SDATE=2008&amp;PERIODTYPE=ANNR_STD&amp;window=popup_no_bar&amp;width=385&amp;height=120&amp;START_MAXIMIZED=FALSE&amp;creator=factset&amp;display_string=Audit"}</definedName>
    <definedName name="_1813__FDSAUDITLINK__" localSheetId="27">{"fdsup://Directions/FactSet Auditing Viewer?action=AUDIT_VALUE&amp;DB=129&amp;ID1=22281610&amp;VALUEID=04050&amp;SDATE=2008&amp;PERIODTYPE=ANNR_STD&amp;window=popup_no_bar&amp;width=385&amp;height=120&amp;START_MAXIMIZED=FALSE&amp;creator=factset&amp;display_string=Audit"}</definedName>
    <definedName name="_1814__FDSAUDITLINK__" localSheetId="34">{"fdsup://Directions/FactSet Auditing Viewer?action=AUDIT_VALUE&amp;DB=129&amp;ID1=22281610&amp;VALUEID=04049&amp;SDATE=2009&amp;PERIODTYPE=ANNR_STD&amp;window=popup_no_bar&amp;width=385&amp;height=120&amp;START_MAXIMIZED=FALSE&amp;creator=factset&amp;display_string=Audit"}</definedName>
    <definedName name="_1814__FDSAUDITLINK__" localSheetId="27">{"fdsup://Directions/FactSet Auditing Viewer?action=AUDIT_VALUE&amp;DB=129&amp;ID1=22281610&amp;VALUEID=04049&amp;SDATE=2009&amp;PERIODTYPE=ANNR_STD&amp;window=popup_no_bar&amp;width=385&amp;height=120&amp;START_MAXIMIZED=FALSE&amp;creator=factset&amp;display_string=Audit"}</definedName>
    <definedName name="_1815__FDSAUDITLINK__" localSheetId="34">{"fdsup://Directions/FactSet Auditing Viewer?action=AUDIT_VALUE&amp;DB=129&amp;ID1=22281610&amp;VALUEID=04049&amp;SDATE=2008&amp;PERIODTYPE=ANNR_STD&amp;window=popup_no_bar&amp;width=385&amp;height=120&amp;START_MAXIMIZED=FALSE&amp;creator=factset&amp;display_string=Audit"}</definedName>
    <definedName name="_1815__FDSAUDITLINK__" localSheetId="27">{"fdsup://Directions/FactSet Auditing Viewer?action=AUDIT_VALUE&amp;DB=129&amp;ID1=22281610&amp;VALUEID=04049&amp;SDATE=2008&amp;PERIODTYPE=ANNR_STD&amp;window=popup_no_bar&amp;width=385&amp;height=120&amp;START_MAXIMIZED=FALSE&amp;creator=factset&amp;display_string=Audit"}</definedName>
    <definedName name="_1816__FDSAUDITLINK__" localSheetId="34">{"fdsup://directions/FAT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816__FDSAUDITLINK__" localSheetId="27">{"fdsup://directions/FAT Viewer?action=UPDATE&amp;creator=factset&amp;DYN_ARGS=TRUE&amp;DOC_NAME=FAT:FQL_AUDITING_CLIENT_TEMPLATE.FAT&amp;display_string=Audit&amp;VAR:KEY=DYZQNQPEPE&amp;VAR:QUERY=KEZGX1NITERSU19FUShBTk5fUiw0MDY0MSwsLFJGLClARkZfU0hMRFJTX0VRKEFOTl9SLDAsLCxSRiwpKQ==&amp;","WINDOW=FIRST_POPUP&amp;HEIGHT=450&amp;WIDTH=450&amp;START_MAXIMIZED=FALSE&amp;VAR:CALENDAR=FIVEDAY&amp;VAR:SYMBOL=0&amp;VAR:INDEX=0"}</definedName>
    <definedName name="_1817__FDSAUDITLINK__" localSheetId="34">{"fdsup://Directions/FactSet Auditing Viewer?action=AUDIT_VALUE&amp;DB=129&amp;ID1=22281610&amp;VALUEID=04601&amp;SDATE=2008&amp;PERIODTYPE=ANNR_STD&amp;window=popup_no_bar&amp;width=385&amp;height=120&amp;START_MAXIMIZED=FALSE&amp;creator=factset&amp;display_string=Audit"}</definedName>
    <definedName name="_1817__FDSAUDITLINK__" localSheetId="27">{"fdsup://Directions/FactSet Auditing Viewer?action=AUDIT_VALUE&amp;DB=129&amp;ID1=22281610&amp;VALUEID=04601&amp;SDATE=2008&amp;PERIODTYPE=ANNR_STD&amp;window=popup_no_bar&amp;width=385&amp;height=120&amp;START_MAXIMIZED=FALSE&amp;creator=factset&amp;display_string=Audit"}</definedName>
    <definedName name="_1818__FDSAUDITLINK__" localSheetId="34">{"fdsup://Directions/FactSet Auditing Viewer?action=AUDIT_VALUE&amp;DB=129&amp;ID1=69946210&amp;VALUEID=01250&amp;SDATE=2010&amp;PERIODTYPE=ANNR_STD&amp;window=popup_no_bar&amp;width=385&amp;height=120&amp;START_MAXIMIZED=FALSE&amp;creator=factset&amp;display_string=Audit"}</definedName>
    <definedName name="_1818__FDSAUDITLINK__" localSheetId="27">{"fdsup://Directions/FactSet Auditing Viewer?action=AUDIT_VALUE&amp;DB=129&amp;ID1=69946210&amp;VALUEID=01250&amp;SDATE=2010&amp;PERIODTYPE=ANNR_STD&amp;window=popup_no_bar&amp;width=385&amp;height=120&amp;START_MAXIMIZED=FALSE&amp;creator=factset&amp;display_string=Audit"}</definedName>
    <definedName name="_1819__FDSAUDITLINK__" localSheetId="34">{"fdsup://Directions/FactSet Auditing Viewer?action=AUDIT_VALUE&amp;DB=129&amp;ID1=69946210&amp;VALUEID=01250&amp;SDATE=2009&amp;PERIODTYPE=ANNR_STD&amp;window=popup_no_bar&amp;width=385&amp;height=120&amp;START_MAXIMIZED=FALSE&amp;creator=factset&amp;display_string=Audit"}</definedName>
    <definedName name="_1819__FDSAUDITLINK__" localSheetId="27">{"fdsup://Directions/FactSet Auditing Viewer?action=AUDIT_VALUE&amp;DB=129&amp;ID1=69946210&amp;VALUEID=01250&amp;SDATE=2009&amp;PERIODTYPE=ANNR_STD&amp;window=popup_no_bar&amp;width=385&amp;height=120&amp;START_MAXIMIZED=FALSE&amp;creator=factset&amp;display_string=Audit"}</definedName>
    <definedName name="_1820__FDSAUDITLINK__" localSheetId="34">{"fdsup://Directions/FactSet Auditing Viewer?action=AUDIT_VALUE&amp;DB=129&amp;ID1=69946210&amp;VALUEID=01001&amp;SDATE=2010&amp;PERIODTYPE=ANNR_STD&amp;window=popup_no_bar&amp;width=385&amp;height=120&amp;START_MAXIMIZED=FALSE&amp;creator=factset&amp;display_string=Audit"}</definedName>
    <definedName name="_1820__FDSAUDITLINK__" localSheetId="27">{"fdsup://Directions/FactSet Auditing Viewer?action=AUDIT_VALUE&amp;DB=129&amp;ID1=69946210&amp;VALUEID=01001&amp;SDATE=2010&amp;PERIODTYPE=ANNR_STD&amp;window=popup_no_bar&amp;width=385&amp;height=120&amp;START_MAXIMIZED=FALSE&amp;creator=factset&amp;display_string=Audit"}</definedName>
    <definedName name="_1821__FDSAUDITLINK__" localSheetId="34">{"fdsup://Directions/FactSet Auditing Viewer?action=AUDIT_VALUE&amp;DB=129&amp;ID1=69946210&amp;VALUEID=01001&amp;SDATE=2009&amp;PERIODTYPE=ANNR_STD&amp;window=popup_no_bar&amp;width=385&amp;height=120&amp;START_MAXIMIZED=FALSE&amp;creator=factset&amp;display_string=Audit"}</definedName>
    <definedName name="_1821__FDSAUDITLINK__" localSheetId="27">{"fdsup://Directions/FactSet Auditing Viewer?action=AUDIT_VALUE&amp;DB=129&amp;ID1=69946210&amp;VALUEID=01001&amp;SDATE=2009&amp;PERIODTYPE=ANNR_STD&amp;window=popup_no_bar&amp;width=385&amp;height=120&amp;START_MAXIMIZED=FALSE&amp;creator=factset&amp;display_string=Audit"}</definedName>
    <definedName name="_1822__FDSAUDITLINK__" localSheetId="34">{"fdsup://Directions/FactSet Auditing Viewer?action=AUDIT_VALUE&amp;DB=129&amp;ID1=09058M10&amp;VALUEID=01250&amp;SDATE=2009&amp;PERIODTYPE=ANNR_STD&amp;window=popup_no_bar&amp;width=385&amp;height=120&amp;START_MAXIMIZED=FALSE&amp;creator=factset&amp;display_string=Audit"}</definedName>
    <definedName name="_1822__FDSAUDITLINK__" localSheetId="27">{"fdsup://Directions/FactSet Auditing Viewer?action=AUDIT_VALUE&amp;DB=129&amp;ID1=09058M10&amp;VALUEID=01250&amp;SDATE=2009&amp;PERIODTYPE=ANNR_STD&amp;window=popup_no_bar&amp;width=385&amp;height=120&amp;START_MAXIMIZED=FALSE&amp;creator=factset&amp;display_string=Audit"}</definedName>
    <definedName name="_1823__FDSAUDITLINK__" localSheetId="34">{"fdsup://Directions/FactSet Auditing Viewer?action=AUDIT_VALUE&amp;DB=129&amp;ID1=09058M10&amp;VALUEID=01250&amp;SDATE=2008&amp;PERIODTYPE=ANNR_STD&amp;window=popup_no_bar&amp;width=385&amp;height=120&amp;START_MAXIMIZED=FALSE&amp;creator=factset&amp;display_string=Audit"}</definedName>
    <definedName name="_1823__FDSAUDITLINK__" localSheetId="27">{"fdsup://Directions/FactSet Auditing Viewer?action=AUDIT_VALUE&amp;DB=129&amp;ID1=09058M10&amp;VALUEID=01250&amp;SDATE=2008&amp;PERIODTYPE=ANNR_STD&amp;window=popup_no_bar&amp;width=385&amp;height=120&amp;START_MAXIMIZED=FALSE&amp;creator=factset&amp;display_string=Audit"}</definedName>
    <definedName name="_1824__FDSAUDITLINK__" localSheetId="34">{"fdsup://Directions/FactSet Auditing Viewer?action=AUDIT_VALUE&amp;DB=129&amp;ID1=09058M10&amp;VALUEID=01001&amp;SDATE=2009&amp;PERIODTYPE=ANNR_STD&amp;window=popup_no_bar&amp;width=385&amp;height=120&amp;START_MAXIMIZED=FALSE&amp;creator=factset&amp;display_string=Audit"}</definedName>
    <definedName name="_1824__FDSAUDITLINK__" localSheetId="27">{"fdsup://Directions/FactSet Auditing Viewer?action=AUDIT_VALUE&amp;DB=129&amp;ID1=09058M10&amp;VALUEID=01001&amp;SDATE=2009&amp;PERIODTYPE=ANNR_STD&amp;window=popup_no_bar&amp;width=385&amp;height=120&amp;START_MAXIMIZED=FALSE&amp;creator=factset&amp;display_string=Audit"}</definedName>
    <definedName name="_1825__FDSAUDITLINK__" localSheetId="34">{"fdsup://Directions/FactSet Auditing Viewer?action=AUDIT_VALUE&amp;DB=129&amp;ID1=09058M10&amp;VALUEID=01001&amp;SDATE=2008&amp;PERIODTYPE=ANNR_STD&amp;window=popup_no_bar&amp;width=385&amp;height=120&amp;START_MAXIMIZED=FALSE&amp;creator=factset&amp;display_string=Audit"}</definedName>
    <definedName name="_1825__FDSAUDITLINK__" localSheetId="27">{"fdsup://Directions/FactSet Auditing Viewer?action=AUDIT_VALUE&amp;DB=129&amp;ID1=09058M10&amp;VALUEID=01001&amp;SDATE=2008&amp;PERIODTYPE=ANNR_STD&amp;window=popup_no_bar&amp;width=385&amp;height=120&amp;START_MAXIMIZED=FALSE&amp;creator=factset&amp;display_string=Audit"}</definedName>
    <definedName name="_1826__FDSAUDITLINK__" localSheetId="34">{"fdsup://Directions/FactSet Auditing Viewer?action=AUDIT_VALUE&amp;DB=129&amp;ID1=82921410&amp;VALUEID=01250&amp;SDATE=2009&amp;PERIODTYPE=ANNR_STD&amp;window=popup_no_bar&amp;width=385&amp;height=120&amp;START_MAXIMIZED=FALSE&amp;creator=factset&amp;display_string=Audit"}</definedName>
    <definedName name="_1826__FDSAUDITLINK__" localSheetId="27">{"fdsup://Directions/FactSet Auditing Viewer?action=AUDIT_VALUE&amp;DB=129&amp;ID1=82921410&amp;VALUEID=01250&amp;SDATE=2009&amp;PERIODTYPE=ANNR_STD&amp;window=popup_no_bar&amp;width=385&amp;height=120&amp;START_MAXIMIZED=FALSE&amp;creator=factset&amp;display_string=Audit"}</definedName>
    <definedName name="_1827__FDSAUDITLINK__" localSheetId="34">{"fdsup://Directions/FactSet Auditing Viewer?action=AUDIT_VALUE&amp;DB=129&amp;ID1=82921410&amp;VALUEID=01250&amp;SDATE=2008&amp;PERIODTYPE=ANNR_STD&amp;window=popup_no_bar&amp;width=385&amp;height=120&amp;START_MAXIMIZED=FALSE&amp;creator=factset&amp;display_string=Audit"}</definedName>
    <definedName name="_1827__FDSAUDITLINK__" localSheetId="27">{"fdsup://Directions/FactSet Auditing Viewer?action=AUDIT_VALUE&amp;DB=129&amp;ID1=82921410&amp;VALUEID=01250&amp;SDATE=2008&amp;PERIODTYPE=ANNR_STD&amp;window=popup_no_bar&amp;width=385&amp;height=120&amp;START_MAXIMIZED=FALSE&amp;creator=factset&amp;display_string=Audit"}</definedName>
    <definedName name="_1828__FDSAUDITLINK__" localSheetId="34">{"fdsup://Directions/FactSet Auditing Viewer?action=AUDIT_VALUE&amp;DB=129&amp;ID1=82921410&amp;VALUEID=01001&amp;SDATE=2009&amp;PERIODTYPE=ANNR_STD&amp;window=popup_no_bar&amp;width=385&amp;height=120&amp;START_MAXIMIZED=FALSE&amp;creator=factset&amp;display_string=Audit"}</definedName>
    <definedName name="_1828__FDSAUDITLINK__" localSheetId="27">{"fdsup://Directions/FactSet Auditing Viewer?action=AUDIT_VALUE&amp;DB=129&amp;ID1=82921410&amp;VALUEID=01001&amp;SDATE=2009&amp;PERIODTYPE=ANNR_STD&amp;window=popup_no_bar&amp;width=385&amp;height=120&amp;START_MAXIMIZED=FALSE&amp;creator=factset&amp;display_string=Audit"}</definedName>
    <definedName name="_1829__FDSAUDITLINK__" localSheetId="34">{"fdsup://directions/FAT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829__FDSAUDITLINK__" localSheetId="27">{"fdsup://directions/FAT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830__FDSAUDITLINK__" localSheetId="34">{"fdsup://Directions/FactSet Auditing Viewer?action=AUDIT_VALUE&amp;DB=129&amp;ID1=53217V10&amp;VALUEID=01250&amp;SDATE=2009&amp;PERIODTYPE=ANNR_STD&amp;window=popup_no_bar&amp;width=385&amp;height=120&amp;START_MAXIMIZED=FALSE&amp;creator=factset&amp;display_string=Audit"}</definedName>
    <definedName name="_1830__FDSAUDITLINK__" localSheetId="27">{"fdsup://Directions/FactSet Auditing Viewer?action=AUDIT_VALUE&amp;DB=129&amp;ID1=53217V10&amp;VALUEID=01250&amp;SDATE=2009&amp;PERIODTYPE=ANNR_STD&amp;window=popup_no_bar&amp;width=385&amp;height=120&amp;START_MAXIMIZED=FALSE&amp;creator=factset&amp;display_string=Audit"}</definedName>
    <definedName name="_1831__FDSAUDITLINK__" localSheetId="34">{"fdsup://Directions/FactSet Auditing Viewer?action=AUDIT_VALUE&amp;DB=129&amp;ID1=53217V10&amp;VALUEID=01250&amp;SDATE=2008&amp;PERIODTYPE=ANNR_STD&amp;window=popup_no_bar&amp;width=385&amp;height=120&amp;START_MAXIMIZED=FALSE&amp;creator=factset&amp;display_string=Audit"}</definedName>
    <definedName name="_1831__FDSAUDITLINK__" localSheetId="27">{"fdsup://Directions/FactSet Auditing Viewer?action=AUDIT_VALUE&amp;DB=129&amp;ID1=53217V10&amp;VALUEID=01250&amp;SDATE=2008&amp;PERIODTYPE=ANNR_STD&amp;window=popup_no_bar&amp;width=385&amp;height=120&amp;START_MAXIMIZED=FALSE&amp;creator=factset&amp;display_string=Audit"}</definedName>
    <definedName name="_1832__FDSAUDITLINK__" localSheetId="34">{"fdsup://Directions/FactSet Auditing Viewer?action=AUDIT_VALUE&amp;DB=129&amp;ID1=53217V10&amp;VALUEID=01001&amp;SDATE=2009&amp;PERIODTYPE=ANNR_STD&amp;window=popup_no_bar&amp;width=385&amp;height=120&amp;START_MAXIMIZED=FALSE&amp;creator=factset&amp;display_string=Audit"}</definedName>
    <definedName name="_1832__FDSAUDITLINK__" localSheetId="27">{"fdsup://Directions/FactSet Auditing Viewer?action=AUDIT_VALUE&amp;DB=129&amp;ID1=53217V10&amp;VALUEID=01001&amp;SDATE=2009&amp;PERIODTYPE=ANNR_STD&amp;window=popup_no_bar&amp;width=385&amp;height=120&amp;START_MAXIMIZED=FALSE&amp;creator=factset&amp;display_string=Audit"}</definedName>
    <definedName name="_1833__FDSAUDITLINK__" localSheetId="34">{"fdsup://Directions/FactSet Auditing Viewer?action=AUDIT_VALUE&amp;DB=129&amp;ID1=53217V10&amp;VALUEID=01001&amp;SDATE=2008&amp;PERIODTYPE=ANNR_STD&amp;window=popup_no_bar&amp;width=385&amp;height=120&amp;START_MAXIMIZED=FALSE&amp;creator=factset&amp;display_string=Audit"}</definedName>
    <definedName name="_1833__FDSAUDITLINK__" localSheetId="27">{"fdsup://Directions/FactSet Auditing Viewer?action=AUDIT_VALUE&amp;DB=129&amp;ID1=53217V10&amp;VALUEID=01001&amp;SDATE=2008&amp;PERIODTYPE=ANNR_STD&amp;window=popup_no_bar&amp;width=385&amp;height=120&amp;START_MAXIMIZED=FALSE&amp;creator=factset&amp;display_string=Audit"}</definedName>
    <definedName name="_1834__FDSAUDITLINK__" localSheetId="34">{"fdsup://Directions/FactSet Auditing Viewer?action=AUDIT_VALUE&amp;DB=129&amp;ID1=22281610&amp;VALUEID=01250&amp;SDATE=2009&amp;PERIODTYPE=ANNR_STD&amp;window=popup_no_bar&amp;width=385&amp;height=120&amp;START_MAXIMIZED=FALSE&amp;creator=factset&amp;display_string=Audit"}</definedName>
    <definedName name="_1834__FDSAUDITLINK__" localSheetId="27">{"fdsup://Directions/FactSet Auditing Viewer?action=AUDIT_VALUE&amp;DB=129&amp;ID1=22281610&amp;VALUEID=01250&amp;SDATE=2009&amp;PERIODTYPE=ANNR_STD&amp;window=popup_no_bar&amp;width=385&amp;height=120&amp;START_MAXIMIZED=FALSE&amp;creator=factset&amp;display_string=Audit"}</definedName>
    <definedName name="_1835__FDSAUDITLINK__" localSheetId="34">{"fdsup://Directions/FactSet Auditing Viewer?action=AUDIT_VALUE&amp;DB=129&amp;ID1=22281610&amp;VALUEID=01250&amp;SDATE=2008&amp;PERIODTYPE=ANNR_STD&amp;window=popup_no_bar&amp;width=385&amp;height=120&amp;START_MAXIMIZED=FALSE&amp;creator=factset&amp;display_string=Audit"}</definedName>
    <definedName name="_1835__FDSAUDITLINK__" localSheetId="27">{"fdsup://Directions/FactSet Auditing Viewer?action=AUDIT_VALUE&amp;DB=129&amp;ID1=22281610&amp;VALUEID=01250&amp;SDATE=2008&amp;PERIODTYPE=ANNR_STD&amp;window=popup_no_bar&amp;width=385&amp;height=120&amp;START_MAXIMIZED=FALSE&amp;creator=factset&amp;display_string=Audit"}</definedName>
    <definedName name="_1836__FDSAUDITLINK__" localSheetId="34">{"fdsup://Directions/FactSet Auditing Viewer?action=AUDIT_VALUE&amp;DB=129&amp;ID1=22281610&amp;VALUEID=01001&amp;SDATE=2009&amp;PERIODTYPE=ANNR_STD&amp;window=popup_no_bar&amp;width=385&amp;height=120&amp;START_MAXIMIZED=FALSE&amp;creator=factset&amp;display_string=Audit"}</definedName>
    <definedName name="_1836__FDSAUDITLINK__" localSheetId="27">{"fdsup://Directions/FactSet Auditing Viewer?action=AUDIT_VALUE&amp;DB=129&amp;ID1=22281610&amp;VALUEID=01001&amp;SDATE=2009&amp;PERIODTYPE=ANNR_STD&amp;window=popup_no_bar&amp;width=385&amp;height=120&amp;START_MAXIMIZED=FALSE&amp;creator=factset&amp;display_string=Audit"}</definedName>
    <definedName name="_1837__FDSAUDITLINK__" localSheetId="34">{"fdsup://Directions/FactSet Auditing Viewer?action=AUDIT_VALUE&amp;DB=129&amp;ID1=22281610&amp;VALUEID=01001&amp;SDATE=2008&amp;PERIODTYPE=ANNR_STD&amp;window=popup_no_bar&amp;width=385&amp;height=120&amp;START_MAXIMIZED=FALSE&amp;creator=factset&amp;display_string=Audit"}</definedName>
    <definedName name="_1837__FDSAUDITLINK__" localSheetId="27">{"fdsup://Directions/FactSet Auditing Viewer?action=AUDIT_VALUE&amp;DB=129&amp;ID1=22281610&amp;VALUEID=01001&amp;SDATE=2008&amp;PERIODTYPE=ANNR_STD&amp;window=popup_no_bar&amp;width=385&amp;height=120&amp;START_MAXIMIZED=FALSE&amp;creator=factset&amp;display_string=Audit"}</definedName>
    <definedName name="_1838__FDSAUDITLINK__" localSheetId="34">{"fdsup://Directions/FactSet Auditing Viewer?action=AUDIT_VALUE&amp;DB=129&amp;ID1=69946210&amp;VALUEID=01451&amp;SDATE=2010&amp;PERIODTYPE=ANNR_STD&amp;window=popup_no_bar&amp;width=385&amp;height=120&amp;START_MAXIMIZED=FALSE&amp;creator=factset&amp;display_string=Audit"}</definedName>
    <definedName name="_1838__FDSAUDITLINK__" localSheetId="27">{"fdsup://Directions/FactSet Auditing Viewer?action=AUDIT_VALUE&amp;DB=129&amp;ID1=69946210&amp;VALUEID=01451&amp;SDATE=2010&amp;PERIODTYPE=ANNR_STD&amp;window=popup_no_bar&amp;width=385&amp;height=120&amp;START_MAXIMIZED=FALSE&amp;creator=factset&amp;display_string=Audit"}</definedName>
    <definedName name="_1839__FDSAUDITLINK__" localSheetId="34">{"fdsup://Directions/FactSet Auditing Viewer?action=AUDIT_VALUE&amp;DB=129&amp;ID1=69946210&amp;VALUEID=01401&amp;SDATE=2010&amp;PERIODTYPE=ANNR_STD&amp;window=popup_no_bar&amp;width=385&amp;height=120&amp;START_MAXIMIZED=FALSE&amp;creator=factset&amp;display_string=Audit"}</definedName>
    <definedName name="_1839__FDSAUDITLINK__" localSheetId="27">{"fdsup://Directions/FactSet Auditing Viewer?action=AUDIT_VALUE&amp;DB=129&amp;ID1=69946210&amp;VALUEID=01401&amp;SDATE=2010&amp;PERIODTYPE=ANNR_STD&amp;window=popup_no_bar&amp;width=385&amp;height=120&amp;START_MAXIMIZED=FALSE&amp;creator=factset&amp;display_string=Audit"}</definedName>
    <definedName name="_1840__FDSAUDITLINK__" localSheetId="34">{"fdsup://Directions/FactSet Auditing Viewer?action=AUDIT_VALUE&amp;DB=129&amp;ID1=09058M10&amp;VALUEID=01451&amp;SDATE=2009&amp;PERIODTYPE=ANNR_STD&amp;window=popup_no_bar&amp;width=385&amp;height=120&amp;START_MAXIMIZED=FALSE&amp;creator=factset&amp;display_string=Audit"}</definedName>
    <definedName name="_1840__FDSAUDITLINK__" localSheetId="27">{"fdsup://Directions/FactSet Auditing Viewer?action=AUDIT_VALUE&amp;DB=129&amp;ID1=09058M10&amp;VALUEID=01451&amp;SDATE=2009&amp;PERIODTYPE=ANNR_STD&amp;window=popup_no_bar&amp;width=385&amp;height=120&amp;START_MAXIMIZED=FALSE&amp;creator=factset&amp;display_string=Audit"}</definedName>
    <definedName name="_1841__FDSAUDITLINK__" localSheetId="34">{"fdsup://Directions/FactSet Auditing Viewer?action=AUDIT_VALUE&amp;DB=129&amp;ID1=09058M10&amp;VALUEID=01401&amp;SDATE=2009&amp;PERIODTYPE=ANNR_STD&amp;window=popup_no_bar&amp;width=385&amp;height=120&amp;START_MAXIMIZED=FALSE&amp;creator=factset&amp;display_string=Audit"}</definedName>
    <definedName name="_1841__FDSAUDITLINK__" localSheetId="27">{"fdsup://Directions/FactSet Auditing Viewer?action=AUDIT_VALUE&amp;DB=129&amp;ID1=09058M10&amp;VALUEID=01401&amp;SDATE=2009&amp;PERIODTYPE=ANNR_STD&amp;window=popup_no_bar&amp;width=385&amp;height=120&amp;START_MAXIMIZED=FALSE&amp;creator=factset&amp;display_string=Audit"}</definedName>
    <definedName name="_1842__FDSAUDITLINK__" localSheetId="34">{"fdsup://Directions/FactSet Auditing Viewer?action=AUDIT_VALUE&amp;DB=129&amp;ID1=82921410&amp;VALUEID=01451&amp;SDATE=2009&amp;PERIODTYPE=ANNR_STD&amp;window=popup_no_bar&amp;width=385&amp;height=120&amp;START_MAXIMIZED=FALSE&amp;creator=factset&amp;display_string=Audit"}</definedName>
    <definedName name="_1842__FDSAUDITLINK__" localSheetId="27">{"fdsup://Directions/FactSet Auditing Viewer?action=AUDIT_VALUE&amp;DB=129&amp;ID1=82921410&amp;VALUEID=01451&amp;SDATE=2009&amp;PERIODTYPE=ANNR_STD&amp;window=popup_no_bar&amp;width=385&amp;height=120&amp;START_MAXIMIZED=FALSE&amp;creator=factset&amp;display_string=Audit"}</definedName>
    <definedName name="_1843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843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1844__FDSAUDITLINK__" localSheetId="34">{"fdsup://Directions/FactSet Auditing Viewer?action=AUDIT_VALUE&amp;DB=129&amp;ID1=53217V10&amp;VALUEID=01451&amp;SDATE=2009&amp;PERIODTYPE=ANNR_STD&amp;window=popup_no_bar&amp;width=385&amp;height=120&amp;START_MAXIMIZED=FALSE&amp;creator=factset&amp;display_string=Audit"}</definedName>
    <definedName name="_1844__FDSAUDITLINK__" localSheetId="27">{"fdsup://Directions/FactSet Auditing Viewer?action=AUDIT_VALUE&amp;DB=129&amp;ID1=53217V10&amp;VALUEID=01451&amp;SDATE=2009&amp;PERIODTYPE=ANNR_STD&amp;window=popup_no_bar&amp;width=385&amp;height=120&amp;START_MAXIMIZED=FALSE&amp;creator=factset&amp;display_string=Audit"}</definedName>
    <definedName name="_1845__FDSAUDITLINK__" localSheetId="34">{"fdsup://Directions/FactSet Auditing Viewer?action=AUDIT_VALUE&amp;DB=129&amp;ID1=53217V10&amp;VALUEID=01401&amp;SDATE=2009&amp;PERIODTYPE=ANNR_STD&amp;window=popup_no_bar&amp;width=385&amp;height=120&amp;START_MAXIMIZED=FALSE&amp;creator=factset&amp;display_string=Audit"}</definedName>
    <definedName name="_1845__FDSAUDITLINK__" localSheetId="27">{"fdsup://Directions/FactSet Auditing Viewer?action=AUDIT_VALUE&amp;DB=129&amp;ID1=53217V10&amp;VALUEID=01401&amp;SDATE=2009&amp;PERIODTYPE=ANNR_STD&amp;window=popup_no_bar&amp;width=385&amp;height=120&amp;START_MAXIMIZED=FALSE&amp;creator=factset&amp;display_string=Audit"}</definedName>
    <definedName name="_1846__FDSAUDITLINK__" localSheetId="34">{"fdsup://Directions/FactSet Auditing Viewer?action=AUDIT_VALUE&amp;DB=129&amp;ID1=22281610&amp;VALUEID=01451&amp;SDATE=2009&amp;PERIODTYPE=ANNR_STD&amp;window=popup_no_bar&amp;width=385&amp;height=120&amp;START_MAXIMIZED=FALSE&amp;creator=factset&amp;display_string=Audit"}</definedName>
    <definedName name="_1846__FDSAUDITLINK__" localSheetId="27">{"fdsup://Directions/FactSet Auditing Viewer?action=AUDIT_VALUE&amp;DB=129&amp;ID1=22281610&amp;VALUEID=01451&amp;SDATE=2009&amp;PERIODTYPE=ANNR_STD&amp;window=popup_no_bar&amp;width=385&amp;height=120&amp;START_MAXIMIZED=FALSE&amp;creator=factset&amp;display_string=Audit"}</definedName>
    <definedName name="_1847__FDSAUDITLINK__" localSheetId="34">{"fdsup://Directions/FactSet Auditing Viewer?action=AUDIT_VALUE&amp;DB=129&amp;ID1=22281610&amp;VALUEID=01401&amp;SDATE=2009&amp;PERIODTYPE=ANNR_STD&amp;window=popup_no_bar&amp;width=385&amp;height=120&amp;START_MAXIMIZED=FALSE&amp;creator=factset&amp;display_string=Audit"}</definedName>
    <definedName name="_1847__FDSAUDITLINK__" localSheetId="27">{"fdsup://Directions/FactSet Auditing Viewer?action=AUDIT_VALUE&amp;DB=129&amp;ID1=22281610&amp;VALUEID=01401&amp;SDATE=2009&amp;PERIODTYPE=ANNR_STD&amp;window=popup_no_bar&amp;width=385&amp;height=120&amp;START_MAXIMIZED=FALSE&amp;creator=factset&amp;display_string=Audit"}</definedName>
    <definedName name="_1848__FDSAUDITLINK__" localSheetId="34">{"fdsup://Directions/FactSet Auditing Viewer?action=AUDIT_VALUE&amp;DB=129&amp;ID1=B1P6ZR&amp;VALUEID=01001&amp;SDATE=2008&amp;PERIODTYPE=ANNR_STD&amp;window=popup_no_bar&amp;width=385&amp;height=120&amp;START_MAXIMIZED=FALSE&amp;creator=factset&amp;display_string=Audit"}</definedName>
    <definedName name="_1848__FDSAUDITLINK__" localSheetId="27">{"fdsup://Directions/FactSet Auditing Viewer?action=AUDIT_VALUE&amp;DB=129&amp;ID1=B1P6ZR&amp;VALUEID=01001&amp;SDATE=2008&amp;PERIODTYPE=ANNR_STD&amp;window=popup_no_bar&amp;width=385&amp;height=120&amp;START_MAXIMIZED=FALSE&amp;creator=factset&amp;display_string=Audit"}</definedName>
    <definedName name="_1849__FDSAUDITLINK__" localSheetId="34">{"fdsup://Directions/FactSet Auditing Viewer?action=AUDIT_VALUE&amp;DB=129&amp;ID1=09058M10&amp;VALUEID=02001&amp;SDATE=201003&amp;PERIODTYPE=QTR_STD&amp;window=popup_no_bar&amp;width=385&amp;height=120&amp;START_MAXIMIZED=FALSE&amp;creator=factset&amp;display_string=Audit"}</definedName>
    <definedName name="_1849__FDSAUDITLINK__" localSheetId="27">{"fdsup://Directions/FactSet Auditing Viewer?action=AUDIT_VALUE&amp;DB=129&amp;ID1=09058M10&amp;VALUEID=02001&amp;SDATE=201003&amp;PERIODTYPE=QTR_STD&amp;window=popup_no_bar&amp;width=385&amp;height=120&amp;START_MAXIMIZED=FALSE&amp;creator=factset&amp;display_string=Audit"}</definedName>
    <definedName name="_1850__FDSAUDITLINK__" localSheetId="34">{"fdsup://Directions/FactSet Auditing Viewer?action=AUDIT_VALUE&amp;DB=129&amp;ID1=82921410&amp;VALUEID=02001&amp;SDATE=201003&amp;PERIODTYPE=QTR_STD&amp;window=popup_no_bar&amp;width=385&amp;height=120&amp;START_MAXIMIZED=FALSE&amp;creator=factset&amp;display_string=Audit"}</definedName>
    <definedName name="_1850__FDSAUDITLINK__" localSheetId="27">{"fdsup://Directions/FactSet Auditing Viewer?action=AUDIT_VALUE&amp;DB=129&amp;ID1=82921410&amp;VALUEID=02001&amp;SDATE=201003&amp;PERIODTYPE=QTR_STD&amp;window=popup_no_bar&amp;width=385&amp;height=120&amp;START_MAXIMIZED=FALSE&amp;creator=factset&amp;display_string=Audit"}</definedName>
    <definedName name="_1851__FDSAUDITLINK__" localSheetId="34">{"fdsup://Directions/FactSet Auditing Viewer?action=AUDIT_VALUE&amp;DB=129&amp;ID1=53217V10&amp;VALUEID=02001&amp;SDATE=201002&amp;PERIODTYPE=QTR_STD&amp;window=popup_no_bar&amp;width=385&amp;height=120&amp;START_MAXIMIZED=FALSE&amp;creator=factset&amp;display_string=Audit"}</definedName>
    <definedName name="_1851__FDSAUDITLINK__" localSheetId="27">{"fdsup://Directions/FactSet Auditing Viewer?action=AUDIT_VALUE&amp;DB=129&amp;ID1=53217V10&amp;VALUEID=02001&amp;SDATE=201002&amp;PERIODTYPE=QTR_STD&amp;window=popup_no_bar&amp;width=385&amp;height=120&amp;START_MAXIMIZED=FALSE&amp;creator=factset&amp;display_string=Audit"}</definedName>
    <definedName name="_1852__FDSAUDITLINK__" localSheetId="34">{"fdsup://Directions/FactSet Auditing Viewer?action=AUDIT_VALUE&amp;DB=129&amp;ID1=53217V10&amp;VALUEID=03426&amp;SDATE=201002&amp;PERIODTYPE=QTR_STD&amp;window=popup_no_bar&amp;width=385&amp;height=120&amp;START_MAXIMIZED=FALSE&amp;creator=factset&amp;display_string=Audit"}</definedName>
    <definedName name="_1852__FDSAUDITLINK__" localSheetId="27">{"fdsup://Directions/FactSet Auditing Viewer?action=AUDIT_VALUE&amp;DB=129&amp;ID1=53217V10&amp;VALUEID=03426&amp;SDATE=201002&amp;PERIODTYPE=QTR_STD&amp;window=popup_no_bar&amp;width=385&amp;height=120&amp;START_MAXIMIZED=FALSE&amp;creator=factset&amp;display_string=Audit"}</definedName>
    <definedName name="_1853__FDSAUDITLINK__" localSheetId="34">{"fdsup://Directions/FactSet Auditing Viewer?action=AUDIT_VALUE&amp;DB=129&amp;ID1=22281610&amp;VALUEID=02001&amp;SDATE=201002&amp;PERIODTYPE=QTR_STD&amp;window=popup_no_bar&amp;width=385&amp;height=120&amp;START_MAXIMIZED=FALSE&amp;creator=factset&amp;display_string=Audit"}</definedName>
    <definedName name="_1853__FDSAUDITLINK__" localSheetId="27">{"fdsup://Directions/FactSet Auditing Viewer?action=AUDIT_VALUE&amp;DB=129&amp;ID1=22281610&amp;VALUEID=02001&amp;SDATE=201002&amp;PERIODTYPE=QTR_STD&amp;window=popup_no_bar&amp;width=385&amp;height=120&amp;START_MAXIMIZED=FALSE&amp;creator=factset&amp;display_string=Audit"}</definedName>
    <definedName name="_1854__FDSAUDITLINK__" localSheetId="34">{"fdsup://Directions/FactSet Auditing Viewer?action=AUDIT_VALUE&amp;DB=129&amp;ID1=69946210&amp;VALUEID=03051&amp;SDATE=2009&amp;PERIODTYPE=ANNR_STD&amp;window=popup_no_bar&amp;width=385&amp;height=120&amp;START_MAXIMIZED=FALSE&amp;creator=factset&amp;display_string=Audit"}</definedName>
    <definedName name="_1854__FDSAUDITLINK__" localSheetId="27">{"fdsup://Directions/FactSet Auditing Viewer?action=AUDIT_VALUE&amp;DB=129&amp;ID1=69946210&amp;VALUEID=03051&amp;SDATE=2009&amp;PERIODTYPE=ANNR_STD&amp;window=popup_no_bar&amp;width=385&amp;height=120&amp;START_MAXIMIZED=FALSE&amp;creator=factset&amp;display_string=Audit"}</definedName>
    <definedName name="_1855__FDSAUDITLINK__" localSheetId="34">{"fdsup://Directions/FactSet Auditing Viewer?action=AUDIT_VALUE&amp;DB=129&amp;ID1=69946210&amp;VALUEID=03101&amp;SDATE=2009&amp;PERIODTYPE=ANNR_STD&amp;window=popup_no_bar&amp;width=385&amp;height=120&amp;START_MAXIMIZED=FALSE&amp;creator=factset&amp;display_string=Audit"}</definedName>
    <definedName name="_1855__FDSAUDITLINK__" localSheetId="27">{"fdsup://Directions/FactSet Auditing Viewer?action=AUDIT_VALUE&amp;DB=129&amp;ID1=69946210&amp;VALUEID=03101&amp;SDATE=2009&amp;PERIODTYPE=ANNR_STD&amp;window=popup_no_bar&amp;width=385&amp;height=120&amp;START_MAXIMIZED=FALSE&amp;creator=factset&amp;display_string=Audit"}</definedName>
    <definedName name="_1856__FDSAUDITLINK__" localSheetId="34">{"fdsup://Directions/FactSet Auditing Viewer?action=AUDIT_VALUE&amp;DB=129&amp;ID1=69946210&amp;VALUEID=02001&amp;SDATE=2009&amp;PERIODTYPE=ANNR_STD&amp;window=popup_no_bar&amp;width=385&amp;height=120&amp;START_MAXIMIZED=FALSE&amp;creator=factset&amp;display_string=Audit"}</definedName>
    <definedName name="_1856__FDSAUDITLINK__" localSheetId="27">{"fdsup://Directions/FactSet Auditing Viewer?action=AUDIT_VALUE&amp;DB=129&amp;ID1=69946210&amp;VALUEID=02001&amp;SDATE=2009&amp;PERIODTYPE=ANNR_STD&amp;window=popup_no_bar&amp;width=385&amp;height=120&amp;START_MAXIMIZED=FALSE&amp;creator=factset&amp;display_string=Audit"}</definedName>
    <definedName name="_1857__FDSAUDITLINK__" localSheetId="34">{"fdsup://Directions/FactSet Auditing Viewer?action=AUDIT_VALUE&amp;DB=129&amp;ID1=69946210&amp;VALUEID=02201&amp;SDATE=2009&amp;PERIODTYPE=ANNR_STD&amp;window=popup_no_bar&amp;width=385&amp;height=120&amp;START_MAXIMIZED=FALSE&amp;creator=factset&amp;display_string=Audit"}</definedName>
    <definedName name="_1857__FDSAUDITLINK__" localSheetId="27">{"fdsup://Directions/FactSet Auditing Viewer?action=AUDIT_VALUE&amp;DB=129&amp;ID1=69946210&amp;VALUEID=02201&amp;SDATE=2009&amp;PERIODTYPE=ANNR_STD&amp;window=popup_no_bar&amp;width=385&amp;height=120&amp;START_MAXIMIZED=FALSE&amp;creator=factset&amp;display_string=Audit"}</definedName>
    <definedName name="_1858__FDSAUDITLINK__" localSheetId="34">{"fdsup://directions/FAT Viewer?action=UPDATE&amp;creator=factset&amp;DYN_ARGS=TRUE&amp;DOC_NAME=FAT:FQL_AUDITING_CLIENT_TEMPLATE.FAT&amp;display_string=Audit&amp;VAR:KEY=XSTIBOXEXQ&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69946210&amp;VAR:INDEX=0"}</definedName>
    <definedName name="_1858__FDSAUDITLINK__" localSheetId="27">{"fdsup://directions/FAT Viewer?action=UPDATE&amp;creator=factset&amp;DYN_ARGS=TRUE&amp;DOC_NAME=FAT:FQL_AUDITING_CLIENT_TEMPLATE.FAT&amp;display_string=Audit&amp;VAR:KEY=XSTIBOXEXQ&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69946210&amp;VAR:INDEX=0"}</definedName>
    <definedName name="_1859__FDSAUDITLINK__" localSheetId="34">{"fdsup://Directions/FactSet Auditing Viewer?action=AUDIT_VALUE&amp;DB=129&amp;ID1=09058M10&amp;VALUEID=03051&amp;SDATE=2008&amp;PERIODTYPE=ANNR_STD&amp;window=popup_no_bar&amp;width=385&amp;height=120&amp;START_MAXIMIZED=FALSE&amp;creator=factset&amp;display_string=Audit"}</definedName>
    <definedName name="_1859__FDSAUDITLINK__" localSheetId="27">{"fdsup://Directions/FactSet Auditing Viewer?action=AUDIT_VALUE&amp;DB=129&amp;ID1=09058M10&amp;VALUEID=03051&amp;SDATE=2008&amp;PERIODTYPE=ANNR_STD&amp;window=popup_no_bar&amp;width=385&amp;height=120&amp;START_MAXIMIZED=FALSE&amp;creator=factset&amp;display_string=Audit"}</definedName>
    <definedName name="_1860__FDSAUDITLINK__" localSheetId="34">{"fdsup://Directions/FactSet Auditing Viewer?action=AUDIT_VALUE&amp;DB=129&amp;ID1=09058M10&amp;VALUEID=03101&amp;SDATE=2008&amp;PERIODTYPE=ANNR_STD&amp;window=popup_no_bar&amp;width=385&amp;height=120&amp;START_MAXIMIZED=FALSE&amp;creator=factset&amp;display_string=Audit"}</definedName>
    <definedName name="_1860__FDSAUDITLINK__" localSheetId="27">{"fdsup://Directions/FactSet Auditing Viewer?action=AUDIT_VALUE&amp;DB=129&amp;ID1=09058M10&amp;VALUEID=03101&amp;SDATE=2008&amp;PERIODTYPE=ANNR_STD&amp;window=popup_no_bar&amp;width=385&amp;height=120&amp;START_MAXIMIZED=FALSE&amp;creator=factset&amp;display_string=Audit"}</definedName>
    <definedName name="_1861__FDSAUDITLINK__" localSheetId="34">{"fdsup://Directions/FactSet Auditing Viewer?action=AUDIT_VALUE&amp;DB=129&amp;ID1=09058M10&amp;VALUEID=02001&amp;SDATE=2008&amp;PERIODTYPE=ANNR_STD&amp;window=popup_no_bar&amp;width=385&amp;height=120&amp;START_MAXIMIZED=FALSE&amp;creator=factset&amp;display_string=Audit"}</definedName>
    <definedName name="_1861__FDSAUDITLINK__" localSheetId="27">{"fdsup://Directions/FactSet Auditing Viewer?action=AUDIT_VALUE&amp;DB=129&amp;ID1=09058M10&amp;VALUEID=02001&amp;SDATE=2008&amp;PERIODTYPE=ANNR_STD&amp;window=popup_no_bar&amp;width=385&amp;height=120&amp;START_MAXIMIZED=FALSE&amp;creator=factset&amp;display_string=Audit"}</definedName>
    <definedName name="_1862__FDSAUDITLINK__" localSheetId="34">{"fdsup://Directions/FactSet Auditing Viewer?action=AUDIT_VALUE&amp;DB=129&amp;ID1=09058M10&amp;VALUEID=02201&amp;SDATE=2008&amp;PERIODTYPE=ANNR_STD&amp;window=popup_no_bar&amp;width=385&amp;height=120&amp;START_MAXIMIZED=FALSE&amp;creator=factset&amp;display_string=Audit"}</definedName>
    <definedName name="_1862__FDSAUDITLINK__" localSheetId="27">{"fdsup://Directions/FactSet Auditing Viewer?action=AUDIT_VALUE&amp;DB=129&amp;ID1=09058M10&amp;VALUEID=02201&amp;SDATE=2008&amp;PERIODTYPE=ANNR_STD&amp;window=popup_no_bar&amp;width=385&amp;height=120&amp;START_MAXIMIZED=FALSE&amp;creator=factset&amp;display_string=Audit"}</definedName>
    <definedName name="_1863__FDSAUDITLINK__" localSheetId="34">{"fdsup://directions/FAT Viewer?action=UPDATE&amp;creator=factset&amp;DYN_ARGS=TRUE&amp;DOC_NAME=FAT:FQL_AUDITING_CLIENT_TEMPLATE.FAT&amp;display_string=Audit&amp;VAR:KEY=BIVSLWDCR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09058M10&amp;VAR:INDEX=0"}</definedName>
    <definedName name="_1863__FDSAUDITLINK__" localSheetId="27">{"fdsup://directions/FAT Viewer?action=UPDATE&amp;creator=factset&amp;DYN_ARGS=TRUE&amp;DOC_NAME=FAT:FQL_AUDITING_CLIENT_TEMPLATE.FAT&amp;display_string=Audit&amp;VAR:KEY=BIVSLWDCR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09058M10&amp;VAR:INDEX=0"}</definedName>
    <definedName name="_1864__FDSAUDITLINK__" localSheetId="34">{"fdsup://Directions/FactSet Auditing Viewer?action=AUDIT_VALUE&amp;DB=129&amp;ID1=82921410&amp;VALUEID=03101&amp;SDATE=2008&amp;PERIODTYPE=ANNR_STD&amp;window=popup_no_bar&amp;width=385&amp;height=120&amp;START_MAXIMIZED=FALSE&amp;creator=factset&amp;display_string=Audit"}</definedName>
    <definedName name="_1864__FDSAUDITLINK__" localSheetId="27">{"fdsup://Directions/FactSet Auditing Viewer?action=AUDIT_VALUE&amp;DB=129&amp;ID1=82921410&amp;VALUEID=03101&amp;SDATE=2008&amp;PERIODTYPE=ANNR_STD&amp;window=popup_no_bar&amp;width=385&amp;height=120&amp;START_MAXIMIZED=FALSE&amp;creator=factset&amp;display_string=Audit"}</definedName>
    <definedName name="_1865__FDSAUDITLINK__" localSheetId="34">{"fdsup://Directions/FactSet Auditing Viewer?action=AUDIT_VALUE&amp;DB=129&amp;ID1=82921410&amp;VALUEID=02001&amp;SDATE=2008&amp;PERIODTYPE=ANNR_STD&amp;window=popup_no_bar&amp;width=385&amp;height=120&amp;START_MAXIMIZED=FALSE&amp;creator=factset&amp;display_string=Audit"}</definedName>
    <definedName name="_1865__FDSAUDITLINK__" localSheetId="27">{"fdsup://Directions/FactSet Auditing Viewer?action=AUDIT_VALUE&amp;DB=129&amp;ID1=82921410&amp;VALUEID=02001&amp;SDATE=2008&amp;PERIODTYPE=ANNR_STD&amp;window=popup_no_bar&amp;width=385&amp;height=120&amp;START_MAXIMIZED=FALSE&amp;creator=factset&amp;display_string=Audit"}</definedName>
    <definedName name="_1866__FDSAUDITLINK__" localSheetId="34">{"fdsup://Directions/FactSet Auditing Viewer?action=AUDIT_VALUE&amp;DB=129&amp;ID1=82921410&amp;VALUEID=02201&amp;SDATE=2008&amp;PERIODTYPE=ANNR_STD&amp;window=popup_no_bar&amp;width=385&amp;height=120&amp;START_MAXIMIZED=FALSE&amp;creator=factset&amp;display_string=Audit"}</definedName>
    <definedName name="_1866__FDSAUDITLINK__" localSheetId="27">{"fdsup://Directions/FactSet Auditing Viewer?action=AUDIT_VALUE&amp;DB=129&amp;ID1=82921410&amp;VALUEID=02201&amp;SDATE=2008&amp;PERIODTYPE=ANNR_STD&amp;window=popup_no_bar&amp;width=385&amp;height=120&amp;START_MAXIMIZED=FALSE&amp;creator=factset&amp;display_string=Audit"}</definedName>
    <definedName name="_1867__FDSAUDITLINK__" localSheetId="34">{"fdsup://directions/FAT Viewer?action=UPDATE&amp;creator=factset&amp;DYN_ARGS=TRUE&amp;DOC_NAME=FAT:FQL_AUDITING_CLIENT_TEMPLATE.FAT&amp;display_string=Audit&amp;VAR:KEY=PQZWTKXSD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82921410&amp;VAR:INDEX=0"}</definedName>
    <definedName name="_1867__FDSAUDITLINK__" localSheetId="27">{"fdsup://directions/FAT Viewer?action=UPDATE&amp;creator=factset&amp;DYN_ARGS=TRUE&amp;DOC_NAME=FAT:FQL_AUDITING_CLIENT_TEMPLATE.FAT&amp;display_string=Audit&amp;VAR:KEY=PQZWTKXSD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82921410&amp;VAR:INDEX=0"}</definedName>
    <definedName name="_1868__FDSAUDITLINK__" localSheetId="34">{"fdsup://Directions/FactSet Auditing Viewer?action=AUDIT_VALUE&amp;DB=129&amp;ID1=53217V10&amp;VALUEID=03051&amp;SDATE=2008&amp;PERIODTYPE=ANNR_STD&amp;window=popup_no_bar&amp;width=385&amp;height=120&amp;START_MAXIMIZED=FALSE&amp;creator=factset&amp;display_string=Audit"}</definedName>
    <definedName name="_1868__FDSAUDITLINK__" localSheetId="27">{"fdsup://Directions/FactSet Auditing Viewer?action=AUDIT_VALUE&amp;DB=129&amp;ID1=53217V10&amp;VALUEID=03051&amp;SDATE=2008&amp;PERIODTYPE=ANNR_STD&amp;window=popup_no_bar&amp;width=385&amp;height=120&amp;START_MAXIMIZED=FALSE&amp;creator=factset&amp;display_string=Audit"}</definedName>
    <definedName name="_1869__FDSAUDITLINK__" localSheetId="34">{"fdsup://Directions/FactSet Auditing Viewer?action=AUDIT_VALUE&amp;DB=129&amp;ID1=53217V10&amp;VALUEID=03101&amp;SDATE=2008&amp;PERIODTYPE=ANNR_STD&amp;window=popup_no_bar&amp;width=385&amp;height=120&amp;START_MAXIMIZED=FALSE&amp;creator=factset&amp;display_string=Audit"}</definedName>
    <definedName name="_1869__FDSAUDITLINK__" localSheetId="27">{"fdsup://Directions/FactSet Auditing Viewer?action=AUDIT_VALUE&amp;DB=129&amp;ID1=53217V10&amp;VALUEID=03101&amp;SDATE=2008&amp;PERIODTYPE=ANNR_STD&amp;window=popup_no_bar&amp;width=385&amp;height=120&amp;START_MAXIMIZED=FALSE&amp;creator=factset&amp;display_string=Audit"}</definedName>
    <definedName name="_1870__FDSAUDITLINK__" localSheetId="34">{"fdsup://Directions/FactSet Auditing Viewer?action=AUDIT_VALUE&amp;DB=129&amp;ID1=53217V10&amp;VALUEID=02001&amp;SDATE=2008&amp;PERIODTYPE=ANNR_STD&amp;window=popup_no_bar&amp;width=385&amp;height=120&amp;START_MAXIMIZED=FALSE&amp;creator=factset&amp;display_string=Audit"}</definedName>
    <definedName name="_1870__FDSAUDITLINK__" localSheetId="27">{"fdsup://Directions/FactSet Auditing Viewer?action=AUDIT_VALUE&amp;DB=129&amp;ID1=53217V10&amp;VALUEID=02001&amp;SDATE=2008&amp;PERIODTYPE=ANNR_STD&amp;window=popup_no_bar&amp;width=385&amp;height=120&amp;START_MAXIMIZED=FALSE&amp;creator=factset&amp;display_string=Audit"}</definedName>
    <definedName name="_1871__FDSAUDITLINK__" localSheetId="34">{"fdsup://Directions/FactSet Auditing Viewer?action=AUDIT_VALUE&amp;DB=129&amp;ID1=53217V10&amp;VALUEID=02201&amp;SDATE=2008&amp;PERIODTYPE=ANNR_STD&amp;window=popup_no_bar&amp;width=385&amp;height=120&amp;START_MAXIMIZED=FALSE&amp;creator=factset&amp;display_string=Audit"}</definedName>
    <definedName name="_1871__FDSAUDITLINK__" localSheetId="27">{"fdsup://Directions/FactSet Auditing Viewer?action=AUDIT_VALUE&amp;DB=129&amp;ID1=53217V10&amp;VALUEID=02201&amp;SDATE=2008&amp;PERIODTYPE=ANNR_STD&amp;window=popup_no_bar&amp;width=385&amp;height=120&amp;START_MAXIMIZED=FALSE&amp;creator=factset&amp;display_string=Audit"}</definedName>
    <definedName name="_1872__FDSAUDITLINK__" localSheetId="34">{"fdsup://directions/FAT Viewer?action=UPDATE&amp;creator=factset&amp;DYN_ARGS=TRUE&amp;DOC_NAME=FAT:FQL_AUDITING_CLIENT_TEMPLATE.FAT&amp;display_string=Audit&amp;VAR:KEY=FMJQXSTOLC&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53217V10&amp;VAR:INDEX=0"}</definedName>
    <definedName name="_1872__FDSAUDITLINK__" localSheetId="27">{"fdsup://directions/FAT Viewer?action=UPDATE&amp;creator=factset&amp;DYN_ARGS=TRUE&amp;DOC_NAME=FAT:FQL_AUDITING_CLIENT_TEMPLATE.FAT&amp;display_string=Audit&amp;VAR:KEY=FMJQXSTOLC&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53217V10&amp;VAR:INDEX=0"}</definedName>
    <definedName name="_1873__FDSAUDITLINK__" localSheetId="34">{"fdsup://Directions/FactSet Auditing Viewer?action=AUDIT_VALUE&amp;DB=129&amp;ID1=22281610&amp;VALUEID=03051&amp;SDATE=2008&amp;PERIODTYPE=ANNR_STD&amp;window=popup_no_bar&amp;width=385&amp;height=120&amp;START_MAXIMIZED=FALSE&amp;creator=factset&amp;display_string=Audit"}</definedName>
    <definedName name="_1873__FDSAUDITLINK__" localSheetId="27">{"fdsup://Directions/FactSet Auditing Viewer?action=AUDIT_VALUE&amp;DB=129&amp;ID1=22281610&amp;VALUEID=03051&amp;SDATE=2008&amp;PERIODTYPE=ANNR_STD&amp;window=popup_no_bar&amp;width=385&amp;height=120&amp;START_MAXIMIZED=FALSE&amp;creator=factset&amp;display_string=Audit"}</definedName>
    <definedName name="_1874__FDSAUDITLINK__" localSheetId="34">{"fdsup://Directions/FactSet Auditing Viewer?action=AUDIT_VALUE&amp;DB=129&amp;ID1=22281610&amp;VALUEID=03101&amp;SDATE=2008&amp;PERIODTYPE=ANNR_STD&amp;window=popup_no_bar&amp;width=385&amp;height=120&amp;START_MAXIMIZED=FALSE&amp;creator=factset&amp;display_string=Audit"}</definedName>
    <definedName name="_1874__FDSAUDITLINK__" localSheetId="27">{"fdsup://Directions/FactSet Auditing Viewer?action=AUDIT_VALUE&amp;DB=129&amp;ID1=22281610&amp;VALUEID=03101&amp;SDATE=2008&amp;PERIODTYPE=ANNR_STD&amp;window=popup_no_bar&amp;width=385&amp;height=120&amp;START_MAXIMIZED=FALSE&amp;creator=factset&amp;display_string=Audit"}</definedName>
    <definedName name="_1875__FDSAUDITLINK__" localSheetId="34">{"fdsup://Directions/FactSet Auditing Viewer?action=AUDIT_VALUE&amp;DB=129&amp;ID1=22281610&amp;VALUEID=02001&amp;SDATE=2008&amp;PERIODTYPE=ANNR_STD&amp;window=popup_no_bar&amp;width=385&amp;height=120&amp;START_MAXIMIZED=FALSE&amp;creator=factset&amp;display_string=Audit"}</definedName>
    <definedName name="_1875__FDSAUDITLINK__" localSheetId="27">{"fdsup://Directions/FactSet Auditing Viewer?action=AUDIT_VALUE&amp;DB=129&amp;ID1=22281610&amp;VALUEID=02001&amp;SDATE=2008&amp;PERIODTYPE=ANNR_STD&amp;window=popup_no_bar&amp;width=385&amp;height=120&amp;START_MAXIMIZED=FALSE&amp;creator=factset&amp;display_string=Audit"}</definedName>
    <definedName name="_1876__FDSAUDITLINK__" localSheetId="34">{"fdsup://Directions/FactSet Auditing Viewer?action=AUDIT_VALUE&amp;DB=129&amp;ID1=22281610&amp;VALUEID=02201&amp;SDATE=2008&amp;PERIODTYPE=ANNR_STD&amp;window=popup_no_bar&amp;width=385&amp;height=120&amp;START_MAXIMIZED=FALSE&amp;creator=factset&amp;display_string=Audit"}</definedName>
    <definedName name="_1876__FDSAUDITLINK__" localSheetId="27">{"fdsup://Directions/FactSet Auditing Viewer?action=AUDIT_VALUE&amp;DB=129&amp;ID1=22281610&amp;VALUEID=02201&amp;SDATE=2008&amp;PERIODTYPE=ANNR_STD&amp;window=popup_no_bar&amp;width=385&amp;height=120&amp;START_MAXIMIZED=FALSE&amp;creator=factset&amp;display_string=Audit"}</definedName>
    <definedName name="_1877__FDSAUDITLINK__" localSheetId="34">{"fdsup://directions/FAT Viewer?action=UPDATE&amp;creator=factset&amp;DYN_ARGS=TRUE&amp;DOC_NAME=FAT:FQL_AUDITING_CLIENT_TEMPLATE.FAT&amp;display_string=Audit&amp;VAR:KEY=TQHWJURWNO&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22281610&amp;VAR:INDEX=0"}</definedName>
    <definedName name="_1877__FDSAUDITLINK__" localSheetId="27">{"fdsup://directions/FAT Viewer?action=UPDATE&amp;creator=factset&amp;DYN_ARGS=TRUE&amp;DOC_NAME=FAT:FQL_AUDITING_CLIENT_TEMPLATE.FAT&amp;display_string=Audit&amp;VAR:KEY=TQHWJURWNO&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22281610&amp;VAR:INDEX=0"}</definedName>
    <definedName name="_1878__FDSAUDITLINK__" localSheetId="34">{"fdsup://Directions/FactSet Auditing Viewer?action=AUDIT_VALUE&amp;DB=129&amp;ID1=69946210&amp;VALUEID=03051&amp;SDATE=2010&amp;PERIODTYPE=ANNR_STD&amp;window=popup_no_bar&amp;width=385&amp;height=120&amp;START_MAXIMIZED=FALSE&amp;creator=factset&amp;display_string=Audit"}</definedName>
    <definedName name="_1878__FDSAUDITLINK__" localSheetId="27">{"fdsup://Directions/FactSet Auditing Viewer?action=AUDIT_VALUE&amp;DB=129&amp;ID1=69946210&amp;VALUEID=03051&amp;SDATE=2010&amp;PERIODTYPE=ANNR_STD&amp;window=popup_no_bar&amp;width=385&amp;height=120&amp;START_MAXIMIZED=FALSE&amp;creator=factset&amp;display_string=Audit"}</definedName>
    <definedName name="_1879__FDSAUDITLINK__" localSheetId="34">{"fdsup://Directions/FactSet Auditing Viewer?action=AUDIT_VALUE&amp;DB=129&amp;ID1=69946210&amp;VALUEID=03101&amp;SDATE=2010&amp;PERIODTYPE=ANNR_STD&amp;window=popup_no_bar&amp;width=385&amp;height=120&amp;START_MAXIMIZED=FALSE&amp;creator=factset&amp;display_string=Audit"}</definedName>
    <definedName name="_1879__FDSAUDITLINK__" localSheetId="27">{"fdsup://Directions/FactSet Auditing Viewer?action=AUDIT_VALUE&amp;DB=129&amp;ID1=69946210&amp;VALUEID=03101&amp;SDATE=2010&amp;PERIODTYPE=ANNR_STD&amp;window=popup_no_bar&amp;width=385&amp;height=120&amp;START_MAXIMIZED=FALSE&amp;creator=factset&amp;display_string=Audit"}</definedName>
    <definedName name="_1880__FDSAUDITLINK__" localSheetId="34">{"fdsup://Directions/FactSet Auditing Viewer?action=AUDIT_VALUE&amp;DB=129&amp;ID1=69946210&amp;VALUEID=02001&amp;SDATE=2010&amp;PERIODTYPE=ANNR_STD&amp;window=popup_no_bar&amp;width=385&amp;height=120&amp;START_MAXIMIZED=FALSE&amp;creator=factset&amp;display_string=Audit"}</definedName>
    <definedName name="_1880__FDSAUDITLINK__" localSheetId="27">{"fdsup://Directions/FactSet Auditing Viewer?action=AUDIT_VALUE&amp;DB=129&amp;ID1=69946210&amp;VALUEID=02001&amp;SDATE=2010&amp;PERIODTYPE=ANNR_STD&amp;window=popup_no_bar&amp;width=385&amp;height=120&amp;START_MAXIMIZED=FALSE&amp;creator=factset&amp;display_string=Audit"}</definedName>
    <definedName name="_1881__FDSAUDITLINK__" localSheetId="34">{"fdsup://directions/FAT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881__FDSAUDITLINK__" localSheetId="27">{"fdsup://directions/FAT Viewer?action=UPDATE&amp;creator=factset&amp;DYN_ARGS=TRUE&amp;DOC_NAME=FAT:FQL_AUDITING_CLIENT_TEMPLATE.FAT&amp;display_string=Audit&amp;VAR:KEY=FGHYHQVGHU&amp;VAR:QUERY=KCgoRkZfREVCVChRVFIsNDA2NDEsLCwsKUBGRl9ERUJUKFNFTUksNDA2NDEsLCwsKSlARkZfREVCVChBTk5fU","iw0MDY0MSwsLCwpKUBGRl9ERUJUKEFOTl9SLDAsLCwsKSk=&amp;WINDOW=FIRST_POPUP&amp;HEIGHT=450&amp;WIDTH=450&amp;START_MAXIMIZED=FALSE&amp;VAR:CALENDAR=FIVEDAY&amp;VAR:SYMBOL=0&amp;VAR:INDEX=0"}</definedName>
    <definedName name="_1882__FDSAUDITLINK__" localSheetId="34">{"fdsup://directions/FAT Viewer?action=UPDATE&amp;creator=factset&amp;DYN_ARGS=TRUE&amp;DOC_NAME=FAT:FQL_AUDITING_CLIENT_TEMPLATE.FAT&amp;display_string=Audit&amp;VAR:KEY=RCZIHGNANI&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69946210&amp;VAR:INDEX=0"}</definedName>
    <definedName name="_1882__FDSAUDITLINK__" localSheetId="27">{"fdsup://directions/FAT Viewer?action=UPDATE&amp;creator=factset&amp;DYN_ARGS=TRUE&amp;DOC_NAME=FAT:FQL_AUDITING_CLIENT_TEMPLATE.FAT&amp;display_string=Audit&amp;VAR:KEY=RCZIHGNANI&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69946210&amp;VAR:INDEX=0"}</definedName>
    <definedName name="_1883__FDSAUDITLINK__" localSheetId="34">{"fdsup://Directions/FactSet Auditing Viewer?action=AUDIT_VALUE&amp;DB=129&amp;ID1=09058M10&amp;VALUEID=03051&amp;SDATE=2009&amp;PERIODTYPE=ANNR_STD&amp;window=popup_no_bar&amp;width=385&amp;height=120&amp;START_MAXIMIZED=FALSE&amp;creator=factset&amp;display_string=Audit"}</definedName>
    <definedName name="_1883__FDSAUDITLINK__" localSheetId="27">{"fdsup://Directions/FactSet Auditing Viewer?action=AUDIT_VALUE&amp;DB=129&amp;ID1=09058M10&amp;VALUEID=03051&amp;SDATE=2009&amp;PERIODTYPE=ANNR_STD&amp;window=popup_no_bar&amp;width=385&amp;height=120&amp;START_MAXIMIZED=FALSE&amp;creator=factset&amp;display_string=Audit"}</definedName>
    <definedName name="_1884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1884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1885__FDSAUDITLINK__" localSheetId="34">{"fdsup://directions/FAT Viewer?action=UPDATE&amp;creator=factset&amp;DYN_ARGS=TRUE&amp;DOC_NAME=FAT:FQL_AUDITING_CLIENT_TEMPLATE.FAT&amp;display_string=Audit&amp;VAR:KEY=JCHWLKVAZE&amp;VAR:QUERY=RkZfSU1QQUlSX1BQRShBTk5fUiw0MDY0MS0yWSwsLFJGLCk=&amp;WINDOW=FIRST_POPUP&amp;HEIGHT=450&amp;WIDTH=","450&amp;START_MAXIMIZED=FALSE&amp;VAR:CALENDAR=FIVEDAY&amp;VAR:SYMBOL=0&amp;VAR:INDEX=0"}</definedName>
    <definedName name="_1885__FDSAUDITLINK__" localSheetId="27">{"fdsup://directions/FAT Viewer?action=UPDATE&amp;creator=factset&amp;DYN_ARGS=TRUE&amp;DOC_NAME=FAT:FQL_AUDITING_CLIENT_TEMPLATE.FAT&amp;display_string=Audit&amp;VAR:KEY=JCHWLKVAZE&amp;VAR:QUERY=RkZfSU1QQUlSX1BQRShBTk5fUiw0MDY0MS0yWSwsLFJGLCk=&amp;WINDOW=FIRST_POPUP&amp;HEIGHT=450&amp;WIDTH=","450&amp;START_MAXIMIZED=FALSE&amp;VAR:CALENDAR=FIVEDAY&amp;VAR:SYMBOL=0&amp;VAR:INDEX=0"}</definedName>
    <definedName name="_1886__FDSAUDITLINK__" localSheetId="34">{"fdsup://Directions/FactSet Auditing Viewer?action=AUDIT_VALUE&amp;DB=129&amp;ID1=09058M10&amp;VALUEID=02201&amp;SDATE=2009&amp;PERIODTYPE=ANNR_STD&amp;window=popup_no_bar&amp;width=385&amp;height=120&amp;START_MAXIMIZED=FALSE&amp;creator=factset&amp;display_string=Audit"}</definedName>
    <definedName name="_1886__FDSAUDITLINK__" localSheetId="27">{"fdsup://Directions/FactSet Auditing Viewer?action=AUDIT_VALUE&amp;DB=129&amp;ID1=09058M10&amp;VALUEID=02201&amp;SDATE=2009&amp;PERIODTYPE=ANNR_STD&amp;window=popup_no_bar&amp;width=385&amp;height=120&amp;START_MAXIMIZED=FALSE&amp;creator=factset&amp;display_string=Audit"}</definedName>
    <definedName name="_1887__FDSAUDITLINK__" localSheetId="34">{"fdsup://directions/FAT Viewer?action=UPDATE&amp;creator=factset&amp;DYN_ARGS=TRUE&amp;DOC_NAME=FAT:FQL_AUDITING_CLIENT_TEMPLATE.FAT&amp;display_string=Audit&amp;VAR:KEY=JSDOXITWR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09058M10&amp;VAR:INDEX=0"}</definedName>
    <definedName name="_1887__FDSAUDITLINK__" localSheetId="27">{"fdsup://directions/FAT Viewer?action=UPDATE&amp;creator=factset&amp;DYN_ARGS=TRUE&amp;DOC_NAME=FAT:FQL_AUDITING_CLIENT_TEMPLATE.FAT&amp;display_string=Audit&amp;VAR:KEY=JSDOXITWR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09058M10&amp;VAR:INDEX=0"}</definedName>
    <definedName name="_1888__FDSAUDITLINK__" localSheetId="34">{"fdsup://Directions/FactSet Auditing Viewer?action=AUDIT_VALUE&amp;DB=129&amp;ID1=82921410&amp;VALUEID=03101&amp;SDATE=2009&amp;PERIODTYPE=ANNR_STD&amp;window=popup_no_bar&amp;width=385&amp;height=120&amp;START_MAXIMIZED=FALSE&amp;creator=factset&amp;display_string=Audit"}</definedName>
    <definedName name="_1888__FDSAUDITLINK__" localSheetId="27">{"fdsup://Directions/FactSet Auditing Viewer?action=AUDIT_VALUE&amp;DB=129&amp;ID1=82921410&amp;VALUEID=03101&amp;SDATE=2009&amp;PERIODTYPE=ANNR_STD&amp;window=popup_no_bar&amp;width=385&amp;height=120&amp;START_MAXIMIZED=FALSE&amp;creator=factset&amp;display_string=Audit"}</definedName>
    <definedName name="_1889__FDSAUDITLINK__" localSheetId="34">{"fdsup://Directions/FactSet Auditing Viewer?action=AUDIT_VALUE&amp;DB=129&amp;ID1=82921410&amp;VALUEID=02001&amp;SDATE=2009&amp;PERIODTYPE=ANNR_STD&amp;window=popup_no_bar&amp;width=385&amp;height=120&amp;START_MAXIMIZED=FALSE&amp;creator=factset&amp;display_string=Audit"}</definedName>
    <definedName name="_1889__FDSAUDITLINK__" localSheetId="27">{"fdsup://Directions/FactSet Auditing Viewer?action=AUDIT_VALUE&amp;DB=129&amp;ID1=82921410&amp;VALUEID=02001&amp;SDATE=2009&amp;PERIODTYPE=ANNR_STD&amp;window=popup_no_bar&amp;width=385&amp;height=120&amp;START_MAXIMIZED=FALSE&amp;creator=factset&amp;display_string=Audit"}</definedName>
    <definedName name="_1890__FDSAUDITLINK__" localSheetId="34">{"fdsup://directions/FAT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890__FDSAUDITLINK__" localSheetId="27">{"fdsup://directions/FAT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891__FDSAUDITLINK__" localSheetId="34">{"fdsup://directions/FAT Viewer?action=UPDATE&amp;creator=factset&amp;DYN_ARGS=TRUE&amp;DOC_NAME=FAT:FQL_AUDITING_CLIENT_TEMPLATE.FAT&amp;display_string=Audit&amp;VAR:KEY=JERKXKXCN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82921410&amp;VAR:INDEX=0"}</definedName>
    <definedName name="_1891__FDSAUDITLINK__" localSheetId="27">{"fdsup://directions/FAT Viewer?action=UPDATE&amp;creator=factset&amp;DYN_ARGS=TRUE&amp;DOC_NAME=FAT:FQL_AUDITING_CLIENT_TEMPLATE.FAT&amp;display_string=Audit&amp;VAR:KEY=JERKXKXCN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82921410&amp;VAR:INDEX=0"}</definedName>
    <definedName name="_1892__FDSAUDITLINK__" localSheetId="34">{"fdsup://Directions/FactSet Auditing Viewer?action=AUDIT_VALUE&amp;DB=129&amp;ID1=53217V10&amp;VALUEID=03051&amp;SDATE=2009&amp;PERIODTYPE=ANNR_STD&amp;window=popup_no_bar&amp;width=385&amp;height=120&amp;START_MAXIMIZED=FALSE&amp;creator=factset&amp;display_string=Audit"}</definedName>
    <definedName name="_1892__FDSAUDITLINK__" localSheetId="27">{"fdsup://Directions/FactSet Auditing Viewer?action=AUDIT_VALUE&amp;DB=129&amp;ID1=53217V10&amp;VALUEID=03051&amp;SDATE=2009&amp;PERIODTYPE=ANNR_STD&amp;window=popup_no_bar&amp;width=385&amp;height=120&amp;START_MAXIMIZED=FALSE&amp;creator=factset&amp;display_string=Audit"}</definedName>
    <definedName name="_1893__FDSAUDITLINK__" localSheetId="34">{"fdsup://Directions/FactSet Auditing Viewer?action=AUDIT_VALUE&amp;DB=129&amp;ID1=53217V10&amp;VALUEID=03101&amp;SDATE=2009&amp;PERIODTYPE=ANNR_STD&amp;window=popup_no_bar&amp;width=385&amp;height=120&amp;START_MAXIMIZED=FALSE&amp;creator=factset&amp;display_string=Audit"}</definedName>
    <definedName name="_1893__FDSAUDITLINK__" localSheetId="27">{"fdsup://Directions/FactSet Auditing Viewer?action=AUDIT_VALUE&amp;DB=129&amp;ID1=53217V10&amp;VALUEID=03101&amp;SDATE=2009&amp;PERIODTYPE=ANNR_STD&amp;window=popup_no_bar&amp;width=385&amp;height=120&amp;START_MAXIMIZED=FALSE&amp;creator=factset&amp;display_string=Audit"}</definedName>
    <definedName name="_1894__FDSAUDITLINK__" localSheetId="34">{"fdsup://directions/FAT Viewer?action=UPDATE&amp;creator=factset&amp;DYN_ARGS=TRUE&amp;DOC_NAME=FAT:FQL_AUDITING_CLIENT_TEMPLATE.FAT&amp;display_string=Audit&amp;VAR:KEY=UFMZEBIDOD&amp;VAR:QUERY=RkZfUEUoQU5OLDQwNjQxLCwsUlAp&amp;WINDOW=FIRST_POPUP&amp;HEIGHT=450&amp;WIDTH=450&amp;START_MAXIMIZED=","FALSE&amp;VAR:CALENDAR=FIVEDAY&amp;VAR:SYMBOL=309272&amp;VAR:INDEX=0"}</definedName>
    <definedName name="_1894__FDSAUDITLINK__" localSheetId="27">{"fdsup://directions/FAT Viewer?action=UPDATE&amp;creator=factset&amp;DYN_ARGS=TRUE&amp;DOC_NAME=FAT:FQL_AUDITING_CLIENT_TEMPLATE.FAT&amp;display_string=Audit&amp;VAR:KEY=UFMZEBIDOD&amp;VAR:QUERY=RkZfUEUoQU5OLDQwNjQxLCwsUlAp&amp;WINDOW=FIRST_POPUP&amp;HEIGHT=450&amp;WIDTH=450&amp;START_MAXIMIZED=","FALSE&amp;VAR:CALENDAR=FIVEDAY&amp;VAR:SYMBOL=309272&amp;VAR:INDEX=0"}</definedName>
    <definedName name="_1895__FDSAUDITLINK__" localSheetId="34">{"fdsup://directions/FAT Viewer?action=UPDATE&amp;creator=factset&amp;DYN_ARGS=TRUE&amp;DOC_NAME=FAT:FQL_AUDITING_CLIENT_TEMPLATE.FAT&amp;display_string=Audit&amp;VAR:KEY=IXQPGBQDWN&amp;VAR:QUERY=RkZfUEUoQU5OX1IsNDA2NDEp&amp;WINDOW=FIRST_POPUP&amp;HEIGHT=450&amp;WIDTH=450&amp;START_MAXIMIZED=FALS","E&amp;VAR:CALENDAR=FIVEDAY&amp;VAR:SYMBOL=010486&amp;VAR:INDEX=0"}</definedName>
    <definedName name="_1895__FDSAUDITLINK__" localSheetId="27">{"fdsup://directions/FAT Viewer?action=UPDATE&amp;creator=factset&amp;DYN_ARGS=TRUE&amp;DOC_NAME=FAT:FQL_AUDITING_CLIENT_TEMPLATE.FAT&amp;display_string=Audit&amp;VAR:KEY=IXQPGBQDWN&amp;VAR:QUERY=RkZfUEUoQU5OX1IsNDA2NDEp&amp;WINDOW=FIRST_POPUP&amp;HEIGHT=450&amp;WIDTH=450&amp;START_MAXIMIZED=FALS","E&amp;VAR:CALENDAR=FIVEDAY&amp;VAR:SYMBOL=010486&amp;VAR:INDEX=0"}</definedName>
    <definedName name="_1896__FDSAUDITLINK__" localSheetId="34">{"fdsup://directions/FAT Viewer?action=UPDATE&amp;creator=factset&amp;DYN_ARGS=TRUE&amp;DOC_NAME=FAT:FQL_AUDITING_CLIENT_TEMPLATE.FAT&amp;display_string=Audit&amp;VAR:KEY=KXUXIRCXEZ&amp;VAR:QUERY=RkZfUEUoQU5OX1IsNDA2NDEp&amp;WINDOW=FIRST_POPUP&amp;HEIGHT=450&amp;WIDTH=450&amp;START_MAXIMIZED=FALS","E&amp;VAR:CALENDAR=FIVEDAY&amp;VAR:SYMBOL=320898&amp;VAR:INDEX=0"}</definedName>
    <definedName name="_1896__FDSAUDITLINK__" localSheetId="27">{"fdsup://directions/FAT Viewer?action=UPDATE&amp;creator=factset&amp;DYN_ARGS=TRUE&amp;DOC_NAME=FAT:FQL_AUDITING_CLIENT_TEMPLATE.FAT&amp;display_string=Audit&amp;VAR:KEY=KXUXIRCXEZ&amp;VAR:QUERY=RkZfUEUoQU5OX1IsNDA2NDEp&amp;WINDOW=FIRST_POPUP&amp;HEIGHT=450&amp;WIDTH=450&amp;START_MAXIMIZED=FALS","E&amp;VAR:CALENDAR=FIVEDAY&amp;VAR:SYMBOL=320898&amp;VAR:INDEX=0"}</definedName>
    <definedName name="_1897__FDSAUDITLINK__" localSheetId="34">{"fdsup://directions/FAT Viewer?action=UPDATE&amp;creator=factset&amp;DYN_ARGS=TRUE&amp;DOC_NAME=FAT:FQL_AUDITING_CLIENT_TEMPLATE.FAT&amp;display_string=Audit&amp;VAR:KEY=OBEJKHIVSR&amp;VAR:QUERY=RkZfUEUoQU5OX1IsNDA2NDEp&amp;WINDOW=FIRST_POPUP&amp;HEIGHT=450&amp;WIDTH=450&amp;START_MAXIMIZED=FALS","E&amp;VAR:CALENDAR=FIVEDAY&amp;VAR:SYMBOL=312748&amp;VAR:INDEX=0"}</definedName>
    <definedName name="_1897__FDSAUDITLINK__" localSheetId="27">{"fdsup://directions/FAT Viewer?action=UPDATE&amp;creator=factset&amp;DYN_ARGS=TRUE&amp;DOC_NAME=FAT:FQL_AUDITING_CLIENT_TEMPLATE.FAT&amp;display_string=Audit&amp;VAR:KEY=OBEJKHIVSR&amp;VAR:QUERY=RkZfUEUoQU5OX1IsNDA2NDEp&amp;WINDOW=FIRST_POPUP&amp;HEIGHT=450&amp;WIDTH=450&amp;START_MAXIMIZED=FALS","E&amp;VAR:CALENDAR=FIVEDAY&amp;VAR:SYMBOL=312748&amp;VAR:INDEX=0"}</definedName>
    <definedName name="_1898__FDSAUDITLINK__" localSheetId="34">{"fdsup://directions/FAT Viewer?action=UPDATE&amp;creator=factset&amp;DYN_ARGS=TRUE&amp;DOC_NAME=FAT:FQL_AUDITING_CLIENT_TEMPLATE.FAT&amp;display_string=Audit&amp;VAR:KEY=SFMLOLMVAN&amp;VAR:QUERY=RkZfUEUoQU5OX1IsNDA2NDEp&amp;WINDOW=FIRST_POPUP&amp;HEIGHT=450&amp;WIDTH=450&amp;START_MAXIMIZED=FALS","E&amp;VAR:CALENDAR=FIVEDAY&amp;VAR:SYMBOL=047715&amp;VAR:INDEX=0"}</definedName>
    <definedName name="_1898__FDSAUDITLINK__" localSheetId="27">{"fdsup://directions/FAT Viewer?action=UPDATE&amp;creator=factset&amp;DYN_ARGS=TRUE&amp;DOC_NAME=FAT:FQL_AUDITING_CLIENT_TEMPLATE.FAT&amp;display_string=Audit&amp;VAR:KEY=SFMLOLMVAN&amp;VAR:QUERY=RkZfUEUoQU5OX1IsNDA2NDEp&amp;WINDOW=FIRST_POPUP&amp;HEIGHT=450&amp;WIDTH=450&amp;START_MAXIMIZED=FALS","E&amp;VAR:CALENDAR=FIVEDAY&amp;VAR:SYMBOL=047715&amp;VAR:INDEX=0"}</definedName>
    <definedName name="_1899__FDSAUDITLINK__" localSheetId="34">{"fdsup://directions/FAT Viewer?action=UPDATE&amp;creator=factset&amp;DYN_ARGS=TRUE&amp;DOC_NAME=FAT:FQL_AUDITING_CLIENT_TEMPLATE.FAT&amp;display_string=Audit&amp;VAR:KEY=CJCZQRMTYH&amp;VAR:QUERY=RkZfUEUoQU5OX1IsNDA2NDEp&amp;WINDOW=FIRST_POPUP&amp;HEIGHT=450&amp;WIDTH=450&amp;START_MAXIMIZED=FALS","E&amp;VAR:CALENDAR=FIVEDAY&amp;VAR:SYMBOL=046991&amp;VAR:INDEX=0"}</definedName>
    <definedName name="_1899__FDSAUDITLINK__" localSheetId="27">{"fdsup://directions/FAT Viewer?action=UPDATE&amp;creator=factset&amp;DYN_ARGS=TRUE&amp;DOC_NAME=FAT:FQL_AUDITING_CLIENT_TEMPLATE.FAT&amp;display_string=Audit&amp;VAR:KEY=CJCZQRMTYH&amp;VAR:QUERY=RkZfUEUoQU5OX1IsNDA2NDEp&amp;WINDOW=FIRST_POPUP&amp;HEIGHT=450&amp;WIDTH=450&amp;START_MAXIMIZED=FALS","E&amp;VAR:CALENDAR=FIVEDAY&amp;VAR:SYMBOL=046991&amp;VAR:INDEX=0"}</definedName>
    <definedName name="_1900__FDSAUDITLINK__" localSheetId="34">{"fdsup://directions/FAT Viewer?action=UPDATE&amp;creator=factset&amp;DYN_ARGS=TRUE&amp;DOC_NAME=FAT:FQL_AUDITING_CLIENT_TEMPLATE.FAT&amp;display_string=Audit&amp;VAR:KEY=OVAFCPYVYR&amp;VAR:QUERY=RkZfUEUoQU5OX1IsNDA2NDEp&amp;WINDOW=FIRST_POPUP&amp;HEIGHT=450&amp;WIDTH=450&amp;START_MAXIMIZED=FALS","E&amp;VAR:CALENDAR=FIVEDAY&amp;VAR:SYMBOL=337647&amp;VAR:INDEX=0"}</definedName>
    <definedName name="_1900__FDSAUDITLINK__" localSheetId="27">{"fdsup://directions/FAT Viewer?action=UPDATE&amp;creator=factset&amp;DYN_ARGS=TRUE&amp;DOC_NAME=FAT:FQL_AUDITING_CLIENT_TEMPLATE.FAT&amp;display_string=Audit&amp;VAR:KEY=OVAFCPYVYR&amp;VAR:QUERY=RkZfUEUoQU5OX1IsNDA2NDEp&amp;WINDOW=FIRST_POPUP&amp;HEIGHT=450&amp;WIDTH=450&amp;START_MAXIMIZED=FALS","E&amp;VAR:CALENDAR=FIVEDAY&amp;VAR:SYMBOL=337647&amp;VAR:INDEX=0"}</definedName>
    <definedName name="_1901__FDSAUDITLINK__" localSheetId="34">{"fdsup://directions/FAT Viewer?action=UPDATE&amp;creator=factset&amp;DYN_ARGS=TRUE&amp;DOC_NAME=FAT:FQL_AUDITING_CLIENT_TEMPLATE.FAT&amp;display_string=Audit&amp;VAR:KEY=EHSDWXMLGR&amp;VAR:QUERY=RkZfUEUoQU5OX1IsNDA2NDEp&amp;WINDOW=FIRST_POPUP&amp;HEIGHT=450&amp;WIDTH=450&amp;START_MAXIMIZED=FALS","E&amp;VAR:CALENDAR=FIVEDAY&amp;VAR:SYMBOL=B126KH&amp;VAR:INDEX=0"}</definedName>
    <definedName name="_1901__FDSAUDITLINK__" localSheetId="27">{"fdsup://directions/FAT Viewer?action=UPDATE&amp;creator=factset&amp;DYN_ARGS=TRUE&amp;DOC_NAME=FAT:FQL_AUDITING_CLIENT_TEMPLATE.FAT&amp;display_string=Audit&amp;VAR:KEY=EHSDWXMLGR&amp;VAR:QUERY=RkZfUEUoQU5OX1IsNDA2NDEp&amp;WINDOW=FIRST_POPUP&amp;HEIGHT=450&amp;WIDTH=450&amp;START_MAXIMIZED=FALS","E&amp;VAR:CALENDAR=FIVEDAY&amp;VAR:SYMBOL=B126KH&amp;VAR:INDEX=0"}</definedName>
    <definedName name="_1902__FDSAUDITLINK__" localSheetId="34">{"fdsup://directions/FAT Viewer?action=UPDATE&amp;creator=factset&amp;DYN_ARGS=TRUE&amp;DOC_NAME=FAT:FQL_AUDITING_CLIENT_TEMPLATE.FAT&amp;display_string=Audit&amp;VAR:KEY=QBKZKBQNYV&amp;VAR:QUERY=RkZfUEUoQU5OX1IsNDA2NDEp&amp;WINDOW=FIRST_POPUP&amp;HEIGHT=450&amp;WIDTH=450&amp;START_MAXIMIZED=FALS","E&amp;VAR:CALENDAR=FIVEDAY&amp;VAR:SYMBOL=B1P6ZR&amp;VAR:INDEX=0"}</definedName>
    <definedName name="_1902__FDSAUDITLINK__" localSheetId="27">{"fdsup://directions/FAT Viewer?action=UPDATE&amp;creator=factset&amp;DYN_ARGS=TRUE&amp;DOC_NAME=FAT:FQL_AUDITING_CLIENT_TEMPLATE.FAT&amp;display_string=Audit&amp;VAR:KEY=QBKZKBQNYV&amp;VAR:QUERY=RkZfUEUoQU5OX1IsNDA2NDEp&amp;WINDOW=FIRST_POPUP&amp;HEIGHT=450&amp;WIDTH=450&amp;START_MAXIMIZED=FALS","E&amp;VAR:CALENDAR=FIVEDAY&amp;VAR:SYMBOL=B1P6ZR&amp;VAR:INDEX=0"}</definedName>
    <definedName name="_1903__FDSAUDITLINK__" localSheetId="34">{"fdsup://directions/FAT Viewer?action=UPDATE&amp;creator=factset&amp;DYN_ARGS=TRUE&amp;DOC_NAME=FAT:FQL_AUDITING_CLIENT_TEMPLATE.FAT&amp;display_string=Audit&amp;VAR:KEY=IDQBGTEZYF&amp;VAR:QUERY=RkZfUEUoQU5OX1IsNDA2NDEp&amp;WINDOW=FIRST_POPUP&amp;HEIGHT=450&amp;WIDTH=450&amp;START_MAXIMIZED=FALS","E&amp;VAR:CALENDAR=FIVEDAY&amp;VAR:SYMBOL=025592&amp;VAR:INDEX=0"}</definedName>
    <definedName name="_1903__FDSAUDITLINK__" localSheetId="27">{"fdsup://directions/FAT Viewer?action=UPDATE&amp;creator=factset&amp;DYN_ARGS=TRUE&amp;DOC_NAME=FAT:FQL_AUDITING_CLIENT_TEMPLATE.FAT&amp;display_string=Audit&amp;VAR:KEY=IDQBGTEZYF&amp;VAR:QUERY=RkZfUEUoQU5OX1IsNDA2NDEp&amp;WINDOW=FIRST_POPUP&amp;HEIGHT=450&amp;WIDTH=450&amp;START_MAXIMIZED=FALS","E&amp;VAR:CALENDAR=FIVEDAY&amp;VAR:SYMBOL=025592&amp;VAR:INDEX=0"}</definedName>
    <definedName name="_1904__FDSAUDITLINK__" localSheetId="34">{"fdsup://directions/FAT Viewer?action=UPDATE&amp;creator=factset&amp;DYN_ARGS=TRUE&amp;DOC_NAME=FAT:FQL_AUDITING_CLIENT_TEMPLATE.FAT&amp;display_string=Audit&amp;VAR:KEY=PGNODSZAXY&amp;VAR:QUERY=RkZfU0hMRFJTX0VRKEFOTl9SLDQwMzk1LCwsUkYsVVNEKQ==&amp;WINDOW=FIRST_POPUP&amp;HEIGHT=450&amp;WIDTH=","450&amp;START_MAXIMIZED=FALSE&amp;VAR:CALENDAR=FIVEDAY&amp;VAR:SYMBOL=53217V10&amp;VAR:INDEX=0"}</definedName>
    <definedName name="_1904__FDSAUDITLINK__" localSheetId="27">{"fdsup://directions/FAT Viewer?action=UPDATE&amp;creator=factset&amp;DYN_ARGS=TRUE&amp;DOC_NAME=FAT:FQL_AUDITING_CLIENT_TEMPLATE.FAT&amp;display_string=Audit&amp;VAR:KEY=PGNODSZAXY&amp;VAR:QUERY=RkZfU0hMRFJTX0VRKEFOTl9SLDQwMzk1LCwsUkYsVVNEKQ==&amp;WINDOW=FIRST_POPUP&amp;HEIGHT=450&amp;WIDTH=","450&amp;START_MAXIMIZED=FALSE&amp;VAR:CALENDAR=FIVEDAY&amp;VAR:SYMBOL=53217V10&amp;VAR:INDEX=0"}</definedName>
    <definedName name="_1905__FDSAUDITLINK__" localSheetId="34">{"fdsup://directions/FAT Viewer?action=UPDATE&amp;creator=factset&amp;DYN_ARGS=TRUE&amp;DOC_NAME=FAT:FQL_AUDITING_CLIENT_TEMPLATE.FAT&amp;display_string=Audit&amp;VAR:KEY=QDKPWLIRAJ&amp;VAR:QUERY=RkZfUEUoQU5OX1IsMCk=&amp;WINDOW=FIRST_POPUP&amp;HEIGHT=450&amp;WIDTH=450&amp;START_MAXIMIZED=FALSE&amp;VA","R:CALENDAR=FIVEDAY&amp;VAR:SYMBOL=320898&amp;VAR:INDEX=0"}</definedName>
    <definedName name="_1905__FDSAUDITLINK__" localSheetId="27">{"fdsup://directions/FAT Viewer?action=UPDATE&amp;creator=factset&amp;DYN_ARGS=TRUE&amp;DOC_NAME=FAT:FQL_AUDITING_CLIENT_TEMPLATE.FAT&amp;display_string=Audit&amp;VAR:KEY=QDKPWLIRAJ&amp;VAR:QUERY=RkZfUEUoQU5OX1IsMCk=&amp;WINDOW=FIRST_POPUP&amp;HEIGHT=450&amp;WIDTH=450&amp;START_MAXIMIZED=FALSE&amp;VA","R:CALENDAR=FIVEDAY&amp;VAR:SYMBOL=320898&amp;VAR:INDEX=0"}</definedName>
    <definedName name="_1906__FDSAUDITLINK__" localSheetId="34">{"fdsup://directions/FAT Viewer?action=UPDATE&amp;creator=factset&amp;DYN_ARGS=TRUE&amp;DOC_NAME=FAT:FQL_AUDITING_CLIENT_TEMPLATE.FAT&amp;display_string=Audit&amp;VAR:KEY=HGNUZIXUFY&amp;VAR:QUERY=RkZfUEUoQU5OLDAp&amp;WINDOW=FIRST_POPUP&amp;HEIGHT=450&amp;WIDTH=450&amp;START_MAXIMIZED=FALSE&amp;VAR:CA","LENDAR=FIVEDAY&amp;VAR:SYMBOL=010486&amp;VAR:INDEX=0"}</definedName>
    <definedName name="_1906__FDSAUDITLINK__" localSheetId="27">{"fdsup://directions/FAT Viewer?action=UPDATE&amp;creator=factset&amp;DYN_ARGS=TRUE&amp;DOC_NAME=FAT:FQL_AUDITING_CLIENT_TEMPLATE.FAT&amp;display_string=Audit&amp;VAR:KEY=HGNUZIXUFY&amp;VAR:QUERY=RkZfUEUoQU5OLDAp&amp;WINDOW=FIRST_POPUP&amp;HEIGHT=450&amp;WIDTH=450&amp;START_MAXIMIZED=FALSE&amp;VAR:CA","LENDAR=FIVEDAY&amp;VAR:SYMBOL=010486&amp;VAR:INDEX=0"}</definedName>
    <definedName name="_1907__FDSAUDITLINK__" localSheetId="34">{"fdsup://directions/FAT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07__FDSAUDITLINK__" localSheetId="27">{"fdsup://directions/FAT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08__FDSAUDITLINK__" localSheetId="34">{"fdsup://Directions/FactSet Auditing Viewer?action=AUDIT_VALUE&amp;DB=129&amp;ID1=69946210&amp;VALUEID=01001&amp;SDATE=2010&amp;PERIODTYPE=ANNR_STD&amp;window=popup_no_bar&amp;width=385&amp;height=120&amp;START_MAXIMIZED=FALSE&amp;creator=factset&amp;display_string=Audit"}</definedName>
    <definedName name="_1908__FDSAUDITLINK__" localSheetId="27">{"fdsup://Directions/FactSet Auditing Viewer?action=AUDIT_VALUE&amp;DB=129&amp;ID1=69946210&amp;VALUEID=01001&amp;SDATE=2010&amp;PERIODTYPE=ANNR_STD&amp;window=popup_no_bar&amp;width=385&amp;height=120&amp;START_MAXIMIZED=FALSE&amp;creator=factset&amp;display_string=Audit"}</definedName>
    <definedName name="_1909__FDSAUDITLINK__" localSheetId="34">{"fdsup://Directions/FactSet Auditing Viewer?action=AUDIT_VALUE&amp;DB=129&amp;ID1=69946210&amp;VALUEID=01001&amp;SDATE=2009&amp;PERIODTYPE=ANNR_STD&amp;window=popup_no_bar&amp;width=385&amp;height=120&amp;START_MAXIMIZED=FALSE&amp;creator=factset&amp;display_string=Audit"}</definedName>
    <definedName name="_1909__FDSAUDITLINK__" localSheetId="27">{"fdsup://Directions/FactSet Auditing Viewer?action=AUDIT_VALUE&amp;DB=129&amp;ID1=69946210&amp;VALUEID=01001&amp;SDATE=2009&amp;PERIODTYPE=ANNR_STD&amp;window=popup_no_bar&amp;width=385&amp;height=120&amp;START_MAXIMIZED=FALSE&amp;creator=factset&amp;display_string=Audit"}</definedName>
    <definedName name="_1910__FDSAUDITLINK__" localSheetId="34">{"fdsup://Directions/FactSet Auditing Viewer?action=AUDIT_VALUE&amp;DB=129&amp;ID1=09058M10&amp;VALUEID=01250&amp;SDATE=2009&amp;PERIODTYPE=ANNR_STD&amp;window=popup_no_bar&amp;width=385&amp;height=120&amp;START_MAXIMIZED=FALSE&amp;creator=factset&amp;display_string=Audit"}</definedName>
    <definedName name="_1910__FDSAUDITLINK__" localSheetId="27">{"fdsup://Directions/FactSet Auditing Viewer?action=AUDIT_VALUE&amp;DB=129&amp;ID1=09058M10&amp;VALUEID=01250&amp;SDATE=2009&amp;PERIODTYPE=ANNR_STD&amp;window=popup_no_bar&amp;width=385&amp;height=120&amp;START_MAXIMIZED=FALSE&amp;creator=factset&amp;display_string=Audit"}</definedName>
    <definedName name="_1911__FDSAUDITLINK__" localSheetId="34">{"fdsup://directions/FAT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11__FDSAUDITLINK__" localSheetId="27">{"fdsup://directions/FAT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12__FDSAUDITLINK__" localSheetId="34">{"fdsup://Directions/FactSet Auditing Viewer?action=AUDIT_VALUE&amp;DB=129&amp;ID1=09058M10&amp;VALUEID=01001&amp;SDATE=2009&amp;PERIODTYPE=ANNR_STD&amp;window=popup_no_bar&amp;width=385&amp;height=120&amp;START_MAXIMIZED=FALSE&amp;creator=factset&amp;display_string=Audit"}</definedName>
    <definedName name="_1912__FDSAUDITLINK__" localSheetId="27">{"fdsup://Directions/FactSet Auditing Viewer?action=AUDIT_VALUE&amp;DB=129&amp;ID1=09058M10&amp;VALUEID=01001&amp;SDATE=2009&amp;PERIODTYPE=ANNR_STD&amp;window=popup_no_bar&amp;width=385&amp;height=120&amp;START_MAXIMIZED=FALSE&amp;creator=factset&amp;display_string=Audit"}</definedName>
    <definedName name="_1913__FDSAUDITLINK__" localSheetId="34">{"fdsup://Directions/FactSet Auditing Viewer?action=AUDIT_VALUE&amp;DB=129&amp;ID1=09058M10&amp;VALUEID=01001&amp;SDATE=2008&amp;PERIODTYPE=ANNR_STD&amp;window=popup_no_bar&amp;width=385&amp;height=120&amp;START_MAXIMIZED=FALSE&amp;creator=factset&amp;display_string=Audit"}</definedName>
    <definedName name="_1913__FDSAUDITLINK__" localSheetId="27">{"fdsup://Directions/FactSet Auditing Viewer?action=AUDIT_VALUE&amp;DB=129&amp;ID1=09058M10&amp;VALUEID=01001&amp;SDATE=2008&amp;PERIODTYPE=ANNR_STD&amp;window=popup_no_bar&amp;width=385&amp;height=120&amp;START_MAXIMIZED=FALSE&amp;creator=factset&amp;display_string=Audit"}</definedName>
    <definedName name="_1914__FDSAUDITLINK__" localSheetId="34">{"fdsup://Directions/FactSet Auditing Viewer?action=AUDIT_VALUE&amp;DB=129&amp;ID1=82921410&amp;VALUEID=01250&amp;SDATE=2009&amp;PERIODTYPE=ANNR_STD&amp;window=popup_no_bar&amp;width=385&amp;height=120&amp;START_MAXIMIZED=FALSE&amp;creator=factset&amp;display_string=Audit"}</definedName>
    <definedName name="_1914__FDSAUDITLINK__" localSheetId="27">{"fdsup://Directions/FactSet Auditing Viewer?action=AUDIT_VALUE&amp;DB=129&amp;ID1=82921410&amp;VALUEID=01250&amp;SDATE=2009&amp;PERIODTYPE=ANNR_STD&amp;window=popup_no_bar&amp;width=385&amp;height=120&amp;START_MAXIMIZED=FALSE&amp;creator=factset&amp;display_string=Audit"}</definedName>
    <definedName name="_1915__FDSAUDITLINK__" localSheetId="34">{"fdsup://Directions/FactSet Auditing Viewer?action=AUDIT_VALUE&amp;DB=129&amp;ID1=82921410&amp;VALUEID=01250&amp;SDATE=2008&amp;PERIODTYPE=ANNR_STD&amp;window=popup_no_bar&amp;width=385&amp;height=120&amp;START_MAXIMIZED=FALSE&amp;creator=factset&amp;display_string=Audit"}</definedName>
    <definedName name="_1915__FDSAUDITLINK__" localSheetId="27">{"fdsup://Directions/FactSet Auditing Viewer?action=AUDIT_VALUE&amp;DB=129&amp;ID1=82921410&amp;VALUEID=01250&amp;SDATE=2008&amp;PERIODTYPE=ANNR_STD&amp;window=popup_no_bar&amp;width=385&amp;height=120&amp;START_MAXIMIZED=FALSE&amp;creator=factset&amp;display_string=Audit"}</definedName>
    <definedName name="_1916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16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17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1917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1918__FDSAUDITLINK__" localSheetId="34">{"fdsup://directions/FAT Viewer?action=UPDATE&amp;creator=factset&amp;DYN_ARGS=TRUE&amp;DOC_NAME=FAT:FQL_AUDITING_CLIENT_TEMPLATE.FAT&amp;display_string=Audit&amp;VAR:KEY=RAXUNAJAPY&amp;VAR:QUERY=RkZfQVNTRVRTX0NVUlIoQU5OX1IsNDA2NDEtMlksLCxSRiwpLUZGX0NBU0hfU1QoQU5OX1IsNDA2NDEtMlksL","CxSRiwpLUZGX0xJQUJTX0NVUlIoQU5OX1IsNDA2NDEtMlksLCxSRiwpK0ZGX0RFQlRfU1QoQU5OX1IsNDA2NDEtMlksLCxSRiwp&amp;WINDOW=FIRST_POPUP&amp;HEIGHT=450&amp;WIDTH=450&amp;START_MAXIMIZED=FALSE&amp;VAR:CALENDAR=FIVEDAY&amp;VAR:SYMBOL=0&amp;VAR:INDEX=0"}</definedName>
    <definedName name="_1918__FDSAUDITLINK__" localSheetId="27">{"fdsup://directions/FAT Viewer?action=UPDATE&amp;creator=factset&amp;DYN_ARGS=TRUE&amp;DOC_NAME=FAT:FQL_AUDITING_CLIENT_TEMPLATE.FAT&amp;display_string=Audit&amp;VAR:KEY=RAXUNAJAPY&amp;VAR:QUERY=RkZfQVNTRVRTX0NVUlIoQU5OX1IsNDA2NDEtMlksLCxSRiwpLUZGX0NBU0hfU1QoQU5OX1IsNDA2NDEtMlksL","CxSRiwpLUZGX0xJQUJTX0NVUlIoQU5OX1IsNDA2NDEtMlksLCxSRiwpK0ZGX0RFQlRfU1QoQU5OX1IsNDA2NDEtMlksLCxSRiwp&amp;WINDOW=FIRST_POPUP&amp;HEIGHT=450&amp;WIDTH=450&amp;START_MAXIMIZED=FALSE&amp;VAR:CALENDAR=FIVEDAY&amp;VAR:SYMBOL=0&amp;VAR:INDEX=0"}</definedName>
    <definedName name="_1919__FDSAUDITLINK__" localSheetId="34">{"fdsup://directions/FAT Viewer?action=UPDATE&amp;creator=factset&amp;DYN_ARGS=TRUE&amp;DOC_NAME=FAT:FQL_AUDITING_CLIENT_TEMPLATE.FAT&amp;display_string=Audit&amp;VAR:KEY=FKPYHWLMHI&amp;VAR:QUERY=RkZfRklOX0FTU0VUU19JTVBBSVIoQU5OX1IsNDA2NDEtMlksLCxSRiwp&amp;WINDOW=FIRST_POPUP&amp;HEIGHT=45","0&amp;WIDTH=450&amp;START_MAXIMIZED=FALSE&amp;VAR:CALENDAR=FIVEDAY&amp;VAR:SYMBOL=0&amp;VAR:INDEX=0"}</definedName>
    <definedName name="_1919__FDSAUDITLINK__" localSheetId="27">{"fdsup://directions/FAT Viewer?action=UPDATE&amp;creator=factset&amp;DYN_ARGS=TRUE&amp;DOC_NAME=FAT:FQL_AUDITING_CLIENT_TEMPLATE.FAT&amp;display_string=Audit&amp;VAR:KEY=FKPYHWLMHI&amp;VAR:QUERY=RkZfRklOX0FTU0VUU19JTVBBSVIoQU5OX1IsNDA2NDEtMlksLCxSRiwp&amp;WINDOW=FIRST_POPUP&amp;HEIGHT=45","0&amp;WIDTH=450&amp;START_MAXIMIZED=FALSE&amp;VAR:CALENDAR=FIVEDAY&amp;VAR:SYMBOL=0&amp;VAR:INDEX=0"}</definedName>
    <definedName name="_1920__FDSAUDITLINK__" localSheetId="34">{"fdsup://Directions/FactSet Auditing Viewer?action=AUDIT_VALUE&amp;DB=129&amp;ID1=53217V10&amp;VALUEID=01001&amp;SDATE=2009&amp;PERIODTYPE=ANNR_STD&amp;window=popup_no_bar&amp;width=385&amp;height=120&amp;START_MAXIMIZED=FALSE&amp;creator=factset&amp;display_string=Audit"}</definedName>
    <definedName name="_1920__FDSAUDITLINK__" localSheetId="27">{"fdsup://Directions/FactSet Auditing Viewer?action=AUDIT_VALUE&amp;DB=129&amp;ID1=53217V10&amp;VALUEID=01001&amp;SDATE=2009&amp;PERIODTYPE=ANNR_STD&amp;window=popup_no_bar&amp;width=385&amp;height=120&amp;START_MAXIMIZED=FALSE&amp;creator=factset&amp;display_string=Audit"}</definedName>
    <definedName name="_1921__FDSAUDITLINK__" localSheetId="34">{"fdsup://Directions/FactSet Auditing Viewer?action=AUDIT_VALUE&amp;DB=129&amp;ID1=53217V10&amp;VALUEID=01001&amp;SDATE=2008&amp;PERIODTYPE=ANNR_STD&amp;window=popup_no_bar&amp;width=385&amp;height=120&amp;START_MAXIMIZED=FALSE&amp;creator=factset&amp;display_string=Audit"}</definedName>
    <definedName name="_1921__FDSAUDITLINK__" localSheetId="27">{"fdsup://Directions/FactSet Auditing Viewer?action=AUDIT_VALUE&amp;DB=129&amp;ID1=53217V10&amp;VALUEID=01001&amp;SDATE=2008&amp;PERIODTYPE=ANNR_STD&amp;window=popup_no_bar&amp;width=385&amp;height=120&amp;START_MAXIMIZED=FALSE&amp;creator=factset&amp;display_string=Audit"}</definedName>
    <definedName name="_1922__FDSAUDITLINK__" localSheetId="34">{"fdsup://Directions/FactSet Auditing Viewer?action=AUDIT_VALUE&amp;DB=129&amp;ID1=22281610&amp;VALUEID=01250&amp;SDATE=2009&amp;PERIODTYPE=ANNR_STD&amp;window=popup_no_bar&amp;width=385&amp;height=120&amp;START_MAXIMIZED=FALSE&amp;creator=factset&amp;display_string=Audit"}</definedName>
    <definedName name="_1922__FDSAUDITLINK__" localSheetId="27">{"fdsup://Directions/FactSet Auditing Viewer?action=AUDIT_VALUE&amp;DB=129&amp;ID1=22281610&amp;VALUEID=01250&amp;SDATE=2009&amp;PERIODTYPE=ANNR_STD&amp;window=popup_no_bar&amp;width=385&amp;height=120&amp;START_MAXIMIZED=FALSE&amp;creator=factset&amp;display_string=Audit"}</definedName>
    <definedName name="_1923__FDSAUDITLINK__" localSheetId="34">{"fdsup://Directions/FactSet Auditing Viewer?action=AUDIT_VALUE&amp;DB=129&amp;ID1=22281610&amp;VALUEID=01250&amp;SDATE=2008&amp;PERIODTYPE=ANNR_STD&amp;window=popup_no_bar&amp;width=385&amp;height=120&amp;START_MAXIMIZED=FALSE&amp;creator=factset&amp;display_string=Audit"}</definedName>
    <definedName name="_1923__FDSAUDITLINK__" localSheetId="27">{"fdsup://Directions/FactSet Auditing Viewer?action=AUDIT_VALUE&amp;DB=129&amp;ID1=22281610&amp;VALUEID=01250&amp;SDATE=2008&amp;PERIODTYPE=ANNR_STD&amp;window=popup_no_bar&amp;width=385&amp;height=120&amp;START_MAXIMIZED=FALSE&amp;creator=factset&amp;display_string=Audit"}</definedName>
    <definedName name="_1924__FDSAUDITLINK__" localSheetId="34">{"fdsup://directions/FAT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24__FDSAUDITLINK__" localSheetId="27">{"fdsup://directions/FAT Viewer?action=UPDATE&amp;creator=factset&amp;DYN_ARGS=TRUE&amp;DOC_NAME=FAT:FQL_AUDITING_CLIENT_TEMPLATE.FAT&amp;display_string=Audit&amp;VAR:KEY=FMZCZELKFO&amp;VAR:QUERY=RkZfUEUoQU5OLDAp&amp;WINDOW=FIRST_POPUP&amp;HEIGHT=450&amp;WIDTH=450&amp;START_MAXIMIZED=FALSE&amp;VAR:CA","LENDAR=FIVEDAY&amp;VAR:SYMBOL=0&amp;VAR:INDEX=0"}</definedName>
    <definedName name="_1925__FDSAUDITLINK__" localSheetId="34">{"fdsup://Directions/FactSet Auditing Viewer?action=AUDIT_VALUE&amp;DB=129&amp;ID1=22281610&amp;VALUEID=01001&amp;SDATE=2008&amp;PERIODTYPE=ANNR_STD&amp;window=popup_no_bar&amp;width=385&amp;height=120&amp;START_MAXIMIZED=FALSE&amp;creator=factset&amp;display_string=Audit"}</definedName>
    <definedName name="_1925__FDSAUDITLINK__" localSheetId="27">{"fdsup://Directions/FactSet Auditing Viewer?action=AUDIT_VALUE&amp;DB=129&amp;ID1=22281610&amp;VALUEID=01001&amp;SDATE=2008&amp;PERIODTYPE=ANNR_STD&amp;window=popup_no_bar&amp;width=385&amp;height=120&amp;START_MAXIMIZED=FALSE&amp;creator=factset&amp;display_string=Audit"}</definedName>
    <definedName name="_1926__FDSAUDITLINK__" localSheetId="34">{"fdsup://Directions/FactSet Auditing Viewer?action=AUDIT_VALUE&amp;DB=129&amp;ID1=69946210&amp;VALUEID=18184&amp;SDATE=2010&amp;PERIODTYPE=ANNR_STD&amp;window=popup_no_bar&amp;width=385&amp;height=120&amp;START_MAXIMIZED=FALSE&amp;creator=factset&amp;display_string=Audit"}</definedName>
    <definedName name="_1926__FDSAUDITLINK__" localSheetId="27">{"fdsup://Directions/FactSet Auditing Viewer?action=AUDIT_VALUE&amp;DB=129&amp;ID1=69946210&amp;VALUEID=18184&amp;SDATE=2010&amp;PERIODTYPE=ANNR_STD&amp;window=popup_no_bar&amp;width=385&amp;height=120&amp;START_MAXIMIZED=FALSE&amp;creator=factset&amp;display_string=Audit"}</definedName>
    <definedName name="_1927__FDSAUDITLINK__" localSheetId="34">{"fdsup://Directions/FactSet Auditing Viewer?action=AUDIT_VALUE&amp;DB=129&amp;ID1=69946210&amp;VALUEID=02999&amp;SDATE=2010&amp;PERIODTYPE=ANNR_STD&amp;window=popup_no_bar&amp;width=385&amp;height=120&amp;START_MAXIMIZED=FALSE&amp;creator=factset&amp;display_string=Audit"}</definedName>
    <definedName name="_1927__FDSAUDITLINK__" localSheetId="27">{"fdsup://Directions/FactSet Auditing Viewer?action=AUDIT_VALUE&amp;DB=129&amp;ID1=69946210&amp;VALUEID=02999&amp;SDATE=2010&amp;PERIODTYPE=ANNR_STD&amp;window=popup_no_bar&amp;width=385&amp;height=120&amp;START_MAXIMIZED=FALSE&amp;creator=factset&amp;display_string=Audit"}</definedName>
    <definedName name="_1928__FDSAUDITLINK__" localSheetId="34">{"fdsup://directions/FAT Viewer?action=UPDATE&amp;creator=factset&amp;DYN_ARGS=TRUE&amp;DOC_NAME=FAT:FQL_AUDITING_CLIENT_TEMPLATE.FAT&amp;display_string=Audit&amp;VAR:KEY=RCZIHGNANI&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69946210&amp;VAR:INDEX=0"}</definedName>
    <definedName name="_1928__FDSAUDITLINK__" localSheetId="27">{"fdsup://directions/FAT Viewer?action=UPDATE&amp;creator=factset&amp;DYN_ARGS=TRUE&amp;DOC_NAME=FAT:FQL_AUDITING_CLIENT_TEMPLATE.FAT&amp;display_string=Audit&amp;VAR:KEY=RCZIHGNANI&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69946210&amp;VAR:INDEX=0"}</definedName>
    <definedName name="_1929__FDSAUDITLINK__" localSheetId="34">{"fdsup://directions/FAT Viewer?action=UPDATE&amp;creator=factset&amp;DYN_ARGS=TRUE&amp;DOC_NAME=FAT:FQL_AUDITING_CLIENT_TEMPLATE.FAT&amp;display_string=Audit&amp;VAR:KEY=XSTIBOXEXQ&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69946210&amp;VAR:INDEX=0"}</definedName>
    <definedName name="_1929__FDSAUDITLINK__" localSheetId="27">{"fdsup://directions/FAT Viewer?action=UPDATE&amp;creator=factset&amp;DYN_ARGS=TRUE&amp;DOC_NAME=FAT:FQL_AUDITING_CLIENT_TEMPLATE.FAT&amp;display_string=Audit&amp;VAR:KEY=XSTIBOXEXQ&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69946210&amp;VAR:INDEX=0"}</definedName>
    <definedName name="_1930__FDSAUDITLINK__" localSheetId="34">{"fdsup://directions/FAT Viewer?action=UPDATE&amp;creator=factset&amp;DYN_ARGS=TRUE&amp;DOC_NAME=FAT:FQL_AUDITING_CLIENT_TEMPLATE.FAT&amp;display_string=Audit&amp;VAR:KEY=FGZGTWDYDO&amp;VAR:QUERY=RkZfRklOX0FTU0VUU19JTVBBSVIoQU5OX1IsNDAzOTUsLCxSRixVU0Qp&amp;WINDOW=FIRST_POPUP&amp;HEIGHT=45","0&amp;WIDTH=450&amp;START_MAXIMIZED=FALSE&amp;VAR:CALENDAR=FIVEDAY&amp;VAR:SYMBOL=69946210&amp;VAR:INDEX=0"}</definedName>
    <definedName name="_1930__FDSAUDITLINK__" localSheetId="27">{"fdsup://directions/FAT Viewer?action=UPDATE&amp;creator=factset&amp;DYN_ARGS=TRUE&amp;DOC_NAME=FAT:FQL_AUDITING_CLIENT_TEMPLATE.FAT&amp;display_string=Audit&amp;VAR:KEY=FGZGTWDYDO&amp;VAR:QUERY=RkZfRklOX0FTU0VUU19JTVBBSVIoQU5OX1IsNDAzOTUsLCxSRixVU0Qp&amp;WINDOW=FIRST_POPUP&amp;HEIGHT=45","0&amp;WIDTH=450&amp;START_MAXIMIZED=FALSE&amp;VAR:CALENDAR=FIVEDAY&amp;VAR:SYMBOL=69946210&amp;VAR:INDEX=0"}</definedName>
    <definedName name="_1931__FDSAUDITLINK__" localSheetId="34">{"fdsup://directions/FAT Viewer?action=UPDATE&amp;creator=factset&amp;DYN_ARGS=TRUE&amp;DOC_NAME=FAT:FQL_AUDITING_CLIENT_TEMPLATE.FAT&amp;display_string=Audit&amp;VAR:KEY=ZGPENUXSTG&amp;VAR:QUERY=RkZfRklOX0FTU0VUU19JTVBBSVIoQU5OX1IsNDAzOTUtMVksLCxSRixVU0Qp&amp;WINDOW=FIRST_POPUP&amp;HEIGH","T=450&amp;WIDTH=450&amp;START_MAXIMIZED=FALSE&amp;VAR:CALENDAR=FIVEDAY&amp;VAR:SYMBOL=69946210&amp;VAR:INDEX=0"}</definedName>
    <definedName name="_1931__FDSAUDITLINK__" localSheetId="27">{"fdsup://directions/FAT Viewer?action=UPDATE&amp;creator=factset&amp;DYN_ARGS=TRUE&amp;DOC_NAME=FAT:FQL_AUDITING_CLIENT_TEMPLATE.FAT&amp;display_string=Audit&amp;VAR:KEY=ZGPENUXSTG&amp;VAR:QUERY=RkZfRklOX0FTU0VUU19JTVBBSVIoQU5OX1IsNDAzOTUtMVksLCxSRixVU0Qp&amp;WINDOW=FIRST_POPUP&amp;HEIGH","T=450&amp;WIDTH=450&amp;START_MAXIMIZED=FALSE&amp;VAR:CALENDAR=FIVEDAY&amp;VAR:SYMBOL=69946210&amp;VAR:INDEX=0"}</definedName>
    <definedName name="_1932__FDSAUDITLINK__" localSheetId="34">{"fdsup://directions/FAT Viewer?action=UPDATE&amp;creator=factset&amp;DYN_ARGS=TRUE&amp;DOC_NAME=FAT:FQL_AUDITING_CLIENT_TEMPLATE.FAT&amp;display_string=Audit&amp;VAR:KEY=ZWPWNABIHC&amp;VAR:QUERY=RkZfSU1QQUlSX1BQRShBTk5fUiw0MDM5NSwsLFJGLFVTRCk=&amp;WINDOW=FIRST_POPUP&amp;HEIGHT=450&amp;WIDTH=","450&amp;START_MAXIMIZED=FALSE&amp;VAR:CALENDAR=FIVEDAY&amp;VAR:SYMBOL=69946210&amp;VAR:INDEX=0"}</definedName>
    <definedName name="_1932__FDSAUDITLINK__" localSheetId="27">{"fdsup://directions/FAT Viewer?action=UPDATE&amp;creator=factset&amp;DYN_ARGS=TRUE&amp;DOC_NAME=FAT:FQL_AUDITING_CLIENT_TEMPLATE.FAT&amp;display_string=Audit&amp;VAR:KEY=ZWPWNABIHC&amp;VAR:QUERY=RkZfSU1QQUlSX1BQRShBTk5fUiw0MDM5NSwsLFJGLFVTRCk=&amp;WINDOW=FIRST_POPUP&amp;HEIGHT=450&amp;WIDTH=","450&amp;START_MAXIMIZED=FALSE&amp;VAR:CALENDAR=FIVEDAY&amp;VAR:SYMBOL=69946210&amp;VAR:INDEX=0"}</definedName>
    <definedName name="_1933__FDSAUDITLINK__" localSheetId="34">{"fdsup://directions/FAT Viewer?action=UPDATE&amp;creator=factset&amp;DYN_ARGS=TRUE&amp;DOC_NAME=FAT:FQL_AUDITING_CLIENT_TEMPLATE.FAT&amp;display_string=Audit&amp;VAR:KEY=PAHMJWPEJC&amp;VAR:QUERY=RkZfSU1QQUlSX1BQRShBTk5fUiw0MDM5NS0xWSwsLFJGLFVTRCk=&amp;WINDOW=FIRST_POPUP&amp;HEIGHT=450&amp;WI","DTH=450&amp;START_MAXIMIZED=FALSE&amp;VAR:CALENDAR=FIVEDAY&amp;VAR:SYMBOL=69946210&amp;VAR:INDEX=0"}</definedName>
    <definedName name="_1933__FDSAUDITLINK__" localSheetId="27">{"fdsup://directions/FAT Viewer?action=UPDATE&amp;creator=factset&amp;DYN_ARGS=TRUE&amp;DOC_NAME=FAT:FQL_AUDITING_CLIENT_TEMPLATE.FAT&amp;display_string=Audit&amp;VAR:KEY=PAHMJWPEJC&amp;VAR:QUERY=RkZfSU1QQUlSX1BQRShBTk5fUiw0MDM5NS0xWSwsLFJGLFVTRCk=&amp;WINDOW=FIRST_POPUP&amp;HEIGHT=450&amp;WI","DTH=450&amp;START_MAXIMIZED=FALSE&amp;VAR:CALENDAR=FIVEDAY&amp;VAR:SYMBOL=69946210&amp;VAR:INDEX=0"}</definedName>
    <definedName name="_1934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1934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1935__FDSAUDITLINK__" localSheetId="34">{"fdsup://Directions/FactSet Auditing Viewer?action=AUDIT_VALUE&amp;DB=129&amp;ID1=69946210&amp;VALUEID=04050&amp;SDATE=2009&amp;PERIODTYPE=ANNR_STD&amp;window=popup_no_bar&amp;width=385&amp;height=120&amp;START_MAXIMIZED=FALSE&amp;creator=factset&amp;display_string=Audit"}</definedName>
    <definedName name="_1935__FDSAUDITLINK__" localSheetId="27">{"fdsup://Directions/FactSet Auditing Viewer?action=AUDIT_VALUE&amp;DB=129&amp;ID1=69946210&amp;VALUEID=04050&amp;SDATE=2009&amp;PERIODTYPE=ANNR_STD&amp;window=popup_no_bar&amp;width=385&amp;height=120&amp;START_MAXIMIZED=FALSE&amp;creator=factset&amp;display_string=Audit"}</definedName>
    <definedName name="_1936__FDSAUDITLINK__" localSheetId="34">{"fdsup://Directions/FactSet Auditing Viewer?action=AUDIT_VALUE&amp;DB=129&amp;ID1=69946210&amp;VALUEID=04049&amp;SDATE=2010&amp;PERIODTYPE=ANNR_STD&amp;window=popup_no_bar&amp;width=385&amp;height=120&amp;START_MAXIMIZED=FALSE&amp;creator=factset&amp;display_string=Audit"}</definedName>
    <definedName name="_1936__FDSAUDITLINK__" localSheetId="27">{"fdsup://Directions/FactSet Auditing Viewer?action=AUDIT_VALUE&amp;DB=129&amp;ID1=69946210&amp;VALUEID=04049&amp;SDATE=2010&amp;PERIODTYPE=ANNR_STD&amp;window=popup_no_bar&amp;width=385&amp;height=120&amp;START_MAXIMIZED=FALSE&amp;creator=factset&amp;display_string=Audit"}</definedName>
    <definedName name="_1937__FDSAUDITLINK__" localSheetId="34">{"fdsup://Directions/FactSet Auditing Viewer?action=AUDIT_VALUE&amp;DB=129&amp;ID1=69946210&amp;VALUEID=04049&amp;SDATE=2009&amp;PERIODTYPE=ANNR_STD&amp;window=popup_no_bar&amp;width=385&amp;height=120&amp;START_MAXIMIZED=FALSE&amp;creator=factset&amp;display_string=Audit"}</definedName>
    <definedName name="_1937__FDSAUDITLINK__" localSheetId="27">{"fdsup://Directions/FactSet Auditing Viewer?action=AUDIT_VALUE&amp;DB=129&amp;ID1=69946210&amp;VALUEID=04049&amp;SDATE=2009&amp;PERIODTYPE=ANNR_STD&amp;window=popup_no_bar&amp;width=385&amp;height=120&amp;START_MAXIMIZED=FALSE&amp;creator=factset&amp;display_string=Audit"}</definedName>
    <definedName name="_1938__FDSAUDITLINK__" localSheetId="34">{"fdsup://Directions/FactSet Auditing Viewer?action=AUDIT_VALUE&amp;DB=129&amp;ID1=69946210&amp;VALUEID=04601&amp;SDATE=2010&amp;PERIODTYPE=ANNR_STD&amp;window=popup_no_bar&amp;width=385&amp;height=120&amp;START_MAXIMIZED=FALSE&amp;creator=factset&amp;display_string=Audit"}</definedName>
    <definedName name="_1938__FDSAUDITLINK__" localSheetId="27">{"fdsup://Directions/FactSet Auditing Viewer?action=AUDIT_VALUE&amp;DB=129&amp;ID1=69946210&amp;VALUEID=04601&amp;SDATE=2010&amp;PERIODTYPE=ANNR_STD&amp;window=popup_no_bar&amp;width=385&amp;height=120&amp;START_MAXIMIZED=FALSE&amp;creator=factset&amp;display_string=Audit"}</definedName>
    <definedName name="_1939__FDSAUDITLINK__" localSheetId="34">{"fdsup://Directions/FactSet Auditing Viewer?action=AUDIT_VALUE&amp;DB=129&amp;ID1=69946210&amp;VALUEID=04601&amp;SDATE=2009&amp;PERIODTYPE=ANNR_STD&amp;window=popup_no_bar&amp;width=385&amp;height=120&amp;START_MAXIMIZED=FALSE&amp;creator=factset&amp;display_string=Audit"}</definedName>
    <definedName name="_1939__FDSAUDITLINK__" localSheetId="27">{"fdsup://Directions/FactSet Auditing Viewer?action=AUDIT_VALUE&amp;DB=129&amp;ID1=69946210&amp;VALUEID=04601&amp;SDATE=2009&amp;PERIODTYPE=ANNR_STD&amp;window=popup_no_bar&amp;width=385&amp;height=120&amp;START_MAXIMIZED=FALSE&amp;creator=factset&amp;display_string=Audit"}</definedName>
    <definedName name="_1940__FDSAUDITLINK__" localSheetId="34">{"fdsup://Directions/FactSet Auditing Viewer?action=AUDIT_VALUE&amp;DB=129&amp;ID1=09058M10&amp;VALUEID=18184&amp;SDATE=2009&amp;PERIODTYPE=ANNR_STD&amp;window=popup_no_bar&amp;width=385&amp;height=120&amp;START_MAXIMIZED=FALSE&amp;creator=factset&amp;display_string=Audit"}</definedName>
    <definedName name="_1940__FDSAUDITLINK__" localSheetId="27">{"fdsup://Directions/FactSet Auditing Viewer?action=AUDIT_VALUE&amp;DB=129&amp;ID1=09058M10&amp;VALUEID=18184&amp;SDATE=2009&amp;PERIODTYPE=ANNR_STD&amp;window=popup_no_bar&amp;width=385&amp;height=120&amp;START_MAXIMIZED=FALSE&amp;creator=factset&amp;display_string=Audit"}</definedName>
    <definedName name="_1941__FDSAUDITLINK__" localSheetId="34">{"fdsup://Directions/FactSet Auditing Viewer?action=AUDIT_VALUE&amp;DB=129&amp;ID1=09058M10&amp;VALUEID=02999&amp;SDATE=2009&amp;PERIODTYPE=ANNR_STD&amp;window=popup_no_bar&amp;width=385&amp;height=120&amp;START_MAXIMIZED=FALSE&amp;creator=factset&amp;display_string=Audit"}</definedName>
    <definedName name="_1941__FDSAUDITLINK__" localSheetId="27">{"fdsup://Directions/FactSet Auditing Viewer?action=AUDIT_VALUE&amp;DB=129&amp;ID1=09058M10&amp;VALUEID=02999&amp;SDATE=2009&amp;PERIODTYPE=ANNR_STD&amp;window=popup_no_bar&amp;width=385&amp;height=120&amp;START_MAXIMIZED=FALSE&amp;creator=factset&amp;display_string=Audit"}</definedName>
    <definedName name="_1942__FDSAUDITLINK__" localSheetId="34">{"fdsup://directions/FAT Viewer?action=UPDATE&amp;creator=factset&amp;DYN_ARGS=TRUE&amp;DOC_NAME=FAT:FQL_AUDITING_CLIENT_TEMPLATE.FAT&amp;display_string=Audit&amp;VAR:KEY=JSDOXITWR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09058M10&amp;VAR:INDEX=0"}</definedName>
    <definedName name="_1942__FDSAUDITLINK__" localSheetId="27">{"fdsup://directions/FAT Viewer?action=UPDATE&amp;creator=factset&amp;DYN_ARGS=TRUE&amp;DOC_NAME=FAT:FQL_AUDITING_CLIENT_TEMPLATE.FAT&amp;display_string=Audit&amp;VAR:KEY=JSDOXITWRU&amp;VAR:QUERY=RkZfQVNTRVRTX0NVUlIoQU5OX1IsNDAzOTUsLCxSRixVU0QpLUZGX0NBU0hfU1QoQU5OX1IsNDAzOTUsLCxSR","ixVU0QpLUZGX0xJQUJTX0NVUlIoQU5OX1IsNDAzOTUsLCxSRixVU0QpK0ZGX0RFQlRfU1QoQU5OX1IsNDAzOTUsLCxSRixVU0Qp&amp;WINDOW=FIRST_POPUP&amp;HEIGHT=450&amp;WIDTH=450&amp;START_MAXIMIZED=FALSE&amp;VAR:CALENDAR=FIVEDAY&amp;VAR:SYMBOL=09058M10&amp;VAR:INDEX=0"}</definedName>
    <definedName name="_1943__FDSAUDITLINK__" localSheetId="34">{"fdsup://directions/FAT Viewer?action=UPDATE&amp;creator=factset&amp;DYN_ARGS=TRUE&amp;DOC_NAME=FAT:FQL_AUDITING_CLIENT_TEMPLATE.FAT&amp;display_string=Audit&amp;VAR:KEY=BIVSLWDCR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09058M10&amp;VAR:INDEX=0"}</definedName>
    <definedName name="_1943__FDSAUDITLINK__" localSheetId="27">{"fdsup://directions/FAT Viewer?action=UPDATE&amp;creator=factset&amp;DYN_ARGS=TRUE&amp;DOC_NAME=FAT:FQL_AUDITING_CLIENT_TEMPLATE.FAT&amp;display_string=Audit&amp;VAR:KEY=BIVSLWDCRY&amp;VAR:QUERY=RkZfQVNTRVRTX0NVUlIoQU5OX1IsNDAzOTUtMVksLCxSRixVU0QpLUZGX0NBU0hfU1QoQU5OX1IsNDAzOTUtM","VksLCxSRixVU0QpLUZGX0xJQUJTX0NVUlIoQU5OX1IsNDAzOTUtMVksLCxSRixVU0QpK0ZGX0RFQlRfU1QoQU5OX1IsNDAzOTUtMVksLCxSRixVU0Qp&amp;WINDOW=FIRST_POPUP&amp;HEIGHT=450&amp;WIDTH=450&amp;START_MAXIMIZED=FALSE&amp;VAR:CALENDAR=FIVEDAY&amp;VAR:SYMBOL=09058M10&amp;VAR:INDEX=0"}</definedName>
    <definedName name="_1944__FDSAUDITLINK__" localSheetId="34">{"fdsup://Directions/FactSet Auditing Viewer?action=AUDIT_VALUE&amp;DB=129&amp;ID1=09058M10&amp;VALUEID=18225&amp;SDATE=2009&amp;PERIODTYPE=ANNR_STD&amp;window=popup_no_bar&amp;width=385&amp;height=120&amp;START_MAXIMIZED=FALSE&amp;creator=factset&amp;display_string=Audit"}</definedName>
    <definedName name="_1944__FDSAUDITLINK__" localSheetId="27">{"fdsup://Directions/FactSet Auditing Viewer?action=AUDIT_VALUE&amp;DB=129&amp;ID1=09058M10&amp;VALUEID=18225&amp;SDATE=2009&amp;PERIODTYPE=ANNR_STD&amp;window=popup_no_bar&amp;width=385&amp;height=120&amp;START_MAXIMIZED=FALSE&amp;creator=factset&amp;display_string=Audit"}</definedName>
    <definedName name="_1945__FDSAUDITLINK__" localSheetId="34">{"fdsup://directions/FAT Viewer?action=UPDATE&amp;creator=factset&amp;DYN_ARGS=TRUE&amp;DOC_NAME=FAT:FQL_AUDITING_CLIENT_TEMPLATE.FAT&amp;display_string=Audit&amp;VAR:KEY=FARWHKDUXK&amp;VAR:QUERY=RkZfRklOX0FTU0VUU19JTVBBSVIoQU5OX1IsNDAzOTUsLCxSRixVU0Qp&amp;WINDOW=FIRST_POPUP&amp;HEIGHT=45","0&amp;WIDTH=450&amp;START_MAXIMIZED=FALSE&amp;VAR:CALENDAR=FIVEDAY&amp;VAR:SYMBOL=09058M10&amp;VAR:INDEX=0"}</definedName>
    <definedName name="_1945__FDSAUDITLINK__" localSheetId="27">{"fdsup://directions/FAT Viewer?action=UPDATE&amp;creator=factset&amp;DYN_ARGS=TRUE&amp;DOC_NAME=FAT:FQL_AUDITING_CLIENT_TEMPLATE.FAT&amp;display_string=Audit&amp;VAR:KEY=FARWHKDUXK&amp;VAR:QUERY=RkZfRklOX0FTU0VUU19JTVBBSVIoQU5OX1IsNDAzOTUsLCxSRixVU0Qp&amp;WINDOW=FIRST_POPUP&amp;HEIGHT=45","0&amp;WIDTH=450&amp;START_MAXIMIZED=FALSE&amp;VAR:CALENDAR=FIVEDAY&amp;VAR:SYMBOL=09058M10&amp;VAR:INDEX=0"}</definedName>
    <definedName name="_1946__FDSAUDITLINK__" localSheetId="34">{"fdsup://directions/FAT Viewer?action=UPDATE&amp;creator=factset&amp;DYN_ARGS=TRUE&amp;DOC_NAME=FAT:FQL_AUDITING_CLIENT_TEMPLATE.FAT&amp;display_string=Audit&amp;VAR:KEY=NWFOTQFOBC&amp;VAR:QUERY=RkZfRklOX0FTU0VUU19JTVBBSVIoQU5OX1IsNDAzOTUtMVksLCxSRixVU0Qp&amp;WINDOW=FIRST_POPUP&amp;HEIGH","T=450&amp;WIDTH=450&amp;START_MAXIMIZED=FALSE&amp;VAR:CALENDAR=FIVEDAY&amp;VAR:SYMBOL=09058M10&amp;VAR:INDEX=0"}</definedName>
    <definedName name="_1946__FDSAUDITLINK__" localSheetId="27">{"fdsup://directions/FAT Viewer?action=UPDATE&amp;creator=factset&amp;DYN_ARGS=TRUE&amp;DOC_NAME=FAT:FQL_AUDITING_CLIENT_TEMPLATE.FAT&amp;display_string=Audit&amp;VAR:KEY=NWFOTQFOBC&amp;VAR:QUERY=RkZfRklOX0FTU0VUU19JTVBBSVIoQU5OX1IsNDAzOTUtMVksLCxSRixVU0Qp&amp;WINDOW=FIRST_POPUP&amp;HEIGH","T=450&amp;WIDTH=450&amp;START_MAXIMIZED=FALSE&amp;VAR:CALENDAR=FIVEDAY&amp;VAR:SYMBOL=09058M10&amp;VAR:INDEX=0"}</definedName>
    <definedName name="_1947__FDSAUDITLINK__" localSheetId="34">{"fdsup://directions/FAT Viewer?action=UPDATE&amp;creator=factset&amp;DYN_ARGS=TRUE&amp;DOC_NAME=FAT:FQL_AUDITING_CLIENT_TEMPLATE.FAT&amp;display_string=Audit&amp;VAR:KEY=XYLEHOBGVG&amp;VAR:QUERY=RkZfSU1QQUlSX1BQRShBTk5fUiw0MDM5NSwsLFJGLFVTRCk=&amp;WINDOW=FIRST_POPUP&amp;HEIGHT=450&amp;WIDTH=","450&amp;START_MAXIMIZED=FALSE&amp;VAR:CALENDAR=FIVEDAY&amp;VAR:SYMBOL=09058M10&amp;VAR:INDEX=0"}</definedName>
    <definedName name="_1947__FDSAUDITLINK__" localSheetId="27">{"fdsup://directions/FAT Viewer?action=UPDATE&amp;creator=factset&amp;DYN_ARGS=TRUE&amp;DOC_NAME=FAT:FQL_AUDITING_CLIENT_TEMPLATE.FAT&amp;display_string=Audit&amp;VAR:KEY=XYLEHOBGVG&amp;VAR:QUERY=RkZfSU1QQUlSX1BQRShBTk5fUiw0MDM5NSwsLFJGLFVTRCk=&amp;WINDOW=FIRST_POPUP&amp;HEIGHT=450&amp;WIDTH=","450&amp;START_MAXIMIZED=FALSE&amp;VAR:CALENDAR=FIVEDAY&amp;VAR:SYMBOL=09058M10&amp;VAR:INDEX=0"}</definedName>
    <definedName name="_1948__FDSAUDITLINK__" localSheetId="34">{"fdsup://directions/FAT Viewer?action=UPDATE&amp;creator=factset&amp;DYN_ARGS=TRUE&amp;DOC_NAME=FAT:FQL_AUDITING_CLIENT_TEMPLATE.FAT&amp;display_string=Audit&amp;VAR:KEY=HMFODIZMZC&amp;VAR:QUERY=RkZfSU1QQUlSX1BQRShBTk5fUiw0MDM5NS0xWSwsLFJGLFVTRCk=&amp;WINDOW=FIRST_POPUP&amp;HEIGHT=450&amp;WI","DTH=450&amp;START_MAXIMIZED=FALSE&amp;VAR:CALENDAR=FIVEDAY&amp;VAR:SYMBOL=09058M10&amp;VAR:INDEX=0"}</definedName>
    <definedName name="_1948__FDSAUDITLINK__" localSheetId="27">{"fdsup://directions/FAT Viewer?action=UPDATE&amp;creator=factset&amp;DYN_ARGS=TRUE&amp;DOC_NAME=FAT:FQL_AUDITING_CLIENT_TEMPLATE.FAT&amp;display_string=Audit&amp;VAR:KEY=HMFODIZMZC&amp;VAR:QUERY=RkZfSU1QQUlSX1BQRShBTk5fUiw0MDM5NS0xWSwsLFJGLFVTRCk=&amp;WINDOW=FIRST_POPUP&amp;HEIGHT=450&amp;WI","DTH=450&amp;START_MAXIMIZED=FALSE&amp;VAR:CALENDAR=FIVEDAY&amp;VAR:SYMBOL=09058M10&amp;VAR:INDEX=0"}</definedName>
    <definedName name="_1949__FDSAUDITLINK__" localSheetId="34">{"fdsup://Directions/FactSet Auditing Viewer?action=AUDIT_VALUE&amp;DB=129&amp;ID1=09058M10&amp;VALUEID=04050&amp;SDATE=2009&amp;PERIODTYPE=ANNR_STD&amp;window=popup_no_bar&amp;width=385&amp;height=120&amp;START_MAXIMIZED=FALSE&amp;creator=factset&amp;display_string=Audit"}</definedName>
    <definedName name="_1949__FDSAUDITLINK__" localSheetId="27">{"fdsup://Directions/FactSet Auditing Viewer?action=AUDIT_VALUE&amp;DB=129&amp;ID1=09058M10&amp;VALUEID=04050&amp;SDATE=2009&amp;PERIODTYPE=ANNR_STD&amp;window=popup_no_bar&amp;width=385&amp;height=120&amp;START_MAXIMIZED=FALSE&amp;creator=factset&amp;display_string=Audit"}</definedName>
    <definedName name="_1950__FDSAUDITLINK__" localSheetId="34">{"fdsup://Directions/FactSet Auditing Viewer?action=AUDIT_VALUE&amp;DB=129&amp;ID1=09058M10&amp;VALUEID=04050&amp;SDATE=2008&amp;PERIODTYPE=ANNR_STD&amp;window=popup_no_bar&amp;width=385&amp;height=120&amp;START_MAXIMIZED=FALSE&amp;creator=factset&amp;display_string=Audit"}</definedName>
    <definedName name="_1950__FDSAUDITLINK__" localSheetId="27">{"fdsup://Directions/FactSet Auditing Viewer?action=AUDIT_VALUE&amp;DB=129&amp;ID1=09058M10&amp;VALUEID=04050&amp;SDATE=2008&amp;PERIODTYPE=ANNR_STD&amp;window=popup_no_bar&amp;width=385&amp;height=120&amp;START_MAXIMIZED=FALSE&amp;creator=factset&amp;display_string=Audit"}</definedName>
    <definedName name="_1951__FDSAUDITLINK__" localSheetId="34">{"fdsup://Directions/FactSet Auditing Viewer?action=AUDIT_VALUE&amp;DB=129&amp;ID1=09058M10&amp;VALUEID=04049&amp;SDATE=2009&amp;PERIODTYPE=ANNR_STD&amp;window=popup_no_bar&amp;width=385&amp;height=120&amp;START_MAXIMIZED=FALSE&amp;creator=factset&amp;display_string=Audit"}</definedName>
    <definedName name="_1951__FDSAUDITLINK__" localSheetId="27">{"fdsup://Directions/FactSet Auditing Viewer?action=AUDIT_VALUE&amp;DB=129&amp;ID1=09058M10&amp;VALUEID=04049&amp;SDATE=2009&amp;PERIODTYPE=ANNR_STD&amp;window=popup_no_bar&amp;width=385&amp;height=120&amp;START_MAXIMIZED=FALSE&amp;creator=factset&amp;display_string=Audit"}</definedName>
    <definedName name="_1952__FDSAUDITLINK__" localSheetId="34">{"fdsup://Directions/FactSet Auditing Viewer?action=AUDIT_VALUE&amp;DB=129&amp;ID1=09058M10&amp;VALUEID=04049&amp;SDATE=2008&amp;PERIODTYPE=ANNR_STD&amp;window=popup_no_bar&amp;width=385&amp;height=120&amp;START_MAXIMIZED=FALSE&amp;creator=factset&amp;display_string=Audit"}</definedName>
    <definedName name="_1952__FDSAUDITLINK__" localSheetId="27">{"fdsup://Directions/FactSet Auditing Viewer?action=AUDIT_VALUE&amp;DB=129&amp;ID1=09058M10&amp;VALUEID=04049&amp;SDATE=2008&amp;PERIODTYPE=ANNR_STD&amp;window=popup_no_bar&amp;width=385&amp;height=120&amp;START_MAXIMIZED=FALSE&amp;creator=factset&amp;display_string=Audit"}</definedName>
    <definedName name="_1953__FDSAUDITLINK__" localSheetId="34">{"fdsup://Directions/FactSet Auditing Viewer?action=AUDIT_VALUE&amp;DB=129&amp;ID1=09058M10&amp;VALUEID=04601&amp;SDATE=2009&amp;PERIODTYPE=ANNR_STD&amp;window=popup_no_bar&amp;width=385&amp;height=120&amp;START_MAXIMIZED=FALSE&amp;creator=factset&amp;display_string=Audit"}</definedName>
    <definedName name="_1953__FDSAUDITLINK__" localSheetId="27">{"fdsup://Directions/FactSet Auditing Viewer?action=AUDIT_VALUE&amp;DB=129&amp;ID1=09058M10&amp;VALUEID=04601&amp;SDATE=2009&amp;PERIODTYPE=ANNR_STD&amp;window=popup_no_bar&amp;width=385&amp;height=120&amp;START_MAXIMIZED=FALSE&amp;creator=factset&amp;display_string=Audit"}</definedName>
    <definedName name="_1954__FDSAUDITLINK__" localSheetId="34">{"fdsup://Directions/FactSet Auditing Viewer?action=AUDIT_VALUE&amp;DB=129&amp;ID1=09058M10&amp;VALUEID=04601&amp;SDATE=2008&amp;PERIODTYPE=ANNR_STD&amp;window=popup_no_bar&amp;width=385&amp;height=120&amp;START_MAXIMIZED=FALSE&amp;creator=factset&amp;display_string=Audit"}</definedName>
    <definedName name="_1954__FDSAUDITLINK__" localSheetId="27">{"fdsup://Directions/FactSet Auditing Viewer?action=AUDIT_VALUE&amp;DB=129&amp;ID1=09058M10&amp;VALUEID=04601&amp;SDATE=2008&amp;PERIODTYPE=ANNR_STD&amp;window=popup_no_bar&amp;width=385&amp;height=120&amp;START_MAXIMIZED=FALSE&amp;creator=factset&amp;display_string=Audit"}</definedName>
    <definedName name="_1955__FDSAUDITLINK__" localSheetId="34">{"fdsup://Directions/FactSet Auditing Viewer?action=AUDIT_VALUE&amp;DB=129&amp;ID1=82921410&amp;VALUEID=18184&amp;SDATE=2009&amp;PERIODTYPE=ANNR_STD&amp;window=popup_no_bar&amp;width=385&amp;height=120&amp;START_MAXIMIZED=FALSE&amp;creator=factset&amp;display_string=Audit"}</definedName>
    <definedName name="_1955__FDSAUDITLINK__" localSheetId="27">{"fdsup://Directions/FactSet Auditing Viewer?action=AUDIT_VALUE&amp;DB=129&amp;ID1=82921410&amp;VALUEID=18184&amp;SDATE=2009&amp;PERIODTYPE=ANNR_STD&amp;window=popup_no_bar&amp;width=385&amp;height=120&amp;START_MAXIMIZED=FALSE&amp;creator=factset&amp;display_string=Audit"}</definedName>
    <definedName name="_1956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6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7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7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8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8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9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59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60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60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61__FDSAUDITLINK__" localSheetId="34">{"fdsup://directions/FAT Viewer?action=UPDATE&amp;creator=factset&amp;DYN_ARGS=TRUE&amp;DOC_NAME=FAT:FQL_AUDITING_CLIENT_TEMPLATE.FAT&amp;display_string=Audit&amp;VAR:KEY=ZANMFQPGLU&amp;VAR:QUERY=RkZfSU1QQUlSX1BQRShBTk5fUiw0MDM5NSwsLFJGLFVTRCk=&amp;WINDOW=FIRST_POPUP&amp;HEIGHT=450&amp;WIDTH=","450&amp;START_MAXIMIZED=FALSE&amp;VAR:CALENDAR=FIVEDAY&amp;VAR:SYMBOL=82921410&amp;VAR:INDEX=0"}</definedName>
    <definedName name="_1961__FDSAUDITLINK__" localSheetId="27">{"fdsup://directions/FAT Viewer?action=UPDATE&amp;creator=factset&amp;DYN_ARGS=TRUE&amp;DOC_NAME=FAT:FQL_AUDITING_CLIENT_TEMPLATE.FAT&amp;display_string=Audit&amp;VAR:KEY=ZANMFQPGLU&amp;VAR:QUERY=RkZfSU1QQUlSX1BQRShBTk5fUiw0MDM5NSwsLFJGLFVTRCk=&amp;WINDOW=FIRST_POPUP&amp;HEIGHT=450&amp;WIDTH=","450&amp;START_MAXIMIZED=FALSE&amp;VAR:CALENDAR=FIVEDAY&amp;VAR:SYMBOL=82921410&amp;VAR:INDEX=0"}</definedName>
    <definedName name="_1962__FDSAUDITLINK__" localSheetId="34">{"fdsup://directions/FAT Viewer?action=UPDATE&amp;creator=factset&amp;DYN_ARGS=TRUE&amp;DOC_NAME=FAT:FQL_AUDITING_CLIENT_TEMPLATE.FAT&amp;display_string=Audit&amp;VAR:KEY=LUXOFKTGFO&amp;VAR:QUERY=RkZfSU1QQUlSX1BQRShBTk5fUiw0MDM5NS0xWSwsLFJGLFVTRCk=&amp;WINDOW=FIRST_POPUP&amp;HEIGHT=450&amp;WI","DTH=450&amp;START_MAXIMIZED=FALSE&amp;VAR:CALENDAR=FIVEDAY&amp;VAR:SYMBOL=82921410&amp;VAR:INDEX=0"}</definedName>
    <definedName name="_1962__FDSAUDITLINK__" localSheetId="27">{"fdsup://directions/FAT Viewer?action=UPDATE&amp;creator=factset&amp;DYN_ARGS=TRUE&amp;DOC_NAME=FAT:FQL_AUDITING_CLIENT_TEMPLATE.FAT&amp;display_string=Audit&amp;VAR:KEY=LUXOFKTGFO&amp;VAR:QUERY=RkZfSU1QQUlSX1BQRShBTk5fUiw0MDM5NS0xWSwsLFJGLFVTRCk=&amp;WINDOW=FIRST_POPUP&amp;HEIGHT=450&amp;WI","DTH=450&amp;START_MAXIMIZED=FALSE&amp;VAR:CALENDAR=FIVEDAY&amp;VAR:SYMBOL=82921410&amp;VAR:INDEX=0"}</definedName>
    <definedName name="_1963__FDSAUDITLINK__" localSheetId="34">{"fdsup://Directions/FactSet Auditing Viewer?action=AUDIT_VALUE&amp;DB=129&amp;ID1=82921410&amp;VALUEID=04050&amp;SDATE=2009&amp;PERIODTYPE=ANNR_STD&amp;window=popup_no_bar&amp;width=385&amp;height=120&amp;START_MAXIMIZED=FALSE&amp;creator=factset&amp;display_string=Audit"}</definedName>
    <definedName name="_1963__FDSAUDITLINK__" localSheetId="27">{"fdsup://Directions/FactSet Auditing Viewer?action=AUDIT_VALUE&amp;DB=129&amp;ID1=82921410&amp;VALUEID=04050&amp;SDATE=2009&amp;PERIODTYPE=ANNR_STD&amp;window=popup_no_bar&amp;width=385&amp;height=120&amp;START_MAXIMIZED=FALSE&amp;creator=factset&amp;display_string=Audit"}</definedName>
    <definedName name="_1964__FDSAUDITLINK__" localSheetId="34">{"fdsup://Directions/FactSet Auditing Viewer?action=AUDIT_VALUE&amp;DB=129&amp;ID1=82921410&amp;VALUEID=04050&amp;SDATE=2008&amp;PERIODTYPE=ANNR_STD&amp;window=popup_no_bar&amp;width=385&amp;height=120&amp;START_MAXIMIZED=FALSE&amp;creator=factset&amp;display_string=Audit"}</definedName>
    <definedName name="_1964__FDSAUDITLINK__" localSheetId="27">{"fdsup://Directions/FactSet Auditing Viewer?action=AUDIT_VALUE&amp;DB=129&amp;ID1=82921410&amp;VALUEID=04050&amp;SDATE=2008&amp;PERIODTYPE=ANNR_STD&amp;window=popup_no_bar&amp;width=385&amp;height=120&amp;START_MAXIMIZED=FALSE&amp;creator=factset&amp;display_string=Audit"}</definedName>
    <definedName name="_1965__FDSAUDITLINK__" localSheetId="34">{"fdsup://Directions/FactSet Auditing Viewer?action=AUDIT_VALUE&amp;DB=129&amp;ID1=82921410&amp;VALUEID=04049&amp;SDATE=2009&amp;PERIODTYPE=ANNR_STD&amp;window=popup_no_bar&amp;width=385&amp;height=120&amp;START_MAXIMIZED=FALSE&amp;creator=factset&amp;display_string=Audit"}</definedName>
    <definedName name="_1965__FDSAUDITLINK__" localSheetId="27">{"fdsup://Directions/FactSet Auditing Viewer?action=AUDIT_VALUE&amp;DB=129&amp;ID1=82921410&amp;VALUEID=04049&amp;SDATE=2009&amp;PERIODTYPE=ANNR_STD&amp;window=popup_no_bar&amp;width=385&amp;height=120&amp;START_MAXIMIZED=FALSE&amp;creator=factset&amp;display_string=Audit"}</definedName>
    <definedName name="_1966__FDSAUDITLINK__" localSheetId="34">{"fdsup://Directions/FactSet Auditing Viewer?action=AUDIT_VALUE&amp;DB=129&amp;ID1=82921410&amp;VALUEID=04049&amp;SDATE=2008&amp;PERIODTYPE=ANNR_STD&amp;window=popup_no_bar&amp;width=385&amp;height=120&amp;START_MAXIMIZED=FALSE&amp;creator=factset&amp;display_string=Audit"}</definedName>
    <definedName name="_1966__FDSAUDITLINK__" localSheetId="27">{"fdsup://Directions/FactSet Auditing Viewer?action=AUDIT_VALUE&amp;DB=129&amp;ID1=82921410&amp;VALUEID=04049&amp;SDATE=2008&amp;PERIODTYPE=ANNR_STD&amp;window=popup_no_bar&amp;width=385&amp;height=120&amp;START_MAXIMIZED=FALSE&amp;creator=factset&amp;display_string=Audit"}</definedName>
    <definedName name="_1967__FDSAUDITLINK__" localSheetId="34">{"fdsup://Directions/FactSet Auditing Viewer?action=AUDIT_VALUE&amp;DB=129&amp;ID1=82921410&amp;VALUEID=04601&amp;SDATE=2009&amp;PERIODTYPE=ANNR_STD&amp;window=popup_no_bar&amp;width=385&amp;height=120&amp;START_MAXIMIZED=FALSE&amp;creator=factset&amp;display_string=Audit"}</definedName>
    <definedName name="_1967__FDSAUDITLINK__" localSheetId="27">{"fdsup://Directions/FactSet Auditing Viewer?action=AUDIT_VALUE&amp;DB=129&amp;ID1=82921410&amp;VALUEID=04601&amp;SDATE=2009&amp;PERIODTYPE=ANNR_STD&amp;window=popup_no_bar&amp;width=385&amp;height=120&amp;START_MAXIMIZED=FALSE&amp;creator=factset&amp;display_string=Audit"}</definedName>
    <definedName name="_1968__FDSAUDITLINK__" localSheetId="34">{"fdsup://Directions/FactSet Auditing Viewer?action=AUDIT_VALUE&amp;DB=129&amp;ID1=82921410&amp;VALUEID=04601&amp;SDATE=2008&amp;PERIODTYPE=ANNR_STD&amp;window=popup_no_bar&amp;width=385&amp;height=120&amp;START_MAXIMIZED=FALSE&amp;creator=factset&amp;display_string=Audit"}</definedName>
    <definedName name="_1968__FDSAUDITLINK__" localSheetId="27">{"fdsup://Directions/FactSet Auditing Viewer?action=AUDIT_VALUE&amp;DB=129&amp;ID1=82921410&amp;VALUEID=04601&amp;SDATE=2008&amp;PERIODTYPE=ANNR_STD&amp;window=popup_no_bar&amp;width=385&amp;height=120&amp;START_MAXIMIZED=FALSE&amp;creator=factset&amp;display_string=Audit"}</definedName>
    <definedName name="_1969__FDSAUDITLINK__" localSheetId="34">{"fdsup://Directions/FactSet Auditing Viewer?action=AUDIT_VALUE&amp;DB=129&amp;ID1=53217V10&amp;VALUEID=18184&amp;SDATE=2009&amp;PERIODTYPE=ANNR_STD&amp;window=popup_no_bar&amp;width=385&amp;height=120&amp;START_MAXIMIZED=FALSE&amp;creator=factset&amp;display_string=Audit"}</definedName>
    <definedName name="_1969__FDSAUDITLINK__" localSheetId="27">{"fdsup://Directions/FactSet Auditing Viewer?action=AUDIT_VALUE&amp;DB=129&amp;ID1=53217V10&amp;VALUEID=18184&amp;SDATE=2009&amp;PERIODTYPE=ANNR_STD&amp;window=popup_no_bar&amp;width=385&amp;height=120&amp;START_MAXIMIZED=FALSE&amp;creator=factset&amp;display_string=Audit"}</definedName>
    <definedName name="_1970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0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1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1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2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2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3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3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74__FDSAUDITLINK__" localSheetId="34">{"fdsup://directions/FAT Viewer?action=UPDATE&amp;creator=factset&amp;DYN_ARGS=TRUE&amp;DOC_NAME=FAT:FQL_AUDITING_CLIENT_TEMPLATE.FAT&amp;display_string=Audit&amp;VAR:KEY=RYJSHMRWTG&amp;VAR:QUERY=RkZfRklOX0FTU0VUU19JTVBBSVIoQU5OX1IsNDAzOTUtMVksLCxSRixVU0Qp&amp;WINDOW=FIRST_POPUP&amp;HEIGH","T=450&amp;WIDTH=450&amp;START_MAXIMIZED=FALSE&amp;VAR:CALENDAR=FIVEDAY&amp;VAR:SYMBOL=53217V10&amp;VAR:INDEX=0"}</definedName>
    <definedName name="_1974__FDSAUDITLINK__" localSheetId="27">{"fdsup://directions/FAT Viewer?action=UPDATE&amp;creator=factset&amp;DYN_ARGS=TRUE&amp;DOC_NAME=FAT:FQL_AUDITING_CLIENT_TEMPLATE.FAT&amp;display_string=Audit&amp;VAR:KEY=RYJSHMRWTG&amp;VAR:QUERY=RkZfRklOX0FTU0VUU19JTVBBSVIoQU5OX1IsNDAzOTUtMVksLCxSRixVU0Qp&amp;WINDOW=FIRST_POPUP&amp;HEIGH","T=450&amp;WIDTH=450&amp;START_MAXIMIZED=FALSE&amp;VAR:CALENDAR=FIVEDAY&amp;VAR:SYMBOL=53217V10&amp;VAR:INDEX=0"}</definedName>
    <definedName name="_1975__FDSAUDITLINK__" localSheetId="34">{"fdsup://directions/FAT Viewer?action=UPDATE&amp;creator=factset&amp;DYN_ARGS=TRUE&amp;DOC_NAME=FAT:FQL_AUDITING_CLIENT_TEMPLATE.FAT&amp;display_string=Audit&amp;VAR:KEY=TKFYNOBWFG&amp;VAR:QUERY=RkZfSU1QQUlSX1BQRShBTk5fUiw0MDM5NSwsLFJGLFVTRCk=&amp;WINDOW=FIRST_POPUP&amp;HEIGHT=450&amp;WIDTH=","450&amp;START_MAXIMIZED=FALSE&amp;VAR:CALENDAR=FIVEDAY&amp;VAR:SYMBOL=53217V10&amp;VAR:INDEX=0"}</definedName>
    <definedName name="_1975__FDSAUDITLINK__" localSheetId="27">{"fdsup://directions/FAT Viewer?action=UPDATE&amp;creator=factset&amp;DYN_ARGS=TRUE&amp;DOC_NAME=FAT:FQL_AUDITING_CLIENT_TEMPLATE.FAT&amp;display_string=Audit&amp;VAR:KEY=TKFYNOBWFG&amp;VAR:QUERY=RkZfSU1QQUlSX1BQRShBTk5fUiw0MDM5NSwsLFJGLFVTRCk=&amp;WINDOW=FIRST_POPUP&amp;HEIGHT=450&amp;WIDTH=","450&amp;START_MAXIMIZED=FALSE&amp;VAR:CALENDAR=FIVEDAY&amp;VAR:SYMBOL=53217V10&amp;VAR:INDEX=0"}</definedName>
    <definedName name="_1976__FDSAUDITLINK__" localSheetId="34">{"fdsup://directions/FAT Viewer?action=UPDATE&amp;creator=factset&amp;DYN_ARGS=TRUE&amp;DOC_NAME=FAT:FQL_AUDITING_CLIENT_TEMPLATE.FAT&amp;display_string=Audit&amp;VAR:KEY=FCHOTALKNE&amp;VAR:QUERY=RkZfSU1QQUlSX1BQRShBTk5fUiw0MDM5NS0xWSwsLFJGLFVTRCk=&amp;WINDOW=FIRST_POPUP&amp;HEIGHT=450&amp;WI","DTH=450&amp;START_MAXIMIZED=FALSE&amp;VAR:CALENDAR=FIVEDAY&amp;VAR:SYMBOL=53217V10&amp;VAR:INDEX=0"}</definedName>
    <definedName name="_1976__FDSAUDITLINK__" localSheetId="27">{"fdsup://directions/FAT Viewer?action=UPDATE&amp;creator=factset&amp;DYN_ARGS=TRUE&amp;DOC_NAME=FAT:FQL_AUDITING_CLIENT_TEMPLATE.FAT&amp;display_string=Audit&amp;VAR:KEY=FCHOTALKNE&amp;VAR:QUERY=RkZfSU1QQUlSX1BQRShBTk5fUiw0MDM5NS0xWSwsLFJGLFVTRCk=&amp;WINDOW=FIRST_POPUP&amp;HEIGHT=450&amp;WI","DTH=450&amp;START_MAXIMIZED=FALSE&amp;VAR:CALENDAR=FIVEDAY&amp;VAR:SYMBOL=53217V10&amp;VAR:INDEX=0"}</definedName>
    <definedName name="_1977__FDSAUDITLINK__" localSheetId="34">{"fdsup://Directions/FactSet Auditing Viewer?action=AUDIT_VALUE&amp;DB=129&amp;ID1=53217V10&amp;VALUEID=04050&amp;SDATE=2009&amp;PERIODTYPE=ANNR_STD&amp;window=popup_no_bar&amp;width=385&amp;height=120&amp;START_MAXIMIZED=FALSE&amp;creator=factset&amp;display_string=Audit"}</definedName>
    <definedName name="_1977__FDSAUDITLINK__" localSheetId="27">{"fdsup://Directions/FactSet Auditing Viewer?action=AUDIT_VALUE&amp;DB=129&amp;ID1=53217V10&amp;VALUEID=04050&amp;SDATE=2009&amp;PERIODTYPE=ANNR_STD&amp;window=popup_no_bar&amp;width=385&amp;height=120&amp;START_MAXIMIZED=FALSE&amp;creator=factset&amp;display_string=Audit"}</definedName>
    <definedName name="_1978__FDSAUDITLINK__" localSheetId="34">{"fdsup://Directions/FactSet Auditing Viewer?action=AUDIT_VALUE&amp;DB=129&amp;ID1=53217V10&amp;VALUEID=04050&amp;SDATE=2008&amp;PERIODTYPE=ANNR_STD&amp;window=popup_no_bar&amp;width=385&amp;height=120&amp;START_MAXIMIZED=FALSE&amp;creator=factset&amp;display_string=Audit"}</definedName>
    <definedName name="_1978__FDSAUDITLINK__" localSheetId="27">{"fdsup://Directions/FactSet Auditing Viewer?action=AUDIT_VALUE&amp;DB=129&amp;ID1=53217V10&amp;VALUEID=04050&amp;SDATE=2008&amp;PERIODTYPE=ANNR_STD&amp;window=popup_no_bar&amp;width=385&amp;height=120&amp;START_MAXIMIZED=FALSE&amp;creator=factset&amp;display_string=Audit"}</definedName>
    <definedName name="_1979__FDSAUDITLINK__" localSheetId="34">{"fdsup://Directions/FactSet Auditing Viewer?action=AUDIT_VALUE&amp;DB=129&amp;ID1=53217V10&amp;VALUEID=04049&amp;SDATE=2009&amp;PERIODTYPE=ANNR_STD&amp;window=popup_no_bar&amp;width=385&amp;height=120&amp;START_MAXIMIZED=FALSE&amp;creator=factset&amp;display_string=Audit"}</definedName>
    <definedName name="_1979__FDSAUDITLINK__" localSheetId="27">{"fdsup://Directions/FactSet Auditing Viewer?action=AUDIT_VALUE&amp;DB=129&amp;ID1=53217V10&amp;VALUEID=04049&amp;SDATE=2009&amp;PERIODTYPE=ANNR_STD&amp;window=popup_no_bar&amp;width=385&amp;height=120&amp;START_MAXIMIZED=FALSE&amp;creator=factset&amp;display_string=Audit"}</definedName>
    <definedName name="_1980__FDSAUDITLINK__" localSheetId="34">{"fdsup://Directions/FactSet Auditing Viewer?action=AUDIT_VALUE&amp;DB=129&amp;ID1=53217V10&amp;VALUEID=04049&amp;SDATE=2008&amp;PERIODTYPE=ANNR_STD&amp;window=popup_no_bar&amp;width=385&amp;height=120&amp;START_MAXIMIZED=FALSE&amp;creator=factset&amp;display_string=Audit"}</definedName>
    <definedName name="_1980__FDSAUDITLINK__" localSheetId="27">{"fdsup://Directions/FactSet Auditing Viewer?action=AUDIT_VALUE&amp;DB=129&amp;ID1=53217V10&amp;VALUEID=04049&amp;SDATE=2008&amp;PERIODTYPE=ANNR_STD&amp;window=popup_no_bar&amp;width=385&amp;height=120&amp;START_MAXIMIZED=FALSE&amp;creator=factset&amp;display_string=Audit"}</definedName>
    <definedName name="_1981__FDSAUDITLINK__" localSheetId="34">{"fdsup://Directions/FactSet Auditing Viewer?action=AUDIT_VALUE&amp;DB=129&amp;ID1=53217V10&amp;VALUEID=04601&amp;SDATE=2009&amp;PERIODTYPE=ANNR_STD&amp;window=popup_no_bar&amp;width=385&amp;height=120&amp;START_MAXIMIZED=FALSE&amp;creator=factset&amp;display_string=Audit"}</definedName>
    <definedName name="_1981__FDSAUDITLINK__" localSheetId="27">{"fdsup://Directions/FactSet Auditing Viewer?action=AUDIT_VALUE&amp;DB=129&amp;ID1=53217V10&amp;VALUEID=04601&amp;SDATE=2009&amp;PERIODTYPE=ANNR_STD&amp;window=popup_no_bar&amp;width=385&amp;height=120&amp;START_MAXIMIZED=FALSE&amp;creator=factset&amp;display_string=Audit"}</definedName>
    <definedName name="_1982__FDSAUDITLINK__" localSheetId="34">{"fdsup://Directions/FactSet Auditing Viewer?action=AUDIT_VALUE&amp;DB=129&amp;ID1=53217V10&amp;VALUEID=04601&amp;SDATE=2008&amp;PERIODTYPE=ANNR_STD&amp;window=popup_no_bar&amp;width=385&amp;height=120&amp;START_MAXIMIZED=FALSE&amp;creator=factset&amp;display_string=Audit"}</definedName>
    <definedName name="_1982__FDSAUDITLINK__" localSheetId="27">{"fdsup://Directions/FactSet Auditing Viewer?action=AUDIT_VALUE&amp;DB=129&amp;ID1=53217V10&amp;VALUEID=04601&amp;SDATE=2008&amp;PERIODTYPE=ANNR_STD&amp;window=popup_no_bar&amp;width=385&amp;height=120&amp;START_MAXIMIZED=FALSE&amp;creator=factset&amp;display_string=Audit"}</definedName>
    <definedName name="_1983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3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4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4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5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5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6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6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87__FDSAUDITLINK__" localSheetId="34">{"fdsup://directions/FAT Viewer?action=UPDATE&amp;creator=factset&amp;DYN_ARGS=TRUE&amp;DOC_NAME=FAT:FQL_AUDITING_CLIENT_TEMPLATE.FAT&amp;display_string=Audit&amp;VAR:KEY=TYTQBQLWHY&amp;VAR:QUERY=RkZfRklOX0FTU0VUU19JTVBBSVIoQU5OX1IsNDAzOTUsLCxSRixVU0Qp&amp;WINDOW=FIRST_POPUP&amp;HEIGHT=45","0&amp;WIDTH=450&amp;START_MAXIMIZED=FALSE&amp;VAR:CALENDAR=FIVEDAY&amp;VAR:SYMBOL=22281610&amp;VAR:INDEX=0"}</definedName>
    <definedName name="_1987__FDSAUDITLINK__" localSheetId="27">{"fdsup://directions/FAT Viewer?action=UPDATE&amp;creator=factset&amp;DYN_ARGS=TRUE&amp;DOC_NAME=FAT:FQL_AUDITING_CLIENT_TEMPLATE.FAT&amp;display_string=Audit&amp;VAR:KEY=TYTQBQLWHY&amp;VAR:QUERY=RkZfRklOX0FTU0VUU19JTVBBSVIoQU5OX1IsNDAzOTUsLCxSRixVU0Qp&amp;WINDOW=FIRST_POPUP&amp;HEIGHT=45","0&amp;WIDTH=450&amp;START_MAXIMIZED=FALSE&amp;VAR:CALENDAR=FIVEDAY&amp;VAR:SYMBOL=22281610&amp;VAR:INDEX=0"}</definedName>
    <definedName name="_1988__FDSAUDITLINK__" localSheetId="34">{"fdsup://directions/FAT Viewer?action=UPDATE&amp;creator=factset&amp;DYN_ARGS=TRUE&amp;DOC_NAME=FAT:FQL_AUDITING_CLIENT_TEMPLATE.FAT&amp;display_string=Audit&amp;VAR:KEY=LYVODIRKJK&amp;VAR:QUERY=RkZfRklOX0FTU0VUU19JTVBBSVIoQU5OX1IsNDAzOTUtMVksLCxSRixVU0Qp&amp;WINDOW=FIRST_POPUP&amp;HEIGH","T=450&amp;WIDTH=450&amp;START_MAXIMIZED=FALSE&amp;VAR:CALENDAR=FIVEDAY&amp;VAR:SYMBOL=22281610&amp;VAR:INDEX=0"}</definedName>
    <definedName name="_1988__FDSAUDITLINK__" localSheetId="27">{"fdsup://directions/FAT Viewer?action=UPDATE&amp;creator=factset&amp;DYN_ARGS=TRUE&amp;DOC_NAME=FAT:FQL_AUDITING_CLIENT_TEMPLATE.FAT&amp;display_string=Audit&amp;VAR:KEY=LYVODIRKJK&amp;VAR:QUERY=RkZfRklOX0FTU0VUU19JTVBBSVIoQU5OX1IsNDAzOTUtMVksLCxSRixVU0Qp&amp;WINDOW=FIRST_POPUP&amp;HEIGH","T=450&amp;WIDTH=450&amp;START_MAXIMIZED=FALSE&amp;VAR:CALENDAR=FIVEDAY&amp;VAR:SYMBOL=22281610&amp;VAR:INDEX=0"}</definedName>
    <definedName name="_1989__FDSAUDITLINK__" localSheetId="34">{"fdsup://directions/FAT Viewer?action=UPDATE&amp;creator=factset&amp;DYN_ARGS=TRUE&amp;DOC_NAME=FAT:FQL_AUDITING_CLIENT_TEMPLATE.FAT&amp;display_string=Audit&amp;VAR:KEY=NONONOLCTI&amp;VAR:QUERY=RkZfSU1QQUlSX1BQRShBTk5fUiw0MDM5NSwsLFJGLFVTRCk=&amp;WINDOW=FIRST_POPUP&amp;HEIGHT=450&amp;WIDTH=","450&amp;START_MAXIMIZED=FALSE&amp;VAR:CALENDAR=FIVEDAY&amp;VAR:SYMBOL=22281610&amp;VAR:INDEX=0"}</definedName>
    <definedName name="_1989__FDSAUDITLINK__" localSheetId="27">{"fdsup://directions/FAT Viewer?action=UPDATE&amp;creator=factset&amp;DYN_ARGS=TRUE&amp;DOC_NAME=FAT:FQL_AUDITING_CLIENT_TEMPLATE.FAT&amp;display_string=Audit&amp;VAR:KEY=NONONOLCTI&amp;VAR:QUERY=RkZfSU1QQUlSX1BQRShBTk5fUiw0MDM5NSwsLFJGLFVTRCk=&amp;WINDOW=FIRST_POPUP&amp;HEIGHT=450&amp;WIDTH=","450&amp;START_MAXIMIZED=FALSE&amp;VAR:CALENDAR=FIVEDAY&amp;VAR:SYMBOL=22281610&amp;VAR:INDEX=0"}</definedName>
    <definedName name="_1990__FDSAUDITLINK__" localSheetId="34">{"fdsup://directions/FAT Viewer?action=UPDATE&amp;creator=factset&amp;DYN_ARGS=TRUE&amp;DOC_NAME=FAT:FQL_AUDITING_CLIENT_TEMPLATE.FAT&amp;display_string=Audit&amp;VAR:KEY=HEBWFILAJM&amp;VAR:QUERY=RkZfSU1QQUlSX1BQRShBTk5fUiw0MDM5NS0xWSwsLFJGLFVTRCk=&amp;WINDOW=FIRST_POPUP&amp;HEIGHT=450&amp;WI","DTH=450&amp;START_MAXIMIZED=FALSE&amp;VAR:CALENDAR=FIVEDAY&amp;VAR:SYMBOL=22281610&amp;VAR:INDEX=0"}</definedName>
    <definedName name="_1990__FDSAUDITLINK__" localSheetId="27">{"fdsup://directions/FAT Viewer?action=UPDATE&amp;creator=factset&amp;DYN_ARGS=TRUE&amp;DOC_NAME=FAT:FQL_AUDITING_CLIENT_TEMPLATE.FAT&amp;display_string=Audit&amp;VAR:KEY=HEBWFILAJM&amp;VAR:QUERY=RkZfSU1QQUlSX1BQRShBTk5fUiw0MDM5NS0xWSwsLFJGLFVTRCk=&amp;WINDOW=FIRST_POPUP&amp;HEIGHT=450&amp;WI","DTH=450&amp;START_MAXIMIZED=FALSE&amp;VAR:CALENDAR=FIVEDAY&amp;VAR:SYMBOL=22281610&amp;VAR:INDEX=0"}</definedName>
    <definedName name="_1991__FDSAUDITLINK__" localSheetId="34">{"fdsup://Directions/FactSet Auditing Viewer?action=AUDIT_VALUE&amp;DB=129&amp;ID1=22281610&amp;VALUEID=04050&amp;SDATE=2009&amp;PERIODTYPE=ANNR_STD&amp;window=popup_no_bar&amp;width=385&amp;height=120&amp;START_MAXIMIZED=FALSE&amp;creator=factset&amp;display_string=Audit"}</definedName>
    <definedName name="_1991__FDSAUDITLINK__" localSheetId="27">{"fdsup://Directions/FactSet Auditing Viewer?action=AUDIT_VALUE&amp;DB=129&amp;ID1=22281610&amp;VALUEID=04050&amp;SDATE=2009&amp;PERIODTYPE=ANNR_STD&amp;window=popup_no_bar&amp;width=385&amp;height=120&amp;START_MAXIMIZED=FALSE&amp;creator=factset&amp;display_string=Audit"}</definedName>
    <definedName name="_1992__FDSAUDITLINK__" localSheetId="34">{"fdsup://Directions/FactSet Auditing Viewer?action=AUDIT_VALUE&amp;DB=129&amp;ID1=22281610&amp;VALUEID=04050&amp;SDATE=2008&amp;PERIODTYPE=ANNR_STD&amp;window=popup_no_bar&amp;width=385&amp;height=120&amp;START_MAXIMIZED=FALSE&amp;creator=factset&amp;display_string=Audit"}</definedName>
    <definedName name="_1992__FDSAUDITLINK__" localSheetId="27">{"fdsup://Directions/FactSet Auditing Viewer?action=AUDIT_VALUE&amp;DB=129&amp;ID1=22281610&amp;VALUEID=04050&amp;SDATE=2008&amp;PERIODTYPE=ANNR_STD&amp;window=popup_no_bar&amp;width=385&amp;height=120&amp;START_MAXIMIZED=FALSE&amp;creator=factset&amp;display_string=Audit"}</definedName>
    <definedName name="_1993__FDSAUDITLINK__" localSheetId="34">{"fdsup://Directions/FactSet Auditing Viewer?action=AUDIT_VALUE&amp;DB=129&amp;ID1=22281610&amp;VALUEID=04049&amp;SDATE=2009&amp;PERIODTYPE=ANNR_STD&amp;window=popup_no_bar&amp;width=385&amp;height=120&amp;START_MAXIMIZED=FALSE&amp;creator=factset&amp;display_string=Audit"}</definedName>
    <definedName name="_1993__FDSAUDITLINK__" localSheetId="27">{"fdsup://Directions/FactSet Auditing Viewer?action=AUDIT_VALUE&amp;DB=129&amp;ID1=22281610&amp;VALUEID=04049&amp;SDATE=2009&amp;PERIODTYPE=ANNR_STD&amp;window=popup_no_bar&amp;width=385&amp;height=120&amp;START_MAXIMIZED=FALSE&amp;creator=factset&amp;display_string=Audit"}</definedName>
    <definedName name="_1994__FDSAUDITLINK__" localSheetId="34">{"fdsup://Directions/FactSet Auditing Viewer?action=AUDIT_VALUE&amp;DB=129&amp;ID1=22281610&amp;VALUEID=04049&amp;SDATE=2008&amp;PERIODTYPE=ANNR_STD&amp;window=popup_no_bar&amp;width=385&amp;height=120&amp;START_MAXIMIZED=FALSE&amp;creator=factset&amp;display_string=Audit"}</definedName>
    <definedName name="_1994__FDSAUDITLINK__" localSheetId="27">{"fdsup://Directions/FactSet Auditing Viewer?action=AUDIT_VALUE&amp;DB=129&amp;ID1=22281610&amp;VALUEID=04049&amp;SDATE=2008&amp;PERIODTYPE=ANNR_STD&amp;window=popup_no_bar&amp;width=385&amp;height=120&amp;START_MAXIMIZED=FALSE&amp;creator=factset&amp;display_string=Audit"}</definedName>
    <definedName name="_1995__FDSAUDITLINK__" localSheetId="34">{"fdsup://Directions/FactSet Auditing Viewer?action=AUDIT_VALUE&amp;DB=129&amp;ID1=22281610&amp;VALUEID=04601&amp;SDATE=2009&amp;PERIODTYPE=ANNR_STD&amp;window=popup_no_bar&amp;width=385&amp;height=120&amp;START_MAXIMIZED=FALSE&amp;creator=factset&amp;display_string=Audit"}</definedName>
    <definedName name="_1995__FDSAUDITLINK__" localSheetId="27">{"fdsup://Directions/FactSet Auditing Viewer?action=AUDIT_VALUE&amp;DB=129&amp;ID1=22281610&amp;VALUEID=04601&amp;SDATE=2009&amp;PERIODTYPE=ANNR_STD&amp;window=popup_no_bar&amp;width=385&amp;height=120&amp;START_MAXIMIZED=FALSE&amp;creator=factset&amp;display_string=Audit"}</definedName>
    <definedName name="_1996__FDSAUDITLINK__" localSheetId="34">{"fdsup://Directions/FactSet Auditing Viewer?action=AUDIT_VALUE&amp;DB=129&amp;ID1=22281610&amp;VALUEID=04601&amp;SDATE=2008&amp;PERIODTYPE=ANNR_STD&amp;window=popup_no_bar&amp;width=385&amp;height=120&amp;START_MAXIMIZED=FALSE&amp;creator=factset&amp;display_string=Audit"}</definedName>
    <definedName name="_1996__FDSAUDITLINK__" localSheetId="27">{"fdsup://Directions/FactSet Auditing Viewer?action=AUDIT_VALUE&amp;DB=129&amp;ID1=22281610&amp;VALUEID=04601&amp;SDATE=2008&amp;PERIODTYPE=ANNR_STD&amp;window=popup_no_bar&amp;width=385&amp;height=120&amp;START_MAXIMIZED=FALSE&amp;creator=factset&amp;display_string=Audit"}</definedName>
    <definedName name="_1997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97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98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98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99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1999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000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000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001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001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019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019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02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02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027__FDSAUDITLINK__" localSheetId="34">{"fdsup://directions/FAT Viewer?action=UPDATE&amp;creator=factset&amp;DYN_ARGS=TRUE&amp;DOC_NAME=FAT:FQL_AUDITING_CLIENT_TEMPLATE.FAT&amp;display_string=Audit&amp;VAR:KEY=BSXYJKRAJU&amp;VAR:QUERY=RkZfRUJJVERBX09QRVIoQU5OX1IsNDA2NDEtM1ksLCwsR0JQKQ==&amp;WINDOW=FIRST_POPUP&amp;HEIGHT=450&amp;WI","DTH=450&amp;START_MAXIMIZED=FALSE&amp;VAR:CALENDAR=FIVEDAY&amp;VAR:INDEX=0"}</definedName>
    <definedName name="_2027__FDSAUDITLINK__" localSheetId="27">{"fdsup://directions/FAT Viewer?action=UPDATE&amp;creator=factset&amp;DYN_ARGS=TRUE&amp;DOC_NAME=FAT:FQL_AUDITING_CLIENT_TEMPLATE.FAT&amp;display_string=Audit&amp;VAR:KEY=BSXYJKRAJU&amp;VAR:QUERY=RkZfRUJJVERBX09QRVIoQU5OX1IsNDA2NDEtM1ksLCwsR0JQKQ==&amp;WINDOW=FIRST_POPUP&amp;HEIGHT=450&amp;WI","DTH=450&amp;START_MAXIMIZED=FALSE&amp;VAR:CALENDAR=FIVEDAY&amp;VAR:INDEX=0"}</definedName>
    <definedName name="_2028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028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029__FDSAUDITLINK__" localSheetId="34">{"fdsup://directions/FAT Viewer?action=UPDATE&amp;creator=factset&amp;DYN_ARGS=TRUE&amp;DOC_NAME=FAT:FQL_AUDITING_CLIENT_TEMPLATE.FAT&amp;display_string=Audit&amp;VAR:KEY=DOLATQFKXM&amp;VAR:QUERY=RkZfRUJJVERBX09QRVIoQU5OX1IsNDA2NDEtMVksLCwsR0JQKQ==&amp;WINDOW=FIRST_POPUP&amp;HEIGHT=450&amp;WI","DTH=450&amp;START_MAXIMIZED=FALSE&amp;VAR:CALENDAR=FIVEDAY&amp;VAR:INDEX=0"}</definedName>
    <definedName name="_2029__FDSAUDITLINK__" localSheetId="27">{"fdsup://directions/FAT Viewer?action=UPDATE&amp;creator=factset&amp;DYN_ARGS=TRUE&amp;DOC_NAME=FAT:FQL_AUDITING_CLIENT_TEMPLATE.FAT&amp;display_string=Audit&amp;VAR:KEY=DOLATQFKXM&amp;VAR:QUERY=RkZfRUJJVERBX09QRVIoQU5OX1IsNDA2NDEtMVksLCwsR0JQKQ==&amp;WINDOW=FIRST_POPUP&amp;HEIGHT=450&amp;WI","DTH=450&amp;START_MAXIMIZED=FALSE&amp;VAR:CALENDAR=FIVEDAY&amp;VAR:INDEX=0"}</definedName>
    <definedName name="_2055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055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077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077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095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095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108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08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38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38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5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215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2159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59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61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2161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2162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62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64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164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165__FDSAUDITLINK__" localSheetId="34">{"fdsup://directions/FAT Viewer?action=UPDATE&amp;creator=factset&amp;DYN_ARGS=TRUE&amp;DOC_NAME=FAT:FQL_AUDITING_CLIENT_TEMPLATE.FAT&amp;display_string=Audit&amp;VAR:KEY=JETIRUVAJO&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B126KH&amp;VAR:INDEX=0"}</definedName>
    <definedName name="_2165__FDSAUDITLINK__" localSheetId="27">{"fdsup://directions/FAT Viewer?action=UPDATE&amp;creator=factset&amp;DYN_ARGS=TRUE&amp;DOC_NAME=FAT:FQL_AUDITING_CLIENT_TEMPLATE.FAT&amp;display_string=Audit&amp;VAR:KEY=JETIRUVAJO&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B126KH&amp;VAR:INDEX=0"}</definedName>
    <definedName name="_2168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68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72__FDSAUDITLINK__" localSheetId="34">{"fdsup://directions/FAT Viewer?action=UPDATE&amp;creator=factset&amp;DYN_ARGS=TRUE&amp;DOC_NAME=FAT:FQL_AUDITING_CLIENT_TEMPLATE.FAT&amp;display_string=Audit&amp;VAR:KEY=ULSJCJOBWB&amp;VAR:QUERY=RkZfUEUoQU5OLDQwNjQxLTJZLCwsUkYp&amp;WINDOW=FIRST_POPUP&amp;HEIGHT=450&amp;WIDTH=450&amp;START_MAXIMI","ZED=FALSE&amp;VAR:CALENDAR=FIVEDAY&amp;VAR:SYMBOL=090674&amp;VAR:INDEX=0"}</definedName>
    <definedName name="_2172__FDSAUDITLINK__" localSheetId="27">{"fdsup://directions/FAT Viewer?action=UPDATE&amp;creator=factset&amp;DYN_ARGS=TRUE&amp;DOC_NAME=FAT:FQL_AUDITING_CLIENT_TEMPLATE.FAT&amp;display_string=Audit&amp;VAR:KEY=ULSJCJOBWB&amp;VAR:QUERY=RkZfUEUoQU5OLDQwNjQxLTJZLCwsUkYp&amp;WINDOW=FIRST_POPUP&amp;HEIGHT=450&amp;WIDTH=450&amp;START_MAXIMI","ZED=FALSE&amp;VAR:CALENDAR=FIVEDAY&amp;VAR:SYMBOL=090674&amp;VAR:INDEX=0"}</definedName>
    <definedName name="_2173__FDSAUDITLINK__" localSheetId="34">{"fdsup://directions/FAT Viewer?action=UPDATE&amp;creator=factset&amp;DYN_ARGS=TRUE&amp;DOC_NAME=FAT:FQL_AUDITING_CLIENT_TEMPLATE.FAT&amp;display_string=Audit&amp;VAR:KEY=XCTKNMJYVS&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025592&amp;VAR:INDEX=0"}</definedName>
    <definedName name="_2173__FDSAUDITLINK__" localSheetId="27">{"fdsup://directions/FAT Viewer?action=UPDATE&amp;creator=factset&amp;DYN_ARGS=TRUE&amp;DOC_NAME=FAT:FQL_AUDITING_CLIENT_TEMPLATE.FAT&amp;display_string=Audit&amp;VAR:KEY=XCTKNMJYVS&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025592&amp;VAR:INDEX=0"}</definedName>
    <definedName name="_2177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2177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2179__FDSAUDITLINK__" localSheetId="34">{"fdsup://directions/FAT Viewer?action=UPDATE&amp;creator=factset&amp;DYN_ARGS=TRUE&amp;DOC_NAME=FAT:FQL_AUDITING_CLIENT_TEMPLATE.FAT&amp;display_string=Audit&amp;VAR:KEY=BOPQNCZANU&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046991&amp;VAR:INDEX=0"}</definedName>
    <definedName name="_2179__FDSAUDITLINK__" localSheetId="27">{"fdsup://directions/FAT Viewer?action=UPDATE&amp;creator=factset&amp;DYN_ARGS=TRUE&amp;DOC_NAME=FAT:FQL_AUDITING_CLIENT_TEMPLATE.FAT&amp;display_string=Audit&amp;VAR:KEY=BOPQNCZANU&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046991&amp;VAR:INDEX=0"}</definedName>
    <definedName name="_2182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82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183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83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185__FDSAUDITLINK__" localSheetId="34">{"fdsup://directions/FAT Viewer?action=UPDATE&amp;creator=factset&amp;DYN_ARGS=TRUE&amp;DOC_NAME=FAT:FQL_AUDITING_CLIENT_TEMPLATE.FAT&amp;display_string=Audit&amp;VAR:KEY=ELGZATIDKP&amp;VAR:QUERY=RkZfUEUoQU5OLDQwNjQxLTNZLCwsUkYp&amp;WINDOW=FIRST_POPUP&amp;HEIGHT=450&amp;WIDTH=450&amp;START_MAXIMI","ZED=FALSE&amp;VAR:CALENDAR=FIVEDAY&amp;VAR:SYMBOL=B16GWD&amp;VAR:INDEX=0"}</definedName>
    <definedName name="_2185__FDSAUDITLINK__" localSheetId="27">{"fdsup://directions/FAT Viewer?action=UPDATE&amp;creator=factset&amp;DYN_ARGS=TRUE&amp;DOC_NAME=FAT:FQL_AUDITING_CLIENT_TEMPLATE.FAT&amp;display_string=Audit&amp;VAR:KEY=ELGZATIDKP&amp;VAR:QUERY=RkZfUEUoQU5OLDQwNjQxLTNZLCwsUkYp&amp;WINDOW=FIRST_POPUP&amp;HEIGHT=450&amp;WIDTH=450&amp;START_MAXIMI","ZED=FALSE&amp;VAR:CALENDAR=FIVEDAY&amp;VAR:SYMBOL=B16GWD&amp;VAR:INDEX=0"}</definedName>
    <definedName name="_2186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186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187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87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91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91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192__FDSAUDITLINK__" localSheetId="34">{"fdsup://directions/FAT Viewer?action=UPDATE&amp;creator=factset&amp;DYN_ARGS=TRUE&amp;DOC_NAME=FAT:FQL_AUDITING_CLIENT_TEMPLATE.FAT&amp;display_string=Audit&amp;VAR:KEY=GLMZUPYLWP&amp;VAR:QUERY=RkZfUEUoQU5OLDQwNjQxLCwsUkYp&amp;WINDOW=FIRST_POPUP&amp;HEIGHT=450&amp;WIDTH=450&amp;START_MAXIMIZED=","FALSE&amp;VAR:CALENDAR=FIVEDAY&amp;VAR:SYMBOL=309272&amp;VAR:INDEX=0"}</definedName>
    <definedName name="_2192__FDSAUDITLINK__" localSheetId="27">{"fdsup://directions/FAT Viewer?action=UPDATE&amp;creator=factset&amp;DYN_ARGS=TRUE&amp;DOC_NAME=FAT:FQL_AUDITING_CLIENT_TEMPLATE.FAT&amp;display_string=Audit&amp;VAR:KEY=GLMZUPYLWP&amp;VAR:QUERY=RkZfUEUoQU5OLDQwNjQxLCwsUkYp&amp;WINDOW=FIRST_POPUP&amp;HEIGHT=450&amp;WIDTH=450&amp;START_MAXIMIZED=","FALSE&amp;VAR:CALENDAR=FIVEDAY&amp;VAR:SYMBOL=309272&amp;VAR:INDEX=0"}</definedName>
    <definedName name="_219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19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19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19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01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2201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2203__FDSAUDITLINK__" localSheetId="34">{"fdsup://directions/FAT Viewer?action=UPDATE&amp;creator=factset&amp;DYN_ARGS=TRUE&amp;DOC_NAME=FAT:FQL_AUDITING_CLIENT_TEMPLATE.FAT&amp;display_string=Audit&amp;VAR:KEY=ZIXODOZIZE&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312748&amp;VAR:INDEX=0"}</definedName>
    <definedName name="_2203__FDSAUDITLINK__" localSheetId="27">{"fdsup://directions/FAT Viewer?action=UPDATE&amp;creator=factset&amp;DYN_ARGS=TRUE&amp;DOC_NAME=FAT:FQL_AUDITING_CLIENT_TEMPLATE.FAT&amp;display_string=Audit&amp;VAR:KEY=ZIXODOZIZE&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312748&amp;VAR:INDEX=0"}</definedName>
    <definedName name="_2206__FDSAUDITLINK__" localSheetId="34">{"fdsup://directions/FAT Viewer?action=UPDATE&amp;creator=factset&amp;DYN_ARGS=TRUE&amp;DOC_NAME=FAT:FQL_AUDITING_CLIENT_TEMPLATE.FAT&amp;display_string=Audit&amp;VAR:KEY=ILSRYLEXQR&amp;VAR:QUERY=RkZfUEUoQU5OLDQwNjQxLTNZLCwsUkYp&amp;WINDOW=FIRST_POPUP&amp;HEIGHT=450&amp;WIDTH=450&amp;START_MAXIMI","ZED=FALSE&amp;VAR:CALENDAR=FIVEDAY&amp;VAR:SYMBOL=010486&amp;VAR:INDEX=0"}</definedName>
    <definedName name="_2206__FDSAUDITLINK__" localSheetId="27">{"fdsup://directions/FAT Viewer?action=UPDATE&amp;creator=factset&amp;DYN_ARGS=TRUE&amp;DOC_NAME=FAT:FQL_AUDITING_CLIENT_TEMPLATE.FAT&amp;display_string=Audit&amp;VAR:KEY=ILSRYLEXQR&amp;VAR:QUERY=RkZfUEUoQU5OLDQwNjQxLTNZLCwsUkYp&amp;WINDOW=FIRST_POPUP&amp;HEIGHT=450&amp;WIDTH=450&amp;START_MAXIMI","ZED=FALSE&amp;VAR:CALENDAR=FIVEDAY&amp;VAR:SYMBOL=010486&amp;VAR:INDEX=0"}</definedName>
    <definedName name="_2207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07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08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08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09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09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10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210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211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11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13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13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15__FDSAUDITLINK__" localSheetId="34">{"fdsup://directions/FAT Viewer?action=UPDATE&amp;creator=factset&amp;DYN_ARGS=TRUE&amp;DOC_NAME=FAT:FQL_AUDITING_CLIENT_TEMPLATE.FAT&amp;display_string=Audit&amp;VAR:KEY=IHGNWHMNQT&amp;VAR:QUERY=RkZfUEUoQU5OLDQwNjQxLCwsUkYp&amp;WINDOW=FIRST_POPUP&amp;HEIGHT=450&amp;WIDTH=450&amp;START_MAXIMIZED=","FALSE&amp;VAR:CALENDAR=FIVEDAY&amp;VAR:SYMBOL=090674&amp;VAR:INDEX=0"}</definedName>
    <definedName name="_2215__FDSAUDITLINK__" localSheetId="27">{"fdsup://directions/FAT Viewer?action=UPDATE&amp;creator=factset&amp;DYN_ARGS=TRUE&amp;DOC_NAME=FAT:FQL_AUDITING_CLIENT_TEMPLATE.FAT&amp;display_string=Audit&amp;VAR:KEY=IHGNWHMNQT&amp;VAR:QUERY=RkZfUEUoQU5OLDQwNjQxLCwsUkYp&amp;WINDOW=FIRST_POPUP&amp;HEIGHT=450&amp;WIDTH=450&amp;START_MAXIMIZED=","FALSE&amp;VAR:CALENDAR=FIVEDAY&amp;VAR:SYMBOL=090674&amp;VAR:INDEX=0"}</definedName>
    <definedName name="_2216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216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221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221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22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2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28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228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232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32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33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33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35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2235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2236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36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38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2238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2241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41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47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247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24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4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50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50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51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51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53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53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54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2254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2256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56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57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57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58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58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26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6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62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262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264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2264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2265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2265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2267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67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69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2269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2270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70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73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73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74__FDSAUDITLINK__" localSheetId="34">{"fdsup://directions/FAT Viewer?action=UPDATE&amp;creator=factset&amp;DYN_ARGS=TRUE&amp;DOC_NAME=FAT:FQL_AUDITING_CLIENT_TEMPLATE.FAT&amp;display_string=Audit&amp;VAR:KEY=YBEDGFGJWX&amp;VAR:QUERY=RkZfUEUoQU5OLDQwNjQxLTJZLCwsUkYp&amp;WINDOW=FIRST_POPUP&amp;HEIGHT=450&amp;WIDTH=450&amp;START_MAXIMI","ZED=FALSE&amp;VAR:CALENDAR=FIVEDAY&amp;VAR:SYMBOL=312748&amp;VAR:INDEX=0"}</definedName>
    <definedName name="_2274__FDSAUDITLINK__" localSheetId="27">{"fdsup://directions/FAT Viewer?action=UPDATE&amp;creator=factset&amp;DYN_ARGS=TRUE&amp;DOC_NAME=FAT:FQL_AUDITING_CLIENT_TEMPLATE.FAT&amp;display_string=Audit&amp;VAR:KEY=YBEDGFGJWX&amp;VAR:QUERY=RkZfUEUoQU5OLDQwNjQxLTJZLCwsUkYp&amp;WINDOW=FIRST_POPUP&amp;HEIGHT=450&amp;WIDTH=450&amp;START_MAXIMI","ZED=FALSE&amp;VAR:CALENDAR=FIVEDAY&amp;VAR:SYMBOL=312748&amp;VAR:INDEX=0"}</definedName>
    <definedName name="_2280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0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1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2281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2282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82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283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83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84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4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5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2285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228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8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287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7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88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88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90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290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2291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91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93__FDSAUDITLINK__" localSheetId="34">{"fdsup://directions/FAT Viewer?action=UPDATE&amp;creator=factset&amp;DYN_ARGS=TRUE&amp;DOC_NAME=FAT:FQL_AUDITING_CLIENT_TEMPLATE.FAT&amp;display_string=Audit&amp;VAR:KEY=VSDEPSTURA&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320898&amp;VAR:INDEX=0"}</definedName>
    <definedName name="_2293__FDSAUDITLINK__" localSheetId="27">{"fdsup://directions/FAT Viewer?action=UPDATE&amp;creator=factset&amp;DYN_ARGS=TRUE&amp;DOC_NAME=FAT:FQL_AUDITING_CLIENT_TEMPLATE.FAT&amp;display_string=Audit&amp;VAR:KEY=VSDEPSTURA&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320898&amp;VAR:INDEX=0"}</definedName>
    <definedName name="_229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9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95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95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297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97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298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298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00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300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301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2301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2302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02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06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2306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2307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07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17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17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23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23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24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24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2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2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27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27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30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2330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2332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332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2335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35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36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36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38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38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39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39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41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2341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2343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43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47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47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53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53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54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2354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2357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57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59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59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64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64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66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366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367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67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368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368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2369__FDSAUDITLINK__" localSheetId="34">{"fdsup://directions/FAT Viewer?action=UPDATE&amp;creator=factset&amp;DYN_ARGS=TRUE&amp;DOC_NAME=FAT:FQL_AUDITING_CLIENT_TEMPLATE.FAT&amp;display_string=Audit&amp;VAR:KEY=RGDCNAXGVW&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010486&amp;VAR:INDEX=0"}</definedName>
    <definedName name="_2369__FDSAUDITLINK__" localSheetId="27">{"fdsup://directions/FAT Viewer?action=UPDATE&amp;creator=factset&amp;DYN_ARGS=TRUE&amp;DOC_NAME=FAT:FQL_AUDITING_CLIENT_TEMPLATE.FAT&amp;display_string=Audit&amp;VAR:KEY=RGDCNAXGVW&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010486&amp;VAR:INDEX=0"}</definedName>
    <definedName name="_2370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70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72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372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376__FDSAUDITLINK__" localSheetId="34">{"fdsup://directions/FAT Viewer?action=UPDATE&amp;creator=factset&amp;DYN_ARGS=TRUE&amp;DOC_NAME=FAT:FQL_AUDITING_CLIENT_TEMPLATE.FAT&amp;display_string=Audit&amp;VAR:KEY=QRODINGFUJ&amp;VAR:QUERY=RkZfUEUoQU5OLDQwNjQxLTJZLCwsUkYp&amp;WINDOW=FIRST_POPUP&amp;HEIGHT=450&amp;WIDTH=450&amp;START_MAXIMI","ZED=FALSE&amp;VAR:CALENDAR=FIVEDAY&amp;VAR:SYMBOL=06050510&amp;VAR:INDEX=0"}</definedName>
    <definedName name="_2376__FDSAUDITLINK__" localSheetId="27">{"fdsup://directions/FAT Viewer?action=UPDATE&amp;creator=factset&amp;DYN_ARGS=TRUE&amp;DOC_NAME=FAT:FQL_AUDITING_CLIENT_TEMPLATE.FAT&amp;display_string=Audit&amp;VAR:KEY=QRODINGFUJ&amp;VAR:QUERY=RkZfUEUoQU5OLDQwNjQxLTJZLCwsUkYp&amp;WINDOW=FIRST_POPUP&amp;HEIGHT=450&amp;WIDTH=450&amp;START_MAXIMI","ZED=FALSE&amp;VAR:CALENDAR=FIVEDAY&amp;VAR:SYMBOL=06050510&amp;VAR:INDEX=0"}</definedName>
    <definedName name="_2381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2381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2383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2383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2386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86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390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90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391__FDSAUDITLINK__" localSheetId="34">{"fdsup://directions/FAT Viewer?action=UPDATE&amp;creator=factset&amp;DYN_ARGS=TRUE&amp;DOC_NAME=FAT:FQL_AUDITING_CLIENT_TEMPLATE.FAT&amp;display_string=Audit&amp;VAR:KEY=RSLUTQNUJC&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337647&amp;VAR:INDEX=0"}</definedName>
    <definedName name="_2391__FDSAUDITLINK__" localSheetId="27">{"fdsup://directions/FAT Viewer?action=UPDATE&amp;creator=factset&amp;DYN_ARGS=TRUE&amp;DOC_NAME=FAT:FQL_AUDITING_CLIENT_TEMPLATE.FAT&amp;display_string=Audit&amp;VAR:KEY=RSLUTQNUJC&amp;VAR:QUERY=KEZGX0FTU0VUU19DVVJSKEFOTiw0MDY0MSwsLFJGLEdCUClARkZfQVNTRVRTX0NVUlIoQU5OLDAsLCxSRixHQ","lApKS0oRkZfQ0FTSF9TVChBTk4sNDA2NDEsLCxSRixHQlApQEZGX0NBU0hfU1QoQU5OLDAsLCxSRixHQlApKS0oRkZfTElBQlNfQ1VSUihBTk4sNDA2NDEsLCxSRixHQlApQEZGX0xJQUJTX0NVUlIoQU5OLDAsLCxSRixHQlApKSsoRkZfREVCVF9TVChBTk4sNDA2NDEsLCxSRixHQlApQEZGX0RFQlRfU1QoQU5OLDAsLCxSRixHQlApKQ==","&amp;WINDOW=FIRST_POPUP&amp;HEIGHT=450&amp;WIDTH=450&amp;START_MAXIMIZED=FALSE&amp;VAR:CALENDAR=FIVEDAY&amp;VAR:SYMBOL=337647&amp;VAR:INDEX=0"}</definedName>
    <definedName name="_2392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92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393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93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2395__FDSAUDITLINK__" localSheetId="34">{"fdsup://directions/FAT Viewer?action=UPDATE&amp;creator=factset&amp;DYN_ARGS=TRUE&amp;DOC_NAME=FAT:FQL_AUDITING_CLIENT_TEMPLATE.FAT&amp;display_string=Audit&amp;VAR:KEY=ELUZMTMBQF&amp;VAR:QUERY=RkZfUEUoQU5OLDQwNjQxLTFZLCwsUkYp&amp;WINDOW=FIRST_POPUP&amp;HEIGHT=450&amp;WIDTH=450&amp;START_MAXIMI","ZED=FALSE&amp;VAR:CALENDAR=FIVEDAY&amp;VAR:SYMBOL=309272&amp;VAR:INDEX=0"}</definedName>
    <definedName name="_2395__FDSAUDITLINK__" localSheetId="27">{"fdsup://directions/FAT Viewer?action=UPDATE&amp;creator=factset&amp;DYN_ARGS=TRUE&amp;DOC_NAME=FAT:FQL_AUDITING_CLIENT_TEMPLATE.FAT&amp;display_string=Audit&amp;VAR:KEY=ELUZMTMBQF&amp;VAR:QUERY=RkZfUEUoQU5OLDQwNjQxLTFZLCwsUkYp&amp;WINDOW=FIRST_POPUP&amp;HEIGHT=450&amp;WIDTH=450&amp;START_MAXIMI","ZED=FALSE&amp;VAR:CALENDAR=FIVEDAY&amp;VAR:SYMBOL=309272&amp;VAR:INDEX=0"}</definedName>
    <definedName name="_2397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2397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2399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399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400__FDSAUDITLINK__" localSheetId="34">{"fdsup://directions/FAT Viewer?action=UPDATE&amp;creator=factset&amp;DYN_ARGS=TRUE&amp;DOC_NAME=FAT:FQL_AUDITING_CLIENT_TEMPLATE.FAT&amp;display_string=Audit&amp;VAR:KEY=AZIFMBIRCP&amp;VAR:QUERY=RkZfUEUoQU5OLDQwNjQxLTNZLCwsUkYp&amp;WINDOW=FIRST_POPUP&amp;HEIGHT=450&amp;WIDTH=450&amp;START_MAXIMI","ZED=FALSE&amp;VAR:CALENDAR=FIVEDAY&amp;VAR:SYMBOL=673230&amp;VAR:INDEX=0"}</definedName>
    <definedName name="_2400__FDSAUDITLINK__" localSheetId="27">{"fdsup://directions/FAT Viewer?action=UPDATE&amp;creator=factset&amp;DYN_ARGS=TRUE&amp;DOC_NAME=FAT:FQL_AUDITING_CLIENT_TEMPLATE.FAT&amp;display_string=Audit&amp;VAR:KEY=AZIFMBIRCP&amp;VAR:QUERY=RkZfUEUoQU5OLDQwNjQxLTNZLCwsUkYp&amp;WINDOW=FIRST_POPUP&amp;HEIGHT=450&amp;WIDTH=450&amp;START_MAXIMI","ZED=FALSE&amp;VAR:CALENDAR=FIVEDAY&amp;VAR:SYMBOL=673230&amp;VAR:INDEX=0"}</definedName>
    <definedName name="_2408__FDSAUDITLINK__" localSheetId="34">{"fdsup://directions/FAT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408__FDSAUDITLINK__" localSheetId="27">{"fdsup://directions/FAT Viewer?action=UPDATE&amp;creator=factset&amp;DYN_ARGS=TRUE&amp;DOC_NAME=FAT:FQL_AUDITING_CLIENT_TEMPLATE.FAT&amp;display_string=Audit&amp;VAR:KEY=TILAZAPELS&amp;VAR:QUERY=KEZGX0FTU0VUU19DVVJSKEFOTiw0MDY0MSwsLFJGLClARkZfQVNTRVRTX0NVUlIoQU5OLDAsLCxSRiwpKS0oR","kZfQ0FTSF9TVChBTk4sNDA2NDEsLCxSRiwpQEZGX0NBU0hfU1QoQU5OLDAsLCxSRiwpKS0oRkZfTElBQlNfQ1VSUihBTk4sNDA2NDEsLCxSRiwpQEZGX0xJQUJTX0NVUlIoQU5OLDAsLCxSRiwpKSsoRkZfREVCVF9TVChBTk4sNDA2NDEsLCxSRiwpQEZGX0RFQlRfU1QoQU5OLDAsLCxSRiwpKQ==&amp;WINDOW=FIRST_POPUP&amp;HEIGHT=450&amp;W","IDTH=450&amp;START_MAXIMIZED=FALSE&amp;VAR:CALENDAR=FIVEDAY&amp;VAR:SYMBOL=0&amp;VAR:INDEX=0"}</definedName>
    <definedName name="_2430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430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441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441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442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442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445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445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451__FDSAUDITLINK__" localSheetId="34">{"fdsup://Directions/FactSet Auditing Viewer?action=AUDIT_VALUE&amp;DB=129&amp;ID1=B126KH&amp;VALUEID=02999&amp;SDATE=2009&amp;PERIODTYPE=ANNR_STD&amp;SCFT=3&amp;window=popup_no_bar&amp;width=385&amp;height=120&amp;START_MAXIMIZED=FALSE&amp;creator=factset&amp;display_string=Audit"}</definedName>
    <definedName name="_2451__FDSAUDITLINK__" localSheetId="27">{"fdsup://Directions/FactSet Auditing Viewer?action=AUDIT_VALUE&amp;DB=129&amp;ID1=B126KH&amp;VALUEID=02999&amp;SDATE=2009&amp;PERIODTYPE=ANNR_STD&amp;SCFT=3&amp;window=popup_no_bar&amp;width=385&amp;height=120&amp;START_MAXIMIZED=FALSE&amp;creator=factset&amp;display_string=Audit"}</definedName>
    <definedName name="_2456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456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478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478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484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484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498__FDSAUDITLINK__" localSheetId="34">{"fdsup://directions/FAT Viewer?action=UPDATE&amp;creator=factset&amp;DYN_ARGS=TRUE&amp;DOC_NAME=FAT:FQL_AUDITING_CLIENT_TEMPLATE.FAT&amp;display_string=Audit&amp;VAR:KEY=UDQRSHWVEL&amp;VAR:QUERY=RkZfUEUoQU5OLDQwNjQxLTFZLCwsUkYp&amp;WINDOW=FIRST_POPUP&amp;HEIGHT=450&amp;WIDTH=450&amp;START_MAXIMI","ZED=FALSE&amp;VAR:CALENDAR=FIVEDAY&amp;VAR:SYMBOL=010486&amp;VAR:INDEX=0"}</definedName>
    <definedName name="_2498__FDSAUDITLINK__" localSheetId="27">{"fdsup://directions/FAT Viewer?action=UPDATE&amp;creator=factset&amp;DYN_ARGS=TRUE&amp;DOC_NAME=FAT:FQL_AUDITING_CLIENT_TEMPLATE.FAT&amp;display_string=Audit&amp;VAR:KEY=UDQRSHWVEL&amp;VAR:QUERY=RkZfUEUoQU5OLDQwNjQxLTFZLCwsUkYp&amp;WINDOW=FIRST_POPUP&amp;HEIGHT=450&amp;WIDTH=450&amp;START_MAXIMI","ZED=FALSE&amp;VAR:CALENDAR=FIVEDAY&amp;VAR:SYMBOL=010486&amp;VAR:INDEX=0"}</definedName>
    <definedName name="_2503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503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505__FDSAUDITLINK__" localSheetId="34">{"fdsup://directions/FAT Viewer?action=UPDATE&amp;creator=factset&amp;DYN_ARGS=TRUE&amp;DOC_NAME=FAT:FQL_AUDITING_CLIENT_TEMPLATE.FAT&amp;display_string=Audit&amp;VAR:KEY=YZKLOTGTWR&amp;VAR:QUERY=RkZfUEUoQU5OLDQwNjQxLTJZLCwsUkYp&amp;WINDOW=FIRST_POPUP&amp;HEIGHT=450&amp;WIDTH=450&amp;START_MAXIMI","ZED=FALSE&amp;VAR:CALENDAR=FIVEDAY&amp;VAR:SYMBOL=673230&amp;VAR:INDEX=0"}</definedName>
    <definedName name="_2505__FDSAUDITLINK__" localSheetId="27">{"fdsup://directions/FAT Viewer?action=UPDATE&amp;creator=factset&amp;DYN_ARGS=TRUE&amp;DOC_NAME=FAT:FQL_AUDITING_CLIENT_TEMPLATE.FAT&amp;display_string=Audit&amp;VAR:KEY=YZKLOTGTWR&amp;VAR:QUERY=RkZfUEUoQU5OLDQwNjQxLTJZLCwsUkYp&amp;WINDOW=FIRST_POPUP&amp;HEIGHT=450&amp;WIDTH=450&amp;START_MAXIMI","ZED=FALSE&amp;VAR:CALENDAR=FIVEDAY&amp;VAR:SYMBOL=673230&amp;VAR:INDEX=0"}</definedName>
    <definedName name="_2509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09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13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13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20__FDSAUDITLINK__" localSheetId="34">{"fdsup://directions/FAT Viewer?action=UPDATE&amp;creator=factset&amp;DYN_ARGS=TRUE&amp;DOC_NAME=FAT:FQL_AUDITING_CLIENT_TEMPLATE.FAT&amp;display_string=Audit&amp;VAR:KEY=KLIHQPMXYJ&amp;VAR:QUERY=RkZfUEUoQU5OLDQwNjQxLTJZLCwsUkYp&amp;WINDOW=FIRST_POPUP&amp;HEIGHT=450&amp;WIDTH=450&amp;START_MAXIMI","ZED=FALSE&amp;VAR:CALENDAR=FIVEDAY&amp;VAR:SYMBOL=010486&amp;VAR:INDEX=0"}</definedName>
    <definedName name="_2520__FDSAUDITLINK__" localSheetId="27">{"fdsup://directions/FAT Viewer?action=UPDATE&amp;creator=factset&amp;DYN_ARGS=TRUE&amp;DOC_NAME=FAT:FQL_AUDITING_CLIENT_TEMPLATE.FAT&amp;display_string=Audit&amp;VAR:KEY=KLIHQPMXYJ&amp;VAR:QUERY=RkZfUEUoQU5OLDQwNjQxLTJZLCwsUkYp&amp;WINDOW=FIRST_POPUP&amp;HEIGHT=450&amp;WIDTH=450&amp;START_MAXIMI","ZED=FALSE&amp;VAR:CALENDAR=FIVEDAY&amp;VAR:SYMBOL=010486&amp;VAR:INDEX=0"}</definedName>
    <definedName name="_2525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25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27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27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30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30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7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7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85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85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2592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92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2594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594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2661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661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671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671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2827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827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2830__FDSAUDITLINK__" localSheetId="34">{"fdsup://Directions/FactSet Auditing Viewer?action=AUDIT_VALUE&amp;DB=129&amp;ID1=046991&amp;VALUEID=01151&amp;SDATE=2009&amp;PERIODTYPE=ANNR_STD&amp;SCFT=3&amp;window=popup_no_bar&amp;width=385&amp;height=120&amp;START_MAXIMIZED=FALSE&amp;creator=factset&amp;display_string=Audit"}</definedName>
    <definedName name="_2830__FDSAUDITLINK__" localSheetId="27">{"fdsup://Directions/FactSet Auditing Viewer?action=AUDIT_VALUE&amp;DB=129&amp;ID1=046991&amp;VALUEID=01151&amp;SDATE=2009&amp;PERIODTYPE=ANNR_STD&amp;SCFT=3&amp;window=popup_no_bar&amp;width=385&amp;height=120&amp;START_MAXIMIZED=FALSE&amp;creator=factset&amp;display_string=Audit"}</definedName>
    <definedName name="_2831__FDSAUDITLINK__" localSheetId="34">{"fdsup://Directions/FactSet Auditing Viewer?action=AUDIT_VALUE&amp;DB=129&amp;ID1=046991&amp;VALUEID=04049&amp;SDATE=2005&amp;PERIODTYPE=ANNR_STD&amp;SCFT=3&amp;window=popup_no_bar&amp;width=385&amp;height=120&amp;START_MAXIMIZED=FALSE&amp;creator=factset&amp;display_string=Audit"}</definedName>
    <definedName name="_2831__FDSAUDITLINK__" localSheetId="27">{"fdsup://Directions/FactSet Auditing Viewer?action=AUDIT_VALUE&amp;DB=129&amp;ID1=046991&amp;VALUEID=04049&amp;SDATE=2005&amp;PERIODTYPE=ANNR_STD&amp;SCFT=3&amp;window=popup_no_bar&amp;width=385&amp;height=120&amp;START_MAXIMIZED=FALSE&amp;creator=factset&amp;display_string=Audit"}</definedName>
    <definedName name="_2832__FDSAUDITLINK__" localSheetId="34">{"fdsup://directions/FAT Viewer?action=UPDATE&amp;creator=factset&amp;DYN_ARGS=TRUE&amp;DOC_NAME=FAT:FQL_AUDITING_CLIENT_TEMPLATE.FAT&amp;display_string=Audit&amp;VAR:KEY=WPMNADIXIZ&amp;VAR:QUERY=RkZfSU1QQUlSX1BQRShBTk5fUiw0MDY0MS0xWSwsLFJGLCk=&amp;WINDOW=FIRST_POPUP&amp;HEIGHT=450&amp;WIDTH=","450&amp;START_MAXIMIZED=FALSE&amp;VAR:CALENDAR=FIVEDAY&amp;VAR:SYMBOL=046991&amp;VAR:INDEX=0"}</definedName>
    <definedName name="_2832__FDSAUDITLINK__" localSheetId="27">{"fdsup://directions/FAT Viewer?action=UPDATE&amp;creator=factset&amp;DYN_ARGS=TRUE&amp;DOC_NAME=FAT:FQL_AUDITING_CLIENT_TEMPLATE.FAT&amp;display_string=Audit&amp;VAR:KEY=WPMNADIXIZ&amp;VAR:QUERY=RkZfSU1QQUlSX1BQRShBTk5fUiw0MDY0MS0xWSwsLFJGLCk=&amp;WINDOW=FIRST_POPUP&amp;HEIGHT=450&amp;WIDTH=","450&amp;START_MAXIMIZED=FALSE&amp;VAR:CALENDAR=FIVEDAY&amp;VAR:SYMBOL=046991&amp;VAR:INDEX=0"}</definedName>
    <definedName name="_2833__FDSAUDITLINK__" localSheetId="34">{"fdsup://Directions/FactSet Auditing Viewer?action=AUDIT_VALUE&amp;DB=129&amp;ID1=046991&amp;VALUEID=04049&amp;SDATE=2008&amp;PERIODTYPE=ANNR_STD&amp;SCFT=3&amp;window=popup_no_bar&amp;width=385&amp;height=120&amp;START_MAXIMIZED=FALSE&amp;creator=factset&amp;display_string=Audit"}</definedName>
    <definedName name="_2833__FDSAUDITLINK__" localSheetId="27">{"fdsup://Directions/FactSet Auditing Viewer?action=AUDIT_VALUE&amp;DB=129&amp;ID1=046991&amp;VALUEID=04049&amp;SDATE=2008&amp;PERIODTYPE=ANNR_STD&amp;SCFT=3&amp;window=popup_no_bar&amp;width=385&amp;height=120&amp;START_MAXIMIZED=FALSE&amp;creator=factset&amp;display_string=Audit"}</definedName>
    <definedName name="_2834__FDSAUDITLINK__" localSheetId="34">{"fdsup://directions/FAT Viewer?action=UPDATE&amp;creator=factset&amp;DYN_ARGS=TRUE&amp;DOC_NAME=FAT:FQL_AUDITING_CLIENT_TEMPLATE.FAT&amp;display_string=Audit&amp;VAR:KEY=GHGZSVOVKN&amp;VAR:QUERY=RkZfSU1QQUlSX1BQRShBTk5fUiw0MDY0MSwsLFJGLCk=&amp;WINDOW=FIRST_POPUP&amp;HEIGHT=450&amp;WIDTH=450&amp;","START_MAXIMIZED=FALSE&amp;VAR:CALENDAR=FIVEDAY&amp;VAR:SYMBOL=046991&amp;VAR:INDEX=0"}</definedName>
    <definedName name="_2834__FDSAUDITLINK__" localSheetId="27">{"fdsup://directions/FAT Viewer?action=UPDATE&amp;creator=factset&amp;DYN_ARGS=TRUE&amp;DOC_NAME=FAT:FQL_AUDITING_CLIENT_TEMPLATE.FAT&amp;display_string=Audit&amp;VAR:KEY=GHGZSVOVKN&amp;VAR:QUERY=RkZfSU1QQUlSX1BQRShBTk5fUiw0MDY0MSwsLFJGLCk=&amp;WINDOW=FIRST_POPUP&amp;HEIGHT=450&amp;WIDTH=450&amp;","START_MAXIMIZED=FALSE&amp;VAR:CALENDAR=FIVEDAY&amp;VAR:SYMBOL=046991&amp;VAR:INDEX=0"}</definedName>
    <definedName name="_2835__FDSAUDITLINK__" localSheetId="34">{"fdsup://Directions/FactSet Auditing Viewer?action=AUDIT_VALUE&amp;DB=129&amp;ID1=046991&amp;VALUEID=01001&amp;SDATE=2009&amp;PERIODTYPE=ANNR_STD&amp;SCFT=3&amp;window=popup_no_bar&amp;width=385&amp;height=120&amp;START_MAXIMIZED=FALSE&amp;creator=factset&amp;display_string=Audit"}</definedName>
    <definedName name="_2835__FDSAUDITLINK__" localSheetId="27">{"fdsup://Directions/FactSet Auditing Viewer?action=AUDIT_VALUE&amp;DB=129&amp;ID1=046991&amp;VALUEID=01001&amp;SDATE=2009&amp;PERIODTYPE=ANNR_STD&amp;SCFT=3&amp;window=popup_no_bar&amp;width=385&amp;height=120&amp;START_MAXIMIZED=FALSE&amp;creator=factset&amp;display_string=Audit"}</definedName>
    <definedName name="_2836__FDSAUDITLINK__" localSheetId="34">{"fdsup://Directions/FactSet Auditing Viewer?action=AUDIT_VALUE&amp;DB=129&amp;ID1=046991&amp;VALUEID=01151&amp;SDATE=2008&amp;PERIODTYPE=ANNR_STD&amp;SCFT=3&amp;window=popup_no_bar&amp;width=385&amp;height=120&amp;START_MAXIMIZED=FALSE&amp;creator=factset&amp;display_string=Audit"}</definedName>
    <definedName name="_2836__FDSAUDITLINK__" localSheetId="27">{"fdsup://Directions/FactSet Auditing Viewer?action=AUDIT_VALUE&amp;DB=129&amp;ID1=046991&amp;VALUEID=01151&amp;SDATE=2008&amp;PERIODTYPE=ANNR_STD&amp;SCFT=3&amp;window=popup_no_bar&amp;width=385&amp;height=120&amp;START_MAXIMIZED=FALSE&amp;creator=factset&amp;display_string=Audit"}</definedName>
    <definedName name="_2837__FDSAUDITLINK__" localSheetId="34">{"fdsup://Directions/FactSet Auditing Viewer?action=AUDIT_VALUE&amp;DB=129&amp;ID1=046991&amp;VALUEID=04049&amp;SDATE=2009&amp;PERIODTYPE=ANNR_STD&amp;SCFT=3&amp;window=popup_no_bar&amp;width=385&amp;height=120&amp;START_MAXIMIZED=FALSE&amp;creator=factset&amp;display_string=Audit"}</definedName>
    <definedName name="_2837__FDSAUDITLINK__" localSheetId="27">{"fdsup://Directions/FactSet Auditing Viewer?action=AUDIT_VALUE&amp;DB=129&amp;ID1=046991&amp;VALUEID=04049&amp;SDATE=2009&amp;PERIODTYPE=ANNR_STD&amp;SCFT=3&amp;window=popup_no_bar&amp;width=385&amp;height=120&amp;START_MAXIMIZED=FALSE&amp;creator=factset&amp;display_string=Audit"}</definedName>
    <definedName name="_2838__FDSAUDITLINK__" localSheetId="34">{"fdsup://Directions/FactSet Auditing Viewer?action=AUDIT_VALUE&amp;DB=129&amp;ID1=046991&amp;VALUEID=01151&amp;SDATE=2005&amp;PERIODTYPE=ANNR_STD&amp;SCFT=3&amp;window=popup_no_bar&amp;width=385&amp;height=120&amp;START_MAXIMIZED=FALSE&amp;creator=factset&amp;display_string=Audit"}</definedName>
    <definedName name="_2838__FDSAUDITLINK__" localSheetId="27">{"fdsup://Directions/FactSet Auditing Viewer?action=AUDIT_VALUE&amp;DB=129&amp;ID1=046991&amp;VALUEID=01151&amp;SDATE=2005&amp;PERIODTYPE=ANNR_STD&amp;SCFT=3&amp;window=popup_no_bar&amp;width=385&amp;height=120&amp;START_MAXIMIZED=FALSE&amp;creator=factset&amp;display_string=Audit"}</definedName>
    <definedName name="_2839__FDSAUDITLINK__" localSheetId="34">{"fdsup://directions/FAT Viewer?action=UPDATE&amp;creator=factset&amp;DYN_ARGS=TRUE&amp;DOC_NAME=FAT:FQL_AUDITING_CLIENT_TEMPLATE.FAT&amp;display_string=Audit&amp;VAR:KEY=TOLKTYZYPK&amp;VAR:QUERY=RkZfRUJJVERBX09QRVIoQU5OX1IsNDA2NDEtNFksLCwsKQ==&amp;WINDOW=FIRST_POPUP&amp;HEIGHT=450&amp;WIDTH=","450&amp;START_MAXIMIZED=FALSE&amp;VAR:CALENDAR=FIVEDAY&amp;VAR:SYMBOL=046991&amp;VAR:INDEX=0"}</definedName>
    <definedName name="_2839__FDSAUDITLINK__" localSheetId="27">{"fdsup://directions/FAT Viewer?action=UPDATE&amp;creator=factset&amp;DYN_ARGS=TRUE&amp;DOC_NAME=FAT:FQL_AUDITING_CLIENT_TEMPLATE.FAT&amp;display_string=Audit&amp;VAR:KEY=TOLKTYZYPK&amp;VAR:QUERY=RkZfRUJJVERBX09QRVIoQU5OX1IsNDA2NDEtNFksLCwsKQ==&amp;WINDOW=FIRST_POPUP&amp;HEIGHT=450&amp;WIDTH=","450&amp;START_MAXIMIZED=FALSE&amp;VAR:CALENDAR=FIVEDAY&amp;VAR:SYMBOL=046991&amp;VAR:INDEX=0"}</definedName>
    <definedName name="_2840__FDSAUDITLINK__" localSheetId="34">{"fdsup://directions/FAT Viewer?action=UPDATE&amp;creator=factset&amp;DYN_ARGS=TRUE&amp;DOC_NAME=FAT:FQL_AUDITING_CLIENT_TEMPLATE.FAT&amp;display_string=Audit&amp;VAR:KEY=HKVWTEVIHW&amp;VAR:QUERY=RkZfRUJJVERBX09QRVIoQU5OX1IsNDA2NDEtM1ksLCwsKQ==&amp;WINDOW=FIRST_POPUP&amp;HEIGHT=450&amp;WIDTH=","450&amp;START_MAXIMIZED=FALSE&amp;VAR:CALENDAR=FIVEDAY&amp;VAR:SYMBOL=046991&amp;VAR:INDEX=0"}</definedName>
    <definedName name="_2840__FDSAUDITLINK__" localSheetId="27">{"fdsup://directions/FAT Viewer?action=UPDATE&amp;creator=factset&amp;DYN_ARGS=TRUE&amp;DOC_NAME=FAT:FQL_AUDITING_CLIENT_TEMPLATE.FAT&amp;display_string=Audit&amp;VAR:KEY=HKVWTEVIHW&amp;VAR:QUERY=RkZfRUJJVERBX09QRVIoQU5OX1IsNDA2NDEtM1ksLCwsKQ==&amp;WINDOW=FIRST_POPUP&amp;HEIGHT=450&amp;WIDTH=","450&amp;START_MAXIMIZED=FALSE&amp;VAR:CALENDAR=FIVEDAY&amp;VAR:SYMBOL=046991&amp;VAR:INDEX=0"}</definedName>
    <definedName name="_2841__FDSAUDITLINK__" localSheetId="34">{"fdsup://directions/FAT Viewer?action=UPDATE&amp;creator=factset&amp;DYN_ARGS=TRUE&amp;DOC_NAME=FAT:FQL_AUDITING_CLIENT_TEMPLATE.FAT&amp;display_string=Audit&amp;VAR:KEY=NYHWDIXYBU&amp;VAR:QUERY=RkZfRUJJVERBX09QRVIoQU5OX1IsNDA2NDEtMlksLCwsKQ==&amp;WINDOW=FIRST_POPUP&amp;HEIGHT=450&amp;WIDTH=","450&amp;START_MAXIMIZED=FALSE&amp;VAR:CALENDAR=FIVEDAY&amp;VAR:SYMBOL=046991&amp;VAR:INDEX=0"}</definedName>
    <definedName name="_2841__FDSAUDITLINK__" localSheetId="27">{"fdsup://directions/FAT Viewer?action=UPDATE&amp;creator=factset&amp;DYN_ARGS=TRUE&amp;DOC_NAME=FAT:FQL_AUDITING_CLIENT_TEMPLATE.FAT&amp;display_string=Audit&amp;VAR:KEY=NYHWDIXYBU&amp;VAR:QUERY=RkZfRUJJVERBX09QRVIoQU5OX1IsNDA2NDEtMlksLCwsKQ==&amp;WINDOW=FIRST_POPUP&amp;HEIGHT=450&amp;WIDTH=","450&amp;START_MAXIMIZED=FALSE&amp;VAR:CALENDAR=FIVEDAY&amp;VAR:SYMBOL=046991&amp;VAR:INDEX=0"}</definedName>
    <definedName name="_2842__FDSAUDITLINK__" localSheetId="34">{"fdsup://directions/FAT Viewer?action=UPDATE&amp;creator=factset&amp;DYN_ARGS=TRUE&amp;DOC_NAME=FAT:FQL_AUDITING_CLIENT_TEMPLATE.FAT&amp;display_string=Audit&amp;VAR:KEY=TWHKDOHOFY&amp;VAR:QUERY=RkZfRUJJVERBX09QRVIoQU5OX1IsNDA2NDEtMVksLCwsKQ==&amp;WINDOW=FIRST_POPUP&amp;HEIGHT=450&amp;WIDTH=","450&amp;START_MAXIMIZED=FALSE&amp;VAR:CALENDAR=FIVEDAY&amp;VAR:SYMBOL=046991&amp;VAR:INDEX=0"}</definedName>
    <definedName name="_2842__FDSAUDITLINK__" localSheetId="27">{"fdsup://directions/FAT Viewer?action=UPDATE&amp;creator=factset&amp;DYN_ARGS=TRUE&amp;DOC_NAME=FAT:FQL_AUDITING_CLIENT_TEMPLATE.FAT&amp;display_string=Audit&amp;VAR:KEY=TWHKDOHOFY&amp;VAR:QUERY=RkZfRUJJVERBX09QRVIoQU5OX1IsNDA2NDEtMVksLCwsKQ==&amp;WINDOW=FIRST_POPUP&amp;HEIGHT=450&amp;WIDTH=","450&amp;START_MAXIMIZED=FALSE&amp;VAR:CALENDAR=FIVEDAY&amp;VAR:SYMBOL=046991&amp;VAR:INDEX=0"}</definedName>
    <definedName name="_2843__FDSAUDITLINK__" localSheetId="34">{"fdsup://directions/FAT Viewer?action=UPDATE&amp;creator=factset&amp;DYN_ARGS=TRUE&amp;DOC_NAME=FAT:FQL_AUDITING_CLIENT_TEMPLATE.FAT&amp;display_string=Audit&amp;VAR:KEY=RMDYZKPWJC&amp;VAR:QUERY=RkZfRUJJVERBX09QRVIoQU5OX1IsNDA2NDEsLCwsKQ==&amp;WINDOW=FIRST_POPUP&amp;HEIGHT=450&amp;WIDTH=450&amp;","START_MAXIMIZED=FALSE&amp;VAR:CALENDAR=FIVEDAY&amp;VAR:SYMBOL=046991&amp;VAR:INDEX=0"}</definedName>
    <definedName name="_2843__FDSAUDITLINK__" localSheetId="27">{"fdsup://directions/FAT Viewer?action=UPDATE&amp;creator=factset&amp;DYN_ARGS=TRUE&amp;DOC_NAME=FAT:FQL_AUDITING_CLIENT_TEMPLATE.FAT&amp;display_string=Audit&amp;VAR:KEY=RMDYZKPWJC&amp;VAR:QUERY=RkZfRUJJVERBX09QRVIoQU5OX1IsNDA2NDEsLCwsKQ==&amp;WINDOW=FIRST_POPUP&amp;HEIGHT=450&amp;WIDTH=450&amp;","START_MAXIMIZED=FALSE&amp;VAR:CALENDAR=FIVEDAY&amp;VAR:SYMBOL=046991&amp;VAR:INDEX=0"}</definedName>
    <definedName name="_2844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2844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2845__FDSAUDITLINK__" localSheetId="34">{"fdsup://Directions/FactSet Auditing Viewer?action=AUDIT_VALUE&amp;DB=129&amp;ID1=046991&amp;VALUEID=01250&amp;SDATE=2009&amp;PERIODTYPE=ANNR_STD&amp;SCFT=3&amp;window=popup_no_bar&amp;width=385&amp;height=120&amp;START_MAXIMIZED=FALSE&amp;creator=factset&amp;display_string=Audit"}</definedName>
    <definedName name="_2845__FDSAUDITLINK__" localSheetId="27">{"fdsup://Directions/FactSet Auditing Viewer?action=AUDIT_VALUE&amp;DB=129&amp;ID1=046991&amp;VALUEID=01250&amp;SDATE=2009&amp;PERIODTYPE=ANNR_STD&amp;SCFT=3&amp;window=popup_no_bar&amp;width=385&amp;height=120&amp;START_MAXIMIZED=FALSE&amp;creator=factset&amp;display_string=Audit"}</definedName>
    <definedName name="_2846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2846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2847__FDSAUDITLINK__" localSheetId="34">{"fdsup://directions/FAT Viewer?action=UPDATE&amp;creator=factset&amp;DYN_ARGS=TRUE&amp;DOC_NAME=FAT:FQL_AUDITING_CLIENT_TEMPLATE.FAT&amp;display_string=Audit&amp;VAR:KEY=MLMHCBONQJ&amp;VAR:QUERY=RkZfSU1QQUlSX1BQRShBTk5fUiw0MDY0MS0yWSwsLFJGLCk=&amp;WINDOW=FIRST_POPUP&amp;HEIGHT=450&amp;WIDTH=","450&amp;START_MAXIMIZED=FALSE&amp;VAR:CALENDAR=FIVEDAY&amp;VAR:SYMBOL=046991&amp;VAR:INDEX=0"}</definedName>
    <definedName name="_2847__FDSAUDITLINK__" localSheetId="27">{"fdsup://directions/FAT Viewer?action=UPDATE&amp;creator=factset&amp;DYN_ARGS=TRUE&amp;DOC_NAME=FAT:FQL_AUDITING_CLIENT_TEMPLATE.FAT&amp;display_string=Audit&amp;VAR:KEY=MLMHCBONQJ&amp;VAR:QUERY=RkZfSU1QQUlSX1BQRShBTk5fUiw0MDY0MS0yWSwsLFJGLCk=&amp;WINDOW=FIRST_POPUP&amp;HEIGHT=450&amp;WIDTH=","450&amp;START_MAXIMIZED=FALSE&amp;VAR:CALENDAR=FIVEDAY&amp;VAR:SYMBOL=046991&amp;VAR:INDEX=0"}</definedName>
    <definedName name="_2848__FDSAUDITLINK__" localSheetId="34">{"fdsup://directions/FAT Viewer?action=UPDATE&amp;creator=factset&amp;DYN_ARGS=TRUE&amp;DOC_NAME=FAT:FQL_AUDITING_CLIENT_TEMPLATE.FAT&amp;display_string=Audit&amp;VAR:KEY=QLQJYBCVEF&amp;VAR:QUERY=RkZfSU1QQUlSX1BQRShBTk5fUiw0MDY0MS0zWSwsLFJGLCk=&amp;WINDOW=FIRST_POPUP&amp;HEIGHT=450&amp;WIDTH=","450&amp;START_MAXIMIZED=FALSE&amp;VAR:CALENDAR=FIVEDAY&amp;VAR:SYMBOL=046991&amp;VAR:INDEX=0"}</definedName>
    <definedName name="_2848__FDSAUDITLINK__" localSheetId="27">{"fdsup://directions/FAT Viewer?action=UPDATE&amp;creator=factset&amp;DYN_ARGS=TRUE&amp;DOC_NAME=FAT:FQL_AUDITING_CLIENT_TEMPLATE.FAT&amp;display_string=Audit&amp;VAR:KEY=QLQJYBCVEF&amp;VAR:QUERY=RkZfSU1QQUlSX1BQRShBTk5fUiw0MDY0MS0zWSwsLFJGLCk=&amp;WINDOW=FIRST_POPUP&amp;HEIGHT=450&amp;WIDTH=","450&amp;START_MAXIMIZED=FALSE&amp;VAR:CALENDAR=FIVEDAY&amp;VAR:SYMBOL=046991&amp;VAR:INDEX=0"}</definedName>
    <definedName name="_2849__FDSAUDITLINK__" localSheetId="34">{"fdsup://directions/FAT Viewer?action=UPDATE&amp;creator=factset&amp;DYN_ARGS=TRUE&amp;DOC_NAME=FAT:FQL_AUDITING_CLIENT_TEMPLATE.FAT&amp;display_string=Audit&amp;VAR:KEY=QFOLWBIXST&amp;VAR:QUERY=RkZfSU1QQUlSX1BQRShBTk5fUiw0MDY0MS00WSwsLFJGLCk=&amp;WINDOW=FIRST_POPUP&amp;HEIGHT=450&amp;WIDTH=","450&amp;START_MAXIMIZED=FALSE&amp;VAR:CALENDAR=FIVEDAY&amp;VAR:SYMBOL=046991&amp;VAR:INDEX=0"}</definedName>
    <definedName name="_2849__FDSAUDITLINK__" localSheetId="27">{"fdsup://directions/FAT Viewer?action=UPDATE&amp;creator=factset&amp;DYN_ARGS=TRUE&amp;DOC_NAME=FAT:FQL_AUDITING_CLIENT_TEMPLATE.FAT&amp;display_string=Audit&amp;VAR:KEY=QFOLWBIXST&amp;VAR:QUERY=RkZfSU1QQUlSX1BQRShBTk5fUiw0MDY0MS00WSwsLFJGLCk=&amp;WINDOW=FIRST_POPUP&amp;HEIGHT=450&amp;WIDTH=","450&amp;START_MAXIMIZED=FALSE&amp;VAR:CALENDAR=FIVEDAY&amp;VAR:SYMBOL=046991&amp;VAR:INDEX=0"}</definedName>
    <definedName name="_2850__FDSAUDITLINK__" localSheetId="34">{"fdsup://directions/FAT Viewer?action=UPDATE&amp;creator=factset&amp;DYN_ARGS=TRUE&amp;DOC_NAME=FAT:FQL_AUDITING_CLIENT_TEMPLATE.FAT&amp;display_string=Audit&amp;VAR:KEY=EHKDYNOZKH&amp;VAR:QUERY=RkZfRklOX0FTU0VUU19JTVBBSVIoQU5OX1IsNDA2NDEsLCxSRiwp&amp;WINDOW=FIRST_POPUP&amp;HEIGHT=450&amp;WI","DTH=450&amp;START_MAXIMIZED=FALSE&amp;VAR:CALENDAR=FIVEDAY&amp;VAR:SYMBOL=046991&amp;VAR:INDEX=0"}</definedName>
    <definedName name="_2850__FDSAUDITLINK__" localSheetId="27">{"fdsup://directions/FAT Viewer?action=UPDATE&amp;creator=factset&amp;DYN_ARGS=TRUE&amp;DOC_NAME=FAT:FQL_AUDITING_CLIENT_TEMPLATE.FAT&amp;display_string=Audit&amp;VAR:KEY=EHKDYNOZKH&amp;VAR:QUERY=RkZfRklOX0FTU0VUU19JTVBBSVIoQU5OX1IsNDA2NDEsLCxSRiwp&amp;WINDOW=FIRST_POPUP&amp;HEIGHT=450&amp;WI","DTH=450&amp;START_MAXIMIZED=FALSE&amp;VAR:CALENDAR=FIVEDAY&amp;VAR:SYMBOL=046991&amp;VAR:INDEX=0"}</definedName>
    <definedName name="_2851__FDSAUDITLINK__" localSheetId="34">{"fdsup://directions/FAT Viewer?action=UPDATE&amp;creator=factset&amp;DYN_ARGS=TRUE&amp;DOC_NAME=FAT:FQL_AUDITING_CLIENT_TEMPLATE.FAT&amp;display_string=Audit&amp;VAR:KEY=MVUNYXMJKD&amp;VAR:QUERY=RkZfRklOX0FTU0VUU19JTVBBSVIoQU5OX1IsNDA2NDEtMVksLCxSRiwp&amp;WINDOW=FIRST_POPUP&amp;HEIGHT=45","0&amp;WIDTH=450&amp;START_MAXIMIZED=FALSE&amp;VAR:CALENDAR=FIVEDAY&amp;VAR:SYMBOL=046991&amp;VAR:INDEX=0"}</definedName>
    <definedName name="_2851__FDSAUDITLINK__" localSheetId="27">{"fdsup://directions/FAT Viewer?action=UPDATE&amp;creator=factset&amp;DYN_ARGS=TRUE&amp;DOC_NAME=FAT:FQL_AUDITING_CLIENT_TEMPLATE.FAT&amp;display_string=Audit&amp;VAR:KEY=MVUNYXMJKD&amp;VAR:QUERY=RkZfRklOX0FTU0VUU19JTVBBSVIoQU5OX1IsNDA2NDEtMVksLCxSRiwp&amp;WINDOW=FIRST_POPUP&amp;HEIGHT=45","0&amp;WIDTH=450&amp;START_MAXIMIZED=FALSE&amp;VAR:CALENDAR=FIVEDAY&amp;VAR:SYMBOL=046991&amp;VAR:INDEX=0"}</definedName>
    <definedName name="_2852__FDSAUDITLINK__" localSheetId="34">{"fdsup://directions/FAT Viewer?action=UPDATE&amp;creator=factset&amp;DYN_ARGS=TRUE&amp;DOC_NAME=FAT:FQL_AUDITING_CLIENT_TEMPLATE.FAT&amp;display_string=Audit&amp;VAR:KEY=IDEZQHILMR&amp;VAR:QUERY=RkZfRklOX0FTU0VUU19JTVBBSVIoQU5OX1IsNDA2NDEtMlksLCxSRiwp&amp;WINDOW=FIRST_POPUP&amp;HEIGHT=45","0&amp;WIDTH=450&amp;START_MAXIMIZED=FALSE&amp;VAR:CALENDAR=FIVEDAY&amp;VAR:SYMBOL=046991&amp;VAR:INDEX=0"}</definedName>
    <definedName name="_2852__FDSAUDITLINK__" localSheetId="27">{"fdsup://directions/FAT Viewer?action=UPDATE&amp;creator=factset&amp;DYN_ARGS=TRUE&amp;DOC_NAME=FAT:FQL_AUDITING_CLIENT_TEMPLATE.FAT&amp;display_string=Audit&amp;VAR:KEY=IDEZQHILMR&amp;VAR:QUERY=RkZfRklOX0FTU0VUU19JTVBBSVIoQU5OX1IsNDA2NDEtMlksLCxSRiwp&amp;WINDOW=FIRST_POPUP&amp;HEIGHT=45","0&amp;WIDTH=450&amp;START_MAXIMIZED=FALSE&amp;VAR:CALENDAR=FIVEDAY&amp;VAR:SYMBOL=046991&amp;VAR:INDEX=0"}</definedName>
    <definedName name="_2853__FDSAUDITLINK__" localSheetId="34">{"fdsup://directions/FAT Viewer?action=UPDATE&amp;creator=factset&amp;DYN_ARGS=TRUE&amp;DOC_NAME=FAT:FQL_AUDITING_CLIENT_TEMPLATE.FAT&amp;display_string=Audit&amp;VAR:KEY=ADUVGBSZAX&amp;VAR:QUERY=RkZfRklOX0FTU0VUU19JTVBBSVIoQU5OX1IsNDA2NDEtM1ksLCxSRiwp&amp;WINDOW=FIRST_POPUP&amp;HEIGHT=45","0&amp;WIDTH=450&amp;START_MAXIMIZED=FALSE&amp;VAR:CALENDAR=FIVEDAY&amp;VAR:SYMBOL=046991&amp;VAR:INDEX=0"}</definedName>
    <definedName name="_2853__FDSAUDITLINK__" localSheetId="27">{"fdsup://directions/FAT Viewer?action=UPDATE&amp;creator=factset&amp;DYN_ARGS=TRUE&amp;DOC_NAME=FAT:FQL_AUDITING_CLIENT_TEMPLATE.FAT&amp;display_string=Audit&amp;VAR:KEY=ADUVGBSZAX&amp;VAR:QUERY=RkZfRklOX0FTU0VUU19JTVBBSVIoQU5OX1IsNDA2NDEtM1ksLCxSRiwp&amp;WINDOW=FIRST_POPUP&amp;HEIGHT=45","0&amp;WIDTH=450&amp;START_MAXIMIZED=FALSE&amp;VAR:CALENDAR=FIVEDAY&amp;VAR:SYMBOL=046991&amp;VAR:INDEX=0"}</definedName>
    <definedName name="_2854__FDSAUDITLINK__" localSheetId="34">{"fdsup://directions/FAT Viewer?action=UPDATE&amp;creator=factset&amp;DYN_ARGS=TRUE&amp;DOC_NAME=FAT:FQL_AUDITING_CLIENT_TEMPLATE.FAT&amp;display_string=Audit&amp;VAR:KEY=MXSNSLCRKV&amp;VAR:QUERY=RkZfRklOX0FTU0VUU19JTVBBSVIoQU5OX1IsNDA2NDEtNFksLCxSRiwp&amp;WINDOW=FIRST_POPUP&amp;HEIGHT=45","0&amp;WIDTH=450&amp;START_MAXIMIZED=FALSE&amp;VAR:CALENDAR=FIVEDAY&amp;VAR:SYMBOL=046991&amp;VAR:INDEX=0"}</definedName>
    <definedName name="_2854__FDSAUDITLINK__" localSheetId="27">{"fdsup://directions/FAT Viewer?action=UPDATE&amp;creator=factset&amp;DYN_ARGS=TRUE&amp;DOC_NAME=FAT:FQL_AUDITING_CLIENT_TEMPLATE.FAT&amp;display_string=Audit&amp;VAR:KEY=MXSNSLCRKV&amp;VAR:QUERY=RkZfRklOX0FTU0VUU19JTVBBSVIoQU5OX1IsNDA2NDEtNFksLCxSRiwp&amp;WINDOW=FIRST_POPUP&amp;HEIGHT=45","0&amp;WIDTH=450&amp;START_MAXIMIZED=FALSE&amp;VAR:CALENDAR=FIVEDAY&amp;VAR:SYMBOL=046991&amp;VAR:INDEX=0"}</definedName>
    <definedName name="_2855__FDSAUDITLINK__" localSheetId="34">{"fdsup://Directions/FactSet Auditing Viewer?action=AUDIT_VALUE&amp;DB=129&amp;ID1=046991&amp;VALUEID=04601&amp;SDATE=2009&amp;PERIODTYPE=ANNR_STD&amp;SCFT=3&amp;window=popup_no_bar&amp;width=385&amp;height=120&amp;START_MAXIMIZED=FALSE&amp;creator=factset&amp;display_string=Audit"}</definedName>
    <definedName name="_2855__FDSAUDITLINK__" localSheetId="27">{"fdsup://Directions/FactSet Auditing Viewer?action=AUDIT_VALUE&amp;DB=129&amp;ID1=046991&amp;VALUEID=04601&amp;SDATE=2009&amp;PERIODTYPE=ANNR_STD&amp;SCFT=3&amp;window=popup_no_bar&amp;width=385&amp;height=120&amp;START_MAXIMIZED=FALSE&amp;creator=factset&amp;display_string=Audit"}</definedName>
    <definedName name="_2856__FDSAUDITLINK__" localSheetId="34">{"fdsup://Directions/FactSet Auditing Viewer?action=AUDIT_VALUE&amp;DB=129&amp;ID1=046991&amp;VALUEID=04601&amp;SDATE=2008&amp;PERIODTYPE=ANNR_STD&amp;SCFT=3&amp;window=popup_no_bar&amp;width=385&amp;height=120&amp;START_MAXIMIZED=FALSE&amp;creator=factset&amp;display_string=Audit"}</definedName>
    <definedName name="_2856__FDSAUDITLINK__" localSheetId="27">{"fdsup://Directions/FactSet Auditing Viewer?action=AUDIT_VALUE&amp;DB=129&amp;ID1=046991&amp;VALUEID=04601&amp;SDATE=2008&amp;PERIODTYPE=ANNR_STD&amp;SCFT=3&amp;window=popup_no_bar&amp;width=385&amp;height=120&amp;START_MAXIMIZED=FALSE&amp;creator=factset&amp;display_string=Audit"}</definedName>
    <definedName name="_2857__FDSAUDITLINK__" localSheetId="34">{"fdsup://Directions/FactSet Auditing Viewer?action=AUDIT_VALUE&amp;DB=129&amp;ID1=046991&amp;VALUEID=04601&amp;SDATE=2005&amp;PERIODTYPE=ANNR_STD&amp;SCFT=3&amp;window=popup_no_bar&amp;width=385&amp;height=120&amp;START_MAXIMIZED=FALSE&amp;creator=factset&amp;display_string=Audit"}</definedName>
    <definedName name="_2857__FDSAUDITLINK__" localSheetId="27">{"fdsup://Directions/FactSet Auditing Viewer?action=AUDIT_VALUE&amp;DB=129&amp;ID1=046991&amp;VALUEID=04601&amp;SDATE=2005&amp;PERIODTYPE=ANNR_STD&amp;SCFT=3&amp;window=popup_no_bar&amp;width=385&amp;height=120&amp;START_MAXIMIZED=FALSE&amp;creator=factset&amp;display_string=Audit"}</definedName>
    <definedName name="_2858__FDSAUDITLINK__" localSheetId="34">{"fdsup://Directions/FactSet Auditing Viewer?action=AUDIT_VALUE&amp;DB=129&amp;ID1=046991&amp;VALUEID=02201&amp;SDATE=2009&amp;PERIODTYPE=ANNR_STD&amp;SCFT=3&amp;window=popup_no_bar&amp;width=385&amp;height=120&amp;START_MAXIMIZED=FALSE&amp;creator=factset&amp;display_string=Audit"}</definedName>
    <definedName name="_2858__FDSAUDITLINK__" localSheetId="27">{"fdsup://Directions/FactSet Auditing Viewer?action=AUDIT_VALUE&amp;DB=129&amp;ID1=046991&amp;VALUEID=02201&amp;SDATE=2009&amp;PERIODTYPE=ANNR_STD&amp;SCFT=3&amp;window=popup_no_bar&amp;width=385&amp;height=120&amp;START_MAXIMIZED=FALSE&amp;creator=factset&amp;display_string=Audit"}</definedName>
    <definedName name="_2859__FDSAUDITLINK__" localSheetId="34">{"fdsup://Directions/FactSet Auditing Viewer?action=AUDIT_VALUE&amp;DB=129&amp;ID1=046991&amp;VALUEID=02201&amp;SDATE=2008&amp;PERIODTYPE=ANNR_STD&amp;SCFT=3&amp;window=popup_no_bar&amp;width=385&amp;height=120&amp;START_MAXIMIZED=FALSE&amp;creator=factset&amp;display_string=Audit"}</definedName>
    <definedName name="_2859__FDSAUDITLINK__" localSheetId="27">{"fdsup://Directions/FactSet Auditing Viewer?action=AUDIT_VALUE&amp;DB=129&amp;ID1=046991&amp;VALUEID=02201&amp;SDATE=2008&amp;PERIODTYPE=ANNR_STD&amp;SCFT=3&amp;window=popup_no_bar&amp;width=385&amp;height=120&amp;START_MAXIMIZED=FALSE&amp;creator=factset&amp;display_string=Audit"}</definedName>
    <definedName name="_2860__FDSAUDITLINK__" localSheetId="34">{"fdsup://Directions/FactSet Auditing Viewer?action=AUDIT_VALUE&amp;DB=129&amp;ID1=046991&amp;VALUEID=02201&amp;SDATE=2005&amp;PERIODTYPE=ANNR_STD&amp;SCFT=3&amp;window=popup_no_bar&amp;width=385&amp;height=120&amp;START_MAXIMIZED=FALSE&amp;creator=factset&amp;display_string=Audit"}</definedName>
    <definedName name="_2860__FDSAUDITLINK__" localSheetId="27">{"fdsup://Directions/FactSet Auditing Viewer?action=AUDIT_VALUE&amp;DB=129&amp;ID1=046991&amp;VALUEID=02201&amp;SDATE=2005&amp;PERIODTYPE=ANNR_STD&amp;SCFT=3&amp;window=popup_no_bar&amp;width=385&amp;height=120&amp;START_MAXIMIZED=FALSE&amp;creator=factset&amp;display_string=Audit"}</definedName>
    <definedName name="_2861__FDSAUDITLINK__" localSheetId="34">{"fdsup://Directions/FactSet Auditing Viewer?action=AUDIT_VALUE&amp;DB=129&amp;ID1=046991&amp;VALUEID=02001&amp;SDATE=2009&amp;PERIODTYPE=ANNR_STD&amp;SCFT=3&amp;window=popup_no_bar&amp;width=385&amp;height=120&amp;START_MAXIMIZED=FALSE&amp;creator=factset&amp;display_string=Audit"}</definedName>
    <definedName name="_2861__FDSAUDITLINK__" localSheetId="27">{"fdsup://Directions/FactSet Auditing Viewer?action=AUDIT_VALUE&amp;DB=129&amp;ID1=046991&amp;VALUEID=02001&amp;SDATE=2009&amp;PERIODTYPE=ANNR_STD&amp;SCFT=3&amp;window=popup_no_bar&amp;width=385&amp;height=120&amp;START_MAXIMIZED=FALSE&amp;creator=factset&amp;display_string=Audit"}</definedName>
    <definedName name="_2862__FDSAUDITLINK__" localSheetId="34">{"fdsup://Directions/FactSet Auditing Viewer?action=AUDIT_VALUE&amp;DB=129&amp;ID1=046991&amp;VALUEID=02001&amp;SDATE=2008&amp;PERIODTYPE=ANNR_STD&amp;SCFT=3&amp;window=popup_no_bar&amp;width=385&amp;height=120&amp;START_MAXIMIZED=FALSE&amp;creator=factset&amp;display_string=Audit"}</definedName>
    <definedName name="_2862__FDSAUDITLINK__" localSheetId="27">{"fdsup://Directions/FactSet Auditing Viewer?action=AUDIT_VALUE&amp;DB=129&amp;ID1=046991&amp;VALUEID=02001&amp;SDATE=2008&amp;PERIODTYPE=ANNR_STD&amp;SCFT=3&amp;window=popup_no_bar&amp;width=385&amp;height=120&amp;START_MAXIMIZED=FALSE&amp;creator=factset&amp;display_string=Audit"}</definedName>
    <definedName name="_2863__FDSAUDITLINK__" localSheetId="34">{"fdsup://Directions/FactSet Auditing Viewer?action=AUDIT_VALUE&amp;DB=129&amp;ID1=046991&amp;VALUEID=02001&amp;SDATE=2005&amp;PERIODTYPE=ANNR_STD&amp;SCFT=3&amp;window=popup_no_bar&amp;width=385&amp;height=120&amp;START_MAXIMIZED=FALSE&amp;creator=factset&amp;display_string=Audit"}</definedName>
    <definedName name="_2863__FDSAUDITLINK__" localSheetId="27">{"fdsup://Directions/FactSet Auditing Viewer?action=AUDIT_VALUE&amp;DB=129&amp;ID1=046991&amp;VALUEID=02001&amp;SDATE=2005&amp;PERIODTYPE=ANNR_STD&amp;SCFT=3&amp;window=popup_no_bar&amp;width=385&amp;height=120&amp;START_MAXIMIZED=FALSE&amp;creator=factset&amp;display_string=Audit"}</definedName>
    <definedName name="_2864__FDSAUDITLINK__" localSheetId="34">{"fdsup://Directions/FactSet Auditing Viewer?action=AUDIT_VALUE&amp;DB=129&amp;ID1=046991&amp;VALUEID=03101&amp;SDATE=2009&amp;PERIODTYPE=ANNR_STD&amp;SCFT=3&amp;window=popup_no_bar&amp;width=385&amp;height=120&amp;START_MAXIMIZED=FALSE&amp;creator=factset&amp;display_string=Audit"}</definedName>
    <definedName name="_2864__FDSAUDITLINK__" localSheetId="27">{"fdsup://Directions/FactSet Auditing Viewer?action=AUDIT_VALUE&amp;DB=129&amp;ID1=046991&amp;VALUEID=03101&amp;SDATE=2009&amp;PERIODTYPE=ANNR_STD&amp;SCFT=3&amp;window=popup_no_bar&amp;width=385&amp;height=120&amp;START_MAXIMIZED=FALSE&amp;creator=factset&amp;display_string=Audit"}</definedName>
    <definedName name="_2865__FDSAUDITLINK__" localSheetId="34">{"fdsup://Directions/FactSet Auditing Viewer?action=AUDIT_VALUE&amp;DB=129&amp;ID1=046991&amp;VALUEID=03101&amp;SDATE=2008&amp;PERIODTYPE=ANNR_STD&amp;SCFT=3&amp;window=popup_no_bar&amp;width=385&amp;height=120&amp;START_MAXIMIZED=FALSE&amp;creator=factset&amp;display_string=Audit"}</definedName>
    <definedName name="_2865__FDSAUDITLINK__" localSheetId="27">{"fdsup://Directions/FactSet Auditing Viewer?action=AUDIT_VALUE&amp;DB=129&amp;ID1=046991&amp;VALUEID=03101&amp;SDATE=2008&amp;PERIODTYPE=ANNR_STD&amp;SCFT=3&amp;window=popup_no_bar&amp;width=385&amp;height=120&amp;START_MAXIMIZED=FALSE&amp;creator=factset&amp;display_string=Audit"}</definedName>
    <definedName name="_2866__FDSAUDITLINK__" localSheetId="34">{"fdsup://Directions/FactSet Auditing Viewer?action=AUDIT_VALUE&amp;DB=129&amp;ID1=046991&amp;VALUEID=03101&amp;SDATE=2005&amp;PERIODTYPE=ANNR_STD&amp;SCFT=3&amp;window=popup_no_bar&amp;width=385&amp;height=120&amp;START_MAXIMIZED=FALSE&amp;creator=factset&amp;display_string=Audit"}</definedName>
    <definedName name="_2866__FDSAUDITLINK__" localSheetId="27">{"fdsup://Directions/FactSet Auditing Viewer?action=AUDIT_VALUE&amp;DB=129&amp;ID1=046991&amp;VALUEID=03101&amp;SDATE=2005&amp;PERIODTYPE=ANNR_STD&amp;SCFT=3&amp;window=popup_no_bar&amp;width=385&amp;height=120&amp;START_MAXIMIZED=FALSE&amp;creator=factset&amp;display_string=Audit"}</definedName>
    <definedName name="_2867__FDSAUDITLINK__" localSheetId="34">{"fdsup://Directions/FactSet Auditing Viewer?action=AUDIT_VALUE&amp;DB=129&amp;ID1=046991&amp;VALUEID=03051&amp;SDATE=2005&amp;PERIODTYPE=ANNR_STD&amp;SCFT=3&amp;window=popup_no_bar&amp;width=385&amp;height=120&amp;START_MAXIMIZED=FALSE&amp;creator=factset&amp;display_string=Audit"}</definedName>
    <definedName name="_2867__FDSAUDITLINK__" localSheetId="27">{"fdsup://Directions/FactSet Auditing Viewer?action=AUDIT_VALUE&amp;DB=129&amp;ID1=046991&amp;VALUEID=03051&amp;SDATE=2005&amp;PERIODTYPE=ANNR_STD&amp;SCFT=3&amp;window=popup_no_bar&amp;width=385&amp;height=120&amp;START_MAXIMIZED=FALSE&amp;creator=factset&amp;display_string=Audit"}</definedName>
    <definedName name="_2868__FDSAUDITLINK__" localSheetId="34">{"fdsup://Directions/FactSet Auditing Viewer?action=AUDIT_VALUE&amp;DB=129&amp;ID1=046991&amp;VALUEID=18184&amp;SDATE=2009&amp;PERIODTYPE=ANNR_STD&amp;SCFT=3&amp;window=popup_no_bar&amp;width=385&amp;height=120&amp;START_MAXIMIZED=FALSE&amp;creator=factset&amp;display_string=Audit"}</definedName>
    <definedName name="_2868__FDSAUDITLINK__" localSheetId="27">{"fdsup://Directions/FactSet Auditing Viewer?action=AUDIT_VALUE&amp;DB=129&amp;ID1=046991&amp;VALUEID=18184&amp;SDATE=2009&amp;PERIODTYPE=ANNR_STD&amp;SCFT=3&amp;window=popup_no_bar&amp;width=385&amp;height=120&amp;START_MAXIMIZED=FALSE&amp;creator=factset&amp;display_string=Audit"}</definedName>
    <definedName name="_2869__FDSAUDITLINK__" localSheetId="34">{"fdsup://Directions/FactSet Auditing Viewer?action=AUDIT_VALUE&amp;DB=129&amp;ID1=046991&amp;VALUEID=18184&amp;SDATE=2008&amp;PERIODTYPE=ANNR_STD&amp;SCFT=3&amp;window=popup_no_bar&amp;width=385&amp;height=120&amp;START_MAXIMIZED=FALSE&amp;creator=factset&amp;display_string=Audit"}</definedName>
    <definedName name="_2869__FDSAUDITLINK__" localSheetId="27">{"fdsup://Directions/FactSet Auditing Viewer?action=AUDIT_VALUE&amp;DB=129&amp;ID1=046991&amp;VALUEID=18184&amp;SDATE=2008&amp;PERIODTYPE=ANNR_STD&amp;SCFT=3&amp;window=popup_no_bar&amp;width=385&amp;height=120&amp;START_MAXIMIZED=FALSE&amp;creator=factset&amp;display_string=Audit"}</definedName>
    <definedName name="_2870__FDSAUDITLINK__" localSheetId="34">{"fdsup://Directions/FactSet Auditing Viewer?action=AUDIT_VALUE&amp;DB=129&amp;ID1=046991&amp;VALUEID=18184&amp;SDATE=2005&amp;PERIODTYPE=ANNR_STD&amp;SCFT=3&amp;window=popup_no_bar&amp;width=385&amp;height=120&amp;START_MAXIMIZED=FALSE&amp;creator=factset&amp;display_string=Audit"}</definedName>
    <definedName name="_2870__FDSAUDITLINK__" localSheetId="27">{"fdsup://Directions/FactSet Auditing Viewer?action=AUDIT_VALUE&amp;DB=129&amp;ID1=046991&amp;VALUEID=18184&amp;SDATE=2005&amp;PERIODTYPE=ANNR_STD&amp;SCFT=3&amp;window=popup_no_bar&amp;width=385&amp;height=120&amp;START_MAXIMIZED=FALSE&amp;creator=factset&amp;display_string=Audit"}</definedName>
    <definedName name="_2871__FDSAUDITLINK__" localSheetId="34">{"fdsup://directions/FAT Viewer?action=UPDATE&amp;creator=factset&amp;DYN_ARGS=TRUE&amp;DOC_NAME=FAT:FQL_AUDITING_CLIENT_TEMPLATE.FAT&amp;display_string=Audit&amp;VAR:KEY=KXITEVILSJ&amp;VAR:QUERY=RkZfU0hMRFJTX0VRKEFOTl9SLDQwNjQxLCwsUkYsKQ==&amp;WINDOW=FIRST_POPUP&amp;HEIGHT=450&amp;WIDTH=450&amp;","START_MAXIMIZED=FALSE&amp;VAR:CALENDAR=FIVEDAY&amp;VAR:SYMBOL=046991&amp;VAR:INDEX=0"}</definedName>
    <definedName name="_2871__FDSAUDITLINK__" localSheetId="27">{"fdsup://directions/FAT Viewer?action=UPDATE&amp;creator=factset&amp;DYN_ARGS=TRUE&amp;DOC_NAME=FAT:FQL_AUDITING_CLIENT_TEMPLATE.FAT&amp;display_string=Audit&amp;VAR:KEY=KXITEVILSJ&amp;VAR:QUERY=RkZfU0hMRFJTX0VRKEFOTl9SLDQwNjQxLCwsUkYsKQ==&amp;WINDOW=FIRST_POPUP&amp;HEIGHT=450&amp;WIDTH=450&amp;","START_MAXIMIZED=FALSE&amp;VAR:CALENDAR=FIVEDAY&amp;VAR:SYMBOL=046991&amp;VAR:INDEX=0"}</definedName>
    <definedName name="_2872__FDSAUDITLINK__" localSheetId="34">{"fdsup://directions/FAT Viewer?action=UPDATE&amp;creator=factset&amp;DYN_ARGS=TRUE&amp;DOC_NAME=FAT:FQL_AUDITING_CLIENT_TEMPLATE.FAT&amp;display_string=Audit&amp;VAR:KEY=WHOHWRWDKR&amp;VAR:QUERY=RkZfU0hMRFJTX0VRKEFOTl9SLDQwNjQxLTFZLCwsUkYsKQ==&amp;WINDOW=FIRST_POPUP&amp;HEIGHT=450&amp;WIDTH=","450&amp;START_MAXIMIZED=FALSE&amp;VAR:CALENDAR=FIVEDAY&amp;VAR:SYMBOL=046991&amp;VAR:INDEX=0"}</definedName>
    <definedName name="_2872__FDSAUDITLINK__" localSheetId="27">{"fdsup://directions/FAT Viewer?action=UPDATE&amp;creator=factset&amp;DYN_ARGS=TRUE&amp;DOC_NAME=FAT:FQL_AUDITING_CLIENT_TEMPLATE.FAT&amp;display_string=Audit&amp;VAR:KEY=WHOHWRWDKR&amp;VAR:QUERY=RkZfU0hMRFJTX0VRKEFOTl9SLDQwNjQxLTFZLCwsUkYsKQ==&amp;WINDOW=FIRST_POPUP&amp;HEIGHT=450&amp;WIDTH=","450&amp;START_MAXIMIZED=FALSE&amp;VAR:CALENDAR=FIVEDAY&amp;VAR:SYMBOL=046991&amp;VAR:INDEX=0"}</definedName>
    <definedName name="_2873__FDSAUDITLINK__" localSheetId="34">{"fdsup://directions/FAT Viewer?action=UPDATE&amp;creator=factset&amp;DYN_ARGS=TRUE&amp;DOC_NAME=FAT:FQL_AUDITING_CLIENT_TEMPLATE.FAT&amp;display_string=Audit&amp;VAR:KEY=UTYLYFQNIH&amp;VAR:QUERY=RkZfU0hMRFJTX0VRKEFOTl9SLDQwNjQxLTJZLCwsUkYsKQ==&amp;WINDOW=FIRST_POPUP&amp;HEIGHT=450&amp;WIDTH=","450&amp;START_MAXIMIZED=FALSE&amp;VAR:CALENDAR=FIVEDAY&amp;VAR:SYMBOL=046991&amp;VAR:INDEX=0"}</definedName>
    <definedName name="_2873__FDSAUDITLINK__" localSheetId="27">{"fdsup://directions/FAT Viewer?action=UPDATE&amp;creator=factset&amp;DYN_ARGS=TRUE&amp;DOC_NAME=FAT:FQL_AUDITING_CLIENT_TEMPLATE.FAT&amp;display_string=Audit&amp;VAR:KEY=UTYLYFQNIH&amp;VAR:QUERY=RkZfU0hMRFJTX0VRKEFOTl9SLDQwNjQxLTJZLCwsUkYsKQ==&amp;WINDOW=FIRST_POPUP&amp;HEIGHT=450&amp;WIDTH=","450&amp;START_MAXIMIZED=FALSE&amp;VAR:CALENDAR=FIVEDAY&amp;VAR:SYMBOL=046991&amp;VAR:INDEX=0"}</definedName>
    <definedName name="_2874__FDSAUDITLINK__" localSheetId="34">{"fdsup://directions/FAT Viewer?action=UPDATE&amp;creator=factset&amp;DYN_ARGS=TRUE&amp;DOC_NAME=FAT:FQL_AUDITING_CLIENT_TEMPLATE.FAT&amp;display_string=Audit&amp;VAR:KEY=EZMZGDSHEL&amp;VAR:QUERY=RkZfU0hMRFJTX0VRKEFOTl9SLDQwNjQxLTNZLCwsUkYsKQ==&amp;WINDOW=FIRST_POPUP&amp;HEIGHT=450&amp;WIDTH=","450&amp;START_MAXIMIZED=FALSE&amp;VAR:CALENDAR=FIVEDAY&amp;VAR:SYMBOL=046991&amp;VAR:INDEX=0"}</definedName>
    <definedName name="_2874__FDSAUDITLINK__" localSheetId="27">{"fdsup://directions/FAT Viewer?action=UPDATE&amp;creator=factset&amp;DYN_ARGS=TRUE&amp;DOC_NAME=FAT:FQL_AUDITING_CLIENT_TEMPLATE.FAT&amp;display_string=Audit&amp;VAR:KEY=EZMZGDSHEL&amp;VAR:QUERY=RkZfU0hMRFJTX0VRKEFOTl9SLDQwNjQxLTNZLCwsUkYsKQ==&amp;WINDOW=FIRST_POPUP&amp;HEIGHT=450&amp;WIDTH=","450&amp;START_MAXIMIZED=FALSE&amp;VAR:CALENDAR=FIVEDAY&amp;VAR:SYMBOL=046991&amp;VAR:INDEX=0"}</definedName>
    <definedName name="_2875__FDSAUDITLINK__" localSheetId="34">{"fdsup://directions/FAT Viewer?action=UPDATE&amp;creator=factset&amp;DYN_ARGS=TRUE&amp;DOC_NAME=FAT:FQL_AUDITING_CLIENT_TEMPLATE.FAT&amp;display_string=Audit&amp;VAR:KEY=WLYHERQPQN&amp;VAR:QUERY=RkZfU0hMRFJTX0VRKEFOTl9SLDQwNjQxLTRZLCwsUkYsKQ==&amp;WINDOW=FIRST_POPUP&amp;HEIGHT=450&amp;WIDTH=","450&amp;START_MAXIMIZED=FALSE&amp;VAR:CALENDAR=FIVEDAY&amp;VAR:SYMBOL=046991&amp;VAR:INDEX=0"}</definedName>
    <definedName name="_2875__FDSAUDITLINK__" localSheetId="27">{"fdsup://directions/FAT Viewer?action=UPDATE&amp;creator=factset&amp;DYN_ARGS=TRUE&amp;DOC_NAME=FAT:FQL_AUDITING_CLIENT_TEMPLATE.FAT&amp;display_string=Audit&amp;VAR:KEY=WLYHERQPQN&amp;VAR:QUERY=RkZfU0hMRFJTX0VRKEFOTl9SLDQwNjQxLTRZLCwsUkYsKQ==&amp;WINDOW=FIRST_POPUP&amp;HEIGHT=450&amp;WIDTH=","450&amp;START_MAXIMIZED=FALSE&amp;VAR:CALENDAR=FIVEDAY&amp;VAR:SYMBOL=046991&amp;VAR:INDEX=0"}</definedName>
    <definedName name="_2876__FDSAUDITLINK__" localSheetId="34">{"fdsup://directions/FAT Viewer?action=UPDATE&amp;creator=factset&amp;DYN_ARGS=TRUE&amp;DOC_NAME=FAT:FQL_AUDITING_CLIENT_TEMPLATE.FAT&amp;display_string=Audit&amp;VAR:KEY=ABIRWJQRKV&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046991&amp;VAR:INDEX=0"}</definedName>
    <definedName name="_2876__FDSAUDITLINK__" localSheetId="27">{"fdsup://directions/FAT Viewer?action=UPDATE&amp;creator=factset&amp;DYN_ARGS=TRUE&amp;DOC_NAME=FAT:FQL_AUDITING_CLIENT_TEMPLATE.FAT&amp;display_string=Audit&amp;VAR:KEY=ABIRWJQRKV&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046991&amp;VAR:INDEX=0"}</definedName>
    <definedName name="_2877__FDSAUDITLINK__" localSheetId="34">{"fdsup://Directions/FactSet Auditing Viewer?action=AUDIT_VALUE&amp;DB=129&amp;ID1=046991&amp;VALUEID=02001&amp;SDATE=2009&amp;PERIODTYPE=ANNR_STD&amp;SCFT=3&amp;window=popup_no_bar&amp;width=385&amp;height=120&amp;START_MAXIMIZED=FALSE&amp;creator=factset&amp;display_string=Audit"}</definedName>
    <definedName name="_2877__FDSAUDITLINK__" localSheetId="27">{"fdsup://Directions/FactSet Auditing Viewer?action=AUDIT_VALUE&amp;DB=129&amp;ID1=046991&amp;VALUEID=02001&amp;SDATE=2009&amp;PERIODTYPE=ANNR_STD&amp;SCFT=3&amp;window=popup_no_bar&amp;width=385&amp;height=120&amp;START_MAXIMIZED=FALSE&amp;creator=factset&amp;display_string=Audit"}</definedName>
    <definedName name="_2878__FDSAUDITLINK__" localSheetId="34">{"fdsup://Directions/FactSet Auditing Viewer?action=AUDIT_VALUE&amp;DB=129&amp;ID1=337647&amp;VALUEID=01001&amp;SDATE=2010&amp;PERIODTYPE=ANNR_STD&amp;SCFT=3&amp;window=popup_no_bar&amp;width=385&amp;height=120&amp;START_MAXIMIZED=FALSE&amp;creator=factset&amp;display_string=Audit"}</definedName>
    <definedName name="_2878__FDSAUDITLINK__" localSheetId="27">{"fdsup://Directions/FactSet Auditing Viewer?action=AUDIT_VALUE&amp;DB=129&amp;ID1=337647&amp;VALUEID=01001&amp;SDATE=2010&amp;PERIODTYPE=ANNR_STD&amp;SCFT=3&amp;window=popup_no_bar&amp;width=385&amp;height=120&amp;START_MAXIMIZED=FALSE&amp;creator=factset&amp;display_string=Audit"}</definedName>
    <definedName name="_2879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2879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2880__FDSAUDITLINK__" localSheetId="34">{"fdsup://Directions/FactSet Auditing Viewer?action=AUDIT_VALUE&amp;DB=129&amp;ID1=337647&amp;VALUEID=01250&amp;SDATE=2010&amp;PERIODTYPE=ANNR_STD&amp;SCFT=3&amp;window=popup_no_bar&amp;width=385&amp;height=120&amp;START_MAXIMIZED=FALSE&amp;creator=factset&amp;display_string=Audit"}</definedName>
    <definedName name="_2880__FDSAUDITLINK__" localSheetId="27">{"fdsup://Directions/FactSet Auditing Viewer?action=AUDIT_VALUE&amp;DB=129&amp;ID1=337647&amp;VALUEID=01250&amp;SDATE=2010&amp;PERIODTYPE=ANNR_STD&amp;SCFT=3&amp;window=popup_no_bar&amp;width=385&amp;height=120&amp;START_MAXIMIZED=FALSE&amp;creator=factset&amp;display_string=Audit"}</definedName>
    <definedName name="_2881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2881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2882__FDSAUDITLINK__" localSheetId="34">{"fdsup://directions/FAT Viewer?action=UPDATE&amp;creator=factset&amp;DYN_ARGS=TRUE&amp;DOC_NAME=FAT:FQL_AUDITING_CLIENT_TEMPLATE.FAT&amp;display_string=Audit&amp;VAR:KEY=VANMNSTUZQ&amp;VAR:QUERY=RkZfRUJJVERBX09QRVIoQU5OX1IsNDA2NDEsLCwsKQ==&amp;WINDOW=FIRST_POPUP&amp;HEIGHT=450&amp;WIDTH=450&amp;","START_MAXIMIZED=FALSE&amp;VAR:CALENDAR=FIVEDAY&amp;VAR:SYMBOL=337647&amp;VAR:INDEX=0"}</definedName>
    <definedName name="_2882__FDSAUDITLINK__" localSheetId="27">{"fdsup://directions/FAT Viewer?action=UPDATE&amp;creator=factset&amp;DYN_ARGS=TRUE&amp;DOC_NAME=FAT:FQL_AUDITING_CLIENT_TEMPLATE.FAT&amp;display_string=Audit&amp;VAR:KEY=VANMNSTUZQ&amp;VAR:QUERY=RkZfRUJJVERBX09QRVIoQU5OX1IsNDA2NDEsLCwsKQ==&amp;WINDOW=FIRST_POPUP&amp;HEIGHT=450&amp;WIDTH=450&amp;","START_MAXIMIZED=FALSE&amp;VAR:CALENDAR=FIVEDAY&amp;VAR:SYMBOL=337647&amp;VAR:INDEX=0"}</definedName>
    <definedName name="_2883__FDSAUDITLINK__" localSheetId="34">{"fdsup://directions/FAT Viewer?action=UPDATE&amp;creator=factset&amp;DYN_ARGS=TRUE&amp;DOC_NAME=FAT:FQL_AUDITING_CLIENT_TEMPLATE.FAT&amp;display_string=Audit&amp;VAR:KEY=TEBELQVCVU&amp;VAR:QUERY=RkZfRUJJVERBX09QRVIoQU5OX1IsNDA2NDEtMVksLCwsKQ==&amp;WINDOW=FIRST_POPUP&amp;HEIGHT=450&amp;WIDTH=","450&amp;START_MAXIMIZED=FALSE&amp;VAR:CALENDAR=FIVEDAY&amp;VAR:SYMBOL=337647&amp;VAR:INDEX=0"}</definedName>
    <definedName name="_2883__FDSAUDITLINK__" localSheetId="27">{"fdsup://directions/FAT Viewer?action=UPDATE&amp;creator=factset&amp;DYN_ARGS=TRUE&amp;DOC_NAME=FAT:FQL_AUDITING_CLIENT_TEMPLATE.FAT&amp;display_string=Audit&amp;VAR:KEY=TEBELQVCVU&amp;VAR:QUERY=RkZfRUJJVERBX09QRVIoQU5OX1IsNDA2NDEtMVksLCwsKQ==&amp;WINDOW=FIRST_POPUP&amp;HEIGHT=450&amp;WIDTH=","450&amp;START_MAXIMIZED=FALSE&amp;VAR:CALENDAR=FIVEDAY&amp;VAR:SYMBOL=337647&amp;VAR:INDEX=0"}</definedName>
    <definedName name="_2884__FDSAUDITLINK__" localSheetId="34">{"fdsup://directions/FAT Viewer?action=UPDATE&amp;creator=factset&amp;DYN_ARGS=TRUE&amp;DOC_NAME=FAT:FQL_AUDITING_CLIENT_TEMPLATE.FAT&amp;display_string=Audit&amp;VAR:KEY=RQJKVKLARC&amp;VAR:QUERY=RkZfRUJJVERBX09QRVIoQU5OX1IsNDA2NDEtMlksLCwsKQ==&amp;WINDOW=FIRST_POPUP&amp;HEIGHT=450&amp;WIDTH=","450&amp;START_MAXIMIZED=FALSE&amp;VAR:CALENDAR=FIVEDAY&amp;VAR:SYMBOL=337647&amp;VAR:INDEX=0"}</definedName>
    <definedName name="_2884__FDSAUDITLINK__" localSheetId="27">{"fdsup://directions/FAT Viewer?action=UPDATE&amp;creator=factset&amp;DYN_ARGS=TRUE&amp;DOC_NAME=FAT:FQL_AUDITING_CLIENT_TEMPLATE.FAT&amp;display_string=Audit&amp;VAR:KEY=RQJKVKLARC&amp;VAR:QUERY=RkZfRUJJVERBX09QRVIoQU5OX1IsNDA2NDEtMlksLCwsKQ==&amp;WINDOW=FIRST_POPUP&amp;HEIGHT=450&amp;WIDTH=","450&amp;START_MAXIMIZED=FALSE&amp;VAR:CALENDAR=FIVEDAY&amp;VAR:SYMBOL=337647&amp;VAR:INDEX=0"}</definedName>
    <definedName name="_2885__FDSAUDITLINK__" localSheetId="34">{"fdsup://directions/FAT Viewer?action=UPDATE&amp;creator=factset&amp;DYN_ARGS=TRUE&amp;DOC_NAME=FAT:FQL_AUDITING_CLIENT_TEMPLATE.FAT&amp;display_string=Audit&amp;VAR:KEY=XAFOPQHQTK&amp;VAR:QUERY=RkZfRUJJVERBX09QRVIoQU5OX1IsNDA2NDEtM1ksLCwsKQ==&amp;WINDOW=FIRST_POPUP&amp;HEIGHT=450&amp;WIDTH=","450&amp;START_MAXIMIZED=FALSE&amp;VAR:CALENDAR=FIVEDAY&amp;VAR:SYMBOL=337647&amp;VAR:INDEX=0"}</definedName>
    <definedName name="_2885__FDSAUDITLINK__" localSheetId="27">{"fdsup://directions/FAT Viewer?action=UPDATE&amp;creator=factset&amp;DYN_ARGS=TRUE&amp;DOC_NAME=FAT:FQL_AUDITING_CLIENT_TEMPLATE.FAT&amp;display_string=Audit&amp;VAR:KEY=XAFOPQHQTK&amp;VAR:QUERY=RkZfRUJJVERBX09QRVIoQU5OX1IsNDA2NDEtM1ksLCwsKQ==&amp;WINDOW=FIRST_POPUP&amp;HEIGHT=450&amp;WIDTH=","450&amp;START_MAXIMIZED=FALSE&amp;VAR:CALENDAR=FIVEDAY&amp;VAR:SYMBOL=337647&amp;VAR:INDEX=0"}</definedName>
    <definedName name="_2886__FDSAUDITLINK__" localSheetId="34">{"fdsup://directions/FAT Viewer?action=UPDATE&amp;creator=factset&amp;DYN_ARGS=TRUE&amp;DOC_NAME=FAT:FQL_AUDITING_CLIENT_TEMPLATE.FAT&amp;display_string=Audit&amp;VAR:KEY=PIZCTEVSBA&amp;VAR:QUERY=RkZfRUJJVERBX09QRVIoQU5OX1IsNDA2NDEtNFksLCwsKQ==&amp;WINDOW=FIRST_POPUP&amp;HEIGHT=450&amp;WIDTH=","450&amp;START_MAXIMIZED=FALSE&amp;VAR:CALENDAR=FIVEDAY&amp;VAR:SYMBOL=337647&amp;VAR:INDEX=0"}</definedName>
    <definedName name="_2886__FDSAUDITLINK__" localSheetId="27">{"fdsup://directions/FAT Viewer?action=UPDATE&amp;creator=factset&amp;DYN_ARGS=TRUE&amp;DOC_NAME=FAT:FQL_AUDITING_CLIENT_TEMPLATE.FAT&amp;display_string=Audit&amp;VAR:KEY=PIZCTEVSBA&amp;VAR:QUERY=RkZfRUJJVERBX09QRVIoQU5OX1IsNDA2NDEtNFksLCwsKQ==&amp;WINDOW=FIRST_POPUP&amp;HEIGHT=450&amp;WIDTH=","450&amp;START_MAXIMIZED=FALSE&amp;VAR:CALENDAR=FIVEDAY&amp;VAR:SYMBOL=337647&amp;VAR:INDEX=0"}</definedName>
    <definedName name="_2887__FDSAUDITLINK__" localSheetId="34">{"fdsup://Directions/FactSet Auditing Viewer?action=AUDIT_VALUE&amp;DB=129&amp;ID1=337647&amp;VALUEID=01151&amp;SDATE=2010&amp;PERIODTYPE=ANNR_STD&amp;SCFT=3&amp;window=popup_no_bar&amp;width=385&amp;height=120&amp;START_MAXIMIZED=FALSE&amp;creator=factset&amp;display_string=Audit"}</definedName>
    <definedName name="_2887__FDSAUDITLINK__" localSheetId="27">{"fdsup://Directions/FactSet Auditing Viewer?action=AUDIT_VALUE&amp;DB=129&amp;ID1=337647&amp;VALUEID=01151&amp;SDATE=2010&amp;PERIODTYPE=ANNR_STD&amp;SCFT=3&amp;window=popup_no_bar&amp;width=385&amp;height=120&amp;START_MAXIMIZED=FALSE&amp;creator=factset&amp;display_string=Audit"}</definedName>
    <definedName name="_2888__FDSAUDITLINK__" localSheetId="34">{"fdsup://Directions/FactSet Auditing Viewer?action=AUDIT_VALUE&amp;DB=129&amp;ID1=337647&amp;VALUEID=04049&amp;SDATE=2010&amp;PERIODTYPE=ANNR_STD&amp;SCFT=3&amp;window=popup_no_bar&amp;width=385&amp;height=120&amp;START_MAXIMIZED=FALSE&amp;creator=factset&amp;display_string=Audit"}</definedName>
    <definedName name="_2888__FDSAUDITLINK__" localSheetId="27">{"fdsup://Directions/FactSet Auditing Viewer?action=AUDIT_VALUE&amp;DB=129&amp;ID1=337647&amp;VALUEID=04049&amp;SDATE=2010&amp;PERIODTYPE=ANNR_STD&amp;SCFT=3&amp;window=popup_no_bar&amp;width=385&amp;height=120&amp;START_MAXIMIZED=FALSE&amp;creator=factset&amp;display_string=Audit"}</definedName>
    <definedName name="_2889__FDSAUDITLINK__" localSheetId="34">{"fdsup://Directions/FactSet Auditing Viewer?action=AUDIT_VALUE&amp;DB=129&amp;ID1=337647&amp;VALUEID=01151&amp;SDATE=2009&amp;PERIODTYPE=ANNR_STD&amp;SCFT=3&amp;window=popup_no_bar&amp;width=385&amp;height=120&amp;START_MAXIMIZED=FALSE&amp;creator=factset&amp;display_string=Audit"}</definedName>
    <definedName name="_2889__FDSAUDITLINK__" localSheetId="27">{"fdsup://Directions/FactSet Auditing Viewer?action=AUDIT_VALUE&amp;DB=129&amp;ID1=337647&amp;VALUEID=01151&amp;SDATE=2009&amp;PERIODTYPE=ANNR_STD&amp;SCFT=3&amp;window=popup_no_bar&amp;width=385&amp;height=120&amp;START_MAXIMIZED=FALSE&amp;creator=factset&amp;display_string=Audit"}</definedName>
    <definedName name="_2890__FDSAUDITLINK__" localSheetId="34">{"fdsup://directions/FAT Viewer?action=UPDATE&amp;creator=factset&amp;DYN_ARGS=TRUE&amp;DOC_NAME=FAT:FQL_AUDITING_CLIENT_TEMPLATE.FAT&amp;display_string=Audit&amp;VAR:KEY=CNSTYNIVEX&amp;VAR:QUERY=RkZfSU1QQUlSX1BQRShBTk5fUiw0MDY0MSwsLFJGLCk=&amp;WINDOW=FIRST_POPUP&amp;HEIGHT=450&amp;WIDTH=450&amp;","START_MAXIMIZED=FALSE&amp;VAR:CALENDAR=FIVEDAY&amp;VAR:SYMBOL=337647&amp;VAR:INDEX=0"}</definedName>
    <definedName name="_2890__FDSAUDITLINK__" localSheetId="27">{"fdsup://directions/FAT Viewer?action=UPDATE&amp;creator=factset&amp;DYN_ARGS=TRUE&amp;DOC_NAME=FAT:FQL_AUDITING_CLIENT_TEMPLATE.FAT&amp;display_string=Audit&amp;VAR:KEY=CNSTYNIVEX&amp;VAR:QUERY=RkZfSU1QQUlSX1BQRShBTk5fUiw0MDY0MSwsLFJGLCk=&amp;WINDOW=FIRST_POPUP&amp;HEIGHT=450&amp;WIDTH=450&amp;","START_MAXIMIZED=FALSE&amp;VAR:CALENDAR=FIVEDAY&amp;VAR:SYMBOL=337647&amp;VAR:INDEX=0"}</definedName>
    <definedName name="_2891__FDSAUDITLINK__" localSheetId="34">{"fdsup://directions/FAT Viewer?action=UPDATE&amp;creator=factset&amp;DYN_ARGS=TRUE&amp;DOC_NAME=FAT:FQL_AUDITING_CLIENT_TEMPLATE.FAT&amp;display_string=Audit&amp;VAR:KEY=WXSZQDYBCB&amp;VAR:QUERY=RkZfSU1QQUlSX1BQRShBTk5fUiw0MDY0MS0xWSwsLFJGLCk=&amp;WINDOW=FIRST_POPUP&amp;HEIGHT=450&amp;WIDTH=","450&amp;START_MAXIMIZED=FALSE&amp;VAR:CALENDAR=FIVEDAY&amp;VAR:SYMBOL=337647&amp;VAR:INDEX=0"}</definedName>
    <definedName name="_2891__FDSAUDITLINK__" localSheetId="27">{"fdsup://directions/FAT Viewer?action=UPDATE&amp;creator=factset&amp;DYN_ARGS=TRUE&amp;DOC_NAME=FAT:FQL_AUDITING_CLIENT_TEMPLATE.FAT&amp;display_string=Audit&amp;VAR:KEY=WXSZQDYBCB&amp;VAR:QUERY=RkZfSU1QQUlSX1BQRShBTk5fUiw0MDY0MS0xWSwsLFJGLCk=&amp;WINDOW=FIRST_POPUP&amp;HEIGHT=450&amp;WIDTH=","450&amp;START_MAXIMIZED=FALSE&amp;VAR:CALENDAR=FIVEDAY&amp;VAR:SYMBOL=337647&amp;VAR:INDEX=0"}</definedName>
    <definedName name="_2892__FDSAUDITLINK__" localSheetId="34">{"fdsup://directions/FAT Viewer?action=UPDATE&amp;creator=factset&amp;DYN_ARGS=TRUE&amp;DOC_NAME=FAT:FQL_AUDITING_CLIENT_TEMPLATE.FAT&amp;display_string=Audit&amp;VAR:KEY=QTWNEBOVWV&amp;VAR:QUERY=RkZfSU1QQUlSX1BQRShBTk5fUiw0MDY0MS0yWSwsLFJGLCk=&amp;WINDOW=FIRST_POPUP&amp;HEIGHT=450&amp;WIDTH=","450&amp;START_MAXIMIZED=FALSE&amp;VAR:CALENDAR=FIVEDAY&amp;VAR:SYMBOL=337647&amp;VAR:INDEX=0"}</definedName>
    <definedName name="_2892__FDSAUDITLINK__" localSheetId="27">{"fdsup://directions/FAT Viewer?action=UPDATE&amp;creator=factset&amp;DYN_ARGS=TRUE&amp;DOC_NAME=FAT:FQL_AUDITING_CLIENT_TEMPLATE.FAT&amp;display_string=Audit&amp;VAR:KEY=QTWNEBOVWV&amp;VAR:QUERY=RkZfSU1QQUlSX1BQRShBTk5fUiw0MDY0MS0yWSwsLFJGLCk=&amp;WINDOW=FIRST_POPUP&amp;HEIGHT=450&amp;WIDTH=","450&amp;START_MAXIMIZED=FALSE&amp;VAR:CALENDAR=FIVEDAY&amp;VAR:SYMBOL=337647&amp;VAR:INDEX=0"}</definedName>
    <definedName name="_2893__FDSAUDITLINK__" localSheetId="34">{"fdsup://directions/FAT Viewer?action=UPDATE&amp;creator=factset&amp;DYN_ARGS=TRUE&amp;DOC_NAME=FAT:FQL_AUDITING_CLIENT_TEMPLATE.FAT&amp;display_string=Audit&amp;VAR:KEY=SHAHQROZMX&amp;VAR:QUERY=RkZfSU1QQUlSX1BQRShBTk5fUiw0MDY0MS0zWSwsLFJGLCk=&amp;WINDOW=FIRST_POPUP&amp;HEIGHT=450&amp;WIDTH=","450&amp;START_MAXIMIZED=FALSE&amp;VAR:CALENDAR=FIVEDAY&amp;VAR:SYMBOL=337647&amp;VAR:INDEX=0"}</definedName>
    <definedName name="_2893__FDSAUDITLINK__" localSheetId="27">{"fdsup://directions/FAT Viewer?action=UPDATE&amp;creator=factset&amp;DYN_ARGS=TRUE&amp;DOC_NAME=FAT:FQL_AUDITING_CLIENT_TEMPLATE.FAT&amp;display_string=Audit&amp;VAR:KEY=SHAHQROZMX&amp;VAR:QUERY=RkZfSU1QQUlSX1BQRShBTk5fUiw0MDY0MS0zWSwsLFJGLCk=&amp;WINDOW=FIRST_POPUP&amp;HEIGHT=450&amp;WIDTH=","450&amp;START_MAXIMIZED=FALSE&amp;VAR:CALENDAR=FIVEDAY&amp;VAR:SYMBOL=337647&amp;VAR:INDEX=0"}</definedName>
    <definedName name="_2894__FDSAUDITLINK__" localSheetId="34">{"fdsup://directions/FAT Viewer?action=UPDATE&amp;creator=factset&amp;DYN_ARGS=TRUE&amp;DOC_NAME=FAT:FQL_AUDITING_CLIENT_TEMPLATE.FAT&amp;display_string=Audit&amp;VAR:KEY=OZQHMFUHAV&amp;VAR:QUERY=RkZfSU1QQUlSX1BQRShBTk5fUiw0MDY0MS00WSwsLFJGLCk=&amp;WINDOW=FIRST_POPUP&amp;HEIGHT=450&amp;WIDTH=","450&amp;START_MAXIMIZED=FALSE&amp;VAR:CALENDAR=FIVEDAY&amp;VAR:SYMBOL=337647&amp;VAR:INDEX=0"}</definedName>
    <definedName name="_2894__FDSAUDITLINK__" localSheetId="27">{"fdsup://directions/FAT Viewer?action=UPDATE&amp;creator=factset&amp;DYN_ARGS=TRUE&amp;DOC_NAME=FAT:FQL_AUDITING_CLIENT_TEMPLATE.FAT&amp;display_string=Audit&amp;VAR:KEY=OZQHMFUHAV&amp;VAR:QUERY=RkZfSU1QQUlSX1BQRShBTk5fUiw0MDY0MS00WSwsLFJGLCk=&amp;WINDOW=FIRST_POPUP&amp;HEIGHT=450&amp;WIDTH=","450&amp;START_MAXIMIZED=FALSE&amp;VAR:CALENDAR=FIVEDAY&amp;VAR:SYMBOL=337647&amp;VAR:INDEX=0"}</definedName>
    <definedName name="_2895__FDSAUDITLINK__" localSheetId="34">{"fdsup://directions/FAT Viewer?action=UPDATE&amp;creator=factset&amp;DYN_ARGS=TRUE&amp;DOC_NAME=FAT:FQL_AUDITING_CLIENT_TEMPLATE.FAT&amp;display_string=Audit&amp;VAR:KEY=UFKFWLIZGL&amp;VAR:QUERY=RkZfRklOX0FTU0VUU19JTVBBSVIoQU5OX1IsNDA2NDEsLCxSRiwp&amp;WINDOW=FIRST_POPUP&amp;HEIGHT=450&amp;WI","DTH=450&amp;START_MAXIMIZED=FALSE&amp;VAR:CALENDAR=FIVEDAY&amp;VAR:SYMBOL=337647&amp;VAR:INDEX=0"}</definedName>
    <definedName name="_2895__FDSAUDITLINK__" localSheetId="27">{"fdsup://directions/FAT Viewer?action=UPDATE&amp;creator=factset&amp;DYN_ARGS=TRUE&amp;DOC_NAME=FAT:FQL_AUDITING_CLIENT_TEMPLATE.FAT&amp;display_string=Audit&amp;VAR:KEY=UFKFWLIZGL&amp;VAR:QUERY=RkZfRklOX0FTU0VUU19JTVBBSVIoQU5OX1IsNDA2NDEsLCxSRiwp&amp;WINDOW=FIRST_POPUP&amp;HEIGHT=450&amp;WI","DTH=450&amp;START_MAXIMIZED=FALSE&amp;VAR:CALENDAR=FIVEDAY&amp;VAR:SYMBOL=337647&amp;VAR:INDEX=0"}</definedName>
    <definedName name="_2896__FDSAUDITLINK__" localSheetId="34">{"fdsup://directions/FAT Viewer?action=UPDATE&amp;creator=factset&amp;DYN_ARGS=TRUE&amp;DOC_NAME=FAT:FQL_AUDITING_CLIENT_TEMPLATE.FAT&amp;display_string=Audit&amp;VAR:KEY=GXWDQBGFAN&amp;VAR:QUERY=RkZfRklOX0FTU0VUU19JTVBBSVIoQU5OX1IsNDA2NDEtMVksLCxSRiwp&amp;WINDOW=FIRST_POPUP&amp;HEIGHT=45","0&amp;WIDTH=450&amp;START_MAXIMIZED=FALSE&amp;VAR:CALENDAR=FIVEDAY&amp;VAR:SYMBOL=337647&amp;VAR:INDEX=0"}</definedName>
    <definedName name="_2896__FDSAUDITLINK__" localSheetId="27">{"fdsup://directions/FAT Viewer?action=UPDATE&amp;creator=factset&amp;DYN_ARGS=TRUE&amp;DOC_NAME=FAT:FQL_AUDITING_CLIENT_TEMPLATE.FAT&amp;display_string=Audit&amp;VAR:KEY=GXWDQBGFAN&amp;VAR:QUERY=RkZfRklOX0FTU0VUU19JTVBBSVIoQU5OX1IsNDA2NDEtMVksLCxSRiwp&amp;WINDOW=FIRST_POPUP&amp;HEIGHT=45","0&amp;WIDTH=450&amp;START_MAXIMIZED=FALSE&amp;VAR:CALENDAR=FIVEDAY&amp;VAR:SYMBOL=337647&amp;VAR:INDEX=0"}</definedName>
    <definedName name="_2897__FDSAUDITLINK__" localSheetId="34">{"fdsup://directions/FAT Viewer?action=UPDATE&amp;creator=factset&amp;DYN_ARGS=TRUE&amp;DOC_NAME=FAT:FQL_AUDITING_CLIENT_TEMPLATE.FAT&amp;display_string=Audit&amp;VAR:KEY=IJSTUPGHYH&amp;VAR:QUERY=RkZfRklOX0FTU0VUU19JTVBBSVIoQU5OX1IsNDA2NDEtMlksLCxSRiwp&amp;WINDOW=FIRST_POPUP&amp;HEIGHT=45","0&amp;WIDTH=450&amp;START_MAXIMIZED=FALSE&amp;VAR:CALENDAR=FIVEDAY&amp;VAR:SYMBOL=337647&amp;VAR:INDEX=0"}</definedName>
    <definedName name="_2897__FDSAUDITLINK__" localSheetId="27">{"fdsup://directions/FAT Viewer?action=UPDATE&amp;creator=factset&amp;DYN_ARGS=TRUE&amp;DOC_NAME=FAT:FQL_AUDITING_CLIENT_TEMPLATE.FAT&amp;display_string=Audit&amp;VAR:KEY=IJSTUPGHYH&amp;VAR:QUERY=RkZfRklOX0FTU0VUU19JTVBBSVIoQU5OX1IsNDA2NDEtMlksLCxSRiwp&amp;WINDOW=FIRST_POPUP&amp;HEIGHT=45","0&amp;WIDTH=450&amp;START_MAXIMIZED=FALSE&amp;VAR:CALENDAR=FIVEDAY&amp;VAR:SYMBOL=337647&amp;VAR:INDEX=0"}</definedName>
    <definedName name="_2898__FDSAUDITLINK__" localSheetId="34">{"fdsup://directions/FAT Viewer?action=UPDATE&amp;creator=factset&amp;DYN_ARGS=TRUE&amp;DOC_NAME=FAT:FQL_AUDITING_CLIENT_TEMPLATE.FAT&amp;display_string=Audit&amp;VAR:KEY=GZKZMDIHGN&amp;VAR:QUERY=RkZfRklOX0FTU0VUU19JTVBBSVIoQU5OX1IsNDA2NDEtM1ksLCxSRiwp&amp;WINDOW=FIRST_POPUP&amp;HEIGHT=45","0&amp;WIDTH=450&amp;START_MAXIMIZED=FALSE&amp;VAR:CALENDAR=FIVEDAY&amp;VAR:SYMBOL=337647&amp;VAR:INDEX=0"}</definedName>
    <definedName name="_2898__FDSAUDITLINK__" localSheetId="27">{"fdsup://directions/FAT Viewer?action=UPDATE&amp;creator=factset&amp;DYN_ARGS=TRUE&amp;DOC_NAME=FAT:FQL_AUDITING_CLIENT_TEMPLATE.FAT&amp;display_string=Audit&amp;VAR:KEY=GZKZMDIHGN&amp;VAR:QUERY=RkZfRklOX0FTU0VUU19JTVBBSVIoQU5OX1IsNDA2NDEtM1ksLCxSRiwp&amp;WINDOW=FIRST_POPUP&amp;HEIGHT=45","0&amp;WIDTH=450&amp;START_MAXIMIZED=FALSE&amp;VAR:CALENDAR=FIVEDAY&amp;VAR:SYMBOL=337647&amp;VAR:INDEX=0"}</definedName>
    <definedName name="_2899__FDSAUDITLINK__" localSheetId="34">{"fdsup://directions/FAT Viewer?action=UPDATE&amp;creator=factset&amp;DYN_ARGS=TRUE&amp;DOC_NAME=FAT:FQL_AUDITING_CLIENT_TEMPLATE.FAT&amp;display_string=Audit&amp;VAR:KEY=CZYVKLMXKD&amp;VAR:QUERY=RkZfRklOX0FTU0VUU19JTVBBSVIoQU5OX1IsNDA2NDEtNFksLCxSRiwp&amp;WINDOW=FIRST_POPUP&amp;HEIGHT=45","0&amp;WIDTH=450&amp;START_MAXIMIZED=FALSE&amp;VAR:CALENDAR=FIVEDAY&amp;VAR:SYMBOL=337647&amp;VAR:INDEX=0"}</definedName>
    <definedName name="_2899__FDSAUDITLINK__" localSheetId="27">{"fdsup://directions/FAT Viewer?action=UPDATE&amp;creator=factset&amp;DYN_ARGS=TRUE&amp;DOC_NAME=FAT:FQL_AUDITING_CLIENT_TEMPLATE.FAT&amp;display_string=Audit&amp;VAR:KEY=CZYVKLMXKD&amp;VAR:QUERY=RkZfRklOX0FTU0VUU19JTVBBSVIoQU5OX1IsNDA2NDEtNFksLCxSRiwp&amp;WINDOW=FIRST_POPUP&amp;HEIGHT=45","0&amp;WIDTH=450&amp;START_MAXIMIZED=FALSE&amp;VAR:CALENDAR=FIVEDAY&amp;VAR:SYMBOL=337647&amp;VAR:INDEX=0"}</definedName>
    <definedName name="_2900__FDSAUDITLINK__" localSheetId="34">{"fdsup://Directions/FactSet Auditing Viewer?action=AUDIT_VALUE&amp;DB=129&amp;ID1=337647&amp;VALUEID=04601&amp;SDATE=2010&amp;PERIODTYPE=ANNR_STD&amp;SCFT=3&amp;window=popup_no_bar&amp;width=385&amp;height=120&amp;START_MAXIMIZED=FALSE&amp;creator=factset&amp;display_string=Audit"}</definedName>
    <definedName name="_2900__FDSAUDITLINK__" localSheetId="27">{"fdsup://Directions/FactSet Auditing Viewer?action=AUDIT_VALUE&amp;DB=129&amp;ID1=337647&amp;VALUEID=04601&amp;SDATE=2010&amp;PERIODTYPE=ANNR_STD&amp;SCFT=3&amp;window=popup_no_bar&amp;width=385&amp;height=120&amp;START_MAXIMIZED=FALSE&amp;creator=factset&amp;display_string=Audit"}</definedName>
    <definedName name="_2901__FDSAUDITLINK__" localSheetId="34">{"fdsup://Directions/FactSet Auditing Viewer?action=AUDIT_VALUE&amp;DB=129&amp;ID1=337647&amp;VALUEID=02201&amp;SDATE=2010&amp;PERIODTYPE=ANNR_STD&amp;SCFT=3&amp;window=popup_no_bar&amp;width=385&amp;height=120&amp;START_MAXIMIZED=FALSE&amp;creator=factset&amp;display_string=Audit"}</definedName>
    <definedName name="_2901__FDSAUDITLINK__" localSheetId="27">{"fdsup://Directions/FactSet Auditing Viewer?action=AUDIT_VALUE&amp;DB=129&amp;ID1=337647&amp;VALUEID=02201&amp;SDATE=2010&amp;PERIODTYPE=ANNR_STD&amp;SCFT=3&amp;window=popup_no_bar&amp;width=385&amp;height=120&amp;START_MAXIMIZED=FALSE&amp;creator=factset&amp;display_string=Audit"}</definedName>
    <definedName name="_2902__FDSAUDITLINK__" localSheetId="34">{"fdsup://Directions/FactSet Auditing Viewer?action=AUDIT_VALUE&amp;DB=129&amp;ID1=337647&amp;VALUEID=02201&amp;SDATE=2009&amp;PERIODTYPE=ANNR_STD&amp;SCFT=3&amp;window=popup_no_bar&amp;width=385&amp;height=120&amp;START_MAXIMIZED=FALSE&amp;creator=factset&amp;display_string=Audit"}</definedName>
    <definedName name="_2902__FDSAUDITLINK__" localSheetId="27">{"fdsup://Directions/FactSet Auditing Viewer?action=AUDIT_VALUE&amp;DB=129&amp;ID1=337647&amp;VALUEID=02201&amp;SDATE=2009&amp;PERIODTYPE=ANNR_STD&amp;SCFT=3&amp;window=popup_no_bar&amp;width=385&amp;height=120&amp;START_MAXIMIZED=FALSE&amp;creator=factset&amp;display_string=Audit"}</definedName>
    <definedName name="_2903__FDSAUDITLINK__" localSheetId="34">{"fdsup://Directions/FactSet Auditing Viewer?action=AUDIT_VALUE&amp;DB=129&amp;ID1=337647&amp;VALUEID=02001&amp;SDATE=2010&amp;PERIODTYPE=ANNR_STD&amp;SCFT=3&amp;window=popup_no_bar&amp;width=385&amp;height=120&amp;START_MAXIMIZED=FALSE&amp;creator=factset&amp;display_string=Audit"}</definedName>
    <definedName name="_2903__FDSAUDITLINK__" localSheetId="27">{"fdsup://Directions/FactSet Auditing Viewer?action=AUDIT_VALUE&amp;DB=129&amp;ID1=337647&amp;VALUEID=02001&amp;SDATE=2010&amp;PERIODTYPE=ANNR_STD&amp;SCFT=3&amp;window=popup_no_bar&amp;width=385&amp;height=120&amp;START_MAXIMIZED=FALSE&amp;creator=factset&amp;display_string=Audit"}</definedName>
    <definedName name="_2904__FDSAUDITLINK__" localSheetId="34">{"fdsup://Directions/FactSet Auditing Viewer?action=AUDIT_VALUE&amp;DB=129&amp;ID1=337647&amp;VALUEID=02001&amp;SDATE=2009&amp;PERIODTYPE=ANNR_STD&amp;SCFT=3&amp;window=popup_no_bar&amp;width=385&amp;height=120&amp;START_MAXIMIZED=FALSE&amp;creator=factset&amp;display_string=Audit"}</definedName>
    <definedName name="_2904__FDSAUDITLINK__" localSheetId="27">{"fdsup://Directions/FactSet Auditing Viewer?action=AUDIT_VALUE&amp;DB=129&amp;ID1=337647&amp;VALUEID=02001&amp;SDATE=2009&amp;PERIODTYPE=ANNR_STD&amp;SCFT=3&amp;window=popup_no_bar&amp;width=385&amp;height=120&amp;START_MAXIMIZED=FALSE&amp;creator=factset&amp;display_string=Audit"}</definedName>
    <definedName name="_2905__FDSAUDITLINK__" localSheetId="34">{"fdsup://Directions/FactSet Auditing Viewer?action=AUDIT_VALUE&amp;DB=129&amp;ID1=337647&amp;VALUEID=03101&amp;SDATE=2010&amp;PERIODTYPE=ANNR_STD&amp;SCFT=3&amp;window=popup_no_bar&amp;width=385&amp;height=120&amp;START_MAXIMIZED=FALSE&amp;creator=factset&amp;display_string=Audit"}</definedName>
    <definedName name="_2905__FDSAUDITLINK__" localSheetId="27">{"fdsup://Directions/FactSet Auditing Viewer?action=AUDIT_VALUE&amp;DB=129&amp;ID1=337647&amp;VALUEID=03101&amp;SDATE=2010&amp;PERIODTYPE=ANNR_STD&amp;SCFT=3&amp;window=popup_no_bar&amp;width=385&amp;height=120&amp;START_MAXIMIZED=FALSE&amp;creator=factset&amp;display_string=Audit"}</definedName>
    <definedName name="_2906__FDSAUDITLINK__" localSheetId="34">{"fdsup://Directions/FactSet Auditing Viewer?action=AUDIT_VALUE&amp;DB=129&amp;ID1=337647&amp;VALUEID=03101&amp;SDATE=2009&amp;PERIODTYPE=ANNR_STD&amp;SCFT=3&amp;window=popup_no_bar&amp;width=385&amp;height=120&amp;START_MAXIMIZED=FALSE&amp;creator=factset&amp;display_string=Audit"}</definedName>
    <definedName name="_2906__FDSAUDITLINK__" localSheetId="27">{"fdsup://Directions/FactSet Auditing Viewer?action=AUDIT_VALUE&amp;DB=129&amp;ID1=337647&amp;VALUEID=03101&amp;SDATE=2009&amp;PERIODTYPE=ANNR_STD&amp;SCFT=3&amp;window=popup_no_bar&amp;width=385&amp;height=120&amp;START_MAXIMIZED=FALSE&amp;creator=factset&amp;display_string=Audit"}</definedName>
    <definedName name="_2907__FDSAUDITLINK__" localSheetId="34">{"fdsup://Directions/FactSet Auditing Viewer?action=AUDIT_VALUE&amp;DB=129&amp;ID1=337647&amp;VALUEID=18184&amp;SDATE=2010&amp;PERIODTYPE=ANNR_STD&amp;SCFT=3&amp;window=popup_no_bar&amp;width=385&amp;height=120&amp;START_MAXIMIZED=FALSE&amp;creator=factset&amp;display_string=Audit"}</definedName>
    <definedName name="_2907__FDSAUDITLINK__" localSheetId="27">{"fdsup://Directions/FactSet Auditing Viewer?action=AUDIT_VALUE&amp;DB=129&amp;ID1=337647&amp;VALUEID=18184&amp;SDATE=2010&amp;PERIODTYPE=ANNR_STD&amp;SCFT=3&amp;window=popup_no_bar&amp;width=385&amp;height=120&amp;START_MAXIMIZED=FALSE&amp;creator=factset&amp;display_string=Audit"}</definedName>
    <definedName name="_2908__FDSAUDITLINK__" localSheetId="34">{"fdsup://Directions/FactSet Auditing Viewer?action=AUDIT_VALUE&amp;DB=129&amp;ID1=337647&amp;VALUEID=18184&amp;SDATE=2009&amp;PERIODTYPE=ANNR_STD&amp;SCFT=3&amp;window=popup_no_bar&amp;width=385&amp;height=120&amp;START_MAXIMIZED=FALSE&amp;creator=factset&amp;display_string=Audit"}</definedName>
    <definedName name="_2908__FDSAUDITLINK__" localSheetId="27">{"fdsup://Directions/FactSet Auditing Viewer?action=AUDIT_VALUE&amp;DB=129&amp;ID1=337647&amp;VALUEID=18184&amp;SDATE=2009&amp;PERIODTYPE=ANNR_STD&amp;SCFT=3&amp;window=popup_no_bar&amp;width=385&amp;height=120&amp;START_MAXIMIZED=FALSE&amp;creator=factset&amp;display_string=Audit"}</definedName>
    <definedName name="_2909__FDSAUDITLINK__" localSheetId="34">{"fdsup://directions/FAT Viewer?action=UPDATE&amp;creator=factset&amp;DYN_ARGS=TRUE&amp;DOC_NAME=FAT:FQL_AUDITING_CLIENT_TEMPLATE.FAT&amp;display_string=Audit&amp;VAR:KEY=SFOHWXAJEB&amp;VAR:QUERY=RkZfU0hMRFJTX0VRKEFOTl9SLDQwNjQxLCwsUkYsKQ==&amp;WINDOW=FIRST_POPUP&amp;HEIGHT=450&amp;WIDTH=450&amp;","START_MAXIMIZED=FALSE&amp;VAR:CALENDAR=FIVEDAY&amp;VAR:SYMBOL=337647&amp;VAR:INDEX=0"}</definedName>
    <definedName name="_2909__FDSAUDITLINK__" localSheetId="27">{"fdsup://directions/FAT Viewer?action=UPDATE&amp;creator=factset&amp;DYN_ARGS=TRUE&amp;DOC_NAME=FAT:FQL_AUDITING_CLIENT_TEMPLATE.FAT&amp;display_string=Audit&amp;VAR:KEY=SFOHWXAJEB&amp;VAR:QUERY=RkZfU0hMRFJTX0VRKEFOTl9SLDQwNjQxLCwsUkYsKQ==&amp;WINDOW=FIRST_POPUP&amp;HEIGHT=450&amp;WIDTH=450&amp;","START_MAXIMIZED=FALSE&amp;VAR:CALENDAR=FIVEDAY&amp;VAR:SYMBOL=337647&amp;VAR:INDEX=0"}</definedName>
    <definedName name="_2910__FDSAUDITLINK__" localSheetId="34">{"fdsup://directions/FAT Viewer?action=UPDATE&amp;creator=factset&amp;DYN_ARGS=TRUE&amp;DOC_NAME=FAT:FQL_AUDITING_CLIENT_TEMPLATE.FAT&amp;display_string=Audit&amp;VAR:KEY=CLKDILEPSL&amp;VAR:QUERY=RkZfU0hMRFJTX0VRKEFOTl9SLDQwNjQxLTFZLCwsUkYsKQ==&amp;WINDOW=FIRST_POPUP&amp;HEIGHT=450&amp;WIDTH=","450&amp;START_MAXIMIZED=FALSE&amp;VAR:CALENDAR=FIVEDAY&amp;VAR:SYMBOL=337647&amp;VAR:INDEX=0"}</definedName>
    <definedName name="_2910__FDSAUDITLINK__" localSheetId="27">{"fdsup://directions/FAT Viewer?action=UPDATE&amp;creator=factset&amp;DYN_ARGS=TRUE&amp;DOC_NAME=FAT:FQL_AUDITING_CLIENT_TEMPLATE.FAT&amp;display_string=Audit&amp;VAR:KEY=CLKDILEPSL&amp;VAR:QUERY=RkZfU0hMRFJTX0VRKEFOTl9SLDQwNjQxLTFZLCwsUkYsKQ==&amp;WINDOW=FIRST_POPUP&amp;HEIGHT=450&amp;WIDTH=","450&amp;START_MAXIMIZED=FALSE&amp;VAR:CALENDAR=FIVEDAY&amp;VAR:SYMBOL=337647&amp;VAR:INDEX=0"}</definedName>
    <definedName name="_2911__FDSAUDITLINK__" localSheetId="34">{"fdsup://directions/FAT Viewer?action=UPDATE&amp;creator=factset&amp;DYN_ARGS=TRUE&amp;DOC_NAME=FAT:FQL_AUDITING_CLIENT_TEMPLATE.FAT&amp;display_string=Audit&amp;VAR:KEY=KZAROVMXOJ&amp;VAR:QUERY=RkZfU0hMRFJTX0VRKEFOTl9SLDQwNjQxLTJZLCwsUkYsKQ==&amp;WINDOW=FIRST_POPUP&amp;HEIGHT=450&amp;WIDTH=","450&amp;START_MAXIMIZED=FALSE&amp;VAR:CALENDAR=FIVEDAY&amp;VAR:SYMBOL=337647&amp;VAR:INDEX=0"}</definedName>
    <definedName name="_2911__FDSAUDITLINK__" localSheetId="27">{"fdsup://directions/FAT Viewer?action=UPDATE&amp;creator=factset&amp;DYN_ARGS=TRUE&amp;DOC_NAME=FAT:FQL_AUDITING_CLIENT_TEMPLATE.FAT&amp;display_string=Audit&amp;VAR:KEY=KZAROVMXOJ&amp;VAR:QUERY=RkZfU0hMRFJTX0VRKEFOTl9SLDQwNjQxLTJZLCwsUkYsKQ==&amp;WINDOW=FIRST_POPUP&amp;HEIGHT=450&amp;WIDTH=","450&amp;START_MAXIMIZED=FALSE&amp;VAR:CALENDAR=FIVEDAY&amp;VAR:SYMBOL=337647&amp;VAR:INDEX=0"}</definedName>
    <definedName name="_2912__FDSAUDITLINK__" localSheetId="34">{"fdsup://directions/FAT Viewer?action=UPDATE&amp;creator=factset&amp;DYN_ARGS=TRUE&amp;DOC_NAME=FAT:FQL_AUDITING_CLIENT_TEMPLATE.FAT&amp;display_string=Audit&amp;VAR:KEY=UVGNEJYJEB&amp;VAR:QUERY=RkZfU0hMRFJTX0VRKEFOTl9SLDQwNjQxLTNZLCwsUkYsKQ==&amp;WINDOW=FIRST_POPUP&amp;HEIGHT=450&amp;WIDTH=","450&amp;START_MAXIMIZED=FALSE&amp;VAR:CALENDAR=FIVEDAY&amp;VAR:SYMBOL=337647&amp;VAR:INDEX=0"}</definedName>
    <definedName name="_2912__FDSAUDITLINK__" localSheetId="27">{"fdsup://directions/FAT Viewer?action=UPDATE&amp;creator=factset&amp;DYN_ARGS=TRUE&amp;DOC_NAME=FAT:FQL_AUDITING_CLIENT_TEMPLATE.FAT&amp;display_string=Audit&amp;VAR:KEY=UVGNEJYJEB&amp;VAR:QUERY=RkZfU0hMRFJTX0VRKEFOTl9SLDQwNjQxLTNZLCwsUkYsKQ==&amp;WINDOW=FIRST_POPUP&amp;HEIGHT=450&amp;WIDTH=","450&amp;START_MAXIMIZED=FALSE&amp;VAR:CALENDAR=FIVEDAY&amp;VAR:SYMBOL=337647&amp;VAR:INDEX=0"}</definedName>
    <definedName name="_2913__FDSAUDITLINK__" localSheetId="34">{"fdsup://directions/FAT Viewer?action=UPDATE&amp;creator=factset&amp;DYN_ARGS=TRUE&amp;DOC_NAME=FAT:FQL_AUDITING_CLIENT_TEMPLATE.FAT&amp;display_string=Audit&amp;VAR:KEY=ULGZALCPOF&amp;VAR:QUERY=RkZfU0hMRFJTX0VRKEFOTl9SLDQwNjQxLTRZLCwsUkYsKQ==&amp;WINDOW=FIRST_POPUP&amp;HEIGHT=450&amp;WIDTH=","450&amp;START_MAXIMIZED=FALSE&amp;VAR:CALENDAR=FIVEDAY&amp;VAR:SYMBOL=337647&amp;VAR:INDEX=0"}</definedName>
    <definedName name="_2913__FDSAUDITLINK__" localSheetId="27">{"fdsup://directions/FAT Viewer?action=UPDATE&amp;creator=factset&amp;DYN_ARGS=TRUE&amp;DOC_NAME=FAT:FQL_AUDITING_CLIENT_TEMPLATE.FAT&amp;display_string=Audit&amp;VAR:KEY=ULGZALCPOF&amp;VAR:QUERY=RkZfU0hMRFJTX0VRKEFOTl9SLDQwNjQxLTRZLCwsUkYsKQ==&amp;WINDOW=FIRST_POPUP&amp;HEIGHT=450&amp;WIDTH=","450&amp;START_MAXIMIZED=FALSE&amp;VAR:CALENDAR=FIVEDAY&amp;VAR:SYMBOL=337647&amp;VAR:INDEX=0"}</definedName>
    <definedName name="_2914__FDSAUDITLINK__" localSheetId="34">{"fdsup://Directions/FactSet Auditing Viewer?action=AUDIT_VALUE&amp;DB=129&amp;ID1=337647&amp;VALUEID=03426&amp;SDATE=2010&amp;PERIODTYPE=ANNR_STD&amp;SCFT=3&amp;window=popup_no_bar&amp;width=385&amp;height=120&amp;START_MAXIMIZED=FALSE&amp;creator=factset&amp;display_string=Audit"}</definedName>
    <definedName name="_2914__FDSAUDITLINK__" localSheetId="27">{"fdsup://Directions/FactSet Auditing Viewer?action=AUDIT_VALUE&amp;DB=129&amp;ID1=337647&amp;VALUEID=03426&amp;SDATE=2010&amp;PERIODTYPE=ANNR_STD&amp;SCFT=3&amp;window=popup_no_bar&amp;width=385&amp;height=120&amp;START_MAXIMIZED=FALSE&amp;creator=factset&amp;display_string=Audit"}</definedName>
    <definedName name="_2915__FDSAUDITLINK__" localSheetId="34">{"fdsup://Directions/FactSet Auditing Viewer?action=AUDIT_VALUE&amp;DB=129&amp;ID1=337647&amp;VALUEID=03426&amp;SDATE=2009&amp;PERIODTYPE=ANNR_STD&amp;SCFT=3&amp;window=popup_no_bar&amp;width=385&amp;height=120&amp;START_MAXIMIZED=FALSE&amp;creator=factset&amp;display_string=Audit"}</definedName>
    <definedName name="_2915__FDSAUDITLINK__" localSheetId="27">{"fdsup://Directions/FactSet Auditing Viewer?action=AUDIT_VALUE&amp;DB=129&amp;ID1=337647&amp;VALUEID=03426&amp;SDATE=2009&amp;PERIODTYPE=ANNR_STD&amp;SCFT=3&amp;window=popup_no_bar&amp;width=385&amp;height=120&amp;START_MAXIMIZED=FALSE&amp;creator=factset&amp;display_string=Audit"}</definedName>
    <definedName name="_2917__FDSAUDITLINK__" localSheetId="34">{"fdsup://Directions/FactSet Auditing Viewer?action=AUDIT_VALUE&amp;DB=129&amp;ID1=337647&amp;VALUEID=03426&amp;SDATE=201002&amp;PERIODTYPE=SEMI_STD&amp;SCFT=3&amp;window=popup_no_bar&amp;width=385&amp;height=120&amp;START_MAXIMIZED=FALSE&amp;creator=factset&amp;display_string=Audit"}</definedName>
    <definedName name="_2917__FDSAUDITLINK__" localSheetId="27">{"fdsup://Directions/FactSet Auditing Viewer?action=AUDIT_VALUE&amp;DB=129&amp;ID1=337647&amp;VALUEID=03426&amp;SDATE=201002&amp;PERIODTYPE=SEMI_STD&amp;SCFT=3&amp;window=popup_no_bar&amp;width=385&amp;height=120&amp;START_MAXIMIZED=FALSE&amp;creator=factset&amp;display_string=Audit"}</definedName>
    <definedName name="_2918__FDSAUDITLINK__" localSheetId="34">{"fdsup://directions/FAT Viewer?action=UPDATE&amp;creator=factset&amp;DYN_ARGS=TRUE&amp;DOC_NAME=FAT:FQL_AUDITING_CLIENT_TEMPLATE.FAT&amp;display_string=Audit&amp;VAR:KEY=MZYDOXIHSR&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337647&amp;VAR:INDEX=0"}</definedName>
    <definedName name="_2918__FDSAUDITLINK__" localSheetId="27">{"fdsup://directions/FAT Viewer?action=UPDATE&amp;creator=factset&amp;DYN_ARGS=TRUE&amp;DOC_NAME=FAT:FQL_AUDITING_CLIENT_TEMPLATE.FAT&amp;display_string=Audit&amp;VAR:KEY=MZYDOXIHSR&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337647&amp;VAR:INDEX=0"}</definedName>
    <definedName name="_2919__FDSAUDITLINK__" localSheetId="34">{"fdsup://Directions/FactSet Auditing Viewer?action=AUDIT_VALUE&amp;DB=129&amp;ID1=337647&amp;VALUEID=02001&amp;SDATE=201002&amp;PERIODTYPE=SEMI_STD&amp;SCFT=3&amp;window=popup_no_bar&amp;width=385&amp;height=120&amp;START_MAXIMIZED=FALSE&amp;creator=factset&amp;display_string=Audit"}</definedName>
    <definedName name="_2919__FDSAUDITLINK__" localSheetId="27">{"fdsup://Directions/FactSet Auditing Viewer?action=AUDIT_VALUE&amp;DB=129&amp;ID1=337647&amp;VALUEID=02001&amp;SDATE=201002&amp;PERIODTYPE=SEMI_STD&amp;SCFT=3&amp;window=popup_no_bar&amp;width=385&amp;height=120&amp;START_MAXIMIZED=FALSE&amp;creator=factset&amp;display_string=Audit"}</definedName>
    <definedName name="_2920__FDSAUDITLINK__" localSheetId="34">{"fdsup://Directions/FactSet Auditing Viewer?action=AUDIT_VALUE&amp;DB=129&amp;ID1=320898&amp;VALUEID=01001&amp;SDATE=2010&amp;PERIODTYPE=ANNR_STD&amp;SCFT=3&amp;window=popup_no_bar&amp;width=385&amp;height=120&amp;START_MAXIMIZED=FALSE&amp;creator=factset&amp;display_string=Audit"}</definedName>
    <definedName name="_2920__FDSAUDITLINK__" localSheetId="27">{"fdsup://Directions/FactSet Auditing Viewer?action=AUDIT_VALUE&amp;DB=129&amp;ID1=320898&amp;VALUEID=01001&amp;SDATE=2010&amp;PERIODTYPE=ANNR_STD&amp;SCFT=3&amp;window=popup_no_bar&amp;width=385&amp;height=120&amp;START_MAXIMIZED=FALSE&amp;creator=factset&amp;display_string=Audit"}</definedName>
    <definedName name="_2921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2921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2922__FDSAUDITLINK__" localSheetId="34">{"fdsup://Directions/FactSet Auditing Viewer?action=AUDIT_VALUE&amp;DB=129&amp;ID1=320898&amp;VALUEID=01250&amp;SDATE=2010&amp;PERIODTYPE=ANNR_STD&amp;SCFT=3&amp;window=popup_no_bar&amp;width=385&amp;height=120&amp;START_MAXIMIZED=FALSE&amp;creator=factset&amp;display_string=Audit"}</definedName>
    <definedName name="_2922__FDSAUDITLINK__" localSheetId="27">{"fdsup://Directions/FactSet Auditing Viewer?action=AUDIT_VALUE&amp;DB=129&amp;ID1=320898&amp;VALUEID=01250&amp;SDATE=2010&amp;PERIODTYPE=ANNR_STD&amp;SCFT=3&amp;window=popup_no_bar&amp;width=385&amp;height=120&amp;START_MAXIMIZED=FALSE&amp;creator=factset&amp;display_string=Audit"}</definedName>
    <definedName name="_2923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2923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2924__FDSAUDITLINK__" localSheetId="34">{"fdsup://directions/FAT Viewer?action=UPDATE&amp;creator=factset&amp;DYN_ARGS=TRUE&amp;DOC_NAME=FAT:FQL_AUDITING_CLIENT_TEMPLATE.FAT&amp;display_string=Audit&amp;VAR:KEY=JKHUHARSVQ&amp;VAR:QUERY=RkZfRUJJVERBX09QRVIoQU5OX1IsNDA2NDEsLCwsKQ==&amp;WINDOW=FIRST_POPUP&amp;HEIGHT=450&amp;WIDTH=450&amp;","START_MAXIMIZED=FALSE&amp;VAR:CALENDAR=FIVEDAY&amp;VAR:SYMBOL=320898&amp;VAR:INDEX=0"}</definedName>
    <definedName name="_2924__FDSAUDITLINK__" localSheetId="27">{"fdsup://directions/FAT Viewer?action=UPDATE&amp;creator=factset&amp;DYN_ARGS=TRUE&amp;DOC_NAME=FAT:FQL_AUDITING_CLIENT_TEMPLATE.FAT&amp;display_string=Audit&amp;VAR:KEY=JKHUHARSVQ&amp;VAR:QUERY=RkZfRUJJVERBX09QRVIoQU5OX1IsNDA2NDEsLCwsKQ==&amp;WINDOW=FIRST_POPUP&amp;HEIGHT=450&amp;WIDTH=450&amp;","START_MAXIMIZED=FALSE&amp;VAR:CALENDAR=FIVEDAY&amp;VAR:SYMBOL=320898&amp;VAR:INDEX=0"}</definedName>
    <definedName name="_2925__FDSAUDITLINK__" localSheetId="34">{"fdsup://directions/FAT Viewer?action=UPDATE&amp;creator=factset&amp;DYN_ARGS=TRUE&amp;DOC_NAME=FAT:FQL_AUDITING_CLIENT_TEMPLATE.FAT&amp;display_string=Audit&amp;VAR:KEY=RMZMFCPQHO&amp;VAR:QUERY=RkZfRUJJVERBX09QRVIoQU5OX1IsNDA2NDEtMVksLCwsKQ==&amp;WINDOW=FIRST_POPUP&amp;HEIGHT=450&amp;WIDTH=","450&amp;START_MAXIMIZED=FALSE&amp;VAR:CALENDAR=FIVEDAY&amp;VAR:SYMBOL=320898&amp;VAR:INDEX=0"}</definedName>
    <definedName name="_2925__FDSAUDITLINK__" localSheetId="27">{"fdsup://directions/FAT Viewer?action=UPDATE&amp;creator=factset&amp;DYN_ARGS=TRUE&amp;DOC_NAME=FAT:FQL_AUDITING_CLIENT_TEMPLATE.FAT&amp;display_string=Audit&amp;VAR:KEY=RMZMFCPQHO&amp;VAR:QUERY=RkZfRUJJVERBX09QRVIoQU5OX1IsNDA2NDEtMVksLCwsKQ==&amp;WINDOW=FIRST_POPUP&amp;HEIGHT=450&amp;WIDTH=","450&amp;START_MAXIMIZED=FALSE&amp;VAR:CALENDAR=FIVEDAY&amp;VAR:SYMBOL=320898&amp;VAR:INDEX=0"}</definedName>
    <definedName name="_2926__FDSAUDITLINK__" localSheetId="34">{"fdsup://directions/FAT Viewer?action=UPDATE&amp;creator=factset&amp;DYN_ARGS=TRUE&amp;DOC_NAME=FAT:FQL_AUDITING_CLIENT_TEMPLATE.FAT&amp;display_string=Audit&amp;VAR:KEY=NKHYPEXAPG&amp;VAR:QUERY=RkZfRUJJVERBX09QRVIoQU5OX1IsNDA2NDEtMlksLCwsKQ==&amp;WINDOW=FIRST_POPUP&amp;HEIGHT=450&amp;WIDTH=","450&amp;START_MAXIMIZED=FALSE&amp;VAR:CALENDAR=FIVEDAY&amp;VAR:SYMBOL=320898&amp;VAR:INDEX=0"}</definedName>
    <definedName name="_2926__FDSAUDITLINK__" localSheetId="27">{"fdsup://directions/FAT Viewer?action=UPDATE&amp;creator=factset&amp;DYN_ARGS=TRUE&amp;DOC_NAME=FAT:FQL_AUDITING_CLIENT_TEMPLATE.FAT&amp;display_string=Audit&amp;VAR:KEY=NKHYPEXAPG&amp;VAR:QUERY=RkZfRUJJVERBX09QRVIoQU5OX1IsNDA2NDEtMlksLCwsKQ==&amp;WINDOW=FIRST_POPUP&amp;HEIGHT=450&amp;WIDTH=","450&amp;START_MAXIMIZED=FALSE&amp;VAR:CALENDAR=FIVEDAY&amp;VAR:SYMBOL=320898&amp;VAR:INDEX=0"}</definedName>
    <definedName name="_2927__FDSAUDITLINK__" localSheetId="34">{"fdsup://directions/FAT Viewer?action=UPDATE&amp;creator=factset&amp;DYN_ARGS=TRUE&amp;DOC_NAME=FAT:FQL_AUDITING_CLIENT_TEMPLATE.FAT&amp;display_string=Audit&amp;VAR:KEY=ZGZMNKDOTE&amp;VAR:QUERY=RkZfRUJJVERBX09QRVIoQU5OX1IsNDA2NDEtM1ksLCwsKQ==&amp;WINDOW=FIRST_POPUP&amp;HEIGHT=450&amp;WIDTH=","450&amp;START_MAXIMIZED=FALSE&amp;VAR:CALENDAR=FIVEDAY&amp;VAR:SYMBOL=320898&amp;VAR:INDEX=0"}</definedName>
    <definedName name="_2927__FDSAUDITLINK__" localSheetId="27">{"fdsup://directions/FAT Viewer?action=UPDATE&amp;creator=factset&amp;DYN_ARGS=TRUE&amp;DOC_NAME=FAT:FQL_AUDITING_CLIENT_TEMPLATE.FAT&amp;display_string=Audit&amp;VAR:KEY=ZGZMNKDOTE&amp;VAR:QUERY=RkZfRUJJVERBX09QRVIoQU5OX1IsNDA2NDEtM1ksLCwsKQ==&amp;WINDOW=FIRST_POPUP&amp;HEIGHT=450&amp;WIDTH=","450&amp;START_MAXIMIZED=FALSE&amp;VAR:CALENDAR=FIVEDAY&amp;VAR:SYMBOL=320898&amp;VAR:INDEX=0"}</definedName>
    <definedName name="_2928__FDSAUDITLINK__" localSheetId="34">{"fdsup://directions/FAT Viewer?action=UPDATE&amp;creator=factset&amp;DYN_ARGS=TRUE&amp;DOC_NAME=FAT:FQL_AUDITING_CLIENT_TEMPLATE.FAT&amp;display_string=Audit&amp;VAR:KEY=JUTADAXCVI&amp;VAR:QUERY=RkZfRUJJVERBX09QRVIoQU5OX1IsNDA2NDEtNFksLCwsKQ==&amp;WINDOW=FIRST_POPUP&amp;HEIGHT=450&amp;WIDTH=","450&amp;START_MAXIMIZED=FALSE&amp;VAR:CALENDAR=FIVEDAY&amp;VAR:SYMBOL=320898&amp;VAR:INDEX=0"}</definedName>
    <definedName name="_2928__FDSAUDITLINK__" localSheetId="27">{"fdsup://directions/FAT Viewer?action=UPDATE&amp;creator=factset&amp;DYN_ARGS=TRUE&amp;DOC_NAME=FAT:FQL_AUDITING_CLIENT_TEMPLATE.FAT&amp;display_string=Audit&amp;VAR:KEY=JUTADAXCVI&amp;VAR:QUERY=RkZfRUJJVERBX09QRVIoQU5OX1IsNDA2NDEtNFksLCwsKQ==&amp;WINDOW=FIRST_POPUP&amp;HEIGHT=450&amp;WIDTH=","450&amp;START_MAXIMIZED=FALSE&amp;VAR:CALENDAR=FIVEDAY&amp;VAR:SYMBOL=320898&amp;VAR:INDEX=0"}</definedName>
    <definedName name="_2929__FDSAUDITLINK__" localSheetId="34">{"fdsup://Directions/FactSet Auditing Viewer?action=AUDIT_VALUE&amp;DB=129&amp;ID1=320898&amp;VALUEID=01151&amp;SDATE=2010&amp;PERIODTYPE=ANNR_STD&amp;SCFT=3&amp;window=popup_no_bar&amp;width=385&amp;height=120&amp;START_MAXIMIZED=FALSE&amp;creator=factset&amp;display_string=Audit"}</definedName>
    <definedName name="_2929__FDSAUDITLINK__" localSheetId="27">{"fdsup://Directions/FactSet Auditing Viewer?action=AUDIT_VALUE&amp;DB=129&amp;ID1=320898&amp;VALUEID=01151&amp;SDATE=2010&amp;PERIODTYPE=ANNR_STD&amp;SCFT=3&amp;window=popup_no_bar&amp;width=385&amp;height=120&amp;START_MAXIMIZED=FALSE&amp;creator=factset&amp;display_string=Audit"}</definedName>
    <definedName name="_2930__FDSAUDITLINK__" localSheetId="34">{"fdsup://Directions/FactSet Auditing Viewer?action=AUDIT_VALUE&amp;DB=129&amp;ID1=320898&amp;VALUEID=04049&amp;SDATE=2010&amp;PERIODTYPE=ANNR_STD&amp;SCFT=3&amp;window=popup_no_bar&amp;width=385&amp;height=120&amp;START_MAXIMIZED=FALSE&amp;creator=factset&amp;display_string=Audit"}</definedName>
    <definedName name="_2930__FDSAUDITLINK__" localSheetId="27">{"fdsup://Directions/FactSet Auditing Viewer?action=AUDIT_VALUE&amp;DB=129&amp;ID1=320898&amp;VALUEID=04049&amp;SDATE=2010&amp;PERIODTYPE=ANNR_STD&amp;SCFT=3&amp;window=popup_no_bar&amp;width=385&amp;height=120&amp;START_MAXIMIZED=FALSE&amp;creator=factset&amp;display_string=Audit"}</definedName>
    <definedName name="_2931__FDSAUDITLINK__" localSheetId="34">{"fdsup://Directions/FactSet Auditing Viewer?action=AUDIT_VALUE&amp;DB=129&amp;ID1=320898&amp;VALUEID=01151&amp;SDATE=2009&amp;PERIODTYPE=ANNR_STD&amp;SCFT=3&amp;window=popup_no_bar&amp;width=385&amp;height=120&amp;START_MAXIMIZED=FALSE&amp;creator=factset&amp;display_string=Audit"}</definedName>
    <definedName name="_2931__FDSAUDITLINK__" localSheetId="27">{"fdsup://Directions/FactSet Auditing Viewer?action=AUDIT_VALUE&amp;DB=129&amp;ID1=320898&amp;VALUEID=01151&amp;SDATE=2009&amp;PERIODTYPE=ANNR_STD&amp;SCFT=3&amp;window=popup_no_bar&amp;width=385&amp;height=120&amp;START_MAXIMIZED=FALSE&amp;creator=factset&amp;display_string=Audit"}</definedName>
    <definedName name="_2932__FDSAUDITLINK__" localSheetId="34">{"fdsup://Directions/FactSet Auditing Viewer?action=AUDIT_VALUE&amp;DB=129&amp;ID1=320898&amp;VALUEID=04050&amp;SDATE=2010&amp;PERIODTYPE=ANNR_STD&amp;SCFT=3&amp;window=popup_no_bar&amp;width=385&amp;height=120&amp;START_MAXIMIZED=FALSE&amp;creator=factset&amp;display_string=Audit"}</definedName>
    <definedName name="_2932__FDSAUDITLINK__" localSheetId="27">{"fdsup://Directions/FactSet Auditing Viewer?action=AUDIT_VALUE&amp;DB=129&amp;ID1=320898&amp;VALUEID=04050&amp;SDATE=2010&amp;PERIODTYPE=ANNR_STD&amp;SCFT=3&amp;window=popup_no_bar&amp;width=385&amp;height=120&amp;START_MAXIMIZED=FALSE&amp;creator=factset&amp;display_string=Audit"}</definedName>
    <definedName name="_2933__FDSAUDITLINK__" localSheetId="34">{"fdsup://directions/FAT Viewer?action=UPDATE&amp;creator=factset&amp;DYN_ARGS=TRUE&amp;DOC_NAME=FAT:FQL_AUDITING_CLIENT_TEMPLATE.FAT&amp;display_string=Audit&amp;VAR:KEY=UPIZQJGLCR&amp;VAR:QUERY=RkZfSU1QQUlSX1BQRShBTk5fUiw0MDY0MSwsLFJGLCk=&amp;WINDOW=FIRST_POPUP&amp;HEIGHT=450&amp;WIDTH=450&amp;","START_MAXIMIZED=FALSE&amp;VAR:CALENDAR=FIVEDAY&amp;VAR:SYMBOL=320898&amp;VAR:INDEX=0"}</definedName>
    <definedName name="_2933__FDSAUDITLINK__" localSheetId="27">{"fdsup://directions/FAT Viewer?action=UPDATE&amp;creator=factset&amp;DYN_ARGS=TRUE&amp;DOC_NAME=FAT:FQL_AUDITING_CLIENT_TEMPLATE.FAT&amp;display_string=Audit&amp;VAR:KEY=UPIZQJGLCR&amp;VAR:QUERY=RkZfSU1QQUlSX1BQRShBTk5fUiw0MDY0MSwsLFJGLCk=&amp;WINDOW=FIRST_POPUP&amp;HEIGHT=450&amp;WIDTH=450&amp;","START_MAXIMIZED=FALSE&amp;VAR:CALENDAR=FIVEDAY&amp;VAR:SYMBOL=320898&amp;VAR:INDEX=0"}</definedName>
    <definedName name="_2934__FDSAUDITLINK__" localSheetId="34">{"fdsup://directions/FAT Viewer?action=UPDATE&amp;creator=factset&amp;DYN_ARGS=TRUE&amp;DOC_NAME=FAT:FQL_AUDITING_CLIENT_TEMPLATE.FAT&amp;display_string=Audit&amp;VAR:KEY=QJUTUBUZGD&amp;VAR:QUERY=RkZfSU1QQUlSX1BQRShBTk5fUiw0MDY0MS0xWSwsLFJGLCk=&amp;WINDOW=FIRST_POPUP&amp;HEIGHT=450&amp;WIDTH=","450&amp;START_MAXIMIZED=FALSE&amp;VAR:CALENDAR=FIVEDAY&amp;VAR:SYMBOL=320898&amp;VAR:INDEX=0"}</definedName>
    <definedName name="_2934__FDSAUDITLINK__" localSheetId="27">{"fdsup://directions/FAT Viewer?action=UPDATE&amp;creator=factset&amp;DYN_ARGS=TRUE&amp;DOC_NAME=FAT:FQL_AUDITING_CLIENT_TEMPLATE.FAT&amp;display_string=Audit&amp;VAR:KEY=QJUTUBUZGD&amp;VAR:QUERY=RkZfSU1QQUlSX1BQRShBTk5fUiw0MDY0MS0xWSwsLFJGLCk=&amp;WINDOW=FIRST_POPUP&amp;HEIGHT=450&amp;WIDTH=","450&amp;START_MAXIMIZED=FALSE&amp;VAR:CALENDAR=FIVEDAY&amp;VAR:SYMBOL=320898&amp;VAR:INDEX=0"}</definedName>
    <definedName name="_2935__FDSAUDITLINK__" localSheetId="34">{"fdsup://directions/FAT Viewer?action=UPDATE&amp;creator=factset&amp;DYN_ARGS=TRUE&amp;DOC_NAME=FAT:FQL_AUDITING_CLIENT_TEMPLATE.FAT&amp;display_string=Audit&amp;VAR:KEY=CLWVAPQJWD&amp;VAR:QUERY=RkZfSU1QQUlSX1BQRShBTk5fUiw0MDY0MS0yWSwsLFJGLCk=&amp;WINDOW=FIRST_POPUP&amp;HEIGHT=450&amp;WIDTH=","450&amp;START_MAXIMIZED=FALSE&amp;VAR:CALENDAR=FIVEDAY&amp;VAR:SYMBOL=320898&amp;VAR:INDEX=0"}</definedName>
    <definedName name="_2935__FDSAUDITLINK__" localSheetId="27">{"fdsup://directions/FAT Viewer?action=UPDATE&amp;creator=factset&amp;DYN_ARGS=TRUE&amp;DOC_NAME=FAT:FQL_AUDITING_CLIENT_TEMPLATE.FAT&amp;display_string=Audit&amp;VAR:KEY=CLWVAPQJWD&amp;VAR:QUERY=RkZfSU1QQUlSX1BQRShBTk5fUiw0MDY0MS0yWSwsLFJGLCk=&amp;WINDOW=FIRST_POPUP&amp;HEIGHT=450&amp;WIDTH=","450&amp;START_MAXIMIZED=FALSE&amp;VAR:CALENDAR=FIVEDAY&amp;VAR:SYMBOL=320898&amp;VAR:INDEX=0"}</definedName>
    <definedName name="_2936__FDSAUDITLINK__" localSheetId="34">{"fdsup://directions/FAT Viewer?action=UPDATE&amp;creator=factset&amp;DYN_ARGS=TRUE&amp;DOC_NAME=FAT:FQL_AUDITING_CLIENT_TEMPLATE.FAT&amp;display_string=Audit&amp;VAR:KEY=UZAVADCPGX&amp;VAR:QUERY=RkZfSU1QQUlSX1BQRShBTk5fUiw0MDY0MS0zWSwsLFJGLCk=&amp;WINDOW=FIRST_POPUP&amp;HEIGHT=450&amp;WIDTH=","450&amp;START_MAXIMIZED=FALSE&amp;VAR:CALENDAR=FIVEDAY&amp;VAR:SYMBOL=320898&amp;VAR:INDEX=0"}</definedName>
    <definedName name="_2936__FDSAUDITLINK__" localSheetId="27">{"fdsup://directions/FAT Viewer?action=UPDATE&amp;creator=factset&amp;DYN_ARGS=TRUE&amp;DOC_NAME=FAT:FQL_AUDITING_CLIENT_TEMPLATE.FAT&amp;display_string=Audit&amp;VAR:KEY=UZAVADCPGX&amp;VAR:QUERY=RkZfSU1QQUlSX1BQRShBTk5fUiw0MDY0MS0zWSwsLFJGLCk=&amp;WINDOW=FIRST_POPUP&amp;HEIGHT=450&amp;WIDTH=","450&amp;START_MAXIMIZED=FALSE&amp;VAR:CALENDAR=FIVEDAY&amp;VAR:SYMBOL=320898&amp;VAR:INDEX=0"}</definedName>
    <definedName name="_2937__FDSAUDITLINK__" localSheetId="34">{"fdsup://directions/FAT Viewer?action=UPDATE&amp;creator=factset&amp;DYN_ARGS=TRUE&amp;DOC_NAME=FAT:FQL_AUDITING_CLIENT_TEMPLATE.FAT&amp;display_string=Audit&amp;VAR:KEY=URYREDQLAD&amp;VAR:QUERY=RkZfSU1QQUlSX1BQRShBTk5fUiw0MDY0MS00WSwsLFJGLCk=&amp;WINDOW=FIRST_POPUP&amp;HEIGHT=450&amp;WIDTH=","450&amp;START_MAXIMIZED=FALSE&amp;VAR:CALENDAR=FIVEDAY&amp;VAR:SYMBOL=320898&amp;VAR:INDEX=0"}</definedName>
    <definedName name="_2937__FDSAUDITLINK__" localSheetId="27">{"fdsup://directions/FAT Viewer?action=UPDATE&amp;creator=factset&amp;DYN_ARGS=TRUE&amp;DOC_NAME=FAT:FQL_AUDITING_CLIENT_TEMPLATE.FAT&amp;display_string=Audit&amp;VAR:KEY=URYREDQLAD&amp;VAR:QUERY=RkZfSU1QQUlSX1BQRShBTk5fUiw0MDY0MS00WSwsLFJGLCk=&amp;WINDOW=FIRST_POPUP&amp;HEIGHT=450&amp;WIDTH=","450&amp;START_MAXIMIZED=FALSE&amp;VAR:CALENDAR=FIVEDAY&amp;VAR:SYMBOL=320898&amp;VAR:INDEX=0"}</definedName>
    <definedName name="_2938__FDSAUDITLINK__" localSheetId="34">{"fdsup://directions/FAT Viewer?action=UPDATE&amp;creator=factset&amp;DYN_ARGS=TRUE&amp;DOC_NAME=FAT:FQL_AUDITING_CLIENT_TEMPLATE.FAT&amp;display_string=Audit&amp;VAR:KEY=WDCLWRIFGR&amp;VAR:QUERY=RkZfRklOX0FTU0VUU19JTVBBSVIoQU5OX1IsNDA2NDEsLCxSRiwp&amp;WINDOW=FIRST_POPUP&amp;HEIGHT=450&amp;WI","DTH=450&amp;START_MAXIMIZED=FALSE&amp;VAR:CALENDAR=FIVEDAY&amp;VAR:SYMBOL=320898&amp;VAR:INDEX=0"}</definedName>
    <definedName name="_2938__FDSAUDITLINK__" localSheetId="27">{"fdsup://directions/FAT Viewer?action=UPDATE&amp;creator=factset&amp;DYN_ARGS=TRUE&amp;DOC_NAME=FAT:FQL_AUDITING_CLIENT_TEMPLATE.FAT&amp;display_string=Audit&amp;VAR:KEY=WDCLWRIFGR&amp;VAR:QUERY=RkZfRklOX0FTU0VUU19JTVBBSVIoQU5OX1IsNDA2NDEsLCxSRiwp&amp;WINDOW=FIRST_POPUP&amp;HEIGHT=450&amp;WI","DTH=450&amp;START_MAXIMIZED=FALSE&amp;VAR:CALENDAR=FIVEDAY&amp;VAR:SYMBOL=320898&amp;VAR:INDEX=0"}</definedName>
    <definedName name="_2939__FDSAUDITLINK__" localSheetId="34">{"fdsup://directions/FAT Viewer?action=UPDATE&amp;creator=factset&amp;DYN_ARGS=TRUE&amp;DOC_NAME=FAT:FQL_AUDITING_CLIENT_TEMPLATE.FAT&amp;display_string=Audit&amp;VAR:KEY=QFGHGXIZAT&amp;VAR:QUERY=RkZfRklOX0FTU0VUU19JTVBBSVIoQU5OX1IsNDA2NDEtMVksLCxSRiwp&amp;WINDOW=FIRST_POPUP&amp;HEIGHT=45","0&amp;WIDTH=450&amp;START_MAXIMIZED=FALSE&amp;VAR:CALENDAR=FIVEDAY&amp;VAR:SYMBOL=320898&amp;VAR:INDEX=0"}</definedName>
    <definedName name="_2939__FDSAUDITLINK__" localSheetId="27">{"fdsup://directions/FAT Viewer?action=UPDATE&amp;creator=factset&amp;DYN_ARGS=TRUE&amp;DOC_NAME=FAT:FQL_AUDITING_CLIENT_TEMPLATE.FAT&amp;display_string=Audit&amp;VAR:KEY=QFGHGXIZAT&amp;VAR:QUERY=RkZfRklOX0FTU0VUU19JTVBBSVIoQU5OX1IsNDA2NDEtMVksLCxSRiwp&amp;WINDOW=FIRST_POPUP&amp;HEIGHT=45","0&amp;WIDTH=450&amp;START_MAXIMIZED=FALSE&amp;VAR:CALENDAR=FIVEDAY&amp;VAR:SYMBOL=320898&amp;VAR:INDEX=0"}</definedName>
    <definedName name="_2940__FDSAUDITLINK__" localSheetId="34">{"fdsup://directions/FAT Viewer?action=UPDATE&amp;creator=factset&amp;DYN_ARGS=TRUE&amp;DOC_NAME=FAT:FQL_AUDITING_CLIENT_TEMPLATE.FAT&amp;display_string=Audit&amp;VAR:KEY=SBCJKRCLET&amp;VAR:QUERY=RkZfRklOX0FTU0VUU19JTVBBSVIoQU5OX1IsNDA2NDEtMlksLCxSRiwp&amp;WINDOW=FIRST_POPUP&amp;HEIGHT=45","0&amp;WIDTH=450&amp;START_MAXIMIZED=FALSE&amp;VAR:CALENDAR=FIVEDAY&amp;VAR:SYMBOL=320898&amp;VAR:INDEX=0"}</definedName>
    <definedName name="_2940__FDSAUDITLINK__" localSheetId="27">{"fdsup://directions/FAT Viewer?action=UPDATE&amp;creator=factset&amp;DYN_ARGS=TRUE&amp;DOC_NAME=FAT:FQL_AUDITING_CLIENT_TEMPLATE.FAT&amp;display_string=Audit&amp;VAR:KEY=SBCJKRCLET&amp;VAR:QUERY=RkZfRklOX0FTU0VUU19JTVBBSVIoQU5OX1IsNDA2NDEtMlksLCxSRiwp&amp;WINDOW=FIRST_POPUP&amp;HEIGHT=45","0&amp;WIDTH=450&amp;START_MAXIMIZED=FALSE&amp;VAR:CALENDAR=FIVEDAY&amp;VAR:SYMBOL=320898&amp;VAR:INDEX=0"}</definedName>
    <definedName name="_2941__FDSAUDITLINK__" localSheetId="34">{"fdsup://directions/FAT Viewer?action=UPDATE&amp;creator=factset&amp;DYN_ARGS=TRUE&amp;DOC_NAME=FAT:FQL_AUDITING_CLIENT_TEMPLATE.FAT&amp;display_string=Audit&amp;VAR:KEY=SVSPCTILSJ&amp;VAR:QUERY=RkZfRklOX0FTU0VUU19JTVBBSVIoQU5OX1IsNDA2NDEtM1ksLCxSRiwp&amp;WINDOW=FIRST_POPUP&amp;HEIGHT=45","0&amp;WIDTH=450&amp;START_MAXIMIZED=FALSE&amp;VAR:CALENDAR=FIVEDAY&amp;VAR:SYMBOL=320898&amp;VAR:INDEX=0"}</definedName>
    <definedName name="_2941__FDSAUDITLINK__" localSheetId="27">{"fdsup://directions/FAT Viewer?action=UPDATE&amp;creator=factset&amp;DYN_ARGS=TRUE&amp;DOC_NAME=FAT:FQL_AUDITING_CLIENT_TEMPLATE.FAT&amp;display_string=Audit&amp;VAR:KEY=SVSPCTILSJ&amp;VAR:QUERY=RkZfRklOX0FTU0VUU19JTVBBSVIoQU5OX1IsNDA2NDEtM1ksLCxSRiwp&amp;WINDOW=FIRST_POPUP&amp;HEIGHT=45","0&amp;WIDTH=450&amp;START_MAXIMIZED=FALSE&amp;VAR:CALENDAR=FIVEDAY&amp;VAR:SYMBOL=320898&amp;VAR:INDEX=0"}</definedName>
    <definedName name="_2942__FDSAUDITLINK__" localSheetId="34">{"fdsup://directions/FAT Viewer?action=UPDATE&amp;creator=factset&amp;DYN_ARGS=TRUE&amp;DOC_NAME=FAT:FQL_AUDITING_CLIENT_TEMPLATE.FAT&amp;display_string=Audit&amp;VAR:KEY=KDKXAJKPYH&amp;VAR:QUERY=RkZfRklOX0FTU0VUU19JTVBBSVIoQU5OX1IsNDA2NDEtNFksLCxSRiwp&amp;WINDOW=FIRST_POPUP&amp;HEIGHT=45","0&amp;WIDTH=450&amp;START_MAXIMIZED=FALSE&amp;VAR:CALENDAR=FIVEDAY&amp;VAR:SYMBOL=320898&amp;VAR:INDEX=0"}</definedName>
    <definedName name="_2942__FDSAUDITLINK__" localSheetId="27">{"fdsup://directions/FAT Viewer?action=UPDATE&amp;creator=factset&amp;DYN_ARGS=TRUE&amp;DOC_NAME=FAT:FQL_AUDITING_CLIENT_TEMPLATE.FAT&amp;display_string=Audit&amp;VAR:KEY=KDKXAJKPYH&amp;VAR:QUERY=RkZfRklOX0FTU0VUU19JTVBBSVIoQU5OX1IsNDA2NDEtNFksLCxSRiwp&amp;WINDOW=FIRST_POPUP&amp;HEIGHT=45","0&amp;WIDTH=450&amp;START_MAXIMIZED=FALSE&amp;VAR:CALENDAR=FIVEDAY&amp;VAR:SYMBOL=320898&amp;VAR:INDEX=0"}</definedName>
    <definedName name="_2943__FDSAUDITLINK__" localSheetId="34">{"fdsup://Directions/FactSet Auditing Viewer?action=AUDIT_VALUE&amp;DB=129&amp;ID1=320898&amp;VALUEID=04601&amp;SDATE=2010&amp;PERIODTYPE=ANNR_STD&amp;SCFT=3&amp;window=popup_no_bar&amp;width=385&amp;height=120&amp;START_MAXIMIZED=FALSE&amp;creator=factset&amp;display_string=Audit"}</definedName>
    <definedName name="_2943__FDSAUDITLINK__" localSheetId="27">{"fdsup://Directions/FactSet Auditing Viewer?action=AUDIT_VALUE&amp;DB=129&amp;ID1=320898&amp;VALUEID=04601&amp;SDATE=2010&amp;PERIODTYPE=ANNR_STD&amp;SCFT=3&amp;window=popup_no_bar&amp;width=385&amp;height=120&amp;START_MAXIMIZED=FALSE&amp;creator=factset&amp;display_string=Audit"}</definedName>
    <definedName name="_2944__FDSAUDITLINK__" localSheetId="34">{"fdsup://Directions/FactSet Auditing Viewer?action=AUDIT_VALUE&amp;DB=129&amp;ID1=320898&amp;VALUEID=02201&amp;SDATE=2010&amp;PERIODTYPE=ANNR_STD&amp;SCFT=3&amp;window=popup_no_bar&amp;width=385&amp;height=120&amp;START_MAXIMIZED=FALSE&amp;creator=factset&amp;display_string=Audit"}</definedName>
    <definedName name="_2944__FDSAUDITLINK__" localSheetId="27">{"fdsup://Directions/FactSet Auditing Viewer?action=AUDIT_VALUE&amp;DB=129&amp;ID1=320898&amp;VALUEID=02201&amp;SDATE=2010&amp;PERIODTYPE=ANNR_STD&amp;SCFT=3&amp;window=popup_no_bar&amp;width=385&amp;height=120&amp;START_MAXIMIZED=FALSE&amp;creator=factset&amp;display_string=Audit"}</definedName>
    <definedName name="_2945__FDSAUDITLINK__" localSheetId="34">{"fdsup://Directions/FactSet Auditing Viewer?action=AUDIT_VALUE&amp;DB=129&amp;ID1=320898&amp;VALUEID=02201&amp;SDATE=2009&amp;PERIODTYPE=ANNR_STD&amp;SCFT=3&amp;window=popup_no_bar&amp;width=385&amp;height=120&amp;START_MAXIMIZED=FALSE&amp;creator=factset&amp;display_string=Audit"}</definedName>
    <definedName name="_2945__FDSAUDITLINK__" localSheetId="27">{"fdsup://Directions/FactSet Auditing Viewer?action=AUDIT_VALUE&amp;DB=129&amp;ID1=320898&amp;VALUEID=02201&amp;SDATE=2009&amp;PERIODTYPE=ANNR_STD&amp;SCFT=3&amp;window=popup_no_bar&amp;width=385&amp;height=120&amp;START_MAXIMIZED=FALSE&amp;creator=factset&amp;display_string=Audit"}</definedName>
    <definedName name="_2946__FDSAUDITLINK__" localSheetId="34">{"fdsup://Directions/FactSet Auditing Viewer?action=AUDIT_VALUE&amp;DB=129&amp;ID1=320898&amp;VALUEID=02001&amp;SDATE=2010&amp;PERIODTYPE=ANNR_STD&amp;SCFT=3&amp;window=popup_no_bar&amp;width=385&amp;height=120&amp;START_MAXIMIZED=FALSE&amp;creator=factset&amp;display_string=Audit"}</definedName>
    <definedName name="_2946__FDSAUDITLINK__" localSheetId="27">{"fdsup://Directions/FactSet Auditing Viewer?action=AUDIT_VALUE&amp;DB=129&amp;ID1=320898&amp;VALUEID=02001&amp;SDATE=2010&amp;PERIODTYPE=ANNR_STD&amp;SCFT=3&amp;window=popup_no_bar&amp;width=385&amp;height=120&amp;START_MAXIMIZED=FALSE&amp;creator=factset&amp;display_string=Audit"}</definedName>
    <definedName name="_2947__FDSAUDITLINK__" localSheetId="34">{"fdsup://Directions/FactSet Auditing Viewer?action=AUDIT_VALUE&amp;DB=129&amp;ID1=320898&amp;VALUEID=02001&amp;SDATE=2009&amp;PERIODTYPE=ANNR_STD&amp;SCFT=3&amp;window=popup_no_bar&amp;width=385&amp;height=120&amp;START_MAXIMIZED=FALSE&amp;creator=factset&amp;display_string=Audit"}</definedName>
    <definedName name="_2947__FDSAUDITLINK__" localSheetId="27">{"fdsup://Directions/FactSet Auditing Viewer?action=AUDIT_VALUE&amp;DB=129&amp;ID1=320898&amp;VALUEID=02001&amp;SDATE=2009&amp;PERIODTYPE=ANNR_STD&amp;SCFT=3&amp;window=popup_no_bar&amp;width=385&amp;height=120&amp;START_MAXIMIZED=FALSE&amp;creator=factset&amp;display_string=Audit"}</definedName>
    <definedName name="_2948__FDSAUDITLINK__" localSheetId="34">{"fdsup://Directions/FactSet Auditing Viewer?action=AUDIT_VALUE&amp;DB=129&amp;ID1=320898&amp;VALUEID=03101&amp;SDATE=2010&amp;PERIODTYPE=ANNR_STD&amp;SCFT=3&amp;window=popup_no_bar&amp;width=385&amp;height=120&amp;START_MAXIMIZED=FALSE&amp;creator=factset&amp;display_string=Audit"}</definedName>
    <definedName name="_2948__FDSAUDITLINK__" localSheetId="27">{"fdsup://Directions/FactSet Auditing Viewer?action=AUDIT_VALUE&amp;DB=129&amp;ID1=320898&amp;VALUEID=03101&amp;SDATE=2010&amp;PERIODTYPE=ANNR_STD&amp;SCFT=3&amp;window=popup_no_bar&amp;width=385&amp;height=120&amp;START_MAXIMIZED=FALSE&amp;creator=factset&amp;display_string=Audit"}</definedName>
    <definedName name="_2949__FDSAUDITLINK__" localSheetId="34">{"fdsup://Directions/FactSet Auditing Viewer?action=AUDIT_VALUE&amp;DB=129&amp;ID1=320898&amp;VALUEID=03101&amp;SDATE=2009&amp;PERIODTYPE=ANNR_STD&amp;SCFT=3&amp;window=popup_no_bar&amp;width=385&amp;height=120&amp;START_MAXIMIZED=FALSE&amp;creator=factset&amp;display_string=Audit"}</definedName>
    <definedName name="_2949__FDSAUDITLINK__" localSheetId="27">{"fdsup://Directions/FactSet Auditing Viewer?action=AUDIT_VALUE&amp;DB=129&amp;ID1=320898&amp;VALUEID=03101&amp;SDATE=2009&amp;PERIODTYPE=ANNR_STD&amp;SCFT=3&amp;window=popup_no_bar&amp;width=385&amp;height=120&amp;START_MAXIMIZED=FALSE&amp;creator=factset&amp;display_string=Audit"}</definedName>
    <definedName name="_2950__FDSAUDITLINK__" localSheetId="34">{"fdsup://Directions/FactSet Auditing Viewer?action=AUDIT_VALUE&amp;DB=129&amp;ID1=320898&amp;VALUEID=03051&amp;SDATE=2010&amp;PERIODTYPE=ANNR_STD&amp;SCFT=3&amp;window=popup_no_bar&amp;width=385&amp;height=120&amp;START_MAXIMIZED=FALSE&amp;creator=factset&amp;display_string=Audit"}</definedName>
    <definedName name="_2950__FDSAUDITLINK__" localSheetId="27">{"fdsup://Directions/FactSet Auditing Viewer?action=AUDIT_VALUE&amp;DB=129&amp;ID1=320898&amp;VALUEID=03051&amp;SDATE=2010&amp;PERIODTYPE=ANNR_STD&amp;SCFT=3&amp;window=popup_no_bar&amp;width=385&amp;height=120&amp;START_MAXIMIZED=FALSE&amp;creator=factset&amp;display_string=Audit"}</definedName>
    <definedName name="_2951__FDSAUDITLINK__" localSheetId="34">{"fdsup://Directions/FactSet Auditing Viewer?action=AUDIT_VALUE&amp;DB=129&amp;ID1=320898&amp;VALUEID=03051&amp;SDATE=2009&amp;PERIODTYPE=ANNR_STD&amp;SCFT=3&amp;window=popup_no_bar&amp;width=385&amp;height=120&amp;START_MAXIMIZED=FALSE&amp;creator=factset&amp;display_string=Audit"}</definedName>
    <definedName name="_2951__FDSAUDITLINK__" localSheetId="27">{"fdsup://Directions/FactSet Auditing Viewer?action=AUDIT_VALUE&amp;DB=129&amp;ID1=320898&amp;VALUEID=03051&amp;SDATE=2009&amp;PERIODTYPE=ANNR_STD&amp;SCFT=3&amp;window=popup_no_bar&amp;width=385&amp;height=120&amp;START_MAXIMIZED=FALSE&amp;creator=factset&amp;display_string=Audit"}</definedName>
    <definedName name="_2952__FDSAUDITLINK__" localSheetId="34">{"fdsup://directions/FAT Viewer?action=UPDATE&amp;creator=factset&amp;DYN_ARGS=TRUE&amp;DOC_NAME=FAT:FQL_AUDITING_CLIENT_TEMPLATE.FAT&amp;display_string=Audit&amp;VAR:KEY=KNADMHQNST&amp;VAR:QUERY=RkZfRUJJVERBX09QRVIoQU5OX1IsNDA2NDEtNFksLCwsKQ==&amp;WINDOW=FIRST_POPUP&amp;HEIGHT=450&amp;WIDTH=","450&amp;START_MAXIMIZED=FALSE&amp;VAR:CALENDAR=FIVEDAY&amp;VAR:SYMBOL=0&amp;VAR:INDEX=0"}</definedName>
    <definedName name="_2952__FDSAUDITLINK__" localSheetId="27">{"fdsup://directions/FAT Viewer?action=UPDATE&amp;creator=factset&amp;DYN_ARGS=TRUE&amp;DOC_NAME=FAT:FQL_AUDITING_CLIENT_TEMPLATE.FAT&amp;display_string=Audit&amp;VAR:KEY=KNADMHQNST&amp;VAR:QUERY=RkZfRUJJVERBX09QRVIoQU5OX1IsNDA2NDEtNFksLCwsKQ==&amp;WINDOW=FIRST_POPUP&amp;HEIGHT=450&amp;WIDTH=","450&amp;START_MAXIMIZED=FALSE&amp;VAR:CALENDAR=FIVEDAY&amp;VAR:SYMBOL=0&amp;VAR:INDEX=0"}</definedName>
    <definedName name="_2953__FDSAUDITLINK__" localSheetId="34">{"fdsup://directions/FAT Viewer?action=UPDATE&amp;creator=factset&amp;DYN_ARGS=TRUE&amp;DOC_NAME=FAT:FQL_AUDITING_CLIENT_TEMPLATE.FAT&amp;display_string=Audit&amp;VAR:KEY=SLONAPAJUT&amp;VAR:QUERY=RkZfSU1QQUlSX1BQRShBTk5fUiw0MDY0MS00WSwsLFJGLCk=&amp;WINDOW=FIRST_POPUP&amp;HEIGHT=450&amp;WIDTH=","450&amp;START_MAXIMIZED=FALSE&amp;VAR:CALENDAR=FIVEDAY&amp;VAR:SYMBOL=0&amp;VAR:INDEX=0"}</definedName>
    <definedName name="_2953__FDSAUDITLINK__" localSheetId="27">{"fdsup://directions/FAT Viewer?action=UPDATE&amp;creator=factset&amp;DYN_ARGS=TRUE&amp;DOC_NAME=FAT:FQL_AUDITING_CLIENT_TEMPLATE.FAT&amp;display_string=Audit&amp;VAR:KEY=SLONAPAJUT&amp;VAR:QUERY=RkZfSU1QQUlSX1BQRShBTk5fUiw0MDY0MS00WSwsLFJGLCk=&amp;WINDOW=FIRST_POPUP&amp;HEIGHT=450&amp;WIDTH=","450&amp;START_MAXIMIZED=FALSE&amp;VAR:CALENDAR=FIVEDAY&amp;VAR:SYMBOL=0&amp;VAR:INDEX=0"}</definedName>
    <definedName name="_2954__FDSAUDITLINK__" localSheetId="34">{"fdsup://directions/FAT Viewer?action=UPDATE&amp;creator=factset&amp;DYN_ARGS=TRUE&amp;DOC_NAME=FAT:FQL_AUDITING_CLIENT_TEMPLATE.FAT&amp;display_string=Audit&amp;VAR:KEY=ERMTERKBMJ&amp;VAR:QUERY=RkZfU0hMRFJTX0VRKEFOTl9SLDQwNjQxLCwsUkYsKQ==&amp;WINDOW=FIRST_POPUP&amp;HEIGHT=450&amp;WIDTH=450&amp;","START_MAXIMIZED=FALSE&amp;VAR:CALENDAR=FIVEDAY&amp;VAR:SYMBOL=320898&amp;VAR:INDEX=0"}</definedName>
    <definedName name="_2954__FDSAUDITLINK__" localSheetId="27">{"fdsup://directions/FAT Viewer?action=UPDATE&amp;creator=factset&amp;DYN_ARGS=TRUE&amp;DOC_NAME=FAT:FQL_AUDITING_CLIENT_TEMPLATE.FAT&amp;display_string=Audit&amp;VAR:KEY=ERMTERKBMJ&amp;VAR:QUERY=RkZfU0hMRFJTX0VRKEFOTl9SLDQwNjQxLCwsUkYsKQ==&amp;WINDOW=FIRST_POPUP&amp;HEIGHT=450&amp;WIDTH=450&amp;","START_MAXIMIZED=FALSE&amp;VAR:CALENDAR=FIVEDAY&amp;VAR:SYMBOL=320898&amp;VAR:INDEX=0"}</definedName>
    <definedName name="_2955__FDSAUDITLINK__" localSheetId="34">{"fdsup://directions/FAT Viewer?action=UPDATE&amp;creator=factset&amp;DYN_ARGS=TRUE&amp;DOC_NAME=FAT:FQL_AUDITING_CLIENT_TEMPLATE.FAT&amp;display_string=Audit&amp;VAR:KEY=KNILADIPWL&amp;VAR:QUERY=RkZfU0hMRFJTX0VRKEFOTl9SLDQwNjQxLTFZLCwsUkYsKQ==&amp;WINDOW=FIRST_POPUP&amp;HEIGHT=450&amp;WIDTH=","450&amp;START_MAXIMIZED=FALSE&amp;VAR:CALENDAR=FIVEDAY&amp;VAR:SYMBOL=320898&amp;VAR:INDEX=0"}</definedName>
    <definedName name="_2955__FDSAUDITLINK__" localSheetId="27">{"fdsup://directions/FAT Viewer?action=UPDATE&amp;creator=factset&amp;DYN_ARGS=TRUE&amp;DOC_NAME=FAT:FQL_AUDITING_CLIENT_TEMPLATE.FAT&amp;display_string=Audit&amp;VAR:KEY=KNILADIPWL&amp;VAR:QUERY=RkZfU0hMRFJTX0VRKEFOTl9SLDQwNjQxLTFZLCwsUkYsKQ==&amp;WINDOW=FIRST_POPUP&amp;HEIGHT=450&amp;WIDTH=","450&amp;START_MAXIMIZED=FALSE&amp;VAR:CALENDAR=FIVEDAY&amp;VAR:SYMBOL=320898&amp;VAR:INDEX=0"}</definedName>
    <definedName name="_2956__FDSAUDITLINK__" localSheetId="34">{"fdsup://directions/FAT Viewer?action=UPDATE&amp;creator=factset&amp;DYN_ARGS=TRUE&amp;DOC_NAME=FAT:FQL_AUDITING_CLIENT_TEMPLATE.FAT&amp;display_string=Audit&amp;VAR:KEY=SXOXYJWJUX&amp;VAR:QUERY=RkZfU0hMRFJTX0VRKEFOTl9SLDQwNjQxLTJZLCwsUkYsKQ==&amp;WINDOW=FIRST_POPUP&amp;HEIGHT=450&amp;WIDTH=","450&amp;START_MAXIMIZED=FALSE&amp;VAR:CALENDAR=FIVEDAY&amp;VAR:SYMBOL=320898&amp;VAR:INDEX=0"}</definedName>
    <definedName name="_2956__FDSAUDITLINK__" localSheetId="27">{"fdsup://directions/FAT Viewer?action=UPDATE&amp;creator=factset&amp;DYN_ARGS=TRUE&amp;DOC_NAME=FAT:FQL_AUDITING_CLIENT_TEMPLATE.FAT&amp;display_string=Audit&amp;VAR:KEY=SXOXYJWJUX&amp;VAR:QUERY=RkZfU0hMRFJTX0VRKEFOTl9SLDQwNjQxLTJZLCwsUkYsKQ==&amp;WINDOW=FIRST_POPUP&amp;HEIGHT=450&amp;WIDTH=","450&amp;START_MAXIMIZED=FALSE&amp;VAR:CALENDAR=FIVEDAY&amp;VAR:SYMBOL=320898&amp;VAR:INDEX=0"}</definedName>
    <definedName name="_2957__FDSAUDITLINK__" localSheetId="34">{"fdsup://directions/FAT Viewer?action=UPDATE&amp;creator=factset&amp;DYN_ARGS=TRUE&amp;DOC_NAME=FAT:FQL_AUDITING_CLIENT_TEMPLATE.FAT&amp;display_string=Audit&amp;VAR:KEY=QZOVUXKHST&amp;VAR:QUERY=RkZfU0hMRFJTX0VRKEFOTl9SLDQwNjQxLTNZLCwsUkYsKQ==&amp;WINDOW=FIRST_POPUP&amp;HEIGHT=450&amp;WIDTH=","450&amp;START_MAXIMIZED=FALSE&amp;VAR:CALENDAR=FIVEDAY&amp;VAR:SYMBOL=320898&amp;VAR:INDEX=0"}</definedName>
    <definedName name="_2957__FDSAUDITLINK__" localSheetId="27">{"fdsup://directions/FAT Viewer?action=UPDATE&amp;creator=factset&amp;DYN_ARGS=TRUE&amp;DOC_NAME=FAT:FQL_AUDITING_CLIENT_TEMPLATE.FAT&amp;display_string=Audit&amp;VAR:KEY=QZOVUXKHST&amp;VAR:QUERY=RkZfU0hMRFJTX0VRKEFOTl9SLDQwNjQxLTNZLCwsUkYsKQ==&amp;WINDOW=FIRST_POPUP&amp;HEIGHT=450&amp;WIDTH=","450&amp;START_MAXIMIZED=FALSE&amp;VAR:CALENDAR=FIVEDAY&amp;VAR:SYMBOL=320898&amp;VAR:INDEX=0"}</definedName>
    <definedName name="_2958__FDSAUDITLINK__" localSheetId="34">{"fdsup://directions/FAT Viewer?action=UPDATE&amp;creator=factset&amp;DYN_ARGS=TRUE&amp;DOC_NAME=FAT:FQL_AUDITING_CLIENT_TEMPLATE.FAT&amp;display_string=Audit&amp;VAR:KEY=KVINKDQHML&amp;VAR:QUERY=RkZfU0hMRFJTX0VRKEFOTl9SLDQwNjQxLTRZLCwsUkYsKQ==&amp;WINDOW=FIRST_POPUP&amp;HEIGHT=450&amp;WIDTH=","450&amp;START_MAXIMIZED=FALSE&amp;VAR:CALENDAR=FIVEDAY&amp;VAR:SYMBOL=320898&amp;VAR:INDEX=0"}</definedName>
    <definedName name="_2958__FDSAUDITLINK__" localSheetId="27">{"fdsup://directions/FAT Viewer?action=UPDATE&amp;creator=factset&amp;DYN_ARGS=TRUE&amp;DOC_NAME=FAT:FQL_AUDITING_CLIENT_TEMPLATE.FAT&amp;display_string=Audit&amp;VAR:KEY=KVINKDQHML&amp;VAR:QUERY=RkZfU0hMRFJTX0VRKEFOTl9SLDQwNjQxLTRZLCwsUkYsKQ==&amp;WINDOW=FIRST_POPUP&amp;HEIGHT=450&amp;WIDTH=","450&amp;START_MAXIMIZED=FALSE&amp;VAR:CALENDAR=FIVEDAY&amp;VAR:SYMBOL=320898&amp;VAR:INDEX=0"}</definedName>
    <definedName name="_2959__FDSAUDITLINK__" localSheetId="34">{"fdsup://Directions/FactSet Auditing Viewer?action=AUDIT_VALUE&amp;DB=129&amp;ID1=320898&amp;VALUEID=03426&amp;SDATE=2010&amp;PERIODTYPE=ANNR_STD&amp;SCFT=3&amp;window=popup_no_bar&amp;width=385&amp;height=120&amp;START_MAXIMIZED=FALSE&amp;creator=factset&amp;display_string=Audit"}</definedName>
    <definedName name="_2959__FDSAUDITLINK__" localSheetId="27">{"fdsup://Directions/FactSet Auditing Viewer?action=AUDIT_VALUE&amp;DB=129&amp;ID1=320898&amp;VALUEID=03426&amp;SDATE=2010&amp;PERIODTYPE=ANNR_STD&amp;SCFT=3&amp;window=popup_no_bar&amp;width=385&amp;height=120&amp;START_MAXIMIZED=FALSE&amp;creator=factset&amp;display_string=Audit"}</definedName>
    <definedName name="_2960__FDSAUDITLINK__" localSheetId="34">{"fdsup://Directions/FactSet Auditing Viewer?action=AUDIT_VALUE&amp;DB=129&amp;ID1=320898&amp;VALUEID=03426&amp;SDATE=2009&amp;PERIODTYPE=ANNR_STD&amp;SCFT=3&amp;window=popup_no_bar&amp;width=385&amp;height=120&amp;START_MAXIMIZED=FALSE&amp;creator=factset&amp;display_string=Audit"}</definedName>
    <definedName name="_2960__FDSAUDITLINK__" localSheetId="27">{"fdsup://Directions/FactSet Auditing Viewer?action=AUDIT_VALUE&amp;DB=129&amp;ID1=320898&amp;VALUEID=03426&amp;SDATE=2009&amp;PERIODTYPE=ANNR_STD&amp;SCFT=3&amp;window=popup_no_bar&amp;width=385&amp;height=120&amp;START_MAXIMIZED=FALSE&amp;creator=factset&amp;display_string=Audit"}</definedName>
    <definedName name="_2961__FDSAUDITLINK__" localSheetId="34">{"fdsup://Directions/FactSet Auditing Viewer?action=AUDIT_VALUE&amp;DB=129&amp;ID1=320898&amp;VALUEID=03426&amp;SDATE=201002&amp;PERIODTYPE=SEMI_STD&amp;SCFT=3&amp;window=popup_no_bar&amp;width=385&amp;height=120&amp;START_MAXIMIZED=FALSE&amp;creator=factset&amp;display_string=Audit"}</definedName>
    <definedName name="_2961__FDSAUDITLINK__" localSheetId="27">{"fdsup://Directions/FactSet Auditing Viewer?action=AUDIT_VALUE&amp;DB=129&amp;ID1=320898&amp;VALUEID=03426&amp;SDATE=201002&amp;PERIODTYPE=SEMI_STD&amp;SCFT=3&amp;window=popup_no_bar&amp;width=385&amp;height=120&amp;START_MAXIMIZED=FALSE&amp;creator=factset&amp;display_string=Audit"}</definedName>
    <definedName name="_2962__FDSAUDITLINK__" localSheetId="34">{"fdsup://directions/FAT Viewer?action=UPDATE&amp;creator=factset&amp;DYN_ARGS=TRUE&amp;DOC_NAME=FAT:FQL_AUDITING_CLIENT_TEMPLATE.FAT&amp;display_string=Audit&amp;VAR:KEY=QTKJQPEJMF&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320898&amp;VAR:INDEX=0"}</definedName>
    <definedName name="_2962__FDSAUDITLINK__" localSheetId="27">{"fdsup://directions/FAT Viewer?action=UPDATE&amp;creator=factset&amp;DYN_ARGS=TRUE&amp;DOC_NAME=FAT:FQL_AUDITING_CLIENT_TEMPLATE.FAT&amp;display_string=Audit&amp;VAR:KEY=QTKJQPEJMF&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320898&amp;VAR:INDEX=0"}</definedName>
    <definedName name="_2963__FDSAUDITLINK__" localSheetId="34">{"fdsup://Directions/FactSet Auditing Viewer?action=AUDIT_VALUE&amp;DB=129&amp;ID1=320898&amp;VALUEID=02001&amp;SDATE=201002&amp;PERIODTYPE=SEMI_STD&amp;SCFT=3&amp;window=popup_no_bar&amp;width=385&amp;height=120&amp;START_MAXIMIZED=FALSE&amp;creator=factset&amp;display_string=Audit"}</definedName>
    <definedName name="_2963__FDSAUDITLINK__" localSheetId="27">{"fdsup://Directions/FactSet Auditing Viewer?action=AUDIT_VALUE&amp;DB=129&amp;ID1=320898&amp;VALUEID=02001&amp;SDATE=201002&amp;PERIODTYPE=SEMI_STD&amp;SCFT=3&amp;window=popup_no_bar&amp;width=385&amp;height=120&amp;START_MAXIMIZED=FALSE&amp;creator=factset&amp;display_string=Audit"}</definedName>
    <definedName name="_2964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2964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2965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2965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2966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2966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2967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2967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2968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2968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2969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2969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2970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2970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2971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2971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2972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2972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2973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2973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2974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2974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2975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2975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2976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2976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2977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2977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2978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2978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2979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2979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2980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2980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2981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2981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2982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2982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2983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2983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2985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2985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2986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2986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2987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2987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2988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2988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2989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2989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2990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2990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2991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2991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2992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2992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2993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2993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2994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2994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2995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2995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2996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2996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2997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2997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2998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2998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2999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2999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00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00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01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01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02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02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03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03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04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04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05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05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0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00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007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07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08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08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09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09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10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10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11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11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12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12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13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13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14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14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15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15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16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16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17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17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18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18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19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19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20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20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21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21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22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22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23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23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24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24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25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25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26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26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27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27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28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028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029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29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30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30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31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31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32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32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33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33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34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34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35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35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36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36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37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37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38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38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39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39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40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40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41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41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42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42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43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43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44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44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45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45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46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46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47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47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48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48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49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49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50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50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51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51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52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52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53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53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54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54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55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55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56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56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57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57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58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58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59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59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60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60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61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61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62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62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63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63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64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64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65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65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66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66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67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67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68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68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69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69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70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70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71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71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72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72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73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73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74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74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75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75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76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76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77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77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78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78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79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79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080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80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081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81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082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82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083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83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084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84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085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85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086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86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087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87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088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88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089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89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090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90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091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91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092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92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093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93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094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94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095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95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096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96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097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97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098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98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099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099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100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00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01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01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02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02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03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03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04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04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05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05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06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06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07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07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08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08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09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09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10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10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11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11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12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12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13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13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14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114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115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115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116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116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117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117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118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118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119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119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120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120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121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21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22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22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23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23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24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24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25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25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26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26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27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27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28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28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29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29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30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30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31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31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32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32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33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33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3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13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135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35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36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136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137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137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138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138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139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139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140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140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141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141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142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142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143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43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144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44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145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45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146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46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147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47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148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48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149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49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150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50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151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51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152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52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153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53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154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54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155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55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156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156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157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57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158__FDSAUDITLINK__" localSheetId="34">{"fdsup://Directions/FactSet Auditing Viewer?action=AUDIT_VALUE&amp;DB=129&amp;ID1=010486&amp;VALUEID=01001&amp;SDATE=2010&amp;PERIODTYPE=ANNR_STD&amp;SCFT=3&amp;window=popup_no_bar&amp;width=385&amp;height=120&amp;START_MAXIMIZED=FALSE&amp;creator=factset&amp;display_string=Audit"}</definedName>
    <definedName name="_3158__FDSAUDITLINK__" localSheetId="27">{"fdsup://Directions/FactSet Auditing Viewer?action=AUDIT_VALUE&amp;DB=129&amp;ID1=010486&amp;VALUEID=01001&amp;SDATE=2010&amp;PERIODTYPE=ANNR_STD&amp;SCFT=3&amp;window=popup_no_bar&amp;width=385&amp;height=120&amp;START_MAXIMIZED=FALSE&amp;creator=factset&amp;display_string=Audit"}</definedName>
    <definedName name="_3159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159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160__FDSAUDITLINK__" localSheetId="34">{"fdsup://Directions/FactSet Auditing Viewer?action=AUDIT_VALUE&amp;DB=129&amp;ID1=010486&amp;VALUEID=01001&amp;SDATE=2008&amp;PERIODTYPE=ANNR_STD&amp;SCFT=3&amp;window=popup_no_bar&amp;width=385&amp;height=120&amp;START_MAXIMIZED=FALSE&amp;creator=factset&amp;display_string=Audit"}</definedName>
    <definedName name="_3160__FDSAUDITLINK__" localSheetId="27">{"fdsup://Directions/FactSet Auditing Viewer?action=AUDIT_VALUE&amp;DB=129&amp;ID1=010486&amp;VALUEID=01001&amp;SDATE=2008&amp;PERIODTYPE=ANNR_STD&amp;SCFT=3&amp;window=popup_no_bar&amp;width=385&amp;height=120&amp;START_MAXIMIZED=FALSE&amp;creator=factset&amp;display_string=Audit"}</definedName>
    <definedName name="_3161__FDSAUDITLINK__" localSheetId="34">{"fdsup://Directions/FactSet Auditing Viewer?action=AUDIT_VALUE&amp;DB=129&amp;ID1=010486&amp;VALUEID=01250&amp;SDATE=2010&amp;PERIODTYPE=ANNR_STD&amp;SCFT=3&amp;window=popup_no_bar&amp;width=385&amp;height=120&amp;START_MAXIMIZED=FALSE&amp;creator=factset&amp;display_string=Audit"}</definedName>
    <definedName name="_3161__FDSAUDITLINK__" localSheetId="27">{"fdsup://Directions/FactSet Auditing Viewer?action=AUDIT_VALUE&amp;DB=129&amp;ID1=010486&amp;VALUEID=01250&amp;SDATE=2010&amp;PERIODTYPE=ANNR_STD&amp;SCFT=3&amp;window=popup_no_bar&amp;width=385&amp;height=120&amp;START_MAXIMIZED=FALSE&amp;creator=factset&amp;display_string=Audit"}</definedName>
    <definedName name="_3162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162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163__FDSAUDITLINK__" localSheetId="34">{"fdsup://Directions/FactSet Auditing Viewer?action=AUDIT_VALUE&amp;DB=129&amp;ID1=010486&amp;VALUEID=01250&amp;SDATE=2008&amp;PERIODTYPE=ANNR_STD&amp;SCFT=3&amp;window=popup_no_bar&amp;width=385&amp;height=120&amp;START_MAXIMIZED=FALSE&amp;creator=factset&amp;display_string=Audit"}</definedName>
    <definedName name="_3163__FDSAUDITLINK__" localSheetId="27">{"fdsup://Directions/FactSet Auditing Viewer?action=AUDIT_VALUE&amp;DB=129&amp;ID1=010486&amp;VALUEID=01250&amp;SDATE=2008&amp;PERIODTYPE=ANNR_STD&amp;SCFT=3&amp;window=popup_no_bar&amp;width=385&amp;height=120&amp;START_MAXIMIZED=FALSE&amp;creator=factset&amp;display_string=Audit"}</definedName>
    <definedName name="_3164__FDSAUDITLINK__" localSheetId="34">{"fdsup://directions/FAT Viewer?action=UPDATE&amp;creator=factset&amp;DYN_ARGS=TRUE&amp;DOC_NAME=FAT:FQL_AUDITING_CLIENT_TEMPLATE.FAT&amp;display_string=Audit&amp;VAR:KEY=XIZOJQDAVA&amp;VAR:QUERY=RkZfRUJJVERBX09QRVIoQU5OX1IsNDA2NDEsLCwsKQ==&amp;WINDOW=FIRST_POPUP&amp;HEIGHT=450&amp;WIDTH=450&amp;","START_MAXIMIZED=FALSE&amp;VAR:CALENDAR=FIVEDAY&amp;VAR:SYMBOL=010486&amp;VAR:INDEX=0"}</definedName>
    <definedName name="_3164__FDSAUDITLINK__" localSheetId="27">{"fdsup://directions/FAT Viewer?action=UPDATE&amp;creator=factset&amp;DYN_ARGS=TRUE&amp;DOC_NAME=FAT:FQL_AUDITING_CLIENT_TEMPLATE.FAT&amp;display_string=Audit&amp;VAR:KEY=XIZOJQDAVA&amp;VAR:QUERY=RkZfRUJJVERBX09QRVIoQU5OX1IsNDA2NDEsLCwsKQ==&amp;WINDOW=FIRST_POPUP&amp;HEIGHT=450&amp;WIDTH=450&amp;","START_MAXIMIZED=FALSE&amp;VAR:CALENDAR=FIVEDAY&amp;VAR:SYMBOL=010486&amp;VAR:INDEX=0"}</definedName>
    <definedName name="_3165__FDSAUDITLINK__" localSheetId="34">{"fdsup://directions/FAT Viewer?action=UPDATE&amp;creator=factset&amp;DYN_ARGS=TRUE&amp;DOC_NAME=FAT:FQL_AUDITING_CLIENT_TEMPLATE.FAT&amp;display_string=Audit&amp;VAR:KEY=ZEPWXAJIFK&amp;VAR:QUERY=RkZfRUJJVERBX09QRVIoQU5OX1IsNDA2NDEtMVksLCwsKQ==&amp;WINDOW=FIRST_POPUP&amp;HEIGHT=450&amp;WIDTH=","450&amp;START_MAXIMIZED=FALSE&amp;VAR:CALENDAR=FIVEDAY&amp;VAR:SYMBOL=010486&amp;VAR:INDEX=0"}</definedName>
    <definedName name="_3165__FDSAUDITLINK__" localSheetId="27">{"fdsup://directions/FAT Viewer?action=UPDATE&amp;creator=factset&amp;DYN_ARGS=TRUE&amp;DOC_NAME=FAT:FQL_AUDITING_CLIENT_TEMPLATE.FAT&amp;display_string=Audit&amp;VAR:KEY=ZEPWXAJIFK&amp;VAR:QUERY=RkZfRUJJVERBX09QRVIoQU5OX1IsNDA2NDEtMVksLCwsKQ==&amp;WINDOW=FIRST_POPUP&amp;HEIGHT=450&amp;WIDTH=","450&amp;START_MAXIMIZED=FALSE&amp;VAR:CALENDAR=FIVEDAY&amp;VAR:SYMBOL=010486&amp;VAR:INDEX=0"}</definedName>
    <definedName name="_3166__FDSAUDITLINK__" localSheetId="34">{"fdsup://directions/FAT Viewer?action=UPDATE&amp;creator=factset&amp;DYN_ARGS=TRUE&amp;DOC_NAME=FAT:FQL_AUDITING_CLIENT_TEMPLATE.FAT&amp;display_string=Audit&amp;VAR:KEY=VEPMRYDMPU&amp;VAR:QUERY=RkZfRUJJVERBX09QRVIoQU5OX1IsNDA2NDEtMlksLCwsKQ==&amp;WINDOW=FIRST_POPUP&amp;HEIGHT=450&amp;WIDTH=","450&amp;START_MAXIMIZED=FALSE&amp;VAR:CALENDAR=FIVEDAY&amp;VAR:SYMBOL=010486&amp;VAR:INDEX=0"}</definedName>
    <definedName name="_3166__FDSAUDITLINK__" localSheetId="27">{"fdsup://directions/FAT Viewer?action=UPDATE&amp;creator=factset&amp;DYN_ARGS=TRUE&amp;DOC_NAME=FAT:FQL_AUDITING_CLIENT_TEMPLATE.FAT&amp;display_string=Audit&amp;VAR:KEY=VEPMRYDMPU&amp;VAR:QUERY=RkZfRUJJVERBX09QRVIoQU5OX1IsNDA2NDEtMlksLCwsKQ==&amp;WINDOW=FIRST_POPUP&amp;HEIGHT=450&amp;WIDTH=","450&amp;START_MAXIMIZED=FALSE&amp;VAR:CALENDAR=FIVEDAY&amp;VAR:SYMBOL=010486&amp;VAR:INDEX=0"}</definedName>
    <definedName name="_3167__FDSAUDITLINK__" localSheetId="34">{"fdsup://directions/FAT Viewer?action=UPDATE&amp;creator=factset&amp;DYN_ARGS=TRUE&amp;DOC_NAME=FAT:FQL_AUDITING_CLIENT_TEMPLATE.FAT&amp;display_string=Audit&amp;VAR:KEY=XYDEHWBGZY&amp;VAR:QUERY=RkZfRUJJVERBX09QRVIoQU5OX1IsNDA2NDEtM1ksLCwsKQ==&amp;WINDOW=FIRST_POPUP&amp;HEIGHT=450&amp;WIDTH=","450&amp;START_MAXIMIZED=FALSE&amp;VAR:CALENDAR=FIVEDAY&amp;VAR:SYMBOL=010486&amp;VAR:INDEX=0"}</definedName>
    <definedName name="_3167__FDSAUDITLINK__" localSheetId="27">{"fdsup://directions/FAT Viewer?action=UPDATE&amp;creator=factset&amp;DYN_ARGS=TRUE&amp;DOC_NAME=FAT:FQL_AUDITING_CLIENT_TEMPLATE.FAT&amp;display_string=Audit&amp;VAR:KEY=XYDEHWBGZY&amp;VAR:QUERY=RkZfRUJJVERBX09QRVIoQU5OX1IsNDA2NDEtM1ksLCwsKQ==&amp;WINDOW=FIRST_POPUP&amp;HEIGHT=450&amp;WIDTH=","450&amp;START_MAXIMIZED=FALSE&amp;VAR:CALENDAR=FIVEDAY&amp;VAR:SYMBOL=010486&amp;VAR:INDEX=0"}</definedName>
    <definedName name="_3168__FDSAUDITLINK__" localSheetId="34">{"fdsup://directions/FAT Viewer?action=UPDATE&amp;creator=factset&amp;DYN_ARGS=TRUE&amp;DOC_NAME=FAT:FQL_AUDITING_CLIENT_TEMPLATE.FAT&amp;display_string=Audit&amp;VAR:KEY=RSFOXMVIPM&amp;VAR:QUERY=RkZfRUJJVERBX09QRVIoQU5OX1IsNDA2NDEtNFksLCwsKQ==&amp;WINDOW=FIRST_POPUP&amp;HEIGHT=450&amp;WIDTH=","450&amp;START_MAXIMIZED=FALSE&amp;VAR:CALENDAR=FIVEDAY&amp;VAR:SYMBOL=010486&amp;VAR:INDEX=0"}</definedName>
    <definedName name="_3168__FDSAUDITLINK__" localSheetId="27">{"fdsup://directions/FAT Viewer?action=UPDATE&amp;creator=factset&amp;DYN_ARGS=TRUE&amp;DOC_NAME=FAT:FQL_AUDITING_CLIENT_TEMPLATE.FAT&amp;display_string=Audit&amp;VAR:KEY=RSFOXMVIPM&amp;VAR:QUERY=RkZfRUJJVERBX09QRVIoQU5OX1IsNDA2NDEtNFksLCwsKQ==&amp;WINDOW=FIRST_POPUP&amp;HEIGHT=450&amp;WIDTH=","450&amp;START_MAXIMIZED=FALSE&amp;VAR:CALENDAR=FIVEDAY&amp;VAR:SYMBOL=010486&amp;VAR:INDEX=0"}</definedName>
    <definedName name="_3169__FDSAUDITLINK__" localSheetId="34">{"fdsup://Directions/FactSet Auditing Viewer?action=AUDIT_VALUE&amp;DB=129&amp;ID1=010486&amp;VALUEID=01151&amp;SDATE=2010&amp;PERIODTYPE=ANNR_STD&amp;SCFT=3&amp;window=popup_no_bar&amp;width=385&amp;height=120&amp;START_MAXIMIZED=FALSE&amp;creator=factset&amp;display_string=Audit"}</definedName>
    <definedName name="_3169__FDSAUDITLINK__" localSheetId="27">{"fdsup://Directions/FactSet Auditing Viewer?action=AUDIT_VALUE&amp;DB=129&amp;ID1=010486&amp;VALUEID=01151&amp;SDATE=2010&amp;PERIODTYPE=ANNR_STD&amp;SCFT=3&amp;window=popup_no_bar&amp;width=385&amp;height=120&amp;START_MAXIMIZED=FALSE&amp;creator=factset&amp;display_string=Audit"}</definedName>
    <definedName name="_3170__FDSAUDITLINK__" localSheetId="34">{"fdsup://Directions/FactSet Auditing Viewer?action=AUDIT_VALUE&amp;DB=129&amp;ID1=010486&amp;VALUEID=01151&amp;SDATE=2009&amp;PERIODTYPE=ANNR_STD&amp;SCFT=3&amp;window=popup_no_bar&amp;width=385&amp;height=120&amp;START_MAXIMIZED=FALSE&amp;creator=factset&amp;display_string=Audit"}</definedName>
    <definedName name="_3170__FDSAUDITLINK__" localSheetId="27">{"fdsup://Directions/FactSet Auditing Viewer?action=AUDIT_VALUE&amp;DB=129&amp;ID1=010486&amp;VALUEID=01151&amp;SDATE=2009&amp;PERIODTYPE=ANNR_STD&amp;SCFT=3&amp;window=popup_no_bar&amp;width=385&amp;height=120&amp;START_MAXIMIZED=FALSE&amp;creator=factset&amp;display_string=Audit"}</definedName>
    <definedName name="_3171__FDSAUDITLINK__" localSheetId="34">{"fdsup://Directions/FactSet Auditing Viewer?action=AUDIT_VALUE&amp;DB=129&amp;ID1=010486&amp;VALUEID=04049&amp;SDATE=2009&amp;PERIODTYPE=ANNR_STD&amp;SCFT=3&amp;window=popup_no_bar&amp;width=385&amp;height=120&amp;START_MAXIMIZED=FALSE&amp;creator=factset&amp;display_string=Audit"}</definedName>
    <definedName name="_3171__FDSAUDITLINK__" localSheetId="27">{"fdsup://Directions/FactSet Auditing Viewer?action=AUDIT_VALUE&amp;DB=129&amp;ID1=010486&amp;VALUEID=04049&amp;SDATE=2009&amp;PERIODTYPE=ANNR_STD&amp;SCFT=3&amp;window=popup_no_bar&amp;width=385&amp;height=120&amp;START_MAXIMIZED=FALSE&amp;creator=factset&amp;display_string=Audit"}</definedName>
    <definedName name="_3172__FDSAUDITLINK__" localSheetId="34">{"fdsup://Directions/FactSet Auditing Viewer?action=AUDIT_VALUE&amp;DB=129&amp;ID1=010486&amp;VALUEID=01151&amp;SDATE=2008&amp;PERIODTYPE=ANNR_STD&amp;SCFT=3&amp;window=popup_no_bar&amp;width=385&amp;height=120&amp;START_MAXIMIZED=FALSE&amp;creator=factset&amp;display_string=Audit"}</definedName>
    <definedName name="_3172__FDSAUDITLINK__" localSheetId="27">{"fdsup://Directions/FactSet Auditing Viewer?action=AUDIT_VALUE&amp;DB=129&amp;ID1=010486&amp;VALUEID=01151&amp;SDATE=2008&amp;PERIODTYPE=ANNR_STD&amp;SCFT=3&amp;window=popup_no_bar&amp;width=385&amp;height=120&amp;START_MAXIMIZED=FALSE&amp;creator=factset&amp;display_string=Audit"}</definedName>
    <definedName name="_3173__FDSAUDITLINK__" localSheetId="34">{"fdsup://Directions/FactSet Auditing Viewer?action=AUDIT_VALUE&amp;DB=129&amp;ID1=010486&amp;VALUEID=04049&amp;SDATE=2008&amp;PERIODTYPE=ANNR_STD&amp;SCFT=3&amp;window=popup_no_bar&amp;width=385&amp;height=120&amp;START_MAXIMIZED=FALSE&amp;creator=factset&amp;display_string=Audit"}</definedName>
    <definedName name="_3173__FDSAUDITLINK__" localSheetId="27">{"fdsup://Directions/FactSet Auditing Viewer?action=AUDIT_VALUE&amp;DB=129&amp;ID1=010486&amp;VALUEID=04049&amp;SDATE=2008&amp;PERIODTYPE=ANNR_STD&amp;SCFT=3&amp;window=popup_no_bar&amp;width=385&amp;height=120&amp;START_MAXIMIZED=FALSE&amp;creator=factset&amp;display_string=Audit"}</definedName>
    <definedName name="_3174__FDSAUDITLINK__" localSheetId="34">{"fdsup://directions/FAT Viewer?action=UPDATE&amp;creator=factset&amp;DYN_ARGS=TRUE&amp;DOC_NAME=FAT:FQL_AUDITING_CLIENT_TEMPLATE.FAT&amp;display_string=Audit&amp;VAR:KEY=SNIRWFALOJ&amp;VAR:QUERY=RkZfSU1QQUlSX1BQRShBTk5fUiw0MDY0MSwsLFJGLCk=&amp;WINDOW=FIRST_POPUP&amp;HEIGHT=450&amp;WIDTH=450&amp;","START_MAXIMIZED=FALSE&amp;VAR:CALENDAR=FIVEDAY&amp;VAR:SYMBOL=010486&amp;VAR:INDEX=0"}</definedName>
    <definedName name="_3174__FDSAUDITLINK__" localSheetId="27">{"fdsup://directions/FAT Viewer?action=UPDATE&amp;creator=factset&amp;DYN_ARGS=TRUE&amp;DOC_NAME=FAT:FQL_AUDITING_CLIENT_TEMPLATE.FAT&amp;display_string=Audit&amp;VAR:KEY=SNIRWFALOJ&amp;VAR:QUERY=RkZfSU1QQUlSX1BQRShBTk5fUiw0MDY0MSwsLFJGLCk=&amp;WINDOW=FIRST_POPUP&amp;HEIGHT=450&amp;WIDTH=450&amp;","START_MAXIMIZED=FALSE&amp;VAR:CALENDAR=FIVEDAY&amp;VAR:SYMBOL=010486&amp;VAR:INDEX=0"}</definedName>
    <definedName name="_3175__FDSAUDITLINK__" localSheetId="34">{"fdsup://directions/FAT Viewer?action=UPDATE&amp;creator=factset&amp;DYN_ARGS=TRUE&amp;DOC_NAME=FAT:FQL_AUDITING_CLIENT_TEMPLATE.FAT&amp;display_string=Audit&amp;VAR:KEY=CHYJEBIDAP&amp;VAR:QUERY=RkZfSU1QQUlSX1BQRShBTk5fUiw0MDY0MS0xWSwsLFJGLCk=&amp;WINDOW=FIRST_POPUP&amp;HEIGHT=450&amp;WIDTH=","450&amp;START_MAXIMIZED=FALSE&amp;VAR:CALENDAR=FIVEDAY&amp;VAR:SYMBOL=010486&amp;VAR:INDEX=0"}</definedName>
    <definedName name="_3175__FDSAUDITLINK__" localSheetId="27">{"fdsup://directions/FAT Viewer?action=UPDATE&amp;creator=factset&amp;DYN_ARGS=TRUE&amp;DOC_NAME=FAT:FQL_AUDITING_CLIENT_TEMPLATE.FAT&amp;display_string=Audit&amp;VAR:KEY=CHYJEBIDAP&amp;VAR:QUERY=RkZfSU1QQUlSX1BQRShBTk5fUiw0MDY0MS0xWSwsLFJGLCk=&amp;WINDOW=FIRST_POPUP&amp;HEIGHT=450&amp;WIDTH=","450&amp;START_MAXIMIZED=FALSE&amp;VAR:CALENDAR=FIVEDAY&amp;VAR:SYMBOL=010486&amp;VAR:INDEX=0"}</definedName>
    <definedName name="_3176__FDSAUDITLINK__" localSheetId="34">{"fdsup://directions/FAT Viewer?action=UPDATE&amp;creator=factset&amp;DYN_ARGS=TRUE&amp;DOC_NAME=FAT:FQL_AUDITING_CLIENT_TEMPLATE.FAT&amp;display_string=Audit&amp;VAR:KEY=IBGLEBUBOJ&amp;VAR:QUERY=RkZfSU1QQUlSX1BQRShBTk5fUiw0MDY0MS0yWSwsLFJGLCk=&amp;WINDOW=FIRST_POPUP&amp;HEIGHT=450&amp;WIDTH=","450&amp;START_MAXIMIZED=FALSE&amp;VAR:CALENDAR=FIVEDAY&amp;VAR:SYMBOL=010486&amp;VAR:INDEX=0"}</definedName>
    <definedName name="_3176__FDSAUDITLINK__" localSheetId="27">{"fdsup://directions/FAT Viewer?action=UPDATE&amp;creator=factset&amp;DYN_ARGS=TRUE&amp;DOC_NAME=FAT:FQL_AUDITING_CLIENT_TEMPLATE.FAT&amp;display_string=Audit&amp;VAR:KEY=IBGLEBUBOJ&amp;VAR:QUERY=RkZfSU1QQUlSX1BQRShBTk5fUiw0MDY0MS0yWSwsLFJGLCk=&amp;WINDOW=FIRST_POPUP&amp;HEIGHT=450&amp;WIDTH=","450&amp;START_MAXIMIZED=FALSE&amp;VAR:CALENDAR=FIVEDAY&amp;VAR:SYMBOL=010486&amp;VAR:INDEX=0"}</definedName>
    <definedName name="_3177__FDSAUDITLINK__" localSheetId="34">{"fdsup://directions/FAT Viewer?action=UPDATE&amp;creator=factset&amp;DYN_ARGS=TRUE&amp;DOC_NAME=FAT:FQL_AUDITING_CLIENT_TEMPLATE.FAT&amp;display_string=Audit&amp;VAR:KEY=YREZOVWNGX&amp;VAR:QUERY=RkZfSU1QQUlSX1BQRShBTk5fUiw0MDY0MS0zWSwsLFJGLCk=&amp;WINDOW=FIRST_POPUP&amp;HEIGHT=450&amp;WIDTH=","450&amp;START_MAXIMIZED=FALSE&amp;VAR:CALENDAR=FIVEDAY&amp;VAR:SYMBOL=010486&amp;VAR:INDEX=0"}</definedName>
    <definedName name="_3177__FDSAUDITLINK__" localSheetId="27">{"fdsup://directions/FAT Viewer?action=UPDATE&amp;creator=factset&amp;DYN_ARGS=TRUE&amp;DOC_NAME=FAT:FQL_AUDITING_CLIENT_TEMPLATE.FAT&amp;display_string=Audit&amp;VAR:KEY=YREZOVWNGX&amp;VAR:QUERY=RkZfSU1QQUlSX1BQRShBTk5fUiw0MDY0MS0zWSwsLFJGLCk=&amp;WINDOW=FIRST_POPUP&amp;HEIGHT=450&amp;WIDTH=","450&amp;START_MAXIMIZED=FALSE&amp;VAR:CALENDAR=FIVEDAY&amp;VAR:SYMBOL=010486&amp;VAR:INDEX=0"}</definedName>
    <definedName name="_3178__FDSAUDITLINK__" localSheetId="34">{"fdsup://directions/FAT Viewer?action=UPDATE&amp;creator=factset&amp;DYN_ARGS=TRUE&amp;DOC_NAME=FAT:FQL_AUDITING_CLIENT_TEMPLATE.FAT&amp;display_string=Audit&amp;VAR:KEY=QXEPMZGLGN&amp;VAR:QUERY=RkZfSU1QQUlSX1BQRShBTk5fUiw0MDY0MS00WSwsLFJGLCk=&amp;WINDOW=FIRST_POPUP&amp;HEIGHT=450&amp;WIDTH=","450&amp;START_MAXIMIZED=FALSE&amp;VAR:CALENDAR=FIVEDAY&amp;VAR:SYMBOL=010486&amp;VAR:INDEX=0"}</definedName>
    <definedName name="_3178__FDSAUDITLINK__" localSheetId="27">{"fdsup://directions/FAT Viewer?action=UPDATE&amp;creator=factset&amp;DYN_ARGS=TRUE&amp;DOC_NAME=FAT:FQL_AUDITING_CLIENT_TEMPLATE.FAT&amp;display_string=Audit&amp;VAR:KEY=QXEPMZGLGN&amp;VAR:QUERY=RkZfSU1QQUlSX1BQRShBTk5fUiw0MDY0MS00WSwsLFJGLCk=&amp;WINDOW=FIRST_POPUP&amp;HEIGHT=450&amp;WIDTH=","450&amp;START_MAXIMIZED=FALSE&amp;VAR:CALENDAR=FIVEDAY&amp;VAR:SYMBOL=010486&amp;VAR:INDEX=0"}</definedName>
    <definedName name="_3179__FDSAUDITLINK__" localSheetId="34">{"fdsup://directions/FAT Viewer?action=UPDATE&amp;creator=factset&amp;DYN_ARGS=TRUE&amp;DOC_NAME=FAT:FQL_AUDITING_CLIENT_TEMPLATE.FAT&amp;display_string=Audit&amp;VAR:KEY=OFWZMVGBIN&amp;VAR:QUERY=RkZfRklOX0FTU0VUU19JTVBBSVIoQU5OX1IsNDA2NDEsLCxSRiwp&amp;WINDOW=FIRST_POPUP&amp;HEIGHT=450&amp;WI","DTH=450&amp;START_MAXIMIZED=FALSE&amp;VAR:CALENDAR=FIVEDAY&amp;VAR:SYMBOL=010486&amp;VAR:INDEX=0"}</definedName>
    <definedName name="_3179__FDSAUDITLINK__" localSheetId="27">{"fdsup://directions/FAT Viewer?action=UPDATE&amp;creator=factset&amp;DYN_ARGS=TRUE&amp;DOC_NAME=FAT:FQL_AUDITING_CLIENT_TEMPLATE.FAT&amp;display_string=Audit&amp;VAR:KEY=OFWZMVGBIN&amp;VAR:QUERY=RkZfRklOX0FTU0VUU19JTVBBSVIoQU5OX1IsNDA2NDEsLCxSRiwp&amp;WINDOW=FIRST_POPUP&amp;HEIGHT=450&amp;WI","DTH=450&amp;START_MAXIMIZED=FALSE&amp;VAR:CALENDAR=FIVEDAY&amp;VAR:SYMBOL=010486&amp;VAR:INDEX=0"}</definedName>
    <definedName name="_3180__FDSAUDITLINK__" localSheetId="34">{"fdsup://directions/FAT Viewer?action=UPDATE&amp;creator=factset&amp;DYN_ARGS=TRUE&amp;DOC_NAME=FAT:FQL_AUDITING_CLIENT_TEMPLATE.FAT&amp;display_string=Audit&amp;VAR:KEY=APIBOHMHIB&amp;VAR:QUERY=RkZfRklOX0FTU0VUU19JTVBBSVIoQU5OX1IsNDA2NDEtMVksLCxSRiwp&amp;WINDOW=FIRST_POPUP&amp;HEIGHT=45","0&amp;WIDTH=450&amp;START_MAXIMIZED=FALSE&amp;VAR:CALENDAR=FIVEDAY&amp;VAR:SYMBOL=010486&amp;VAR:INDEX=0"}</definedName>
    <definedName name="_3180__FDSAUDITLINK__" localSheetId="27">{"fdsup://directions/FAT Viewer?action=UPDATE&amp;creator=factset&amp;DYN_ARGS=TRUE&amp;DOC_NAME=FAT:FQL_AUDITING_CLIENT_TEMPLATE.FAT&amp;display_string=Audit&amp;VAR:KEY=APIBOHMHIB&amp;VAR:QUERY=RkZfRklOX0FTU0VUU19JTVBBSVIoQU5OX1IsNDA2NDEtMVksLCxSRiwp&amp;WINDOW=FIRST_POPUP&amp;HEIGHT=45","0&amp;WIDTH=450&amp;START_MAXIMIZED=FALSE&amp;VAR:CALENDAR=FIVEDAY&amp;VAR:SYMBOL=010486&amp;VAR:INDEX=0"}</definedName>
    <definedName name="_3181__FDSAUDITLINK__" localSheetId="34">{"fdsup://directions/FAT Viewer?action=UPDATE&amp;creator=factset&amp;DYN_ARGS=TRUE&amp;DOC_NAME=FAT:FQL_AUDITING_CLIENT_TEMPLATE.FAT&amp;display_string=Audit&amp;VAR:KEY=WNKVAZUFOJ&amp;VAR:QUERY=RkZfRklOX0FTU0VUU19JTVBBSVIoQU5OX1IsNDA2NDEtMlksLCxSRiwp&amp;WINDOW=FIRST_POPUP&amp;HEIGHT=45","0&amp;WIDTH=450&amp;START_MAXIMIZED=FALSE&amp;VAR:CALENDAR=FIVEDAY&amp;VAR:SYMBOL=010486&amp;VAR:INDEX=0"}</definedName>
    <definedName name="_3181__FDSAUDITLINK__" localSheetId="27">{"fdsup://directions/FAT Viewer?action=UPDATE&amp;creator=factset&amp;DYN_ARGS=TRUE&amp;DOC_NAME=FAT:FQL_AUDITING_CLIENT_TEMPLATE.FAT&amp;display_string=Audit&amp;VAR:KEY=WNKVAZUFOJ&amp;VAR:QUERY=RkZfRklOX0FTU0VUU19JTVBBSVIoQU5OX1IsNDA2NDEtMlksLCxSRiwp&amp;WINDOW=FIRST_POPUP&amp;HEIGHT=45","0&amp;WIDTH=450&amp;START_MAXIMIZED=FALSE&amp;VAR:CALENDAR=FIVEDAY&amp;VAR:SYMBOL=010486&amp;VAR:INDEX=0"}</definedName>
    <definedName name="_3182__FDSAUDITLINK__" localSheetId="34">{"fdsup://directions/FAT Viewer?action=UPDATE&amp;creator=factset&amp;DYN_ARGS=TRUE&amp;DOC_NAME=FAT:FQL_AUDITING_CLIENT_TEMPLATE.FAT&amp;display_string=Audit&amp;VAR:KEY=YDKPQBSRKJ&amp;VAR:QUERY=RkZfRklOX0FTU0VUU19JTVBBSVIoQU5OX1IsNDA2NDEtM1ksLCxSRiwp&amp;WINDOW=FIRST_POPUP&amp;HEIGHT=45","0&amp;WIDTH=450&amp;START_MAXIMIZED=FALSE&amp;VAR:CALENDAR=FIVEDAY&amp;VAR:SYMBOL=010486&amp;VAR:INDEX=0"}</definedName>
    <definedName name="_3182__FDSAUDITLINK__" localSheetId="27">{"fdsup://directions/FAT Viewer?action=UPDATE&amp;creator=factset&amp;DYN_ARGS=TRUE&amp;DOC_NAME=FAT:FQL_AUDITING_CLIENT_TEMPLATE.FAT&amp;display_string=Audit&amp;VAR:KEY=YDKPQBSRKJ&amp;VAR:QUERY=RkZfRklOX0FTU0VUU19JTVBBSVIoQU5OX1IsNDA2NDEtM1ksLCxSRiwp&amp;WINDOW=FIRST_POPUP&amp;HEIGHT=45","0&amp;WIDTH=450&amp;START_MAXIMIZED=FALSE&amp;VAR:CALENDAR=FIVEDAY&amp;VAR:SYMBOL=010486&amp;VAR:INDEX=0"}</definedName>
    <definedName name="_3183__FDSAUDITLINK__" localSheetId="34">{"fdsup://directions/FAT Viewer?action=UPDATE&amp;creator=factset&amp;DYN_ARGS=TRUE&amp;DOC_NAME=FAT:FQL_AUDITING_CLIENT_TEMPLATE.FAT&amp;display_string=Audit&amp;VAR:KEY=ELULQVOXWN&amp;VAR:QUERY=RkZfRklOX0FTU0VUU19JTVBBSVIoQU5OX1IsNDA2NDEtNFksLCxSRiwp&amp;WINDOW=FIRST_POPUP&amp;HEIGHT=45","0&amp;WIDTH=450&amp;START_MAXIMIZED=FALSE&amp;VAR:CALENDAR=FIVEDAY&amp;VAR:SYMBOL=010486&amp;VAR:INDEX=0"}</definedName>
    <definedName name="_3183__FDSAUDITLINK__" localSheetId="27">{"fdsup://directions/FAT Viewer?action=UPDATE&amp;creator=factset&amp;DYN_ARGS=TRUE&amp;DOC_NAME=FAT:FQL_AUDITING_CLIENT_TEMPLATE.FAT&amp;display_string=Audit&amp;VAR:KEY=ELULQVOXWN&amp;VAR:QUERY=RkZfRklOX0FTU0VUU19JTVBBSVIoQU5OX1IsNDA2NDEtNFksLCxSRiwp&amp;WINDOW=FIRST_POPUP&amp;HEIGHT=45","0&amp;WIDTH=450&amp;START_MAXIMIZED=FALSE&amp;VAR:CALENDAR=FIVEDAY&amp;VAR:SYMBOL=010486&amp;VAR:INDEX=0"}</definedName>
    <definedName name="_3184__FDSAUDITLINK__" localSheetId="34">{"fdsup://Directions/FactSet Auditing Viewer?action=AUDIT_VALUE&amp;DB=129&amp;ID1=010486&amp;VALUEID=04601&amp;SDATE=2010&amp;PERIODTYPE=ANNR_STD&amp;SCFT=3&amp;window=popup_no_bar&amp;width=385&amp;height=120&amp;START_MAXIMIZED=FALSE&amp;creator=factset&amp;display_string=Audit"}</definedName>
    <definedName name="_3184__FDSAUDITLINK__" localSheetId="27">{"fdsup://Directions/FactSet Auditing Viewer?action=AUDIT_VALUE&amp;DB=129&amp;ID1=010486&amp;VALUEID=04601&amp;SDATE=2010&amp;PERIODTYPE=ANNR_STD&amp;SCFT=3&amp;window=popup_no_bar&amp;width=385&amp;height=120&amp;START_MAXIMIZED=FALSE&amp;creator=factset&amp;display_string=Audit"}</definedName>
    <definedName name="_3185__FDSAUDITLINK__" localSheetId="34">{"fdsup://Directions/FactSet Auditing Viewer?action=AUDIT_VALUE&amp;DB=129&amp;ID1=010486&amp;VALUEID=04601&amp;SDATE=2009&amp;PERIODTYPE=ANNR_STD&amp;SCFT=3&amp;window=popup_no_bar&amp;width=385&amp;height=120&amp;START_MAXIMIZED=FALSE&amp;creator=factset&amp;display_string=Audit"}</definedName>
    <definedName name="_3185__FDSAUDITLINK__" localSheetId="27">{"fdsup://Directions/FactSet Auditing Viewer?action=AUDIT_VALUE&amp;DB=129&amp;ID1=010486&amp;VALUEID=04601&amp;SDATE=2009&amp;PERIODTYPE=ANNR_STD&amp;SCFT=3&amp;window=popup_no_bar&amp;width=385&amp;height=120&amp;START_MAXIMIZED=FALSE&amp;creator=factset&amp;display_string=Audit"}</definedName>
    <definedName name="_3186__FDSAUDITLINK__" localSheetId="34">{"fdsup://Directions/FactSet Auditing Viewer?action=AUDIT_VALUE&amp;DB=129&amp;ID1=010486&amp;VALUEID=04601&amp;SDATE=2008&amp;PERIODTYPE=ANNR_STD&amp;SCFT=3&amp;window=popup_no_bar&amp;width=385&amp;height=120&amp;START_MAXIMIZED=FALSE&amp;creator=factset&amp;display_string=Audit"}</definedName>
    <definedName name="_3186__FDSAUDITLINK__" localSheetId="27">{"fdsup://Directions/FactSet Auditing Viewer?action=AUDIT_VALUE&amp;DB=129&amp;ID1=010486&amp;VALUEID=04601&amp;SDATE=2008&amp;PERIODTYPE=ANNR_STD&amp;SCFT=3&amp;window=popup_no_bar&amp;width=385&amp;height=120&amp;START_MAXIMIZED=FALSE&amp;creator=factset&amp;display_string=Audit"}</definedName>
    <definedName name="_3187__FDSAUDITLINK__" localSheetId="34">{"fdsup://Directions/FactSet Auditing Viewer?action=AUDIT_VALUE&amp;DB=129&amp;ID1=010486&amp;VALUEID=02201&amp;SDATE=2010&amp;PERIODTYPE=ANNR_STD&amp;SCFT=3&amp;window=popup_no_bar&amp;width=385&amp;height=120&amp;START_MAXIMIZED=FALSE&amp;creator=factset&amp;display_string=Audit"}</definedName>
    <definedName name="_3187__FDSAUDITLINK__" localSheetId="27">{"fdsup://Directions/FactSet Auditing Viewer?action=AUDIT_VALUE&amp;DB=129&amp;ID1=010486&amp;VALUEID=02201&amp;SDATE=2010&amp;PERIODTYPE=ANNR_STD&amp;SCFT=3&amp;window=popup_no_bar&amp;width=385&amp;height=120&amp;START_MAXIMIZED=FALSE&amp;creator=factset&amp;display_string=Audit"}</definedName>
    <definedName name="_3188__FDSAUDITLINK__" localSheetId="34">{"fdsup://Directions/FactSet Auditing Viewer?action=AUDIT_VALUE&amp;DB=129&amp;ID1=010486&amp;VALUEID=02201&amp;SDATE=2009&amp;PERIODTYPE=ANNR_STD&amp;SCFT=3&amp;window=popup_no_bar&amp;width=385&amp;height=120&amp;START_MAXIMIZED=FALSE&amp;creator=factset&amp;display_string=Audit"}</definedName>
    <definedName name="_3188__FDSAUDITLINK__" localSheetId="27">{"fdsup://Directions/FactSet Auditing Viewer?action=AUDIT_VALUE&amp;DB=129&amp;ID1=010486&amp;VALUEID=02201&amp;SDATE=2009&amp;PERIODTYPE=ANNR_STD&amp;SCFT=3&amp;window=popup_no_bar&amp;width=385&amp;height=120&amp;START_MAXIMIZED=FALSE&amp;creator=factset&amp;display_string=Audit"}</definedName>
    <definedName name="_3189__FDSAUDITLINK__" localSheetId="34">{"fdsup://Directions/FactSet Auditing Viewer?action=AUDIT_VALUE&amp;DB=129&amp;ID1=010486&amp;VALUEID=02201&amp;SDATE=2008&amp;PERIODTYPE=ANNR_STD&amp;SCFT=3&amp;window=popup_no_bar&amp;width=385&amp;height=120&amp;START_MAXIMIZED=FALSE&amp;creator=factset&amp;display_string=Audit"}</definedName>
    <definedName name="_3189__FDSAUDITLINK__" localSheetId="27">{"fdsup://Directions/FactSet Auditing Viewer?action=AUDIT_VALUE&amp;DB=129&amp;ID1=010486&amp;VALUEID=02201&amp;SDATE=2008&amp;PERIODTYPE=ANNR_STD&amp;SCFT=3&amp;window=popup_no_bar&amp;width=385&amp;height=120&amp;START_MAXIMIZED=FALSE&amp;creator=factset&amp;display_string=Audit"}</definedName>
    <definedName name="_3190__FDSAUDITLINK__" localSheetId="34">{"fdsup://Directions/FactSet Auditing Viewer?action=AUDIT_VALUE&amp;DB=129&amp;ID1=010486&amp;VALUEID=02001&amp;SDATE=2010&amp;PERIODTYPE=ANNR_STD&amp;SCFT=3&amp;window=popup_no_bar&amp;width=385&amp;height=120&amp;START_MAXIMIZED=FALSE&amp;creator=factset&amp;display_string=Audit"}</definedName>
    <definedName name="_3190__FDSAUDITLINK__" localSheetId="27">{"fdsup://Directions/FactSet Auditing Viewer?action=AUDIT_VALUE&amp;DB=129&amp;ID1=010486&amp;VALUEID=02001&amp;SDATE=2010&amp;PERIODTYPE=ANNR_STD&amp;SCFT=3&amp;window=popup_no_bar&amp;width=385&amp;height=120&amp;START_MAXIMIZED=FALSE&amp;creator=factset&amp;display_string=Audit"}</definedName>
    <definedName name="_3191__FDSAUDITLINK__" localSheetId="34">{"fdsup://Directions/FactSet Auditing Viewer?action=AUDIT_VALUE&amp;DB=129&amp;ID1=010486&amp;VALUEID=02001&amp;SDATE=2009&amp;PERIODTYPE=ANNR_STD&amp;SCFT=3&amp;window=popup_no_bar&amp;width=385&amp;height=120&amp;START_MAXIMIZED=FALSE&amp;creator=factset&amp;display_string=Audit"}</definedName>
    <definedName name="_3191__FDSAUDITLINK__" localSheetId="27">{"fdsup://Directions/FactSet Auditing Viewer?action=AUDIT_VALUE&amp;DB=129&amp;ID1=010486&amp;VALUEID=02001&amp;SDATE=2009&amp;PERIODTYPE=ANNR_STD&amp;SCFT=3&amp;window=popup_no_bar&amp;width=385&amp;height=120&amp;START_MAXIMIZED=FALSE&amp;creator=factset&amp;display_string=Audit"}</definedName>
    <definedName name="_3192__FDSAUDITLINK__" localSheetId="34">{"fdsup://Directions/FactSet Auditing Viewer?action=AUDIT_VALUE&amp;DB=129&amp;ID1=010486&amp;VALUEID=02001&amp;SDATE=2008&amp;PERIODTYPE=ANNR_STD&amp;SCFT=3&amp;window=popup_no_bar&amp;width=385&amp;height=120&amp;START_MAXIMIZED=FALSE&amp;creator=factset&amp;display_string=Audit"}</definedName>
    <definedName name="_3192__FDSAUDITLINK__" localSheetId="27">{"fdsup://Directions/FactSet Auditing Viewer?action=AUDIT_VALUE&amp;DB=129&amp;ID1=010486&amp;VALUEID=02001&amp;SDATE=2008&amp;PERIODTYPE=ANNR_STD&amp;SCFT=3&amp;window=popup_no_bar&amp;width=385&amp;height=120&amp;START_MAXIMIZED=FALSE&amp;creator=factset&amp;display_string=Audit"}</definedName>
    <definedName name="_3193__FDSAUDITLINK__" localSheetId="34">{"fdsup://Directions/FactSet Auditing Viewer?action=AUDIT_VALUE&amp;DB=129&amp;ID1=010486&amp;VALUEID=03101&amp;SDATE=2010&amp;PERIODTYPE=ANNR_STD&amp;SCFT=3&amp;window=popup_no_bar&amp;width=385&amp;height=120&amp;START_MAXIMIZED=FALSE&amp;creator=factset&amp;display_string=Audit"}</definedName>
    <definedName name="_3193__FDSAUDITLINK__" localSheetId="27">{"fdsup://Directions/FactSet Auditing Viewer?action=AUDIT_VALUE&amp;DB=129&amp;ID1=010486&amp;VALUEID=03101&amp;SDATE=2010&amp;PERIODTYPE=ANNR_STD&amp;SCFT=3&amp;window=popup_no_bar&amp;width=385&amp;height=120&amp;START_MAXIMIZED=FALSE&amp;creator=factset&amp;display_string=Audit"}</definedName>
    <definedName name="_3194__FDSAUDITLINK__" localSheetId="34">{"fdsup://Directions/FactSet Auditing Viewer?action=AUDIT_VALUE&amp;DB=129&amp;ID1=010486&amp;VALUEID=03101&amp;SDATE=2009&amp;PERIODTYPE=ANNR_STD&amp;SCFT=3&amp;window=popup_no_bar&amp;width=385&amp;height=120&amp;START_MAXIMIZED=FALSE&amp;creator=factset&amp;display_string=Audit"}</definedName>
    <definedName name="_3194__FDSAUDITLINK__" localSheetId="27">{"fdsup://Directions/FactSet Auditing Viewer?action=AUDIT_VALUE&amp;DB=129&amp;ID1=010486&amp;VALUEID=03101&amp;SDATE=2009&amp;PERIODTYPE=ANNR_STD&amp;SCFT=3&amp;window=popup_no_bar&amp;width=385&amp;height=120&amp;START_MAXIMIZED=FALSE&amp;creator=factset&amp;display_string=Audit"}</definedName>
    <definedName name="_3195__FDSAUDITLINK__" localSheetId="34">{"fdsup://Directions/FactSet Auditing Viewer?action=AUDIT_VALUE&amp;DB=129&amp;ID1=010486&amp;VALUEID=03101&amp;SDATE=2008&amp;PERIODTYPE=ANNR_STD&amp;SCFT=3&amp;window=popup_no_bar&amp;width=385&amp;height=120&amp;START_MAXIMIZED=FALSE&amp;creator=factset&amp;display_string=Audit"}</definedName>
    <definedName name="_3195__FDSAUDITLINK__" localSheetId="27">{"fdsup://Directions/FactSet Auditing Viewer?action=AUDIT_VALUE&amp;DB=129&amp;ID1=010486&amp;VALUEID=03101&amp;SDATE=2008&amp;PERIODTYPE=ANNR_STD&amp;SCFT=3&amp;window=popup_no_bar&amp;width=385&amp;height=120&amp;START_MAXIMIZED=FALSE&amp;creator=factset&amp;display_string=Audit"}</definedName>
    <definedName name="_3196__FDSAUDITLINK__" localSheetId="34">{"fdsup://Directions/FactSet Auditing Viewer?action=AUDIT_VALUE&amp;DB=129&amp;ID1=010486&amp;VALUEID=18184&amp;SDATE=2010&amp;PERIODTYPE=ANNR_STD&amp;SCFT=3&amp;window=popup_no_bar&amp;width=385&amp;height=120&amp;START_MAXIMIZED=FALSE&amp;creator=factset&amp;display_string=Audit"}</definedName>
    <definedName name="_3196__FDSAUDITLINK__" localSheetId="27">{"fdsup://Directions/FactSet Auditing Viewer?action=AUDIT_VALUE&amp;DB=129&amp;ID1=010486&amp;VALUEID=18184&amp;SDATE=2010&amp;PERIODTYPE=ANNR_STD&amp;SCFT=3&amp;window=popup_no_bar&amp;width=385&amp;height=120&amp;START_MAXIMIZED=FALSE&amp;creator=factset&amp;display_string=Audit"}</definedName>
    <definedName name="_3197__FDSAUDITLINK__" localSheetId="34">{"fdsup://Directions/FactSet Auditing Viewer?action=AUDIT_VALUE&amp;DB=129&amp;ID1=010486&amp;VALUEID=18184&amp;SDATE=2009&amp;PERIODTYPE=ANNR_STD&amp;SCFT=3&amp;window=popup_no_bar&amp;width=385&amp;height=120&amp;START_MAXIMIZED=FALSE&amp;creator=factset&amp;display_string=Audit"}</definedName>
    <definedName name="_3197__FDSAUDITLINK__" localSheetId="27">{"fdsup://Directions/FactSet Auditing Viewer?action=AUDIT_VALUE&amp;DB=129&amp;ID1=010486&amp;VALUEID=18184&amp;SDATE=2009&amp;PERIODTYPE=ANNR_STD&amp;SCFT=3&amp;window=popup_no_bar&amp;width=385&amp;height=120&amp;START_MAXIMIZED=FALSE&amp;creator=factset&amp;display_string=Audit"}</definedName>
    <definedName name="_3198__FDSAUDITLINK__" localSheetId="34">{"fdsup://Directions/FactSet Auditing Viewer?action=AUDIT_VALUE&amp;DB=129&amp;ID1=010486&amp;VALUEID=18184&amp;SDATE=2008&amp;PERIODTYPE=ANNR_STD&amp;SCFT=3&amp;window=popup_no_bar&amp;width=385&amp;height=120&amp;START_MAXIMIZED=FALSE&amp;creator=factset&amp;display_string=Audit"}</definedName>
    <definedName name="_3198__FDSAUDITLINK__" localSheetId="27">{"fdsup://Directions/FactSet Auditing Viewer?action=AUDIT_VALUE&amp;DB=129&amp;ID1=010486&amp;VALUEID=18184&amp;SDATE=2008&amp;PERIODTYPE=ANNR_STD&amp;SCFT=3&amp;window=popup_no_bar&amp;width=385&amp;height=120&amp;START_MAXIMIZED=FALSE&amp;creator=factset&amp;display_string=Audit"}</definedName>
    <definedName name="_3199__FDSAUDITLINK__" localSheetId="34">{"fdsup://directions/FAT Viewer?action=UPDATE&amp;creator=factset&amp;DYN_ARGS=TRUE&amp;DOC_NAME=FAT:FQL_AUDITING_CLIENT_TEMPLATE.FAT&amp;display_string=Audit&amp;VAR:KEY=GHWLYDYRIR&amp;VAR:QUERY=RkZfU0hMRFJTX0VRKEFOTl9SLDQwNjQxLCwsUkYsKQ==&amp;WINDOW=FIRST_POPUP&amp;HEIGHT=450&amp;WIDTH=450&amp;","START_MAXIMIZED=FALSE&amp;VAR:CALENDAR=FIVEDAY&amp;VAR:SYMBOL=010486&amp;VAR:INDEX=0"}</definedName>
    <definedName name="_3199__FDSAUDITLINK__" localSheetId="27">{"fdsup://directions/FAT Viewer?action=UPDATE&amp;creator=factset&amp;DYN_ARGS=TRUE&amp;DOC_NAME=FAT:FQL_AUDITING_CLIENT_TEMPLATE.FAT&amp;display_string=Audit&amp;VAR:KEY=GHWLYDYRIR&amp;VAR:QUERY=RkZfU0hMRFJTX0VRKEFOTl9SLDQwNjQxLCwsUkYsKQ==&amp;WINDOW=FIRST_POPUP&amp;HEIGHT=450&amp;WIDTH=450&amp;","START_MAXIMIZED=FALSE&amp;VAR:CALENDAR=FIVEDAY&amp;VAR:SYMBOL=010486&amp;VAR:INDEX=0"}</definedName>
    <definedName name="_3200__FDSAUDITLINK__" localSheetId="34">{"fdsup://directions/FAT Viewer?action=UPDATE&amp;creator=factset&amp;DYN_ARGS=TRUE&amp;DOC_NAME=FAT:FQL_AUDITING_CLIENT_TEMPLATE.FAT&amp;display_string=Audit&amp;VAR:KEY=YVWXQZCLMT&amp;VAR:QUERY=RkZfU0hMRFJTX0VRKEFOTl9SLDQwNjQxLTFZLCwsUkYsKQ==&amp;WINDOW=FIRST_POPUP&amp;HEIGHT=450&amp;WIDTH=","450&amp;START_MAXIMIZED=FALSE&amp;VAR:CALENDAR=FIVEDAY&amp;VAR:SYMBOL=010486&amp;VAR:INDEX=0"}</definedName>
    <definedName name="_3200__FDSAUDITLINK__" localSheetId="27">{"fdsup://directions/FAT Viewer?action=UPDATE&amp;creator=factset&amp;DYN_ARGS=TRUE&amp;DOC_NAME=FAT:FQL_AUDITING_CLIENT_TEMPLATE.FAT&amp;display_string=Audit&amp;VAR:KEY=YVWXQZCLMT&amp;VAR:QUERY=RkZfU0hMRFJTX0VRKEFOTl9SLDQwNjQxLTFZLCwsUkYsKQ==&amp;WINDOW=FIRST_POPUP&amp;HEIGHT=450&amp;WIDTH=","450&amp;START_MAXIMIZED=FALSE&amp;VAR:CALENDAR=FIVEDAY&amp;VAR:SYMBOL=010486&amp;VAR:INDEX=0"}</definedName>
    <definedName name="_3201__FDSAUDITLINK__" localSheetId="34">{"fdsup://directions/FAT Viewer?action=UPDATE&amp;creator=factset&amp;DYN_ARGS=TRUE&amp;DOC_NAME=FAT:FQL_AUDITING_CLIENT_TEMPLATE.FAT&amp;display_string=Audit&amp;VAR:KEY=UNQZKHQTYF&amp;VAR:QUERY=RkZfU0hMRFJTX0VRKEFOTl9SLDQwNjQxLTJZLCwsUkYsKQ==&amp;WINDOW=FIRST_POPUP&amp;HEIGHT=450&amp;WIDTH=","450&amp;START_MAXIMIZED=FALSE&amp;VAR:CALENDAR=FIVEDAY&amp;VAR:SYMBOL=010486&amp;VAR:INDEX=0"}</definedName>
    <definedName name="_3201__FDSAUDITLINK__" localSheetId="27">{"fdsup://directions/FAT Viewer?action=UPDATE&amp;creator=factset&amp;DYN_ARGS=TRUE&amp;DOC_NAME=FAT:FQL_AUDITING_CLIENT_TEMPLATE.FAT&amp;display_string=Audit&amp;VAR:KEY=UNQZKHQTYF&amp;VAR:QUERY=RkZfU0hMRFJTX0VRKEFOTl9SLDQwNjQxLTJZLCwsUkYsKQ==&amp;WINDOW=FIRST_POPUP&amp;HEIGHT=450&amp;WIDTH=","450&amp;START_MAXIMIZED=FALSE&amp;VAR:CALENDAR=FIVEDAY&amp;VAR:SYMBOL=010486&amp;VAR:INDEX=0"}</definedName>
    <definedName name="_3202__FDSAUDITLINK__" localSheetId="34">{"fdsup://directions/FAT Viewer?action=UPDATE&amp;creator=factset&amp;DYN_ARGS=TRUE&amp;DOC_NAME=FAT:FQL_AUDITING_CLIENT_TEMPLATE.FAT&amp;display_string=Audit&amp;VAR:KEY=GBKDCNSBGH&amp;VAR:QUERY=RkZfU0hMRFJTX0VRKEFOTl9SLDQwNjQxLTNZLCwsUkYsKQ==&amp;WINDOW=FIRST_POPUP&amp;HEIGHT=450&amp;WIDTH=","450&amp;START_MAXIMIZED=FALSE&amp;VAR:CALENDAR=FIVEDAY&amp;VAR:SYMBOL=010486&amp;VAR:INDEX=0"}</definedName>
    <definedName name="_3202__FDSAUDITLINK__" localSheetId="27">{"fdsup://directions/FAT Viewer?action=UPDATE&amp;creator=factset&amp;DYN_ARGS=TRUE&amp;DOC_NAME=FAT:FQL_AUDITING_CLIENT_TEMPLATE.FAT&amp;display_string=Audit&amp;VAR:KEY=GBKDCNSBGH&amp;VAR:QUERY=RkZfU0hMRFJTX0VRKEFOTl9SLDQwNjQxLTNZLCwsUkYsKQ==&amp;WINDOW=FIRST_POPUP&amp;HEIGHT=450&amp;WIDTH=","450&amp;START_MAXIMIZED=FALSE&amp;VAR:CALENDAR=FIVEDAY&amp;VAR:SYMBOL=010486&amp;VAR:INDEX=0"}</definedName>
    <definedName name="_3203__FDSAUDITLINK__" localSheetId="34">{"fdsup://directions/FAT Viewer?action=UPDATE&amp;creator=factset&amp;DYN_ARGS=TRUE&amp;DOC_NAME=FAT:FQL_AUDITING_CLIENT_TEMPLATE.FAT&amp;display_string=Audit&amp;VAR:KEY=YPMRKNUJOD&amp;VAR:QUERY=RkZfU0hMRFJTX0VRKEFOTl9SLDQwNjQxLTRZLCwsUkYsKQ==&amp;WINDOW=FIRST_POPUP&amp;HEIGHT=450&amp;WIDTH=","450&amp;START_MAXIMIZED=FALSE&amp;VAR:CALENDAR=FIVEDAY&amp;VAR:SYMBOL=010486&amp;VAR:INDEX=0"}</definedName>
    <definedName name="_3203__FDSAUDITLINK__" localSheetId="27">{"fdsup://directions/FAT Viewer?action=UPDATE&amp;creator=factset&amp;DYN_ARGS=TRUE&amp;DOC_NAME=FAT:FQL_AUDITING_CLIENT_TEMPLATE.FAT&amp;display_string=Audit&amp;VAR:KEY=YPMRKNUJOD&amp;VAR:QUERY=RkZfU0hMRFJTX0VRKEFOTl9SLDQwNjQxLTRZLCwsUkYsKQ==&amp;WINDOW=FIRST_POPUP&amp;HEIGHT=450&amp;WIDTH=","450&amp;START_MAXIMIZED=FALSE&amp;VAR:CALENDAR=FIVEDAY&amp;VAR:SYMBOL=010486&amp;VAR:INDEX=0"}</definedName>
    <definedName name="_3204__FDSAUDITLINK__" localSheetId="34">{"fdsup://Directions/FactSet Auditing Viewer?action=AUDIT_VALUE&amp;DB=129&amp;ID1=010486&amp;VALUEID=03426&amp;SDATE=2009&amp;PERIODTYPE=ANNR_STD&amp;SCFT=3&amp;window=popup_no_bar&amp;width=385&amp;height=120&amp;START_MAXIMIZED=FALSE&amp;creator=factset&amp;display_string=Audit"}</definedName>
    <definedName name="_3204__FDSAUDITLINK__" localSheetId="27">{"fdsup://Directions/FactSet Auditing Viewer?action=AUDIT_VALUE&amp;DB=129&amp;ID1=010486&amp;VALUEID=03426&amp;SDATE=2009&amp;PERIODTYPE=ANNR_STD&amp;SCFT=3&amp;window=popup_no_bar&amp;width=385&amp;height=120&amp;START_MAXIMIZED=FALSE&amp;creator=factset&amp;display_string=Audit"}</definedName>
    <definedName name="_3205__FDSAUDITLINK__" localSheetId="34">{"fdsup://Directions/FactSet Auditing Viewer?action=AUDIT_VALUE&amp;DB=129&amp;ID1=010486&amp;VALUEID=03426&amp;SDATE=2008&amp;PERIODTYPE=ANNR_STD&amp;SCFT=3&amp;window=popup_no_bar&amp;width=385&amp;height=120&amp;START_MAXIMIZED=FALSE&amp;creator=factset&amp;display_string=Audit"}</definedName>
    <definedName name="_3205__FDSAUDITLINK__" localSheetId="27">{"fdsup://Directions/FactSet Auditing Viewer?action=AUDIT_VALUE&amp;DB=129&amp;ID1=010486&amp;VALUEID=03426&amp;SDATE=2008&amp;PERIODTYPE=ANNR_STD&amp;SCFT=3&amp;window=popup_no_bar&amp;width=385&amp;height=120&amp;START_MAXIMIZED=FALSE&amp;creator=factset&amp;display_string=Audit"}</definedName>
    <definedName name="_3208__FDSAUDITLINK__" localSheetId="34">{"fdsup://directions/FAT Viewer?action=UPDATE&amp;creator=factset&amp;DYN_ARGS=TRUE&amp;DOC_NAME=FAT:FQL_AUDITING_CLIENT_TEMPLATE.FAT&amp;display_string=Audit&amp;VAR:KEY=IXQHKBGHIZ&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010486&amp;VAR:INDEX=0"}</definedName>
    <definedName name="_3208__FDSAUDITLINK__" localSheetId="27">{"fdsup://directions/FAT Viewer?action=UPDATE&amp;creator=factset&amp;DYN_ARGS=TRUE&amp;DOC_NAME=FAT:FQL_AUDITING_CLIENT_TEMPLATE.FAT&amp;display_string=Audit&amp;VAR:KEY=IXQHKBGHIZ&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010486&amp;VAR:INDEX=0"}</definedName>
    <definedName name="_3209__FDSAUDITLINK__" localSheetId="34">{"fdsup://Directions/FactSet Auditing Viewer?action=AUDIT_VALUE&amp;DB=129&amp;ID1=010486&amp;VALUEID=02001&amp;SDATE=201002&amp;PERIODTYPE=SEMI_STD&amp;SCFT=3&amp;window=popup_no_bar&amp;width=385&amp;height=120&amp;START_MAXIMIZED=FALSE&amp;creator=factset&amp;display_string=Audit"}</definedName>
    <definedName name="_3209__FDSAUDITLINK__" localSheetId="27">{"fdsup://Directions/FactSet Auditing Viewer?action=AUDIT_VALUE&amp;DB=129&amp;ID1=010486&amp;VALUEID=02001&amp;SDATE=201002&amp;PERIODTYPE=SEMI_STD&amp;SCFT=3&amp;window=popup_no_bar&amp;width=385&amp;height=120&amp;START_MAXIMIZED=FALSE&amp;creator=factset&amp;display_string=Audit"}</definedName>
    <definedName name="_3210__FDSAUDITLINK__" localSheetId="34">{"fdsup://Directions/FactSet Auditing Viewer?action=AUDIT_VALUE&amp;DB=129&amp;ID1=B1P6ZR&amp;VALUEID=01001&amp;SDATE=2008&amp;PERIODTYPE=ANNR_STD&amp;SCFT=3&amp;window=popup_no_bar&amp;width=385&amp;height=120&amp;START_MAXIMIZED=FALSE&amp;creator=factset&amp;display_string=Audit"}</definedName>
    <definedName name="_3210__FDSAUDITLINK__" localSheetId="27">{"fdsup://Directions/FactSet Auditing Viewer?action=AUDIT_VALUE&amp;DB=129&amp;ID1=B1P6ZR&amp;VALUEID=01001&amp;SDATE=2008&amp;PERIODTYPE=ANNR_STD&amp;SCFT=3&amp;window=popup_no_bar&amp;width=385&amp;height=120&amp;START_MAXIMIZED=FALSE&amp;creator=factset&amp;display_string=Audit"}</definedName>
    <definedName name="_3211__FDSAUDITLINK__" localSheetId="34">{"fdsup://Directions/FactSet Auditing Viewer?action=AUDIT_VALUE&amp;DB=129&amp;ID1=B1P6ZR&amp;VALUEID=01250&amp;SDATE=2008&amp;PERIODTYPE=ANNR_STD&amp;SCFT=3&amp;window=popup_no_bar&amp;width=385&amp;height=120&amp;START_MAXIMIZED=FALSE&amp;creator=factset&amp;display_string=Audit"}</definedName>
    <definedName name="_3211__FDSAUDITLINK__" localSheetId="27">{"fdsup://Directions/FactSet Auditing Viewer?action=AUDIT_VALUE&amp;DB=129&amp;ID1=B1P6ZR&amp;VALUEID=01250&amp;SDATE=2008&amp;PERIODTYPE=ANNR_STD&amp;SCFT=3&amp;window=popup_no_bar&amp;width=385&amp;height=120&amp;START_MAXIMIZED=FALSE&amp;creator=factset&amp;display_string=Audit"}</definedName>
    <definedName name="_3212__FDSAUDITLINK__" localSheetId="34">{"fdsup://directions/FAT Viewer?action=UPDATE&amp;creator=factset&amp;DYN_ARGS=TRUE&amp;DOC_NAME=FAT:FQL_AUDITING_CLIENT_TEMPLATE.FAT&amp;display_string=Audit&amp;VAR:KEY=CVEBCVGTWT&amp;VAR:QUERY=RkZfRUJJVERBX09QRVIoQU5OX1IsNDA2NDEsLCwsKQ==&amp;WINDOW=FIRST_POPUP&amp;HEIGHT=450&amp;WIDTH=450&amp;","START_MAXIMIZED=FALSE&amp;VAR:CALENDAR=FIVEDAY&amp;VAR:SYMBOL=B1P6ZR&amp;VAR:INDEX=0"}</definedName>
    <definedName name="_3212__FDSAUDITLINK__" localSheetId="27">{"fdsup://directions/FAT Viewer?action=UPDATE&amp;creator=factset&amp;DYN_ARGS=TRUE&amp;DOC_NAME=FAT:FQL_AUDITING_CLIENT_TEMPLATE.FAT&amp;display_string=Audit&amp;VAR:KEY=CVEBCVGTWT&amp;VAR:QUERY=RkZfRUJJVERBX09QRVIoQU5OX1IsNDA2NDEsLCwsKQ==&amp;WINDOW=FIRST_POPUP&amp;HEIGHT=450&amp;WIDTH=450&amp;","START_MAXIMIZED=FALSE&amp;VAR:CALENDAR=FIVEDAY&amp;VAR:SYMBOL=B1P6ZR&amp;VAR:INDEX=0"}</definedName>
    <definedName name="_3213__FDSAUDITLINK__" localSheetId="34">{"fdsup://directions/FAT Viewer?action=UPDATE&amp;creator=factset&amp;DYN_ARGS=TRUE&amp;DOC_NAME=FAT:FQL_AUDITING_CLIENT_TEMPLATE.FAT&amp;display_string=Audit&amp;VAR:KEY=WRSHKRUNOB&amp;VAR:QUERY=RkZfRUJJVERBX09QRVIoQU5OX1IsNDA2NDEtMVksLCwsKQ==&amp;WINDOW=FIRST_POPUP&amp;HEIGHT=450&amp;WIDTH=","450&amp;START_MAXIMIZED=FALSE&amp;VAR:CALENDAR=FIVEDAY&amp;VAR:SYMBOL=B126KH&amp;VAR:INDEX=0"}</definedName>
    <definedName name="_3213__FDSAUDITLINK__" localSheetId="27">{"fdsup://directions/FAT Viewer?action=UPDATE&amp;creator=factset&amp;DYN_ARGS=TRUE&amp;DOC_NAME=FAT:FQL_AUDITING_CLIENT_TEMPLATE.FAT&amp;display_string=Audit&amp;VAR:KEY=WRSHKRUNOB&amp;VAR:QUERY=RkZfRUJJVERBX09QRVIoQU5OX1IsNDA2NDEtMVksLCwsKQ==&amp;WINDOW=FIRST_POPUP&amp;HEIGHT=450&amp;WIDTH=","450&amp;START_MAXIMIZED=FALSE&amp;VAR:CALENDAR=FIVEDAY&amp;VAR:SYMBOL=B126KH&amp;VAR:INDEX=0"}</definedName>
    <definedName name="_3214__FDSAUDITLINK__" localSheetId="34">{"fdsup://directions/FAT Viewer?action=UPDATE&amp;creator=factset&amp;DYN_ARGS=TRUE&amp;DOC_NAME=FAT:FQL_AUDITING_CLIENT_TEMPLATE.FAT&amp;display_string=Audit&amp;VAR:KEY=IFERMHMPAX&amp;VAR:QUERY=RkZfRUJJVERBX09QRVIoQU5OX1IsNDA2NDEtMlksLCwsKQ==&amp;WINDOW=FIRST_POPUP&amp;HEIGHT=450&amp;WIDTH=","450&amp;START_MAXIMIZED=FALSE&amp;VAR:CALENDAR=FIVEDAY&amp;VAR:SYMBOL=0&amp;VAR:INDEX=0"}</definedName>
    <definedName name="_3214__FDSAUDITLINK__" localSheetId="27">{"fdsup://directions/FAT Viewer?action=UPDATE&amp;creator=factset&amp;DYN_ARGS=TRUE&amp;DOC_NAME=FAT:FQL_AUDITING_CLIENT_TEMPLATE.FAT&amp;display_string=Audit&amp;VAR:KEY=IFERMHMPAX&amp;VAR:QUERY=RkZfRUJJVERBX09QRVIoQU5OX1IsNDA2NDEtMlksLCwsKQ==&amp;WINDOW=FIRST_POPUP&amp;HEIGHT=450&amp;WIDTH=","450&amp;START_MAXIMIZED=FALSE&amp;VAR:CALENDAR=FIVEDAY&amp;VAR:SYMBOL=0&amp;VAR:INDEX=0"}</definedName>
    <definedName name="_3215__FDSAUDITLINK__" localSheetId="34">{"fdsup://directions/FAT Viewer?action=UPDATE&amp;creator=factset&amp;DYN_ARGS=TRUE&amp;DOC_NAME=FAT:FQL_AUDITING_CLIENT_TEMPLATE.FAT&amp;display_string=Audit&amp;VAR:KEY=QNKHSHIDOD&amp;VAR:QUERY=RkZfRUJJVERBX09QRVIoQU5OX1IsNDA2NDEtM1ksLCwsKQ==&amp;WINDOW=FIRST_POPUP&amp;HEIGHT=450&amp;WIDTH=","450&amp;START_MAXIMIZED=FALSE&amp;VAR:CALENDAR=FIVEDAY&amp;VAR:SYMBOL=B126KH&amp;VAR:INDEX=0"}</definedName>
    <definedName name="_3215__FDSAUDITLINK__" localSheetId="27">{"fdsup://directions/FAT Viewer?action=UPDATE&amp;creator=factset&amp;DYN_ARGS=TRUE&amp;DOC_NAME=FAT:FQL_AUDITING_CLIENT_TEMPLATE.FAT&amp;display_string=Audit&amp;VAR:KEY=QNKHSHIDOD&amp;VAR:QUERY=RkZfRUJJVERBX09QRVIoQU5OX1IsNDA2NDEtM1ksLCwsKQ==&amp;WINDOW=FIRST_POPUP&amp;HEIGHT=450&amp;WIDTH=","450&amp;START_MAXIMIZED=FALSE&amp;VAR:CALENDAR=FIVEDAY&amp;VAR:SYMBOL=B126KH&amp;VAR:INDEX=0"}</definedName>
    <definedName name="_3216__FDSAUDITLINK__" localSheetId="34">{"fdsup://directions/FAT Viewer?action=UPDATE&amp;creator=factset&amp;DYN_ARGS=TRUE&amp;DOC_NAME=FAT:FQL_AUDITING_CLIENT_TEMPLATE.FAT&amp;display_string=Audit&amp;VAR:KEY=KNADMHQNST&amp;VAR:QUERY=RkZfRUJJVERBX09QRVIoQU5OX1IsNDA2NDEtNFksLCwsKQ==&amp;WINDOW=FIRST_POPUP&amp;HEIGHT=450&amp;WIDTH=","450&amp;START_MAXIMIZED=FALSE&amp;VAR:CALENDAR=FIVEDAY&amp;VAR:SYMBOL=0&amp;VAR:INDEX=0"}</definedName>
    <definedName name="_3216__FDSAUDITLINK__" localSheetId="27">{"fdsup://directions/FAT Viewer?action=UPDATE&amp;creator=factset&amp;DYN_ARGS=TRUE&amp;DOC_NAME=FAT:FQL_AUDITING_CLIENT_TEMPLATE.FAT&amp;display_string=Audit&amp;VAR:KEY=KNADMHQNST&amp;VAR:QUERY=RkZfRUJJVERBX09QRVIoQU5OX1IsNDA2NDEtNFksLCwsKQ==&amp;WINDOW=FIRST_POPUP&amp;HEIGHT=450&amp;WIDTH=","450&amp;START_MAXIMIZED=FALSE&amp;VAR:CALENDAR=FIVEDAY&amp;VAR:SYMBOL=0&amp;VAR:INDEX=0"}</definedName>
    <definedName name="_3217__FDSAUDITLINK__" localSheetId="34">{"fdsup://Directions/FactSet Auditing Viewer?action=AUDIT_VALUE&amp;DB=129&amp;ID1=B1P6ZR&amp;VALUEID=01151&amp;SDATE=2008&amp;PERIODTYPE=ANNR_STD&amp;SCFT=3&amp;window=popup_no_bar&amp;width=385&amp;height=120&amp;START_MAXIMIZED=FALSE&amp;creator=factset&amp;display_string=Audit"}</definedName>
    <definedName name="_3217__FDSAUDITLINK__" localSheetId="27">{"fdsup://Directions/FactSet Auditing Viewer?action=AUDIT_VALUE&amp;DB=129&amp;ID1=B1P6ZR&amp;VALUEID=01151&amp;SDATE=2008&amp;PERIODTYPE=ANNR_STD&amp;SCFT=3&amp;window=popup_no_bar&amp;width=385&amp;height=120&amp;START_MAXIMIZED=FALSE&amp;creator=factset&amp;display_string=Audit"}</definedName>
    <definedName name="_3218__FDSAUDITLINK__" localSheetId="34">{"fdsup://Directions/FactSet Auditing Viewer?action=AUDIT_VALUE&amp;DB=129&amp;ID1=312748&amp;VALUEID=04049&amp;SDATE=2007&amp;PERIODTYPE=ANNR_STD&amp;SCFT=3&amp;window=popup_no_bar&amp;width=385&amp;height=120&amp;START_MAXIMIZED=FALSE&amp;creator=factset&amp;display_string=Audit"}</definedName>
    <definedName name="_3218__FDSAUDITLINK__" localSheetId="27">{"fdsup://Directions/FactSet Auditing Viewer?action=AUDIT_VALUE&amp;DB=129&amp;ID1=312748&amp;VALUEID=04049&amp;SDATE=2007&amp;PERIODTYPE=ANNR_STD&amp;SCFT=3&amp;window=popup_no_bar&amp;width=385&amp;height=120&amp;START_MAXIMIZED=FALSE&amp;creator=factset&amp;display_string=Audit"}</definedName>
    <definedName name="_3219__FDSAUDITLINK__" localSheetId="34">{"fdsup://Directions/FactSet Auditing Viewer?action=AUDIT_VALUE&amp;DB=129&amp;ID1=312748&amp;VALUEID=04050&amp;SDATE=2008&amp;PERIODTYPE=ANNR_STD&amp;SCFT=3&amp;window=popup_no_bar&amp;width=385&amp;height=120&amp;START_MAXIMIZED=FALSE&amp;creator=factset&amp;display_string=Audit"}</definedName>
    <definedName name="_3219__FDSAUDITLINK__" localSheetId="27">{"fdsup://Directions/FactSet Auditing Viewer?action=AUDIT_VALUE&amp;DB=129&amp;ID1=312748&amp;VALUEID=04050&amp;SDATE=2008&amp;PERIODTYPE=ANNR_STD&amp;SCFT=3&amp;window=popup_no_bar&amp;width=385&amp;height=120&amp;START_MAXIMIZED=FALSE&amp;creator=factset&amp;display_string=Audit"}</definedName>
    <definedName name="_3220__FDSAUDITLINK__" localSheetId="34">{"fdsup://directions/FAT Viewer?action=UPDATE&amp;creator=factset&amp;DYN_ARGS=TRUE&amp;DOC_NAME=FAT:FQL_AUDITING_CLIENT_TEMPLATE.FAT&amp;display_string=Audit&amp;VAR:KEY=ORWPUDAHKP&amp;VAR:QUERY=RkZfSU1QQUlSX1BQRShBTk5fUiw0MDY0MSwsLFJGLCk=&amp;WINDOW=FIRST_POPUP&amp;HEIGHT=450&amp;WIDTH=450&amp;","START_MAXIMIZED=FALSE&amp;VAR:CALENDAR=FIVEDAY&amp;VAR:SYMBOL=0&amp;VAR:INDEX=0"}</definedName>
    <definedName name="_3220__FDSAUDITLINK__" localSheetId="27">{"fdsup://directions/FAT Viewer?action=UPDATE&amp;creator=factset&amp;DYN_ARGS=TRUE&amp;DOC_NAME=FAT:FQL_AUDITING_CLIENT_TEMPLATE.FAT&amp;display_string=Audit&amp;VAR:KEY=ORWPUDAHKP&amp;VAR:QUERY=RkZfSU1QQUlSX1BQRShBTk5fUiw0MDY0MSwsLFJGLCk=&amp;WINDOW=FIRST_POPUP&amp;HEIGHT=450&amp;WIDTH=450&amp;","START_MAXIMIZED=FALSE&amp;VAR:CALENDAR=FIVEDAY&amp;VAR:SYMBOL=0&amp;VAR:INDEX=0"}</definedName>
    <definedName name="_3221__FDSAUDITLINK__" localSheetId="34">{"fdsup://directions/FAT Viewer?action=UPDATE&amp;creator=factset&amp;DYN_ARGS=TRUE&amp;DOC_NAME=FAT:FQL_AUDITING_CLIENT_TEMPLATE.FAT&amp;display_string=Audit&amp;VAR:KEY=IHQZSNSBEL&amp;VAR:QUERY=RkZfSU1QQUlSX1BQRShBTk5fUiw0MDY0MS0xWSwsLFJGLCk=&amp;WINDOW=FIRST_POPUP&amp;HEIGHT=450&amp;WIDTH=","450&amp;START_MAXIMIZED=FALSE&amp;VAR:CALENDAR=FIVEDAY&amp;VAR:SYMBOL=320898&amp;VAR:INDEX=0"}</definedName>
    <definedName name="_3221__FDSAUDITLINK__" localSheetId="27">{"fdsup://directions/FAT Viewer?action=UPDATE&amp;creator=factset&amp;DYN_ARGS=TRUE&amp;DOC_NAME=FAT:FQL_AUDITING_CLIENT_TEMPLATE.FAT&amp;display_string=Audit&amp;VAR:KEY=IHQZSNSBEL&amp;VAR:QUERY=RkZfSU1QQUlSX1BQRShBTk5fUiw0MDY0MS0xWSwsLFJGLCk=&amp;WINDOW=FIRST_POPUP&amp;HEIGHT=450&amp;WIDTH=","450&amp;START_MAXIMIZED=FALSE&amp;VAR:CALENDAR=FIVEDAY&amp;VAR:SYMBOL=320898&amp;VAR:INDEX=0"}</definedName>
    <definedName name="_3222__FDSAUDITLINK__" localSheetId="34">{"fdsup://directions/FAT Viewer?action=UPDATE&amp;creator=factset&amp;DYN_ARGS=TRUE&amp;DOC_NAME=FAT:FQL_AUDITING_CLIENT_TEMPLATE.FAT&amp;display_string=Audit&amp;VAR:KEY=KVWHWHSHGJ&amp;VAR:QUERY=RkZfSU1QQUlSX1BQRShBTk5fUiw0MDY0MS0yWSwsLFJGLCk=&amp;WINDOW=FIRST_POPUP&amp;HEIGHT=450&amp;WIDTH=","450&amp;START_MAXIMIZED=FALSE&amp;VAR:CALENDAR=FIVEDAY&amp;VAR:SYMBOL=0&amp;VAR:INDEX=0"}</definedName>
    <definedName name="_3222__FDSAUDITLINK__" localSheetId="27">{"fdsup://directions/FAT Viewer?action=UPDATE&amp;creator=factset&amp;DYN_ARGS=TRUE&amp;DOC_NAME=FAT:FQL_AUDITING_CLIENT_TEMPLATE.FAT&amp;display_string=Audit&amp;VAR:KEY=KVWHWHSHGJ&amp;VAR:QUERY=RkZfSU1QQUlSX1BQRShBTk5fUiw0MDY0MS0yWSwsLFJGLCk=&amp;WINDOW=FIRST_POPUP&amp;HEIGHT=450&amp;WIDTH=","450&amp;START_MAXIMIZED=FALSE&amp;VAR:CALENDAR=FIVEDAY&amp;VAR:SYMBOL=0&amp;VAR:INDEX=0"}</definedName>
    <definedName name="_3223__FDSAUDITLINK__" localSheetId="34">{"fdsup://directions/FAT Viewer?action=UPDATE&amp;creator=factset&amp;DYN_ARGS=TRUE&amp;DOC_NAME=FAT:FQL_AUDITING_CLIENT_TEMPLATE.FAT&amp;display_string=Audit&amp;VAR:KEY=SZOFSFYBEJ&amp;VAR:QUERY=RkZfSU1QQUlSX1BQRShBTk5fUiw0MDY0MS0zWSwsLFJGLCk=&amp;WINDOW=FIRST_POPUP&amp;HEIGHT=450&amp;WIDTH=","450&amp;START_MAXIMIZED=FALSE&amp;VAR:CALENDAR=FIVEDAY&amp;VAR:SYMBOL=320898&amp;VAR:INDEX=0"}</definedName>
    <definedName name="_3223__FDSAUDITLINK__" localSheetId="27">{"fdsup://directions/FAT Viewer?action=UPDATE&amp;creator=factset&amp;DYN_ARGS=TRUE&amp;DOC_NAME=FAT:FQL_AUDITING_CLIENT_TEMPLATE.FAT&amp;display_string=Audit&amp;VAR:KEY=SZOFSFYBEJ&amp;VAR:QUERY=RkZfSU1QQUlSX1BQRShBTk5fUiw0MDY0MS0zWSwsLFJGLCk=&amp;WINDOW=FIRST_POPUP&amp;HEIGHT=450&amp;WIDTH=","450&amp;START_MAXIMIZED=FALSE&amp;VAR:CALENDAR=FIVEDAY&amp;VAR:SYMBOL=320898&amp;VAR:INDEX=0"}</definedName>
    <definedName name="_3224__FDSAUDITLINK__" localSheetId="34">{"fdsup://directions/FAT Viewer?action=UPDATE&amp;creator=factset&amp;DYN_ARGS=TRUE&amp;DOC_NAME=FAT:FQL_AUDITING_CLIENT_TEMPLATE.FAT&amp;display_string=Audit&amp;VAR:KEY=SNYNUTSBKB&amp;VAR:QUERY=RkZfSU1QQUlSX1BQRShBTk5fUiw0MDY0MS00WSwsLFJGLCk=&amp;WINDOW=FIRST_POPUP&amp;HEIGHT=450&amp;WIDTH=","450&amp;START_MAXIMIZED=FALSE&amp;VAR:CALENDAR=FIVEDAY&amp;VAR:SYMBOL=B126KH&amp;VAR:INDEX=0"}</definedName>
    <definedName name="_3224__FDSAUDITLINK__" localSheetId="27">{"fdsup://directions/FAT Viewer?action=UPDATE&amp;creator=factset&amp;DYN_ARGS=TRUE&amp;DOC_NAME=FAT:FQL_AUDITING_CLIENT_TEMPLATE.FAT&amp;display_string=Audit&amp;VAR:KEY=SNYNUTSBKB&amp;VAR:QUERY=RkZfSU1QQUlSX1BQRShBTk5fUiw0MDY0MS00WSwsLFJGLCk=&amp;WINDOW=FIRST_POPUP&amp;HEIGHT=450&amp;WIDTH=","450&amp;START_MAXIMIZED=FALSE&amp;VAR:CALENDAR=FIVEDAY&amp;VAR:SYMBOL=B126KH&amp;VAR:INDEX=0"}</definedName>
    <definedName name="_3225__FDSAUDITLINK__" localSheetId="34">{"fdsup://directions/FAT Viewer?action=UPDATE&amp;creator=factset&amp;DYN_ARGS=TRUE&amp;DOC_NAME=FAT:FQL_AUDITING_CLIENT_TEMPLATE.FAT&amp;display_string=Audit&amp;VAR:KEY=UREHUHMVMN&amp;VAR:QUERY=RkZfRklOX0FTU0VUU19JTVBBSVIoQU5OX1IsNDA2NDEsLCxSRiwp&amp;WINDOW=FIRST_POPUP&amp;HEIGHT=450&amp;WI","DTH=450&amp;START_MAXIMIZED=FALSE&amp;VAR:CALENDAR=FIVEDAY&amp;VAR:SYMBOL=B1P6ZR&amp;VAR:INDEX=0"}</definedName>
    <definedName name="_3225__FDSAUDITLINK__" localSheetId="27">{"fdsup://directions/FAT Viewer?action=UPDATE&amp;creator=factset&amp;DYN_ARGS=TRUE&amp;DOC_NAME=FAT:FQL_AUDITING_CLIENT_TEMPLATE.FAT&amp;display_string=Audit&amp;VAR:KEY=UREHUHMVMN&amp;VAR:QUERY=RkZfRklOX0FTU0VUU19JTVBBSVIoQU5OX1IsNDA2NDEsLCxSRiwp&amp;WINDOW=FIRST_POPUP&amp;HEIGHT=450&amp;WI","DTH=450&amp;START_MAXIMIZED=FALSE&amp;VAR:CALENDAR=FIVEDAY&amp;VAR:SYMBOL=B1P6ZR&amp;VAR:INDEX=0"}</definedName>
    <definedName name="_3226__FDSAUDITLINK__" localSheetId="34">{"fdsup://directions/FAT Viewer?action=UPDATE&amp;creator=factset&amp;DYN_ARGS=TRUE&amp;DOC_NAME=FAT:FQL_AUDITING_CLIENT_TEMPLATE.FAT&amp;display_string=Audit&amp;VAR:KEY=CLCLQPOJMZ&amp;VAR:QUERY=RkZfRklOX0FTU0VUU19JTVBBSVIoQU5OX1IsNDA2NDEtMVksLCxSRiwp&amp;WINDOW=FIRST_POPUP&amp;HEIGHT=45","0&amp;WIDTH=450&amp;START_MAXIMIZED=FALSE&amp;VAR:CALENDAR=FIVEDAY&amp;VAR:SYMBOL=B1P6ZR&amp;VAR:INDEX=0"}</definedName>
    <definedName name="_3226__FDSAUDITLINK__" localSheetId="27">{"fdsup://directions/FAT Viewer?action=UPDATE&amp;creator=factset&amp;DYN_ARGS=TRUE&amp;DOC_NAME=FAT:FQL_AUDITING_CLIENT_TEMPLATE.FAT&amp;display_string=Audit&amp;VAR:KEY=CLCLQPOJMZ&amp;VAR:QUERY=RkZfRklOX0FTU0VUU19JTVBBSVIoQU5OX1IsNDA2NDEtMVksLCxSRiwp&amp;WINDOW=FIRST_POPUP&amp;HEIGHT=45","0&amp;WIDTH=450&amp;START_MAXIMIZED=FALSE&amp;VAR:CALENDAR=FIVEDAY&amp;VAR:SYMBOL=B1P6ZR&amp;VAR:INDEX=0"}</definedName>
    <definedName name="_3227__FDSAUDITLINK__" localSheetId="34">{"fdsup://directions/FAT Viewer?action=UPDATE&amp;creator=factset&amp;DYN_ARGS=TRUE&amp;DOC_NAME=FAT:FQL_AUDITING_CLIENT_TEMPLATE.FAT&amp;display_string=Audit&amp;VAR:KEY=WZEFUNCJEB&amp;VAR:QUERY=RkZfRklOX0FTU0VUU19JTVBBSVIoQU5OX1IsNDA2NDEtMlksLCxSRiwp&amp;WINDOW=FIRST_POPUP&amp;HEIGHT=45","0&amp;WIDTH=450&amp;START_MAXIMIZED=FALSE&amp;VAR:CALENDAR=FIVEDAY&amp;VAR:SYMBOL=B1P6ZR&amp;VAR:INDEX=0"}</definedName>
    <definedName name="_3227__FDSAUDITLINK__" localSheetId="27">{"fdsup://directions/FAT Viewer?action=UPDATE&amp;creator=factset&amp;DYN_ARGS=TRUE&amp;DOC_NAME=FAT:FQL_AUDITING_CLIENT_TEMPLATE.FAT&amp;display_string=Audit&amp;VAR:KEY=WZEFUNCJEB&amp;VAR:QUERY=RkZfRklOX0FTU0VUU19JTVBBSVIoQU5OX1IsNDA2NDEtMlksLCxSRiwp&amp;WINDOW=FIRST_POPUP&amp;HEIGHT=45","0&amp;WIDTH=450&amp;START_MAXIMIZED=FALSE&amp;VAR:CALENDAR=FIVEDAY&amp;VAR:SYMBOL=B1P6ZR&amp;VAR:INDEX=0"}</definedName>
    <definedName name="_3228__FDSAUDITLINK__" localSheetId="34">{"fdsup://directions/FAT Viewer?action=UPDATE&amp;creator=factset&amp;DYN_ARGS=TRUE&amp;DOC_NAME=FAT:FQL_AUDITING_CLIENT_TEMPLATE.FAT&amp;display_string=Audit&amp;VAR:KEY=ABGTEJCTSX&amp;VAR:QUERY=RkZfRklOX0FTU0VUU19JTVBBSVIoQU5OX1IsNDA2NDEtM1ksLCxSRiwp&amp;WINDOW=FIRST_POPUP&amp;HEIGHT=45","0&amp;WIDTH=450&amp;START_MAXIMIZED=FALSE&amp;VAR:CALENDAR=FIVEDAY&amp;VAR:SYMBOL=B1P6ZR&amp;VAR:INDEX=0"}</definedName>
    <definedName name="_3228__FDSAUDITLINK__" localSheetId="27">{"fdsup://directions/FAT Viewer?action=UPDATE&amp;creator=factset&amp;DYN_ARGS=TRUE&amp;DOC_NAME=FAT:FQL_AUDITING_CLIENT_TEMPLATE.FAT&amp;display_string=Audit&amp;VAR:KEY=ABGTEJCTSX&amp;VAR:QUERY=RkZfRklOX0FTU0VUU19JTVBBSVIoQU5OX1IsNDA2NDEtM1ksLCxSRiwp&amp;WINDOW=FIRST_POPUP&amp;HEIGHT=45","0&amp;WIDTH=450&amp;START_MAXIMIZED=FALSE&amp;VAR:CALENDAR=FIVEDAY&amp;VAR:SYMBOL=B1P6ZR&amp;VAR:INDEX=0"}</definedName>
    <definedName name="_3229__FDSAUDITLINK__" localSheetId="34">{"fdsup://directions/FAT Viewer?action=UPDATE&amp;creator=factset&amp;DYN_ARGS=TRUE&amp;DOC_NAME=FAT:FQL_AUDITING_CLIENT_TEMPLATE.FAT&amp;display_string=Audit&amp;VAR:KEY=EPKJMLQJUL&amp;VAR:QUERY=RkZfRklOX0FTU0VUU19JTVBBSVIoQU5OX1IsNDA2NDEtNFksLCxSRiwp&amp;WINDOW=FIRST_POPUP&amp;HEIGHT=45","0&amp;WIDTH=450&amp;START_MAXIMIZED=FALSE&amp;VAR:CALENDAR=FIVEDAY&amp;VAR:SYMBOL=B1P6ZR&amp;VAR:INDEX=0"}</definedName>
    <definedName name="_3229__FDSAUDITLINK__" localSheetId="27">{"fdsup://directions/FAT Viewer?action=UPDATE&amp;creator=factset&amp;DYN_ARGS=TRUE&amp;DOC_NAME=FAT:FQL_AUDITING_CLIENT_TEMPLATE.FAT&amp;display_string=Audit&amp;VAR:KEY=EPKJMLQJUL&amp;VAR:QUERY=RkZfRklOX0FTU0VUU19JTVBBSVIoQU5OX1IsNDA2NDEtNFksLCxSRiwp&amp;WINDOW=FIRST_POPUP&amp;HEIGHT=45","0&amp;WIDTH=450&amp;START_MAXIMIZED=FALSE&amp;VAR:CALENDAR=FIVEDAY&amp;VAR:SYMBOL=B1P6ZR&amp;VAR:INDEX=0"}</definedName>
    <definedName name="_3230__FDSAUDITLINK__" localSheetId="34">{"fdsup://Directions/FactSet Auditing Viewer?action=AUDIT_VALUE&amp;DB=129&amp;ID1=B1P6ZR&amp;VALUEID=04601&amp;SDATE=2008&amp;PERIODTYPE=ANNR_STD&amp;SCFT=3&amp;window=popup_no_bar&amp;width=385&amp;height=120&amp;START_MAXIMIZED=FALSE&amp;creator=factset&amp;display_string=Audit"}</definedName>
    <definedName name="_3230__FDSAUDITLINK__" localSheetId="27">{"fdsup://Directions/FactSet Auditing Viewer?action=AUDIT_VALUE&amp;DB=129&amp;ID1=B1P6ZR&amp;VALUEID=04601&amp;SDATE=2008&amp;PERIODTYPE=ANNR_STD&amp;SCFT=3&amp;window=popup_no_bar&amp;width=385&amp;height=120&amp;START_MAXIMIZED=FALSE&amp;creator=factset&amp;display_string=Audit"}</definedName>
    <definedName name="_3231__FDSAUDITLINK__" localSheetId="34">{"fdsup://Directions/FactSet Auditing Viewer?action=AUDIT_VALUE&amp;DB=129&amp;ID1=B1P6ZR&amp;VALUEID=02201&amp;SDATE=2008&amp;PERIODTYPE=ANNR_STD&amp;SCFT=3&amp;window=popup_no_bar&amp;width=385&amp;height=120&amp;START_MAXIMIZED=FALSE&amp;creator=factset&amp;display_string=Audit"}</definedName>
    <definedName name="_3231__FDSAUDITLINK__" localSheetId="27">{"fdsup://Directions/FactSet Auditing Viewer?action=AUDIT_VALUE&amp;DB=129&amp;ID1=B1P6ZR&amp;VALUEID=02201&amp;SDATE=2008&amp;PERIODTYPE=ANNR_STD&amp;SCFT=3&amp;window=popup_no_bar&amp;width=385&amp;height=120&amp;START_MAXIMIZED=FALSE&amp;creator=factset&amp;display_string=Audit"}</definedName>
    <definedName name="_3232__FDSAUDITLINK__" localSheetId="34">{"fdsup://Directions/FactSet Auditing Viewer?action=AUDIT_VALUE&amp;DB=129&amp;ID1=B1P6ZR&amp;VALUEID=02001&amp;SDATE=2008&amp;PERIODTYPE=ANNR_STD&amp;SCFT=3&amp;window=popup_no_bar&amp;width=385&amp;height=120&amp;START_MAXIMIZED=FALSE&amp;creator=factset&amp;display_string=Audit"}</definedName>
    <definedName name="_3232__FDSAUDITLINK__" localSheetId="27">{"fdsup://Directions/FactSet Auditing Viewer?action=AUDIT_VALUE&amp;DB=129&amp;ID1=B1P6ZR&amp;VALUEID=02001&amp;SDATE=2008&amp;PERIODTYPE=ANNR_STD&amp;SCFT=3&amp;window=popup_no_bar&amp;width=385&amp;height=120&amp;START_MAXIMIZED=FALSE&amp;creator=factset&amp;display_string=Audit"}</definedName>
    <definedName name="_3233__FDSAUDITLINK__" localSheetId="34">{"fdsup://Directions/FactSet Auditing Viewer?action=AUDIT_VALUE&amp;DB=129&amp;ID1=B1P6ZR&amp;VALUEID=03101&amp;SDATE=2008&amp;PERIODTYPE=ANNR_STD&amp;SCFT=3&amp;window=popup_no_bar&amp;width=385&amp;height=120&amp;START_MAXIMIZED=FALSE&amp;creator=factset&amp;display_string=Audit"}</definedName>
    <definedName name="_3233__FDSAUDITLINK__" localSheetId="27">{"fdsup://Directions/FactSet Auditing Viewer?action=AUDIT_VALUE&amp;DB=129&amp;ID1=B1P6ZR&amp;VALUEID=03101&amp;SDATE=2008&amp;PERIODTYPE=ANNR_STD&amp;SCFT=3&amp;window=popup_no_bar&amp;width=385&amp;height=120&amp;START_MAXIMIZED=FALSE&amp;creator=factset&amp;display_string=Audit"}</definedName>
    <definedName name="_3234__FDSAUDITLINK__" localSheetId="34">{"fdsup://Directions/FactSet Auditing Viewer?action=AUDIT_VALUE&amp;DB=129&amp;ID1=B1P6ZR&amp;VALUEID=18184&amp;SDATE=2008&amp;PERIODTYPE=ANNR_STD&amp;SCFT=3&amp;window=popup_no_bar&amp;width=385&amp;height=120&amp;START_MAXIMIZED=FALSE&amp;creator=factset&amp;display_string=Audit"}</definedName>
    <definedName name="_3234__FDSAUDITLINK__" localSheetId="27">{"fdsup://Directions/FactSet Auditing Viewer?action=AUDIT_VALUE&amp;DB=129&amp;ID1=B1P6ZR&amp;VALUEID=18184&amp;SDATE=2008&amp;PERIODTYPE=ANNR_STD&amp;SCFT=3&amp;window=popup_no_bar&amp;width=385&amp;height=120&amp;START_MAXIMIZED=FALSE&amp;creator=factset&amp;display_string=Audit"}</definedName>
    <definedName name="_3235__FDSAUDITLINK__" localSheetId="34">{"fdsup://directions/FAT Viewer?action=UPDATE&amp;creator=factset&amp;DYN_ARGS=TRUE&amp;DOC_NAME=FAT:FQL_AUDITING_CLIENT_TEMPLATE.FAT&amp;display_string=Audit&amp;VAR:KEY=CFCBYXAVKL&amp;VAR:QUERY=RkZfU0hMRFJTX0VRKEFOTl9SLDQwNjQxLCwsUkYsKQ==&amp;WINDOW=FIRST_POPUP&amp;HEIGHT=450&amp;WIDTH=450&amp;","START_MAXIMIZED=FALSE&amp;VAR:CALENDAR=FIVEDAY&amp;VAR:SYMBOL=B1P6ZR&amp;VAR:INDEX=0"}</definedName>
    <definedName name="_3235__FDSAUDITLINK__" localSheetId="27">{"fdsup://directions/FAT Viewer?action=UPDATE&amp;creator=factset&amp;DYN_ARGS=TRUE&amp;DOC_NAME=FAT:FQL_AUDITING_CLIENT_TEMPLATE.FAT&amp;display_string=Audit&amp;VAR:KEY=CFCBYXAVKL&amp;VAR:QUERY=RkZfU0hMRFJTX0VRKEFOTl9SLDQwNjQxLCwsUkYsKQ==&amp;WINDOW=FIRST_POPUP&amp;HEIGHT=450&amp;WIDTH=450&amp;","START_MAXIMIZED=FALSE&amp;VAR:CALENDAR=FIVEDAY&amp;VAR:SYMBOL=B1P6ZR&amp;VAR:INDEX=0"}</definedName>
    <definedName name="_3236__FDSAUDITLINK__" localSheetId="34">{"fdsup://directions/FAT Viewer?action=UPDATE&amp;creator=factset&amp;DYN_ARGS=TRUE&amp;DOC_NAME=FAT:FQL_AUDITING_CLIENT_TEMPLATE.FAT&amp;display_string=Audit&amp;VAR:KEY=QLKHSXWFCZ&amp;VAR:QUERY=RkZfU0hMRFJTX0VRKEFOTl9SLDQwNjQxLTFZLCwsUkYsKQ==&amp;WINDOW=FIRST_POPUP&amp;HEIGHT=450&amp;WIDTH=","450&amp;START_MAXIMIZED=FALSE&amp;VAR:CALENDAR=FIVEDAY&amp;VAR:SYMBOL=B1P6ZR&amp;VAR:INDEX=0"}</definedName>
    <definedName name="_3236__FDSAUDITLINK__" localSheetId="27">{"fdsup://directions/FAT Viewer?action=UPDATE&amp;creator=factset&amp;DYN_ARGS=TRUE&amp;DOC_NAME=FAT:FQL_AUDITING_CLIENT_TEMPLATE.FAT&amp;display_string=Audit&amp;VAR:KEY=QLKHSXWFCZ&amp;VAR:QUERY=RkZfU0hMRFJTX0VRKEFOTl9SLDQwNjQxLTFZLCwsUkYsKQ==&amp;WINDOW=FIRST_POPUP&amp;HEIGHT=450&amp;WIDTH=","450&amp;START_MAXIMIZED=FALSE&amp;VAR:CALENDAR=FIVEDAY&amp;VAR:SYMBOL=B1P6ZR&amp;VAR:INDEX=0"}</definedName>
    <definedName name="_3237__FDSAUDITLINK__" localSheetId="34">{"fdsup://directions/FAT Viewer?action=UPDATE&amp;creator=factset&amp;DYN_ARGS=TRUE&amp;DOC_NAME=FAT:FQL_AUDITING_CLIENT_TEMPLATE.FAT&amp;display_string=Audit&amp;VAR:KEY=EFCDABYPIH&amp;VAR:QUERY=RkZfU0hMRFJTX0VRKEFOTl9SLDQwNjQxLTJZLCwsUkYsKQ==&amp;WINDOW=FIRST_POPUP&amp;HEIGHT=450&amp;WIDTH=","450&amp;START_MAXIMIZED=FALSE&amp;VAR:CALENDAR=FIVEDAY&amp;VAR:SYMBOL=B1P6ZR&amp;VAR:INDEX=0"}</definedName>
    <definedName name="_3237__FDSAUDITLINK__" localSheetId="27">{"fdsup://directions/FAT Viewer?action=UPDATE&amp;creator=factset&amp;DYN_ARGS=TRUE&amp;DOC_NAME=FAT:FQL_AUDITING_CLIENT_TEMPLATE.FAT&amp;display_string=Audit&amp;VAR:KEY=EFCDABYPIH&amp;VAR:QUERY=RkZfU0hMRFJTX0VRKEFOTl9SLDQwNjQxLTJZLCwsUkYsKQ==&amp;WINDOW=FIRST_POPUP&amp;HEIGHT=450&amp;WIDTH=","450&amp;START_MAXIMIZED=FALSE&amp;VAR:CALENDAR=FIVEDAY&amp;VAR:SYMBOL=B1P6ZR&amp;VAR:INDEX=0"}</definedName>
    <definedName name="_3238__FDSAUDITLINK__" localSheetId="34">{"fdsup://directions/FAT Viewer?action=UPDATE&amp;creator=factset&amp;DYN_ARGS=TRUE&amp;DOC_NAME=FAT:FQL_AUDITING_CLIENT_TEMPLATE.FAT&amp;display_string=Audit&amp;VAR:KEY=OHOLANOZUT&amp;VAR:QUERY=RkZfU0hMRFJTX0VRKEFOTl9SLDQwNjQxLTNZLCwsUkYsKQ==&amp;WINDOW=FIRST_POPUP&amp;HEIGHT=450&amp;WIDTH=","450&amp;START_MAXIMIZED=FALSE&amp;VAR:CALENDAR=FIVEDAY&amp;VAR:SYMBOL=B1P6ZR&amp;VAR:INDEX=0"}</definedName>
    <definedName name="_3238__FDSAUDITLINK__" localSheetId="27">{"fdsup://directions/FAT Viewer?action=UPDATE&amp;creator=factset&amp;DYN_ARGS=TRUE&amp;DOC_NAME=FAT:FQL_AUDITING_CLIENT_TEMPLATE.FAT&amp;display_string=Audit&amp;VAR:KEY=OHOLANOZUT&amp;VAR:QUERY=RkZfU0hMRFJTX0VRKEFOTl9SLDQwNjQxLTNZLCwsUkYsKQ==&amp;WINDOW=FIRST_POPUP&amp;HEIGHT=450&amp;WIDTH=","450&amp;START_MAXIMIZED=FALSE&amp;VAR:CALENDAR=FIVEDAY&amp;VAR:SYMBOL=B1P6ZR&amp;VAR:INDEX=0"}</definedName>
    <definedName name="_3239__FDSAUDITLINK__" localSheetId="34">{"fdsup://directions/FAT Viewer?action=UPDATE&amp;creator=factset&amp;DYN_ARGS=TRUE&amp;DOC_NAME=FAT:FQL_AUDITING_CLIENT_TEMPLATE.FAT&amp;display_string=Audit&amp;VAR:KEY=GBEFWNEHIL&amp;VAR:QUERY=RkZfU0hMRFJTX0VRKEFOTl9SLDQwNjQxLTRZLCwsUkYsKQ==&amp;WINDOW=FIRST_POPUP&amp;HEIGHT=450&amp;WIDTH=","450&amp;START_MAXIMIZED=FALSE&amp;VAR:CALENDAR=FIVEDAY&amp;VAR:SYMBOL=B1P6ZR&amp;VAR:INDEX=0"}</definedName>
    <definedName name="_3239__FDSAUDITLINK__" localSheetId="27">{"fdsup://directions/FAT Viewer?action=UPDATE&amp;creator=factset&amp;DYN_ARGS=TRUE&amp;DOC_NAME=FAT:FQL_AUDITING_CLIENT_TEMPLATE.FAT&amp;display_string=Audit&amp;VAR:KEY=GBEFWNEHIL&amp;VAR:QUERY=RkZfU0hMRFJTX0VRKEFOTl9SLDQwNjQxLTRZLCwsUkYsKQ==&amp;WINDOW=FIRST_POPUP&amp;HEIGHT=450&amp;WIDTH=","450&amp;START_MAXIMIZED=FALSE&amp;VAR:CALENDAR=FIVEDAY&amp;VAR:SYMBOL=B1P6ZR&amp;VAR:INDEX=0"}</definedName>
    <definedName name="_3242__FDSAUDITLINK__" localSheetId="34">{"fdsup://Directions/FactSet Auditing Viewer?action=AUDIT_VALUE&amp;DB=129&amp;ID1=047715&amp;VALUEID=01001&amp;SDATE=2010&amp;PERIODTYPE=ANNR_STD&amp;SCFT=3&amp;window=popup_no_bar&amp;width=385&amp;height=120&amp;START_MAXIMIZED=FALSE&amp;creator=factset&amp;display_string=Audit"}</definedName>
    <definedName name="_3242__FDSAUDITLINK__" localSheetId="27">{"fdsup://Directions/FactSet Auditing Viewer?action=AUDIT_VALUE&amp;DB=129&amp;ID1=047715&amp;VALUEID=01001&amp;SDATE=2010&amp;PERIODTYPE=ANNR_STD&amp;SCFT=3&amp;window=popup_no_bar&amp;width=385&amp;height=120&amp;START_MAXIMIZED=FALSE&amp;creator=factset&amp;display_string=Audit"}</definedName>
    <definedName name="_3243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243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244__FDSAUDITLINK__" localSheetId="34">{"fdsup://Directions/FactSet Auditing Viewer?action=AUDIT_VALUE&amp;DB=129&amp;ID1=047715&amp;VALUEID=01001&amp;SDATE=2007&amp;PERIODTYPE=ANNR_STD&amp;SCFT=3&amp;window=popup_no_bar&amp;width=385&amp;height=120&amp;START_MAXIMIZED=FALSE&amp;creator=factset&amp;display_string=Audit"}</definedName>
    <definedName name="_3244__FDSAUDITLINK__" localSheetId="27">{"fdsup://Directions/FactSet Auditing Viewer?action=AUDIT_VALUE&amp;DB=129&amp;ID1=047715&amp;VALUEID=01001&amp;SDATE=2007&amp;PERIODTYPE=ANNR_STD&amp;SCFT=3&amp;window=popup_no_bar&amp;width=385&amp;height=120&amp;START_MAXIMIZED=FALSE&amp;creator=factset&amp;display_string=Audit"}</definedName>
    <definedName name="_3245__FDSAUDITLINK__" localSheetId="34">{"fdsup://Directions/FactSet Auditing Viewer?action=AUDIT_VALUE&amp;DB=129&amp;ID1=047715&amp;VALUEID=01250&amp;SDATE=2010&amp;PERIODTYPE=ANNR_STD&amp;SCFT=3&amp;window=popup_no_bar&amp;width=385&amp;height=120&amp;START_MAXIMIZED=FALSE&amp;creator=factset&amp;display_string=Audit"}</definedName>
    <definedName name="_3245__FDSAUDITLINK__" localSheetId="27">{"fdsup://Directions/FactSet Auditing Viewer?action=AUDIT_VALUE&amp;DB=129&amp;ID1=047715&amp;VALUEID=01250&amp;SDATE=2010&amp;PERIODTYPE=ANNR_STD&amp;SCFT=3&amp;window=popup_no_bar&amp;width=385&amp;height=120&amp;START_MAXIMIZED=FALSE&amp;creator=factset&amp;display_string=Audit"}</definedName>
    <definedName name="_3246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246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247__FDSAUDITLINK__" localSheetId="34">{"fdsup://Directions/FactSet Auditing Viewer?action=AUDIT_VALUE&amp;DB=129&amp;ID1=047715&amp;VALUEID=01250&amp;SDATE=2007&amp;PERIODTYPE=ANNR_STD&amp;SCFT=3&amp;window=popup_no_bar&amp;width=385&amp;height=120&amp;START_MAXIMIZED=FALSE&amp;creator=factset&amp;display_string=Audit"}</definedName>
    <definedName name="_3247__FDSAUDITLINK__" localSheetId="27">{"fdsup://Directions/FactSet Auditing Viewer?action=AUDIT_VALUE&amp;DB=129&amp;ID1=047715&amp;VALUEID=01250&amp;SDATE=2007&amp;PERIODTYPE=ANNR_STD&amp;SCFT=3&amp;window=popup_no_bar&amp;width=385&amp;height=120&amp;START_MAXIMIZED=FALSE&amp;creator=factset&amp;display_string=Audit"}</definedName>
    <definedName name="_3248__FDSAUDITLINK__" localSheetId="34">{"fdsup://directions/FAT Viewer?action=UPDATE&amp;creator=factset&amp;DYN_ARGS=TRUE&amp;DOC_NAME=FAT:FQL_AUDITING_CLIENT_TEMPLATE.FAT&amp;display_string=Audit&amp;VAR:KEY=XOXMDQPURW&amp;VAR:QUERY=RkZfRUJJVERBX09QRVIoQU5OX1IsNDA2NDEsLCwsKQ==&amp;WINDOW=FIRST_POPUP&amp;HEIGHT=450&amp;WIDTH=450&amp;","START_MAXIMIZED=FALSE&amp;VAR:CALENDAR=FIVEDAY&amp;VAR:SYMBOL=047715&amp;VAR:INDEX=0"}</definedName>
    <definedName name="_3248__FDSAUDITLINK__" localSheetId="27">{"fdsup://directions/FAT Viewer?action=UPDATE&amp;creator=factset&amp;DYN_ARGS=TRUE&amp;DOC_NAME=FAT:FQL_AUDITING_CLIENT_TEMPLATE.FAT&amp;display_string=Audit&amp;VAR:KEY=XOXMDQPURW&amp;VAR:QUERY=RkZfRUJJVERBX09QRVIoQU5OX1IsNDA2NDEsLCwsKQ==&amp;WINDOW=FIRST_POPUP&amp;HEIGHT=450&amp;WIDTH=450&amp;","START_MAXIMIZED=FALSE&amp;VAR:CALENDAR=FIVEDAY&amp;VAR:SYMBOL=047715&amp;VAR:INDEX=0"}</definedName>
    <definedName name="_3249__FDSAUDITLINK__" localSheetId="34">{"fdsup://directions/FAT Viewer?action=UPDATE&amp;creator=factset&amp;DYN_ARGS=TRUE&amp;DOC_NAME=FAT:FQL_AUDITING_CLIENT_TEMPLATE.FAT&amp;display_string=Audit&amp;VAR:KEY=TWDGBARAXU&amp;VAR:QUERY=RkZfRUJJVERBX09QRVIoQU5OX1IsNDA2NDEtMVksLCwsKQ==&amp;WINDOW=FIRST_POPUP&amp;HEIGHT=450&amp;WIDTH=","450&amp;START_MAXIMIZED=FALSE&amp;VAR:CALENDAR=FIVEDAY&amp;VAR:SYMBOL=047715&amp;VAR:INDEX=0"}</definedName>
    <definedName name="_3249__FDSAUDITLINK__" localSheetId="27">{"fdsup://directions/FAT Viewer?action=UPDATE&amp;creator=factset&amp;DYN_ARGS=TRUE&amp;DOC_NAME=FAT:FQL_AUDITING_CLIENT_TEMPLATE.FAT&amp;display_string=Audit&amp;VAR:KEY=TWDGBARAXU&amp;VAR:QUERY=RkZfRUJJVERBX09QRVIoQU5OX1IsNDA2NDEtMVksLCwsKQ==&amp;WINDOW=FIRST_POPUP&amp;HEIGHT=450&amp;WIDTH=","450&amp;START_MAXIMIZED=FALSE&amp;VAR:CALENDAR=FIVEDAY&amp;VAR:SYMBOL=047715&amp;VAR:INDEX=0"}</definedName>
    <definedName name="_3250__FDSAUDITLINK__" localSheetId="34">{"fdsup://directions/FAT Viewer?action=UPDATE&amp;creator=factset&amp;DYN_ARGS=TRUE&amp;DOC_NAME=FAT:FQL_AUDITING_CLIENT_TEMPLATE.FAT&amp;display_string=Audit&amp;VAR:KEY=FYPMFIDYXK&amp;VAR:QUERY=RkZfRUJJVERBX09QRVIoQU5OX1IsNDA2NDEtMlksLCwsKQ==&amp;WINDOW=FIRST_POPUP&amp;HEIGHT=450&amp;WIDTH=","450&amp;START_MAXIMIZED=FALSE&amp;VAR:CALENDAR=FIVEDAY&amp;VAR:SYMBOL=047715&amp;VAR:INDEX=0"}</definedName>
    <definedName name="_3250__FDSAUDITLINK__" localSheetId="27">{"fdsup://directions/FAT Viewer?action=UPDATE&amp;creator=factset&amp;DYN_ARGS=TRUE&amp;DOC_NAME=FAT:FQL_AUDITING_CLIENT_TEMPLATE.FAT&amp;display_string=Audit&amp;VAR:KEY=FYPMFIDYXK&amp;VAR:QUERY=RkZfRUJJVERBX09QRVIoQU5OX1IsNDA2NDEtMlksLCwsKQ==&amp;WINDOW=FIRST_POPUP&amp;HEIGHT=450&amp;WIDTH=","450&amp;START_MAXIMIZED=FALSE&amp;VAR:CALENDAR=FIVEDAY&amp;VAR:SYMBOL=047715&amp;VAR:INDEX=0"}</definedName>
    <definedName name="_3251__FDSAUDITLINK__" localSheetId="34">{"fdsup://directions/FAT Viewer?action=UPDATE&amp;creator=factset&amp;DYN_ARGS=TRUE&amp;DOC_NAME=FAT:FQL_AUDITING_CLIENT_TEMPLATE.FAT&amp;display_string=Audit&amp;VAR:KEY=RURKLGBABI&amp;VAR:QUERY=RkZfRUJJVERBX09QRVIoQU5OX1IsNDA2NDEtM1ksLCwsKQ==&amp;WINDOW=FIRST_POPUP&amp;HEIGHT=450&amp;WIDTH=","450&amp;START_MAXIMIZED=FALSE&amp;VAR:CALENDAR=FIVEDAY&amp;VAR:SYMBOL=047715&amp;VAR:INDEX=0"}</definedName>
    <definedName name="_3251__FDSAUDITLINK__" localSheetId="27">{"fdsup://directions/FAT Viewer?action=UPDATE&amp;creator=factset&amp;DYN_ARGS=TRUE&amp;DOC_NAME=FAT:FQL_AUDITING_CLIENT_TEMPLATE.FAT&amp;display_string=Audit&amp;VAR:KEY=RURKLGBABI&amp;VAR:QUERY=RkZfRUJJVERBX09QRVIoQU5OX1IsNDA2NDEtM1ksLCwsKQ==&amp;WINDOW=FIRST_POPUP&amp;HEIGHT=450&amp;WIDTH=","450&amp;START_MAXIMIZED=FALSE&amp;VAR:CALENDAR=FIVEDAY&amp;VAR:SYMBOL=047715&amp;VAR:INDEX=0"}</definedName>
    <definedName name="_3252__FDSAUDITLINK__" localSheetId="34">{"fdsup://directions/FAT Viewer?action=UPDATE&amp;creator=factset&amp;DYN_ARGS=TRUE&amp;DOC_NAME=FAT:FQL_AUDITING_CLIENT_TEMPLATE.FAT&amp;display_string=Audit&amp;VAR:KEY=TQVWTMVIZM&amp;VAR:QUERY=RkZfRUJJVERBX09QRVIoQU5OX1IsNDA2NDEtNFksLCwsKQ==&amp;WINDOW=FIRST_POPUP&amp;HEIGHT=450&amp;WIDTH=","450&amp;START_MAXIMIZED=FALSE&amp;VAR:CALENDAR=FIVEDAY&amp;VAR:SYMBOL=047715&amp;VAR:INDEX=0"}</definedName>
    <definedName name="_3252__FDSAUDITLINK__" localSheetId="27">{"fdsup://directions/FAT Viewer?action=UPDATE&amp;creator=factset&amp;DYN_ARGS=TRUE&amp;DOC_NAME=FAT:FQL_AUDITING_CLIENT_TEMPLATE.FAT&amp;display_string=Audit&amp;VAR:KEY=TQVWTMVIZM&amp;VAR:QUERY=RkZfRUJJVERBX09QRVIoQU5OX1IsNDA2NDEtNFksLCwsKQ==&amp;WINDOW=FIRST_POPUP&amp;HEIGHT=450&amp;WIDTH=","450&amp;START_MAXIMIZED=FALSE&amp;VAR:CALENDAR=FIVEDAY&amp;VAR:SYMBOL=047715&amp;VAR:INDEX=0"}</definedName>
    <definedName name="_3253__FDSAUDITLINK__" localSheetId="34">{"fdsup://Directions/FactSet Auditing Viewer?action=AUDIT_VALUE&amp;DB=129&amp;ID1=047715&amp;VALUEID=01151&amp;SDATE=2010&amp;PERIODTYPE=ANNR_STD&amp;SCFT=3&amp;window=popup_no_bar&amp;width=385&amp;height=120&amp;START_MAXIMIZED=FALSE&amp;creator=factset&amp;display_string=Audit"}</definedName>
    <definedName name="_3253__FDSAUDITLINK__" localSheetId="27">{"fdsup://Directions/FactSet Auditing Viewer?action=AUDIT_VALUE&amp;DB=129&amp;ID1=047715&amp;VALUEID=01151&amp;SDATE=2010&amp;PERIODTYPE=ANNR_STD&amp;SCFT=3&amp;window=popup_no_bar&amp;width=385&amp;height=120&amp;START_MAXIMIZED=FALSE&amp;creator=factset&amp;display_string=Audit"}</definedName>
    <definedName name="_3254__FDSAUDITLINK__" localSheetId="34">{"fdsup://Directions/FactSet Auditing Viewer?action=AUDIT_VALUE&amp;DB=129&amp;ID1=047715&amp;VALUEID=01151&amp;SDATE=2009&amp;PERIODTYPE=ANNR_STD&amp;SCFT=3&amp;window=popup_no_bar&amp;width=385&amp;height=120&amp;START_MAXIMIZED=FALSE&amp;creator=factset&amp;display_string=Audit"}</definedName>
    <definedName name="_3254__FDSAUDITLINK__" localSheetId="27">{"fdsup://Directions/FactSet Auditing Viewer?action=AUDIT_VALUE&amp;DB=129&amp;ID1=047715&amp;VALUEID=01151&amp;SDATE=2009&amp;PERIODTYPE=ANNR_STD&amp;SCFT=3&amp;window=popup_no_bar&amp;width=385&amp;height=120&amp;START_MAXIMIZED=FALSE&amp;creator=factset&amp;display_string=Audit"}</definedName>
    <definedName name="_3255__FDSAUDITLINK__" localSheetId="34">{"fdsup://Directions/FactSet Auditing Viewer?action=AUDIT_VALUE&amp;DB=129&amp;ID1=047715&amp;VALUEID=04049&amp;SDATE=2009&amp;PERIODTYPE=ANNR_STD&amp;SCFT=3&amp;window=popup_no_bar&amp;width=385&amp;height=120&amp;START_MAXIMIZED=FALSE&amp;creator=factset&amp;display_string=Audit"}</definedName>
    <definedName name="_3255__FDSAUDITLINK__" localSheetId="27">{"fdsup://Directions/FactSet Auditing Viewer?action=AUDIT_VALUE&amp;DB=129&amp;ID1=047715&amp;VALUEID=04049&amp;SDATE=2009&amp;PERIODTYPE=ANNR_STD&amp;SCFT=3&amp;window=popup_no_bar&amp;width=385&amp;height=120&amp;START_MAXIMIZED=FALSE&amp;creator=factset&amp;display_string=Audit"}</definedName>
    <definedName name="_3256__FDSAUDITLINK__" localSheetId="34">{"fdsup://Directions/FactSet Auditing Viewer?action=AUDIT_VALUE&amp;DB=129&amp;ID1=047715&amp;VALUEID=01151&amp;SDATE=2007&amp;PERIODTYPE=ANNR_STD&amp;SCFT=3&amp;window=popup_no_bar&amp;width=385&amp;height=120&amp;START_MAXIMIZED=FALSE&amp;creator=factset&amp;display_string=Audit"}</definedName>
    <definedName name="_3256__FDSAUDITLINK__" localSheetId="27">{"fdsup://Directions/FactSet Auditing Viewer?action=AUDIT_VALUE&amp;DB=129&amp;ID1=047715&amp;VALUEID=01151&amp;SDATE=2007&amp;PERIODTYPE=ANNR_STD&amp;SCFT=3&amp;window=popup_no_bar&amp;width=385&amp;height=120&amp;START_MAXIMIZED=FALSE&amp;creator=factset&amp;display_string=Audit"}</definedName>
    <definedName name="_3257__FDSAUDITLINK__" localSheetId="34">{"fdsup://Directions/FactSet Auditing Viewer?action=AUDIT_VALUE&amp;DB=129&amp;ID1=047715&amp;VALUEID=04049&amp;SDATE=2007&amp;PERIODTYPE=ANNR_STD&amp;SCFT=3&amp;window=popup_no_bar&amp;width=385&amp;height=120&amp;START_MAXIMIZED=FALSE&amp;creator=factset&amp;display_string=Audit"}</definedName>
    <definedName name="_3257__FDSAUDITLINK__" localSheetId="27">{"fdsup://Directions/FactSet Auditing Viewer?action=AUDIT_VALUE&amp;DB=129&amp;ID1=047715&amp;VALUEID=04049&amp;SDATE=2007&amp;PERIODTYPE=ANNR_STD&amp;SCFT=3&amp;window=popup_no_bar&amp;width=385&amp;height=120&amp;START_MAXIMIZED=FALSE&amp;creator=factset&amp;display_string=Audit"}</definedName>
    <definedName name="_3258__FDSAUDITLINK__" localSheetId="34">{"fdsup://Directions/FactSet Auditing Viewer?action=AUDIT_VALUE&amp;DB=129&amp;ID1=047715&amp;VALUEID=04050&amp;SDATE=2009&amp;PERIODTYPE=ANNR_STD&amp;SCFT=3&amp;window=popup_no_bar&amp;width=385&amp;height=120&amp;START_MAXIMIZED=FALSE&amp;creator=factset&amp;display_string=Audit"}</definedName>
    <definedName name="_3258__FDSAUDITLINK__" localSheetId="27">{"fdsup://Directions/FactSet Auditing Viewer?action=AUDIT_VALUE&amp;DB=129&amp;ID1=047715&amp;VALUEID=04050&amp;SDATE=2009&amp;PERIODTYPE=ANNR_STD&amp;SCFT=3&amp;window=popup_no_bar&amp;width=385&amp;height=120&amp;START_MAXIMIZED=FALSE&amp;creator=factset&amp;display_string=Audit"}</definedName>
    <definedName name="_3259__FDSAUDITLINK__" localSheetId="34">{"fdsup://Directions/FactSet Auditing Viewer?action=AUDIT_VALUE&amp;DB=129&amp;ID1=047715&amp;VALUEID=04050&amp;SDATE=2007&amp;PERIODTYPE=ANNR_STD&amp;SCFT=3&amp;window=popup_no_bar&amp;width=385&amp;height=120&amp;START_MAXIMIZED=FALSE&amp;creator=factset&amp;display_string=Audit"}</definedName>
    <definedName name="_3259__FDSAUDITLINK__" localSheetId="27">{"fdsup://Directions/FactSet Auditing Viewer?action=AUDIT_VALUE&amp;DB=129&amp;ID1=047715&amp;VALUEID=04050&amp;SDATE=2007&amp;PERIODTYPE=ANNR_STD&amp;SCFT=3&amp;window=popup_no_bar&amp;width=385&amp;height=120&amp;START_MAXIMIZED=FALSE&amp;creator=factset&amp;display_string=Audit"}</definedName>
    <definedName name="_3260__FDSAUDITLINK__" localSheetId="34">{"fdsup://directions/FAT Viewer?action=UPDATE&amp;creator=factset&amp;DYN_ARGS=TRUE&amp;DOC_NAME=FAT:FQL_AUDITING_CLIENT_TEMPLATE.FAT&amp;display_string=Audit&amp;VAR:KEY=EJYBMHQDEN&amp;VAR:QUERY=RkZfSU1QQUlSX1BQRShBTk5fUiw0MDY0MSwsLFJGLCk=&amp;WINDOW=FIRST_POPUP&amp;HEIGHT=450&amp;WIDTH=450&amp;","START_MAXIMIZED=FALSE&amp;VAR:CALENDAR=FIVEDAY&amp;VAR:SYMBOL=047715&amp;VAR:INDEX=0"}</definedName>
    <definedName name="_3260__FDSAUDITLINK__" localSheetId="27">{"fdsup://directions/FAT Viewer?action=UPDATE&amp;creator=factset&amp;DYN_ARGS=TRUE&amp;DOC_NAME=FAT:FQL_AUDITING_CLIENT_TEMPLATE.FAT&amp;display_string=Audit&amp;VAR:KEY=EJYBMHQDEN&amp;VAR:QUERY=RkZfSU1QQUlSX1BQRShBTk5fUiw0MDY0MSwsLFJGLCk=&amp;WINDOW=FIRST_POPUP&amp;HEIGHT=450&amp;WIDTH=450&amp;","START_MAXIMIZED=FALSE&amp;VAR:CALENDAR=FIVEDAY&amp;VAR:SYMBOL=047715&amp;VAR:INDEX=0"}</definedName>
    <definedName name="_3261__FDSAUDITLINK__" localSheetId="34">{"fdsup://directions/FAT Viewer?action=UPDATE&amp;creator=factset&amp;DYN_ARGS=TRUE&amp;DOC_NAME=FAT:FQL_AUDITING_CLIENT_TEMPLATE.FAT&amp;display_string=Audit&amp;VAR:KEY=EDUDSHKTKR&amp;VAR:QUERY=RkZfSU1QQUlSX1BQRShBTk5fUiw0MDY0MS0xWSwsLFJGLCk=&amp;WINDOW=FIRST_POPUP&amp;HEIGHT=450&amp;WIDTH=","450&amp;START_MAXIMIZED=FALSE&amp;VAR:CALENDAR=FIVEDAY&amp;VAR:SYMBOL=047715&amp;VAR:INDEX=0"}</definedName>
    <definedName name="_3261__FDSAUDITLINK__" localSheetId="27">{"fdsup://directions/FAT Viewer?action=UPDATE&amp;creator=factset&amp;DYN_ARGS=TRUE&amp;DOC_NAME=FAT:FQL_AUDITING_CLIENT_TEMPLATE.FAT&amp;display_string=Audit&amp;VAR:KEY=EDUDSHKTKR&amp;VAR:QUERY=RkZfSU1QQUlSX1BQRShBTk5fUiw0MDY0MS0xWSwsLFJGLCk=&amp;WINDOW=FIRST_POPUP&amp;HEIGHT=450&amp;WIDTH=","450&amp;START_MAXIMIZED=FALSE&amp;VAR:CALENDAR=FIVEDAY&amp;VAR:SYMBOL=047715&amp;VAR:INDEX=0"}</definedName>
    <definedName name="_3262__FDSAUDITLINK__" localSheetId="34">{"fdsup://directions/FAT Viewer?action=UPDATE&amp;creator=factset&amp;DYN_ARGS=TRUE&amp;DOC_NAME=FAT:FQL_AUDITING_CLIENT_TEMPLATE.FAT&amp;display_string=Audit&amp;VAR:KEY=IJADILGDSH&amp;VAR:QUERY=RkZfSU1QQUlSX1BQRShBTk5fUiw0MDY0MS0yWSwsLFJGLCk=&amp;WINDOW=FIRST_POPUP&amp;HEIGHT=450&amp;WIDTH=","450&amp;START_MAXIMIZED=FALSE&amp;VAR:CALENDAR=FIVEDAY&amp;VAR:SYMBOL=047715&amp;VAR:INDEX=0"}</definedName>
    <definedName name="_3262__FDSAUDITLINK__" localSheetId="27">{"fdsup://directions/FAT Viewer?action=UPDATE&amp;creator=factset&amp;DYN_ARGS=TRUE&amp;DOC_NAME=FAT:FQL_AUDITING_CLIENT_TEMPLATE.FAT&amp;display_string=Audit&amp;VAR:KEY=IJADILGDSH&amp;VAR:QUERY=RkZfSU1QQUlSX1BQRShBTk5fUiw0MDY0MS0yWSwsLFJGLCk=&amp;WINDOW=FIRST_POPUP&amp;HEIGHT=450&amp;WIDTH=","450&amp;START_MAXIMIZED=FALSE&amp;VAR:CALENDAR=FIVEDAY&amp;VAR:SYMBOL=047715&amp;VAR:INDEX=0"}</definedName>
    <definedName name="_3263__FDSAUDITLINK__" localSheetId="34">{"fdsup://directions/FAT Viewer?action=UPDATE&amp;creator=factset&amp;DYN_ARGS=TRUE&amp;DOC_NAME=FAT:FQL_AUDITING_CLIENT_TEMPLATE.FAT&amp;display_string=Audit&amp;VAR:KEY=CLMTKHCZUN&amp;VAR:QUERY=RkZfSU1QQUlSX1BQRShBTk5fUiw0MDY0MS0zWSwsLFJGLCk=&amp;WINDOW=FIRST_POPUP&amp;HEIGHT=450&amp;WIDTH=","450&amp;START_MAXIMIZED=FALSE&amp;VAR:CALENDAR=FIVEDAY&amp;VAR:SYMBOL=047715&amp;VAR:INDEX=0"}</definedName>
    <definedName name="_3263__FDSAUDITLINK__" localSheetId="27">{"fdsup://directions/FAT Viewer?action=UPDATE&amp;creator=factset&amp;DYN_ARGS=TRUE&amp;DOC_NAME=FAT:FQL_AUDITING_CLIENT_TEMPLATE.FAT&amp;display_string=Audit&amp;VAR:KEY=CLMTKHCZUN&amp;VAR:QUERY=RkZfSU1QQUlSX1BQRShBTk5fUiw0MDY0MS0zWSwsLFJGLCk=&amp;WINDOW=FIRST_POPUP&amp;HEIGHT=450&amp;WIDTH=","450&amp;START_MAXIMIZED=FALSE&amp;VAR:CALENDAR=FIVEDAY&amp;VAR:SYMBOL=047715&amp;VAR:INDEX=0"}</definedName>
    <definedName name="_3264__FDSAUDITLINK__" localSheetId="34">{"fdsup://directions/FAT Viewer?action=UPDATE&amp;creator=factset&amp;DYN_ARGS=TRUE&amp;DOC_NAME=FAT:FQL_AUDITING_CLIENT_TEMPLATE.FAT&amp;display_string=Audit&amp;VAR:KEY=AFWHKVCNIL&amp;VAR:QUERY=RkZfSU1QQUlSX1BQRShBTk5fUiw0MDY0MS00WSwsLFJGLCk=&amp;WINDOW=FIRST_POPUP&amp;HEIGHT=450&amp;WIDTH=","450&amp;START_MAXIMIZED=FALSE&amp;VAR:CALENDAR=FIVEDAY&amp;VAR:SYMBOL=047715&amp;VAR:INDEX=0"}</definedName>
    <definedName name="_3264__FDSAUDITLINK__" localSheetId="27">{"fdsup://directions/FAT Viewer?action=UPDATE&amp;creator=factset&amp;DYN_ARGS=TRUE&amp;DOC_NAME=FAT:FQL_AUDITING_CLIENT_TEMPLATE.FAT&amp;display_string=Audit&amp;VAR:KEY=AFWHKVCNIL&amp;VAR:QUERY=RkZfSU1QQUlSX1BQRShBTk5fUiw0MDY0MS00WSwsLFJGLCk=&amp;WINDOW=FIRST_POPUP&amp;HEIGHT=450&amp;WIDTH=","450&amp;START_MAXIMIZED=FALSE&amp;VAR:CALENDAR=FIVEDAY&amp;VAR:SYMBOL=047715&amp;VAR:INDEX=0"}</definedName>
    <definedName name="_3265__FDSAUDITLINK__" localSheetId="34">{"fdsup://directions/FAT Viewer?action=UPDATE&amp;creator=factset&amp;DYN_ARGS=TRUE&amp;DOC_NAME=FAT:FQL_AUDITING_CLIENT_TEMPLATE.FAT&amp;display_string=Audit&amp;VAR:KEY=GPEZWFELIH&amp;VAR:QUERY=RkZfRklOX0FTU0VUU19JTVBBSVIoQU5OX1IsNDA2NDEsLCxSRiwp&amp;WINDOW=FIRST_POPUP&amp;HEIGHT=450&amp;WI","DTH=450&amp;START_MAXIMIZED=FALSE&amp;VAR:CALENDAR=FIVEDAY&amp;VAR:SYMBOL=047715&amp;VAR:INDEX=0"}</definedName>
    <definedName name="_3265__FDSAUDITLINK__" localSheetId="27">{"fdsup://directions/FAT Viewer?action=UPDATE&amp;creator=factset&amp;DYN_ARGS=TRUE&amp;DOC_NAME=FAT:FQL_AUDITING_CLIENT_TEMPLATE.FAT&amp;display_string=Audit&amp;VAR:KEY=GPEZWFELIH&amp;VAR:QUERY=RkZfRklOX0FTU0VUU19JTVBBSVIoQU5OX1IsNDA2NDEsLCxSRiwp&amp;WINDOW=FIRST_POPUP&amp;HEIGHT=450&amp;WI","DTH=450&amp;START_MAXIMIZED=FALSE&amp;VAR:CALENDAR=FIVEDAY&amp;VAR:SYMBOL=047715&amp;VAR:INDEX=0"}</definedName>
    <definedName name="_3266__FDSAUDITLINK__" localSheetId="34">{"fdsup://directions/FAT Viewer?action=UPDATE&amp;creator=factset&amp;DYN_ARGS=TRUE&amp;DOC_NAME=FAT:FQL_AUDITING_CLIENT_TEMPLATE.FAT&amp;display_string=Audit&amp;VAR:KEY=KJMFAHMNOX&amp;VAR:QUERY=RkZfRklOX0FTU0VUU19JTVBBSVIoQU5OX1IsNDA2NDEtMVksLCxSRiwp&amp;WINDOW=FIRST_POPUP&amp;HEIGHT=45","0&amp;WIDTH=450&amp;START_MAXIMIZED=FALSE&amp;VAR:CALENDAR=FIVEDAY&amp;VAR:SYMBOL=047715&amp;VAR:INDEX=0"}</definedName>
    <definedName name="_3266__FDSAUDITLINK__" localSheetId="27">{"fdsup://directions/FAT Viewer?action=UPDATE&amp;creator=factset&amp;DYN_ARGS=TRUE&amp;DOC_NAME=FAT:FQL_AUDITING_CLIENT_TEMPLATE.FAT&amp;display_string=Audit&amp;VAR:KEY=KJMFAHMNOX&amp;VAR:QUERY=RkZfRklOX0FTU0VUU19JTVBBSVIoQU5OX1IsNDA2NDEtMVksLCxSRiwp&amp;WINDOW=FIRST_POPUP&amp;HEIGHT=45","0&amp;WIDTH=450&amp;START_MAXIMIZED=FALSE&amp;VAR:CALENDAR=FIVEDAY&amp;VAR:SYMBOL=047715&amp;VAR:INDEX=0"}</definedName>
    <definedName name="_3267__FDSAUDITLINK__" localSheetId="34">{"fdsup://directions/FAT Viewer?action=UPDATE&amp;creator=factset&amp;DYN_ARGS=TRUE&amp;DOC_NAME=FAT:FQL_AUDITING_CLIENT_TEMPLATE.FAT&amp;display_string=Audit&amp;VAR:KEY=MLYHGPQPEJ&amp;VAR:QUERY=RkZfRklOX0FTU0VUU19JTVBBSVIoQU5OX1IsNDA2NDEtMlksLCxSRiwp&amp;WINDOW=FIRST_POPUP&amp;HEIGHT=45","0&amp;WIDTH=450&amp;START_MAXIMIZED=FALSE&amp;VAR:CALENDAR=FIVEDAY&amp;VAR:SYMBOL=047715&amp;VAR:INDEX=0"}</definedName>
    <definedName name="_3267__FDSAUDITLINK__" localSheetId="27">{"fdsup://directions/FAT Viewer?action=UPDATE&amp;creator=factset&amp;DYN_ARGS=TRUE&amp;DOC_NAME=FAT:FQL_AUDITING_CLIENT_TEMPLATE.FAT&amp;display_string=Audit&amp;VAR:KEY=MLYHGPQPEJ&amp;VAR:QUERY=RkZfRklOX0FTU0VUU19JTVBBSVIoQU5OX1IsNDA2NDEtMlksLCxSRiwp&amp;WINDOW=FIRST_POPUP&amp;HEIGHT=45","0&amp;WIDTH=450&amp;START_MAXIMIZED=FALSE&amp;VAR:CALENDAR=FIVEDAY&amp;VAR:SYMBOL=047715&amp;VAR:INDEX=0"}</definedName>
    <definedName name="_3268__FDSAUDITLINK__" localSheetId="34">{"fdsup://directions/FAT Viewer?action=UPDATE&amp;creator=factset&amp;DYN_ARGS=TRUE&amp;DOC_NAME=FAT:FQL_AUDITING_CLIENT_TEMPLATE.FAT&amp;display_string=Audit&amp;VAR:KEY=QVOJUDQHIN&amp;VAR:QUERY=RkZfRklOX0FTU0VUU19JTVBBSVIoQU5OX1IsNDA2NDEtM1ksLCxSRiwp&amp;WINDOW=FIRST_POPUP&amp;HEIGHT=45","0&amp;WIDTH=450&amp;START_MAXIMIZED=FALSE&amp;VAR:CALENDAR=FIVEDAY&amp;VAR:SYMBOL=047715&amp;VAR:INDEX=0"}</definedName>
    <definedName name="_3268__FDSAUDITLINK__" localSheetId="27">{"fdsup://directions/FAT Viewer?action=UPDATE&amp;creator=factset&amp;DYN_ARGS=TRUE&amp;DOC_NAME=FAT:FQL_AUDITING_CLIENT_TEMPLATE.FAT&amp;display_string=Audit&amp;VAR:KEY=QVOJUDQHIN&amp;VAR:QUERY=RkZfRklOX0FTU0VUU19JTVBBSVIoQU5OX1IsNDA2NDEtM1ksLCxSRiwp&amp;WINDOW=FIRST_POPUP&amp;HEIGHT=45","0&amp;WIDTH=450&amp;START_MAXIMIZED=FALSE&amp;VAR:CALENDAR=FIVEDAY&amp;VAR:SYMBOL=047715&amp;VAR:INDEX=0"}</definedName>
    <definedName name="_3269__FDSAUDITLINK__" localSheetId="34">{"fdsup://directions/FAT Viewer?action=UPDATE&amp;creator=factset&amp;DYN_ARGS=TRUE&amp;DOC_NAME=FAT:FQL_AUDITING_CLIENT_TEMPLATE.FAT&amp;display_string=Audit&amp;VAR:KEY=IDUDIRIXYN&amp;VAR:QUERY=RkZfRklOX0FTU0VUU19JTVBBSVIoQU5OX1IsNDA2NDEtNFksLCxSRiwp&amp;WINDOW=FIRST_POPUP&amp;HEIGHT=45","0&amp;WIDTH=450&amp;START_MAXIMIZED=FALSE&amp;VAR:CALENDAR=FIVEDAY&amp;VAR:SYMBOL=047715&amp;VAR:INDEX=0"}</definedName>
    <definedName name="_3269__FDSAUDITLINK__" localSheetId="27">{"fdsup://directions/FAT Viewer?action=UPDATE&amp;creator=factset&amp;DYN_ARGS=TRUE&amp;DOC_NAME=FAT:FQL_AUDITING_CLIENT_TEMPLATE.FAT&amp;display_string=Audit&amp;VAR:KEY=IDUDIRIXYN&amp;VAR:QUERY=RkZfRklOX0FTU0VUU19JTVBBSVIoQU5OX1IsNDA2NDEtNFksLCxSRiwp&amp;WINDOW=FIRST_POPUP&amp;HEIGHT=45","0&amp;WIDTH=450&amp;START_MAXIMIZED=FALSE&amp;VAR:CALENDAR=FIVEDAY&amp;VAR:SYMBOL=047715&amp;VAR:INDEX=0"}</definedName>
    <definedName name="_3270__FDSAUDITLINK__" localSheetId="34">{"fdsup://Directions/FactSet Auditing Viewer?action=AUDIT_VALUE&amp;DB=129&amp;ID1=047715&amp;VALUEID=18225&amp;SDATE=2009&amp;PERIODTYPE=ANNR_STD&amp;SCFT=3&amp;window=popup_no_bar&amp;width=385&amp;height=120&amp;START_MAXIMIZED=FALSE&amp;creator=factset&amp;display_string=Audit"}</definedName>
    <definedName name="_3270__FDSAUDITLINK__" localSheetId="27">{"fdsup://Directions/FactSet Auditing Viewer?action=AUDIT_VALUE&amp;DB=129&amp;ID1=047715&amp;VALUEID=18225&amp;SDATE=2009&amp;PERIODTYPE=ANNR_STD&amp;SCFT=3&amp;window=popup_no_bar&amp;width=385&amp;height=120&amp;START_MAXIMIZED=FALSE&amp;creator=factset&amp;display_string=Audit"}</definedName>
    <definedName name="_3271__FDSAUDITLINK__" localSheetId="34">{"fdsup://Directions/FactSet Auditing Viewer?action=AUDIT_VALUE&amp;DB=129&amp;ID1=047715&amp;VALUEID=04601&amp;SDATE=2010&amp;PERIODTYPE=ANNR_STD&amp;SCFT=3&amp;window=popup_no_bar&amp;width=385&amp;height=120&amp;START_MAXIMIZED=FALSE&amp;creator=factset&amp;display_string=Audit"}</definedName>
    <definedName name="_3271__FDSAUDITLINK__" localSheetId="27">{"fdsup://Directions/FactSet Auditing Viewer?action=AUDIT_VALUE&amp;DB=129&amp;ID1=047715&amp;VALUEID=04601&amp;SDATE=2010&amp;PERIODTYPE=ANNR_STD&amp;SCFT=3&amp;window=popup_no_bar&amp;width=385&amp;height=120&amp;START_MAXIMIZED=FALSE&amp;creator=factset&amp;display_string=Audit"}</definedName>
    <definedName name="_3272__FDSAUDITLINK__" localSheetId="34">{"fdsup://Directions/FactSet Auditing Viewer?action=AUDIT_VALUE&amp;DB=129&amp;ID1=047715&amp;VALUEID=04601&amp;SDATE=2009&amp;PERIODTYPE=ANNR_STD&amp;SCFT=3&amp;window=popup_no_bar&amp;width=385&amp;height=120&amp;START_MAXIMIZED=FALSE&amp;creator=factset&amp;display_string=Audit"}</definedName>
    <definedName name="_3272__FDSAUDITLINK__" localSheetId="27">{"fdsup://Directions/FactSet Auditing Viewer?action=AUDIT_VALUE&amp;DB=129&amp;ID1=047715&amp;VALUEID=04601&amp;SDATE=2009&amp;PERIODTYPE=ANNR_STD&amp;SCFT=3&amp;window=popup_no_bar&amp;width=385&amp;height=120&amp;START_MAXIMIZED=FALSE&amp;creator=factset&amp;display_string=Audit"}</definedName>
    <definedName name="_3273__FDSAUDITLINK__" localSheetId="34">{"fdsup://Directions/FactSet Auditing Viewer?action=AUDIT_VALUE&amp;DB=129&amp;ID1=047715&amp;VALUEID=04601&amp;SDATE=2007&amp;PERIODTYPE=ANNR_STD&amp;SCFT=3&amp;window=popup_no_bar&amp;width=385&amp;height=120&amp;START_MAXIMIZED=FALSE&amp;creator=factset&amp;display_string=Audit"}</definedName>
    <definedName name="_3273__FDSAUDITLINK__" localSheetId="27">{"fdsup://Directions/FactSet Auditing Viewer?action=AUDIT_VALUE&amp;DB=129&amp;ID1=047715&amp;VALUEID=04601&amp;SDATE=2007&amp;PERIODTYPE=ANNR_STD&amp;SCFT=3&amp;window=popup_no_bar&amp;width=385&amp;height=120&amp;START_MAXIMIZED=FALSE&amp;creator=factset&amp;display_string=Audit"}</definedName>
    <definedName name="_3274__FDSAUDITLINK__" localSheetId="34">{"fdsup://Directions/FactSet Auditing Viewer?action=AUDIT_VALUE&amp;DB=129&amp;ID1=047715&amp;VALUEID=02201&amp;SDATE=2010&amp;PERIODTYPE=ANNR_STD&amp;SCFT=3&amp;window=popup_no_bar&amp;width=385&amp;height=120&amp;START_MAXIMIZED=FALSE&amp;creator=factset&amp;display_string=Audit"}</definedName>
    <definedName name="_3274__FDSAUDITLINK__" localSheetId="27">{"fdsup://Directions/FactSet Auditing Viewer?action=AUDIT_VALUE&amp;DB=129&amp;ID1=047715&amp;VALUEID=02201&amp;SDATE=2010&amp;PERIODTYPE=ANNR_STD&amp;SCFT=3&amp;window=popup_no_bar&amp;width=385&amp;height=120&amp;START_MAXIMIZED=FALSE&amp;creator=factset&amp;display_string=Audit"}</definedName>
    <definedName name="_3275__FDSAUDITLINK__" localSheetId="34">{"fdsup://Directions/FactSet Auditing Viewer?action=AUDIT_VALUE&amp;DB=129&amp;ID1=047715&amp;VALUEID=02201&amp;SDATE=2009&amp;PERIODTYPE=ANNR_STD&amp;SCFT=3&amp;window=popup_no_bar&amp;width=385&amp;height=120&amp;START_MAXIMIZED=FALSE&amp;creator=factset&amp;display_string=Audit"}</definedName>
    <definedName name="_3275__FDSAUDITLINK__" localSheetId="27">{"fdsup://Directions/FactSet Auditing Viewer?action=AUDIT_VALUE&amp;DB=129&amp;ID1=047715&amp;VALUEID=02201&amp;SDATE=2009&amp;PERIODTYPE=ANNR_STD&amp;SCFT=3&amp;window=popup_no_bar&amp;width=385&amp;height=120&amp;START_MAXIMIZED=FALSE&amp;creator=factset&amp;display_string=Audit"}</definedName>
    <definedName name="_3276__FDSAUDITLINK__" localSheetId="34">{"fdsup://Directions/FactSet Auditing Viewer?action=AUDIT_VALUE&amp;DB=129&amp;ID1=047715&amp;VALUEID=02201&amp;SDATE=2007&amp;PERIODTYPE=ANNR_STD&amp;SCFT=3&amp;window=popup_no_bar&amp;width=385&amp;height=120&amp;START_MAXIMIZED=FALSE&amp;creator=factset&amp;display_string=Audit"}</definedName>
    <definedName name="_3276__FDSAUDITLINK__" localSheetId="27">{"fdsup://Directions/FactSet Auditing Viewer?action=AUDIT_VALUE&amp;DB=129&amp;ID1=047715&amp;VALUEID=02201&amp;SDATE=2007&amp;PERIODTYPE=ANNR_STD&amp;SCFT=3&amp;window=popup_no_bar&amp;width=385&amp;height=120&amp;START_MAXIMIZED=FALSE&amp;creator=factset&amp;display_string=Audit"}</definedName>
    <definedName name="_3277__FDSAUDITLINK__" localSheetId="34">{"fdsup://Directions/FactSet Auditing Viewer?action=AUDIT_VALUE&amp;DB=129&amp;ID1=047715&amp;VALUEID=02001&amp;SDATE=2010&amp;PERIODTYPE=ANNR_STD&amp;SCFT=3&amp;window=popup_no_bar&amp;width=385&amp;height=120&amp;START_MAXIMIZED=FALSE&amp;creator=factset&amp;display_string=Audit"}</definedName>
    <definedName name="_3277__FDSAUDITLINK__" localSheetId="27">{"fdsup://Directions/FactSet Auditing Viewer?action=AUDIT_VALUE&amp;DB=129&amp;ID1=047715&amp;VALUEID=02001&amp;SDATE=2010&amp;PERIODTYPE=ANNR_STD&amp;SCFT=3&amp;window=popup_no_bar&amp;width=385&amp;height=120&amp;START_MAXIMIZED=FALSE&amp;creator=factset&amp;display_string=Audit"}</definedName>
    <definedName name="_3278__FDSAUDITLINK__" localSheetId="34">{"fdsup://Directions/FactSet Auditing Viewer?action=AUDIT_VALUE&amp;DB=129&amp;ID1=047715&amp;VALUEID=02001&amp;SDATE=2009&amp;PERIODTYPE=ANNR_STD&amp;SCFT=3&amp;window=popup_no_bar&amp;width=385&amp;height=120&amp;START_MAXIMIZED=FALSE&amp;creator=factset&amp;display_string=Audit"}</definedName>
    <definedName name="_3278__FDSAUDITLINK__" localSheetId="27">{"fdsup://Directions/FactSet Auditing Viewer?action=AUDIT_VALUE&amp;DB=129&amp;ID1=047715&amp;VALUEID=02001&amp;SDATE=2009&amp;PERIODTYPE=ANNR_STD&amp;SCFT=3&amp;window=popup_no_bar&amp;width=385&amp;height=120&amp;START_MAXIMIZED=FALSE&amp;creator=factset&amp;display_string=Audit"}</definedName>
    <definedName name="_3279__FDSAUDITLINK__" localSheetId="34">{"fdsup://Directions/FactSet Auditing Viewer?action=AUDIT_VALUE&amp;DB=129&amp;ID1=047715&amp;VALUEID=02001&amp;SDATE=2007&amp;PERIODTYPE=ANNR_STD&amp;SCFT=3&amp;window=popup_no_bar&amp;width=385&amp;height=120&amp;START_MAXIMIZED=FALSE&amp;creator=factset&amp;display_string=Audit"}</definedName>
    <definedName name="_3279__FDSAUDITLINK__" localSheetId="27">{"fdsup://Directions/FactSet Auditing Viewer?action=AUDIT_VALUE&amp;DB=129&amp;ID1=047715&amp;VALUEID=02001&amp;SDATE=2007&amp;PERIODTYPE=ANNR_STD&amp;SCFT=3&amp;window=popup_no_bar&amp;width=385&amp;height=120&amp;START_MAXIMIZED=FALSE&amp;creator=factset&amp;display_string=Audit"}</definedName>
    <definedName name="_3280__FDSAUDITLINK__" localSheetId="34">{"fdsup://Directions/FactSet Auditing Viewer?action=AUDIT_VALUE&amp;DB=129&amp;ID1=047715&amp;VALUEID=03101&amp;SDATE=2010&amp;PERIODTYPE=ANNR_STD&amp;SCFT=3&amp;window=popup_no_bar&amp;width=385&amp;height=120&amp;START_MAXIMIZED=FALSE&amp;creator=factset&amp;display_string=Audit"}</definedName>
    <definedName name="_3280__FDSAUDITLINK__" localSheetId="27">{"fdsup://Directions/FactSet Auditing Viewer?action=AUDIT_VALUE&amp;DB=129&amp;ID1=047715&amp;VALUEID=03101&amp;SDATE=2010&amp;PERIODTYPE=ANNR_STD&amp;SCFT=3&amp;window=popup_no_bar&amp;width=385&amp;height=120&amp;START_MAXIMIZED=FALSE&amp;creator=factset&amp;display_string=Audit"}</definedName>
    <definedName name="_3281__FDSAUDITLINK__" localSheetId="34">{"fdsup://Directions/FactSet Auditing Viewer?action=AUDIT_VALUE&amp;DB=129&amp;ID1=047715&amp;VALUEID=03101&amp;SDATE=2009&amp;PERIODTYPE=ANNR_STD&amp;SCFT=3&amp;window=popup_no_bar&amp;width=385&amp;height=120&amp;START_MAXIMIZED=FALSE&amp;creator=factset&amp;display_string=Audit"}</definedName>
    <definedName name="_3281__FDSAUDITLINK__" localSheetId="27">{"fdsup://Directions/FactSet Auditing Viewer?action=AUDIT_VALUE&amp;DB=129&amp;ID1=047715&amp;VALUEID=03101&amp;SDATE=2009&amp;PERIODTYPE=ANNR_STD&amp;SCFT=3&amp;window=popup_no_bar&amp;width=385&amp;height=120&amp;START_MAXIMIZED=FALSE&amp;creator=factset&amp;display_string=Audit"}</definedName>
    <definedName name="_3282__FDSAUDITLINK__" localSheetId="34">{"fdsup://Directions/FactSet Auditing Viewer?action=AUDIT_VALUE&amp;DB=129&amp;ID1=047715&amp;VALUEID=03101&amp;SDATE=2007&amp;PERIODTYPE=ANNR_STD&amp;SCFT=3&amp;window=popup_no_bar&amp;width=385&amp;height=120&amp;START_MAXIMIZED=FALSE&amp;creator=factset&amp;display_string=Audit"}</definedName>
    <definedName name="_3282__FDSAUDITLINK__" localSheetId="27">{"fdsup://Directions/FactSet Auditing Viewer?action=AUDIT_VALUE&amp;DB=129&amp;ID1=047715&amp;VALUEID=03101&amp;SDATE=2007&amp;PERIODTYPE=ANNR_STD&amp;SCFT=3&amp;window=popup_no_bar&amp;width=385&amp;height=120&amp;START_MAXIMIZED=FALSE&amp;creator=factset&amp;display_string=Audit"}</definedName>
    <definedName name="_3283__FDSAUDITLINK__" localSheetId="34">{"fdsup://Directions/FactSet Auditing Viewer?action=AUDIT_VALUE&amp;DB=129&amp;ID1=047715&amp;VALUEID=03051&amp;SDATE=2010&amp;PERIODTYPE=ANNR_STD&amp;SCFT=3&amp;window=popup_no_bar&amp;width=385&amp;height=120&amp;START_MAXIMIZED=FALSE&amp;creator=factset&amp;display_string=Audit"}</definedName>
    <definedName name="_3283__FDSAUDITLINK__" localSheetId="27">{"fdsup://Directions/FactSet Auditing Viewer?action=AUDIT_VALUE&amp;DB=129&amp;ID1=047715&amp;VALUEID=03051&amp;SDATE=2010&amp;PERIODTYPE=ANNR_STD&amp;SCFT=3&amp;window=popup_no_bar&amp;width=385&amp;height=120&amp;START_MAXIMIZED=FALSE&amp;creator=factset&amp;display_string=Audit"}</definedName>
    <definedName name="_3284__FDSAUDITLINK__" localSheetId="34">{"fdsup://Directions/FactSet Auditing Viewer?action=AUDIT_VALUE&amp;DB=129&amp;ID1=047715&amp;VALUEID=03051&amp;SDATE=2009&amp;PERIODTYPE=ANNR_STD&amp;SCFT=3&amp;window=popup_no_bar&amp;width=385&amp;height=120&amp;START_MAXIMIZED=FALSE&amp;creator=factset&amp;display_string=Audit"}</definedName>
    <definedName name="_3284__FDSAUDITLINK__" localSheetId="27">{"fdsup://Directions/FactSet Auditing Viewer?action=AUDIT_VALUE&amp;DB=129&amp;ID1=047715&amp;VALUEID=03051&amp;SDATE=2009&amp;PERIODTYPE=ANNR_STD&amp;SCFT=3&amp;window=popup_no_bar&amp;width=385&amp;height=120&amp;START_MAXIMIZED=FALSE&amp;creator=factset&amp;display_string=Audit"}</definedName>
    <definedName name="_3285__FDSAUDITLINK__" localSheetId="34">{"fdsup://Directions/FactSet Auditing Viewer?action=AUDIT_VALUE&amp;DB=129&amp;ID1=047715&amp;VALUEID=03051&amp;SDATE=2007&amp;PERIODTYPE=ANNR_STD&amp;SCFT=3&amp;window=popup_no_bar&amp;width=385&amp;height=120&amp;START_MAXIMIZED=FALSE&amp;creator=factset&amp;display_string=Audit"}</definedName>
    <definedName name="_3285__FDSAUDITLINK__" localSheetId="27">{"fdsup://Directions/FactSet Auditing Viewer?action=AUDIT_VALUE&amp;DB=129&amp;ID1=047715&amp;VALUEID=03051&amp;SDATE=2007&amp;PERIODTYPE=ANNR_STD&amp;SCFT=3&amp;window=popup_no_bar&amp;width=385&amp;height=120&amp;START_MAXIMIZED=FALSE&amp;creator=factset&amp;display_string=Audit"}</definedName>
    <definedName name="_3286__FDSAUDITLINK__" localSheetId="34">{"fdsup://Directions/FactSet Auditing Viewer?action=AUDIT_VALUE&amp;DB=129&amp;ID1=047715&amp;VALUEID=18184&amp;SDATE=2010&amp;PERIODTYPE=ANNR_STD&amp;SCFT=3&amp;window=popup_no_bar&amp;width=385&amp;height=120&amp;START_MAXIMIZED=FALSE&amp;creator=factset&amp;display_string=Audit"}</definedName>
    <definedName name="_3286__FDSAUDITLINK__" localSheetId="27">{"fdsup://Directions/FactSet Auditing Viewer?action=AUDIT_VALUE&amp;DB=129&amp;ID1=047715&amp;VALUEID=18184&amp;SDATE=2010&amp;PERIODTYPE=ANNR_STD&amp;SCFT=3&amp;window=popup_no_bar&amp;width=385&amp;height=120&amp;START_MAXIMIZED=FALSE&amp;creator=factset&amp;display_string=Audit"}</definedName>
    <definedName name="_3287__FDSAUDITLINK__" localSheetId="34">{"fdsup://Directions/FactSet Auditing Viewer?action=AUDIT_VALUE&amp;DB=129&amp;ID1=047715&amp;VALUEID=18184&amp;SDATE=2009&amp;PERIODTYPE=ANNR_STD&amp;SCFT=3&amp;window=popup_no_bar&amp;width=385&amp;height=120&amp;START_MAXIMIZED=FALSE&amp;creator=factset&amp;display_string=Audit"}</definedName>
    <definedName name="_3287__FDSAUDITLINK__" localSheetId="27">{"fdsup://Directions/FactSet Auditing Viewer?action=AUDIT_VALUE&amp;DB=129&amp;ID1=047715&amp;VALUEID=18184&amp;SDATE=2009&amp;PERIODTYPE=ANNR_STD&amp;SCFT=3&amp;window=popup_no_bar&amp;width=385&amp;height=120&amp;START_MAXIMIZED=FALSE&amp;creator=factset&amp;display_string=Audit"}</definedName>
    <definedName name="_3288__FDSAUDITLINK__" localSheetId="34">{"fdsup://Directions/FactSet Auditing Viewer?action=AUDIT_VALUE&amp;DB=129&amp;ID1=047715&amp;VALUEID=18184&amp;SDATE=2007&amp;PERIODTYPE=ANNR_STD&amp;SCFT=3&amp;window=popup_no_bar&amp;width=385&amp;height=120&amp;START_MAXIMIZED=FALSE&amp;creator=factset&amp;display_string=Audit"}</definedName>
    <definedName name="_3288__FDSAUDITLINK__" localSheetId="27">{"fdsup://Directions/FactSet Auditing Viewer?action=AUDIT_VALUE&amp;DB=129&amp;ID1=047715&amp;VALUEID=18184&amp;SDATE=2007&amp;PERIODTYPE=ANNR_STD&amp;SCFT=3&amp;window=popup_no_bar&amp;width=385&amp;height=120&amp;START_MAXIMIZED=FALSE&amp;creator=factset&amp;display_string=Audit"}</definedName>
    <definedName name="_3289__FDSAUDITLINK__" localSheetId="34">{"fdsup://directions/FAT Viewer?action=UPDATE&amp;creator=factset&amp;DYN_ARGS=TRUE&amp;DOC_NAME=FAT:FQL_AUDITING_CLIENT_TEMPLATE.FAT&amp;display_string=Audit&amp;VAR:KEY=YNUZEDQZCJ&amp;VAR:QUERY=RkZfU0hMRFJTX0VRKEFOTl9SLDQwNjQxLCwsUkYsKQ==&amp;WINDOW=FIRST_POPUP&amp;HEIGHT=450&amp;WIDTH=450&amp;","START_MAXIMIZED=FALSE&amp;VAR:CALENDAR=FIVEDAY&amp;VAR:SYMBOL=047715&amp;VAR:INDEX=0"}</definedName>
    <definedName name="_3289__FDSAUDITLINK__" localSheetId="27">{"fdsup://directions/FAT Viewer?action=UPDATE&amp;creator=factset&amp;DYN_ARGS=TRUE&amp;DOC_NAME=FAT:FQL_AUDITING_CLIENT_TEMPLATE.FAT&amp;display_string=Audit&amp;VAR:KEY=YNUZEDQZCJ&amp;VAR:QUERY=RkZfU0hMRFJTX0VRKEFOTl9SLDQwNjQxLCwsUkYsKQ==&amp;WINDOW=FIRST_POPUP&amp;HEIGHT=450&amp;WIDTH=450&amp;","START_MAXIMIZED=FALSE&amp;VAR:CALENDAR=FIVEDAY&amp;VAR:SYMBOL=047715&amp;VAR:INDEX=0"}</definedName>
    <definedName name="_3290__FDSAUDITLINK__" localSheetId="34">{"fdsup://directions/FAT Viewer?action=UPDATE&amp;creator=factset&amp;DYN_ARGS=TRUE&amp;DOC_NAME=FAT:FQL_AUDITING_CLIENT_TEMPLATE.FAT&amp;display_string=Audit&amp;VAR:KEY=MZOTGTYZGN&amp;VAR:QUERY=RkZfU0hMRFJTX0VRKEFOTl9SLDQwNjQxLTFZLCwsUkYsKQ==&amp;WINDOW=FIRST_POPUP&amp;HEIGHT=450&amp;WIDTH=","450&amp;START_MAXIMIZED=FALSE&amp;VAR:CALENDAR=FIVEDAY&amp;VAR:SYMBOL=047715&amp;VAR:INDEX=0"}</definedName>
    <definedName name="_3290__FDSAUDITLINK__" localSheetId="27">{"fdsup://directions/FAT Viewer?action=UPDATE&amp;creator=factset&amp;DYN_ARGS=TRUE&amp;DOC_NAME=FAT:FQL_AUDITING_CLIENT_TEMPLATE.FAT&amp;display_string=Audit&amp;VAR:KEY=MZOTGTYZGN&amp;VAR:QUERY=RkZfU0hMRFJTX0VRKEFOTl9SLDQwNjQxLTFZLCwsUkYsKQ==&amp;WINDOW=FIRST_POPUP&amp;HEIGHT=450&amp;WIDTH=","450&amp;START_MAXIMIZED=FALSE&amp;VAR:CALENDAR=FIVEDAY&amp;VAR:SYMBOL=047715&amp;VAR:INDEX=0"}</definedName>
    <definedName name="_3291__FDSAUDITLINK__" localSheetId="34">{"fdsup://directions/FAT Viewer?action=UPDATE&amp;creator=factset&amp;DYN_ARGS=TRUE&amp;DOC_NAME=FAT:FQL_AUDITING_CLIENT_TEMPLATE.FAT&amp;display_string=Audit&amp;VAR:KEY=WRMXYTMZWR&amp;VAR:QUERY=RkZfU0hMRFJTX0VRKEFOTl9SLDQwNjQxLTJZLCwsUkYsKQ==&amp;WINDOW=FIRST_POPUP&amp;HEIGHT=450&amp;WIDTH=","450&amp;START_MAXIMIZED=FALSE&amp;VAR:CALENDAR=FIVEDAY&amp;VAR:SYMBOL=047715&amp;VAR:INDEX=0"}</definedName>
    <definedName name="_3291__FDSAUDITLINK__" localSheetId="27">{"fdsup://directions/FAT Viewer?action=UPDATE&amp;creator=factset&amp;DYN_ARGS=TRUE&amp;DOC_NAME=FAT:FQL_AUDITING_CLIENT_TEMPLATE.FAT&amp;display_string=Audit&amp;VAR:KEY=WRMXYTMZWR&amp;VAR:QUERY=RkZfU0hMRFJTX0VRKEFOTl9SLDQwNjQxLTJZLCwsUkYsKQ==&amp;WINDOW=FIRST_POPUP&amp;HEIGHT=450&amp;WIDTH=","450&amp;START_MAXIMIZED=FALSE&amp;VAR:CALENDAR=FIVEDAY&amp;VAR:SYMBOL=047715&amp;VAR:INDEX=0"}</definedName>
    <definedName name="_3292__FDSAUDITLINK__" localSheetId="34">{"fdsup://directions/FAT Viewer?action=UPDATE&amp;creator=factset&amp;DYN_ARGS=TRUE&amp;DOC_NAME=FAT:FQL_AUDITING_CLIENT_TEMPLATE.FAT&amp;display_string=Audit&amp;VAR:KEY=URUREBMHUZ&amp;VAR:QUERY=RkZfU0hMRFJTX0VRKEFOTl9SLDQwNjQxLTNZLCwsUkYsKQ==&amp;WINDOW=FIRST_POPUP&amp;HEIGHT=450&amp;WIDTH=","450&amp;START_MAXIMIZED=FALSE&amp;VAR:CALENDAR=FIVEDAY&amp;VAR:SYMBOL=047715&amp;VAR:INDEX=0"}</definedName>
    <definedName name="_3292__FDSAUDITLINK__" localSheetId="27">{"fdsup://directions/FAT Viewer?action=UPDATE&amp;creator=factset&amp;DYN_ARGS=TRUE&amp;DOC_NAME=FAT:FQL_AUDITING_CLIENT_TEMPLATE.FAT&amp;display_string=Audit&amp;VAR:KEY=URUREBMHUZ&amp;VAR:QUERY=RkZfU0hMRFJTX0VRKEFOTl9SLDQwNjQxLTNZLCwsUkYsKQ==&amp;WINDOW=FIRST_POPUP&amp;HEIGHT=450&amp;WIDTH=","450&amp;START_MAXIMIZED=FALSE&amp;VAR:CALENDAR=FIVEDAY&amp;VAR:SYMBOL=047715&amp;VAR:INDEX=0"}</definedName>
    <definedName name="_3293__FDSAUDITLINK__" localSheetId="34">{"fdsup://directions/FAT Viewer?action=UPDATE&amp;creator=factset&amp;DYN_ARGS=TRUE&amp;DOC_NAME=FAT:FQL_AUDITING_CLIENT_TEMPLATE.FAT&amp;display_string=Audit&amp;VAR:KEY=GBSJEXADSF&amp;VAR:QUERY=RkZfU0hMRFJTX0VRKEFOTl9SLDQwNjQxLTRZLCwsUkYsKQ==&amp;WINDOW=FIRST_POPUP&amp;HEIGHT=450&amp;WIDTH=","450&amp;START_MAXIMIZED=FALSE&amp;VAR:CALENDAR=FIVEDAY&amp;VAR:SYMBOL=047715&amp;VAR:INDEX=0"}</definedName>
    <definedName name="_3293__FDSAUDITLINK__" localSheetId="27">{"fdsup://directions/FAT Viewer?action=UPDATE&amp;creator=factset&amp;DYN_ARGS=TRUE&amp;DOC_NAME=FAT:FQL_AUDITING_CLIENT_TEMPLATE.FAT&amp;display_string=Audit&amp;VAR:KEY=GBSJEXADSF&amp;VAR:QUERY=RkZfU0hMRFJTX0VRKEFOTl9SLDQwNjQxLTRZLCwsUkYsKQ==&amp;WINDOW=FIRST_POPUP&amp;HEIGHT=450&amp;WIDTH=","450&amp;START_MAXIMIZED=FALSE&amp;VAR:CALENDAR=FIVEDAY&amp;VAR:SYMBOL=047715&amp;VAR:INDEX=0"}</definedName>
    <definedName name="_3294__FDSAUDITLINK__" localSheetId="34">{"fdsup://Directions/FactSet Auditing Viewer?action=AUDIT_VALUE&amp;DB=129&amp;ID1=047715&amp;VALUEID=03426&amp;SDATE=2010&amp;PERIODTYPE=ANNR_STD&amp;SCFT=3&amp;window=popup_no_bar&amp;width=385&amp;height=120&amp;START_MAXIMIZED=FALSE&amp;creator=factset&amp;display_string=Audit"}</definedName>
    <definedName name="_3294__FDSAUDITLINK__" localSheetId="27">{"fdsup://Directions/FactSet Auditing Viewer?action=AUDIT_VALUE&amp;DB=129&amp;ID1=047715&amp;VALUEID=03426&amp;SDATE=2010&amp;PERIODTYPE=ANNR_STD&amp;SCFT=3&amp;window=popup_no_bar&amp;width=385&amp;height=120&amp;START_MAXIMIZED=FALSE&amp;creator=factset&amp;display_string=Audit"}</definedName>
    <definedName name="_3295__FDSAUDITLINK__" localSheetId="34">{"fdsup://Directions/FactSet Auditing Viewer?action=AUDIT_VALUE&amp;DB=129&amp;ID1=047715&amp;VALUEID=03426&amp;SDATE=2009&amp;PERIODTYPE=ANNR_STD&amp;SCFT=3&amp;window=popup_no_bar&amp;width=385&amp;height=120&amp;START_MAXIMIZED=FALSE&amp;creator=factset&amp;display_string=Audit"}</definedName>
    <definedName name="_3295__FDSAUDITLINK__" localSheetId="27">{"fdsup://Directions/FactSet Auditing Viewer?action=AUDIT_VALUE&amp;DB=129&amp;ID1=047715&amp;VALUEID=03426&amp;SDATE=2009&amp;PERIODTYPE=ANNR_STD&amp;SCFT=3&amp;window=popup_no_bar&amp;width=385&amp;height=120&amp;START_MAXIMIZED=FALSE&amp;creator=factset&amp;display_string=Audit"}</definedName>
    <definedName name="_3296__FDSAUDITLINK__" localSheetId="34">{"fdsup://Directions/FactSet Auditing Viewer?action=AUDIT_VALUE&amp;DB=129&amp;ID1=047715&amp;VALUEID=03426&amp;SDATE=2007&amp;PERIODTYPE=ANNR_STD&amp;SCFT=3&amp;window=popup_no_bar&amp;width=385&amp;height=120&amp;START_MAXIMIZED=FALSE&amp;creator=factset&amp;display_string=Audit"}</definedName>
    <definedName name="_3296__FDSAUDITLINK__" localSheetId="27">{"fdsup://Directions/FactSet Auditing Viewer?action=AUDIT_VALUE&amp;DB=129&amp;ID1=047715&amp;VALUEID=03426&amp;SDATE=2007&amp;PERIODTYPE=ANNR_STD&amp;SCFT=3&amp;window=popup_no_bar&amp;width=385&amp;height=120&amp;START_MAXIMIZED=FALSE&amp;creator=factset&amp;display_string=Audit"}</definedName>
    <definedName name="_3297__FDSAUDITLINK__" localSheetId="34">{"fdsup://Directions/FactSet Auditing Viewer?action=AUDIT_VALUE&amp;DB=129&amp;ID1=047715&amp;VALUEID=03426&amp;SDATE=201002&amp;PERIODTYPE=SEMI_STD&amp;SCFT=3&amp;window=popup_no_bar&amp;width=385&amp;height=120&amp;START_MAXIMIZED=FALSE&amp;creator=factset&amp;display_string=Audit"}</definedName>
    <definedName name="_3297__FDSAUDITLINK__" localSheetId="27">{"fdsup://Directions/FactSet Auditing Viewer?action=AUDIT_VALUE&amp;DB=129&amp;ID1=047715&amp;VALUEID=03426&amp;SDATE=201002&amp;PERIODTYPE=SEMI_STD&amp;SCFT=3&amp;window=popup_no_bar&amp;width=385&amp;height=120&amp;START_MAXIMIZED=FALSE&amp;creator=factset&amp;display_string=Audit"}</definedName>
    <definedName name="_3298__FDSAUDITLINK__" localSheetId="34">{"fdsup://directions/FAT Viewer?action=UPDATE&amp;creator=factset&amp;DYN_ARGS=TRUE&amp;DOC_NAME=FAT:FQL_AUDITING_CLIENT_TEMPLATE.FAT&amp;display_string=Audit&amp;VAR:KEY=YPGNCHQLGX&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047715&amp;VAR:INDEX=0"}</definedName>
    <definedName name="_3298__FDSAUDITLINK__" localSheetId="27">{"fdsup://directions/FAT Viewer?action=UPDATE&amp;creator=factset&amp;DYN_ARGS=TRUE&amp;DOC_NAME=FAT:FQL_AUDITING_CLIENT_TEMPLATE.FAT&amp;display_string=Audit&amp;VAR:KEY=YPGNCHQLGX&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047715&amp;VAR:INDEX=0"}</definedName>
    <definedName name="_3299__FDSAUDITLINK__" localSheetId="34">{"fdsup://Directions/FactSet Auditing Viewer?action=AUDIT_VALUE&amp;DB=129&amp;ID1=047715&amp;VALUEID=02001&amp;SDATE=201002&amp;PERIODTYPE=SEMI_STD&amp;SCFT=3&amp;window=popup_no_bar&amp;width=385&amp;height=120&amp;START_MAXIMIZED=FALSE&amp;creator=factset&amp;display_string=Audit"}</definedName>
    <definedName name="_3299__FDSAUDITLINK__" localSheetId="27">{"fdsup://Directions/FactSet Auditing Viewer?action=AUDIT_VALUE&amp;DB=129&amp;ID1=047715&amp;VALUEID=02001&amp;SDATE=201002&amp;PERIODTYPE=SEMI_STD&amp;SCFT=3&amp;window=popup_no_bar&amp;width=385&amp;height=120&amp;START_MAXIMIZED=FALSE&amp;creator=factset&amp;display_string=Audit"}</definedName>
    <definedName name="_3300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00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01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01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02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02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03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03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04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04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05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05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06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06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07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07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08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08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09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09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10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10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11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11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12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12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13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13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14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14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15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15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16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16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17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17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18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18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19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19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21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21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22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22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23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23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24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24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25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25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26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26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27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27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28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28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29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29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30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30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31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31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32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32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33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33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34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34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35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35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36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36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37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37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38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38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39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39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40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40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41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41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42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42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43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43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44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44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45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45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46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46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47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47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48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48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49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49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50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50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51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51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52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52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53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53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54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54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55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55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56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56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57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57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58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58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59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59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60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60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61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61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62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62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63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363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3364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64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65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65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66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66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67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67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68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68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69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69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70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70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71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71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72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72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73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73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74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74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75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75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76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76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77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77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78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78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79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79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380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80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381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81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382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82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383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83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384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84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385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85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386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86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387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87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388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88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389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89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390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90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391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91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392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92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393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93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394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94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395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95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396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96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397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97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398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98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399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399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400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00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01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01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02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02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03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03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04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04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05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05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06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06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07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407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408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408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409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409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410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410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411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411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412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412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413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413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414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414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415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415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416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416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417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417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418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418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419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419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420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420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421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21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22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22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23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23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24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24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25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25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26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26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27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27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28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428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429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429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430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430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431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431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432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432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433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433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434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434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435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435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436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436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437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437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438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438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439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439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440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440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441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441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442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42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443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43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444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44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445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45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446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46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447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47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448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48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449__FDSAUDITLINK__" localSheetId="34">{"fdsup://Directions/FactSet Auditing Viewer?action=AUDIT_VALUE&amp;DB=129&amp;ID1=B126KH&amp;VALUEID=01001&amp;SDATE=2009&amp;PERIODTYPE=ANNR_STD&amp;SCFT=3&amp;window=popup_no_bar&amp;width=385&amp;height=120&amp;START_MAXIMIZED=FALSE&amp;creator=factset&amp;display_string=Audit"}</definedName>
    <definedName name="_3449__FDSAUDITLINK__" localSheetId="27">{"fdsup://Directions/FactSet Auditing Viewer?action=AUDIT_VALUE&amp;DB=129&amp;ID1=B126KH&amp;VALUEID=01001&amp;SDATE=2009&amp;PERIODTYPE=ANNR_STD&amp;SCFT=3&amp;window=popup_no_bar&amp;width=385&amp;height=120&amp;START_MAXIMIZED=FALSE&amp;creator=factset&amp;display_string=Audit"}</definedName>
    <definedName name="_3450__FDSAUDITLINK__" localSheetId="34">{"fdsup://Directions/FactSet Auditing Viewer?action=AUDIT_VALUE&amp;DB=129&amp;ID1=B126KH&amp;VALUEID=01250&amp;SDATE=2010&amp;PERIODTYPE=ANNR_STD&amp;SCFT=3&amp;window=popup_no_bar&amp;width=385&amp;height=120&amp;START_MAXIMIZED=FALSE&amp;creator=factset&amp;display_string=Audit"}</definedName>
    <definedName name="_3450__FDSAUDITLINK__" localSheetId="27">{"fdsup://Directions/FactSet Auditing Viewer?action=AUDIT_VALUE&amp;DB=129&amp;ID1=B126KH&amp;VALUEID=01250&amp;SDATE=2010&amp;PERIODTYPE=ANNR_STD&amp;SCFT=3&amp;window=popup_no_bar&amp;width=385&amp;height=120&amp;START_MAXIMIZED=FALSE&amp;creator=factset&amp;display_string=Audit"}</definedName>
    <definedName name="_3451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451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452__FDSAUDITLINK__" localSheetId="34">{"fdsup://directions/FAT Viewer?action=UPDATE&amp;creator=factset&amp;DYN_ARGS=TRUE&amp;DOC_NAME=FAT:FQL_AUDITING_CLIENT_TEMPLATE.FAT&amp;display_string=Audit&amp;VAR:KEY=ROPWZIJYBS&amp;VAR:QUERY=RkZfRUJJVERBX09QRVIoQU5OX1IsNDA2NDEsLCwsKQ==&amp;WINDOW=FIRST_POPUP&amp;HEIGHT=450&amp;WIDTH=450&amp;","START_MAXIMIZED=FALSE&amp;VAR:CALENDAR=FIVEDAY&amp;VAR:SYMBOL=B126KH&amp;VAR:INDEX=0"}</definedName>
    <definedName name="_3452__FDSAUDITLINK__" localSheetId="27">{"fdsup://directions/FAT Viewer?action=UPDATE&amp;creator=factset&amp;DYN_ARGS=TRUE&amp;DOC_NAME=FAT:FQL_AUDITING_CLIENT_TEMPLATE.FAT&amp;display_string=Audit&amp;VAR:KEY=ROPWZIJYBS&amp;VAR:QUERY=RkZfRUJJVERBX09QRVIoQU5OX1IsNDA2NDEsLCwsKQ==&amp;WINDOW=FIRST_POPUP&amp;HEIGHT=450&amp;WIDTH=450&amp;","START_MAXIMIZED=FALSE&amp;VAR:CALENDAR=FIVEDAY&amp;VAR:SYMBOL=B126KH&amp;VAR:INDEX=0"}</definedName>
    <definedName name="_3453__FDSAUDITLINK__" localSheetId="34">{"fdsup://directions/FAT Viewer?action=UPDATE&amp;creator=factset&amp;DYN_ARGS=TRUE&amp;DOC_NAME=FAT:FQL_AUDITING_CLIENT_TEMPLATE.FAT&amp;display_string=Audit&amp;VAR:KEY=VGLIVUDCRS&amp;VAR:QUERY=RkZfRUJJVERBX09QRVIoQU5OX1IsNDA2NDEtMVksLCwsKQ==&amp;WINDOW=FIRST_POPUP&amp;HEIGHT=450&amp;WIDTH=","450&amp;START_MAXIMIZED=FALSE&amp;VAR:CALENDAR=FIVEDAY&amp;VAR:SYMBOL=B126KH&amp;VAR:INDEX=0"}</definedName>
    <definedName name="_3453__FDSAUDITLINK__" localSheetId="27">{"fdsup://directions/FAT Viewer?action=UPDATE&amp;creator=factset&amp;DYN_ARGS=TRUE&amp;DOC_NAME=FAT:FQL_AUDITING_CLIENT_TEMPLATE.FAT&amp;display_string=Audit&amp;VAR:KEY=VGLIVUDCRS&amp;VAR:QUERY=RkZfRUJJVERBX09QRVIoQU5OX1IsNDA2NDEtMVksLCwsKQ==&amp;WINDOW=FIRST_POPUP&amp;HEIGHT=450&amp;WIDTH=","450&amp;START_MAXIMIZED=FALSE&amp;VAR:CALENDAR=FIVEDAY&amp;VAR:SYMBOL=B126KH&amp;VAR:INDEX=0"}</definedName>
    <definedName name="_3454__FDSAUDITLINK__" localSheetId="34">{"fdsup://directions/FAT Viewer?action=UPDATE&amp;creator=factset&amp;DYN_ARGS=TRUE&amp;DOC_NAME=FAT:FQL_AUDITING_CLIENT_TEMPLATE.FAT&amp;display_string=Audit&amp;VAR:KEY=FAXKTIBCLQ&amp;VAR:QUERY=RkZfRUJJVERBX09QRVIoQU5OX1IsNDA2NDEtMlksLCwsKQ==&amp;WINDOW=FIRST_POPUP&amp;HEIGHT=450&amp;WIDTH=","450&amp;START_MAXIMIZED=FALSE&amp;VAR:CALENDAR=FIVEDAY&amp;VAR:SYMBOL=B126KH&amp;VAR:INDEX=0"}</definedName>
    <definedName name="_3454__FDSAUDITLINK__" localSheetId="27">{"fdsup://directions/FAT Viewer?action=UPDATE&amp;creator=factset&amp;DYN_ARGS=TRUE&amp;DOC_NAME=FAT:FQL_AUDITING_CLIENT_TEMPLATE.FAT&amp;display_string=Audit&amp;VAR:KEY=FAXKTIBCLQ&amp;VAR:QUERY=RkZfRUJJVERBX09QRVIoQU5OX1IsNDA2NDEtMlksLCwsKQ==&amp;WINDOW=FIRST_POPUP&amp;HEIGHT=450&amp;WIDTH=","450&amp;START_MAXIMIZED=FALSE&amp;VAR:CALENDAR=FIVEDAY&amp;VAR:SYMBOL=B126KH&amp;VAR:INDEX=0"}</definedName>
    <definedName name="_3455__FDSAUDITLINK__" localSheetId="34">{"fdsup://directions/FAT Viewer?action=UPDATE&amp;creator=factset&amp;DYN_ARGS=TRUE&amp;DOC_NAME=FAT:FQL_AUDITING_CLIENT_TEMPLATE.FAT&amp;display_string=Audit&amp;VAR:KEY=HMJUXABWNC&amp;VAR:QUERY=RkZfRUJJVERBX09QRVIoQU5OX1IsNDA2NDEtM1ksLCwsKQ==&amp;WINDOW=FIRST_POPUP&amp;HEIGHT=450&amp;WIDTH=","450&amp;START_MAXIMIZED=FALSE&amp;VAR:CALENDAR=FIVEDAY&amp;VAR:SYMBOL=B126KH&amp;VAR:INDEX=0"}</definedName>
    <definedName name="_3455__FDSAUDITLINK__" localSheetId="27">{"fdsup://directions/FAT Viewer?action=UPDATE&amp;creator=factset&amp;DYN_ARGS=TRUE&amp;DOC_NAME=FAT:FQL_AUDITING_CLIENT_TEMPLATE.FAT&amp;display_string=Audit&amp;VAR:KEY=HMJUXABWNC&amp;VAR:QUERY=RkZfRUJJVERBX09QRVIoQU5OX1IsNDA2NDEtM1ksLCwsKQ==&amp;WINDOW=FIRST_POPUP&amp;HEIGHT=450&amp;WIDTH=","450&amp;START_MAXIMIZED=FALSE&amp;VAR:CALENDAR=FIVEDAY&amp;VAR:SYMBOL=B126KH&amp;VAR:INDEX=0"}</definedName>
    <definedName name="_3456__FDSAUDITLINK__" localSheetId="34">{"fdsup://directions/FAT Viewer?action=UPDATE&amp;creator=factset&amp;DYN_ARGS=TRUE&amp;DOC_NAME=FAT:FQL_AUDITING_CLIENT_TEMPLATE.FAT&amp;display_string=Audit&amp;VAR:KEY=BAPOVWREXC&amp;VAR:QUERY=RkZfRUJJVERBX09QRVIoQU5OX1IsNDA2NDEtNFksLCwsKQ==&amp;WINDOW=FIRST_POPUP&amp;HEIGHT=450&amp;WIDTH=","450&amp;START_MAXIMIZED=FALSE&amp;VAR:CALENDAR=FIVEDAY&amp;VAR:SYMBOL=B126KH&amp;VAR:INDEX=0"}</definedName>
    <definedName name="_3456__FDSAUDITLINK__" localSheetId="27">{"fdsup://directions/FAT Viewer?action=UPDATE&amp;creator=factset&amp;DYN_ARGS=TRUE&amp;DOC_NAME=FAT:FQL_AUDITING_CLIENT_TEMPLATE.FAT&amp;display_string=Audit&amp;VAR:KEY=BAPOVWREXC&amp;VAR:QUERY=RkZfRUJJVERBX09QRVIoQU5OX1IsNDA2NDEtNFksLCwsKQ==&amp;WINDOW=FIRST_POPUP&amp;HEIGHT=450&amp;WIDTH=","450&amp;START_MAXIMIZED=FALSE&amp;VAR:CALENDAR=FIVEDAY&amp;VAR:SYMBOL=B126KH&amp;VAR:INDEX=0"}</definedName>
    <definedName name="_3457__FDSAUDITLINK__" localSheetId="34">{"fdsup://Directions/FactSet Auditing Viewer?action=AUDIT_VALUE&amp;DB=129&amp;ID1=B126KH&amp;VALUEID=01151&amp;SDATE=2010&amp;PERIODTYPE=ANNR_STD&amp;SCFT=3&amp;window=popup_no_bar&amp;width=385&amp;height=120&amp;START_MAXIMIZED=FALSE&amp;creator=factset&amp;display_string=Audit"}</definedName>
    <definedName name="_3457__FDSAUDITLINK__" localSheetId="27">{"fdsup://Directions/FactSet Auditing Viewer?action=AUDIT_VALUE&amp;DB=129&amp;ID1=B126KH&amp;VALUEID=01151&amp;SDATE=2010&amp;PERIODTYPE=ANNR_STD&amp;SCFT=3&amp;window=popup_no_bar&amp;width=385&amp;height=120&amp;START_MAXIMIZED=FALSE&amp;creator=factset&amp;display_string=Audit"}</definedName>
    <definedName name="_3458__FDSAUDITLINK__" localSheetId="34">{"fdsup://Directions/FactSet Auditing Viewer?action=AUDIT_VALUE&amp;DB=129&amp;ID1=B126KH&amp;VALUEID=04049&amp;SDATE=2010&amp;PERIODTYPE=ANNR_STD&amp;SCFT=3&amp;window=popup_no_bar&amp;width=385&amp;height=120&amp;START_MAXIMIZED=FALSE&amp;creator=factset&amp;display_string=Audit"}</definedName>
    <definedName name="_3458__FDSAUDITLINK__" localSheetId="27">{"fdsup://Directions/FactSet Auditing Viewer?action=AUDIT_VALUE&amp;DB=129&amp;ID1=B126KH&amp;VALUEID=04049&amp;SDATE=2010&amp;PERIODTYPE=ANNR_STD&amp;SCFT=3&amp;window=popup_no_bar&amp;width=385&amp;height=120&amp;START_MAXIMIZED=FALSE&amp;creator=factset&amp;display_string=Audit"}</definedName>
    <definedName name="_3459__FDSAUDITLINK__" localSheetId="34">{"fdsup://Directions/FactSet Auditing Viewer?action=AUDIT_VALUE&amp;DB=129&amp;ID1=B126KH&amp;VALUEID=01151&amp;SDATE=2009&amp;PERIODTYPE=ANNR_STD&amp;SCFT=3&amp;window=popup_no_bar&amp;width=385&amp;height=120&amp;START_MAXIMIZED=FALSE&amp;creator=factset&amp;display_string=Audit"}</definedName>
    <definedName name="_3459__FDSAUDITLINK__" localSheetId="27">{"fdsup://Directions/FactSet Auditing Viewer?action=AUDIT_VALUE&amp;DB=129&amp;ID1=B126KH&amp;VALUEID=01151&amp;SDATE=2009&amp;PERIODTYPE=ANNR_STD&amp;SCFT=3&amp;window=popup_no_bar&amp;width=385&amp;height=120&amp;START_MAXIMIZED=FALSE&amp;creator=factset&amp;display_string=Audit"}</definedName>
    <definedName name="_3460__FDSAUDITLINK__" localSheetId="34">{"fdsup://Directions/FactSet Auditing Viewer?action=AUDIT_VALUE&amp;DB=129&amp;ID1=B126KH&amp;VALUEID=04049&amp;SDATE=2009&amp;PERIODTYPE=ANNR_STD&amp;SCFT=3&amp;window=popup_no_bar&amp;width=385&amp;height=120&amp;START_MAXIMIZED=FALSE&amp;creator=factset&amp;display_string=Audit"}</definedName>
    <definedName name="_3460__FDSAUDITLINK__" localSheetId="27">{"fdsup://Directions/FactSet Auditing Viewer?action=AUDIT_VALUE&amp;DB=129&amp;ID1=B126KH&amp;VALUEID=04049&amp;SDATE=2009&amp;PERIODTYPE=ANNR_STD&amp;SCFT=3&amp;window=popup_no_bar&amp;width=385&amp;height=120&amp;START_MAXIMIZED=FALSE&amp;creator=factset&amp;display_string=Audit"}</definedName>
    <definedName name="_3461__FDSAUDITLINK__" localSheetId="34">{"fdsup://Directions/FactSet Auditing Viewer?action=AUDIT_VALUE&amp;DB=129&amp;ID1=B126KH&amp;VALUEID=04050&amp;SDATE=2010&amp;PERIODTYPE=ANNR_STD&amp;SCFT=3&amp;window=popup_no_bar&amp;width=385&amp;height=120&amp;START_MAXIMIZED=FALSE&amp;creator=factset&amp;display_string=Audit"}</definedName>
    <definedName name="_3461__FDSAUDITLINK__" localSheetId="27">{"fdsup://Directions/FactSet Auditing Viewer?action=AUDIT_VALUE&amp;DB=129&amp;ID1=B126KH&amp;VALUEID=04050&amp;SDATE=2010&amp;PERIODTYPE=ANNR_STD&amp;SCFT=3&amp;window=popup_no_bar&amp;width=385&amp;height=120&amp;START_MAXIMIZED=FALSE&amp;creator=factset&amp;display_string=Audit"}</definedName>
    <definedName name="_3462__FDSAUDITLINK__" localSheetId="34">{"fdsup://Directions/FactSet Auditing Viewer?action=AUDIT_VALUE&amp;DB=129&amp;ID1=B126KH&amp;VALUEID=04050&amp;SDATE=2009&amp;PERIODTYPE=ANNR_STD&amp;SCFT=3&amp;window=popup_no_bar&amp;width=385&amp;height=120&amp;START_MAXIMIZED=FALSE&amp;creator=factset&amp;display_string=Audit"}</definedName>
    <definedName name="_3462__FDSAUDITLINK__" localSheetId="27">{"fdsup://Directions/FactSet Auditing Viewer?action=AUDIT_VALUE&amp;DB=129&amp;ID1=B126KH&amp;VALUEID=04050&amp;SDATE=2009&amp;PERIODTYPE=ANNR_STD&amp;SCFT=3&amp;window=popup_no_bar&amp;width=385&amp;height=120&amp;START_MAXIMIZED=FALSE&amp;creator=factset&amp;display_string=Audit"}</definedName>
    <definedName name="_3463__FDSAUDITLINK__" localSheetId="34">{"fdsup://directions/FAT Viewer?action=UPDATE&amp;creator=factset&amp;DYN_ARGS=TRUE&amp;DOC_NAME=FAT:FQL_AUDITING_CLIENT_TEMPLATE.FAT&amp;display_string=Audit&amp;VAR:KEY=GZWPCLMDSN&amp;VAR:QUERY=RkZfSU1QQUlSX1BQRShBTk5fUiw0MDY0MSwsLFJGLCk=&amp;WINDOW=FIRST_POPUP&amp;HEIGHT=450&amp;WIDTH=450&amp;","START_MAXIMIZED=FALSE&amp;VAR:CALENDAR=FIVEDAY&amp;VAR:SYMBOL=B126KH&amp;VAR:INDEX=0"}</definedName>
    <definedName name="_3463__FDSAUDITLINK__" localSheetId="27">{"fdsup://directions/FAT Viewer?action=UPDATE&amp;creator=factset&amp;DYN_ARGS=TRUE&amp;DOC_NAME=FAT:FQL_AUDITING_CLIENT_TEMPLATE.FAT&amp;display_string=Audit&amp;VAR:KEY=GZWPCLMDSN&amp;VAR:QUERY=RkZfSU1QQUlSX1BQRShBTk5fUiw0MDY0MSwsLFJGLCk=&amp;WINDOW=FIRST_POPUP&amp;HEIGHT=450&amp;WIDTH=450&amp;","START_MAXIMIZED=FALSE&amp;VAR:CALENDAR=FIVEDAY&amp;VAR:SYMBOL=B126KH&amp;VAR:INDEX=0"}</definedName>
    <definedName name="_3464__FDSAUDITLINK__" localSheetId="34">{"fdsup://directions/FAT Viewer?action=UPDATE&amp;creator=factset&amp;DYN_ARGS=TRUE&amp;DOC_NAME=FAT:FQL_AUDITING_CLIENT_TEMPLATE.FAT&amp;display_string=Audit&amp;VAR:KEY=CJWZWHQXQP&amp;VAR:QUERY=RkZfSU1QQUlSX1BQRShBTk5fUiw0MDY0MS0xWSwsLFJGLCk=&amp;WINDOW=FIRST_POPUP&amp;HEIGHT=450&amp;WIDTH=","450&amp;START_MAXIMIZED=FALSE&amp;VAR:CALENDAR=FIVEDAY&amp;VAR:SYMBOL=B126KH&amp;VAR:INDEX=0"}</definedName>
    <definedName name="_3464__FDSAUDITLINK__" localSheetId="27">{"fdsup://directions/FAT Viewer?action=UPDATE&amp;creator=factset&amp;DYN_ARGS=TRUE&amp;DOC_NAME=FAT:FQL_AUDITING_CLIENT_TEMPLATE.FAT&amp;display_string=Audit&amp;VAR:KEY=CJWZWHQXQP&amp;VAR:QUERY=RkZfSU1QQUlSX1BQRShBTk5fUiw0MDY0MS0xWSwsLFJGLCk=&amp;WINDOW=FIRST_POPUP&amp;HEIGHT=450&amp;WIDTH=","450&amp;START_MAXIMIZED=FALSE&amp;VAR:CALENDAR=FIVEDAY&amp;VAR:SYMBOL=B126KH&amp;VAR:INDEX=0"}</definedName>
    <definedName name="_3465__FDSAUDITLINK__" localSheetId="34">{"fdsup://directions/FAT Viewer?action=UPDATE&amp;creator=factset&amp;DYN_ARGS=TRUE&amp;DOC_NAME=FAT:FQL_AUDITING_CLIENT_TEMPLATE.FAT&amp;display_string=Audit&amp;VAR:KEY=QZKNANCLWD&amp;VAR:QUERY=RkZfSU1QQUlSX1BQRShBTk5fUiw0MDY0MS0yWSwsLFJGLCk=&amp;WINDOW=FIRST_POPUP&amp;HEIGHT=450&amp;WIDTH=","450&amp;START_MAXIMIZED=FALSE&amp;VAR:CALENDAR=FIVEDAY&amp;VAR:SYMBOL=B126KH&amp;VAR:INDEX=0"}</definedName>
    <definedName name="_3465__FDSAUDITLINK__" localSheetId="27">{"fdsup://directions/FAT Viewer?action=UPDATE&amp;creator=factset&amp;DYN_ARGS=TRUE&amp;DOC_NAME=FAT:FQL_AUDITING_CLIENT_TEMPLATE.FAT&amp;display_string=Audit&amp;VAR:KEY=QZKNANCLWD&amp;VAR:QUERY=RkZfSU1QQUlSX1BQRShBTk5fUiw0MDY0MS0yWSwsLFJGLCk=&amp;WINDOW=FIRST_POPUP&amp;HEIGHT=450&amp;WIDTH=","450&amp;START_MAXIMIZED=FALSE&amp;VAR:CALENDAR=FIVEDAY&amp;VAR:SYMBOL=B126KH&amp;VAR:INDEX=0"}</definedName>
    <definedName name="_3466__FDSAUDITLINK__" localSheetId="34">{"fdsup://directions/FAT Viewer?action=UPDATE&amp;creator=factset&amp;DYN_ARGS=TRUE&amp;DOC_NAME=FAT:FQL_AUDITING_CLIENT_TEMPLATE.FAT&amp;display_string=Audit&amp;VAR:KEY=KPWTITQTMJ&amp;VAR:QUERY=RkZfSU1QQUlSX1BQRShBTk5fUiw0MDY0MS0zWSwsLFJGLCk=&amp;WINDOW=FIRST_POPUP&amp;HEIGHT=450&amp;WIDTH=","450&amp;START_MAXIMIZED=FALSE&amp;VAR:CALENDAR=FIVEDAY&amp;VAR:SYMBOL=B126KH&amp;VAR:INDEX=0"}</definedName>
    <definedName name="_3466__FDSAUDITLINK__" localSheetId="27">{"fdsup://directions/FAT Viewer?action=UPDATE&amp;creator=factset&amp;DYN_ARGS=TRUE&amp;DOC_NAME=FAT:FQL_AUDITING_CLIENT_TEMPLATE.FAT&amp;display_string=Audit&amp;VAR:KEY=KPWTITQTMJ&amp;VAR:QUERY=RkZfSU1QQUlSX1BQRShBTk5fUiw0MDY0MS0zWSwsLFJGLCk=&amp;WINDOW=FIRST_POPUP&amp;HEIGHT=450&amp;WIDTH=","450&amp;START_MAXIMIZED=FALSE&amp;VAR:CALENDAR=FIVEDAY&amp;VAR:SYMBOL=B126KH&amp;VAR:INDEX=0"}</definedName>
    <definedName name="_3467__FDSAUDITLINK__" localSheetId="34">{"fdsup://directions/FAT Viewer?action=UPDATE&amp;creator=factset&amp;DYN_ARGS=TRUE&amp;DOC_NAME=FAT:FQL_AUDITING_CLIENT_TEMPLATE.FAT&amp;display_string=Audit&amp;VAR:KEY=UNSHQFQBYJ&amp;VAR:QUERY=RkZfSU1QQUlSX1BQRShBTk5fUiw0MDY0MS00WSwsLFJGLCk=&amp;WINDOW=FIRST_POPUP&amp;HEIGHT=450&amp;WIDTH=","450&amp;START_MAXIMIZED=FALSE&amp;VAR:CALENDAR=FIVEDAY&amp;VAR:SYMBOL=B126KH&amp;VAR:INDEX=0"}</definedName>
    <definedName name="_3467__FDSAUDITLINK__" localSheetId="27">{"fdsup://directions/FAT Viewer?action=UPDATE&amp;creator=factset&amp;DYN_ARGS=TRUE&amp;DOC_NAME=FAT:FQL_AUDITING_CLIENT_TEMPLATE.FAT&amp;display_string=Audit&amp;VAR:KEY=UNSHQFQBYJ&amp;VAR:QUERY=RkZfSU1QQUlSX1BQRShBTk5fUiw0MDY0MS00WSwsLFJGLCk=&amp;WINDOW=FIRST_POPUP&amp;HEIGHT=450&amp;WIDTH=","450&amp;START_MAXIMIZED=FALSE&amp;VAR:CALENDAR=FIVEDAY&amp;VAR:SYMBOL=B126KH&amp;VAR:INDEX=0"}</definedName>
    <definedName name="_3468__FDSAUDITLINK__" localSheetId="34">{"fdsup://directions/FAT Viewer?action=UPDATE&amp;creator=factset&amp;DYN_ARGS=TRUE&amp;DOC_NAME=FAT:FQL_AUDITING_CLIENT_TEMPLATE.FAT&amp;display_string=Audit&amp;VAR:KEY=EZCTKXGDOH&amp;VAR:QUERY=RkZfRklOX0FTU0VUU19JTVBBSVIoQU5OX1IsNDA2NDEsLCxSRiwp&amp;WINDOW=FIRST_POPUP&amp;HEIGHT=450&amp;WI","DTH=450&amp;START_MAXIMIZED=FALSE&amp;VAR:CALENDAR=FIVEDAY&amp;VAR:SYMBOL=B126KH&amp;VAR:INDEX=0"}</definedName>
    <definedName name="_3468__FDSAUDITLINK__" localSheetId="27">{"fdsup://directions/FAT Viewer?action=UPDATE&amp;creator=factset&amp;DYN_ARGS=TRUE&amp;DOC_NAME=FAT:FQL_AUDITING_CLIENT_TEMPLATE.FAT&amp;display_string=Audit&amp;VAR:KEY=EZCTKXGDOH&amp;VAR:QUERY=RkZfRklOX0FTU0VUU19JTVBBSVIoQU5OX1IsNDA2NDEsLCxSRiwp&amp;WINDOW=FIRST_POPUP&amp;HEIGHT=450&amp;WI","DTH=450&amp;START_MAXIMIZED=FALSE&amp;VAR:CALENDAR=FIVEDAY&amp;VAR:SYMBOL=B126KH&amp;VAR:INDEX=0"}</definedName>
    <definedName name="_3469__FDSAUDITLINK__" localSheetId="34">{"fdsup://directions/FAT Viewer?action=UPDATE&amp;creator=factset&amp;DYN_ARGS=TRUE&amp;DOC_NAME=FAT:FQL_AUDITING_CLIENT_TEMPLATE.FAT&amp;display_string=Audit&amp;VAR:KEY=AHKBUTGBCR&amp;VAR:QUERY=RkZfRklOX0FTU0VUU19JTVBBSVIoQU5OX1IsNDA2NDEtMVksLCxSRiwp&amp;WINDOW=FIRST_POPUP&amp;HEIGHT=45","0&amp;WIDTH=450&amp;START_MAXIMIZED=FALSE&amp;VAR:CALENDAR=FIVEDAY&amp;VAR:SYMBOL=B126KH&amp;VAR:INDEX=0"}</definedName>
    <definedName name="_3469__FDSAUDITLINK__" localSheetId="27">{"fdsup://directions/FAT Viewer?action=UPDATE&amp;creator=factset&amp;DYN_ARGS=TRUE&amp;DOC_NAME=FAT:FQL_AUDITING_CLIENT_TEMPLATE.FAT&amp;display_string=Audit&amp;VAR:KEY=AHKBUTGBCR&amp;VAR:QUERY=RkZfRklOX0FTU0VUU19JTVBBSVIoQU5OX1IsNDA2NDEtMVksLCxSRiwp&amp;WINDOW=FIRST_POPUP&amp;HEIGHT=45","0&amp;WIDTH=450&amp;START_MAXIMIZED=FALSE&amp;VAR:CALENDAR=FIVEDAY&amp;VAR:SYMBOL=B126KH&amp;VAR:INDEX=0"}</definedName>
    <definedName name="_3470__FDSAUDITLINK__" localSheetId="34">{"fdsup://directions/FAT Viewer?action=UPDATE&amp;creator=factset&amp;DYN_ARGS=TRUE&amp;DOC_NAME=FAT:FQL_AUDITING_CLIENT_TEMPLATE.FAT&amp;display_string=Audit&amp;VAR:KEY=YRGTCXYLYB&amp;VAR:QUERY=RkZfRklOX0FTU0VUU19JTVBBSVIoQU5OX1IsNDA2NDEtMlksLCxSRiwp&amp;WINDOW=FIRST_POPUP&amp;HEIGHT=45","0&amp;WIDTH=450&amp;START_MAXIMIZED=FALSE&amp;VAR:CALENDAR=FIVEDAY&amp;VAR:SYMBOL=B126KH&amp;VAR:INDEX=0"}</definedName>
    <definedName name="_3470__FDSAUDITLINK__" localSheetId="27">{"fdsup://directions/FAT Viewer?action=UPDATE&amp;creator=factset&amp;DYN_ARGS=TRUE&amp;DOC_NAME=FAT:FQL_AUDITING_CLIENT_TEMPLATE.FAT&amp;display_string=Audit&amp;VAR:KEY=YRGTCXYLYB&amp;VAR:QUERY=RkZfRklOX0FTU0VUU19JTVBBSVIoQU5OX1IsNDA2NDEtMlksLCxSRiwp&amp;WINDOW=FIRST_POPUP&amp;HEIGHT=45","0&amp;WIDTH=450&amp;START_MAXIMIZED=FALSE&amp;VAR:CALENDAR=FIVEDAY&amp;VAR:SYMBOL=B126KH&amp;VAR:INDEX=0"}</definedName>
    <definedName name="_3471__FDSAUDITLINK__" localSheetId="34">{"fdsup://directions/FAT Viewer?action=UPDATE&amp;creator=factset&amp;DYN_ARGS=TRUE&amp;DOC_NAME=FAT:FQL_AUDITING_CLIENT_TEMPLATE.FAT&amp;display_string=Audit&amp;VAR:KEY=OPCJAZQZER&amp;VAR:QUERY=RkZfRklOX0FTU0VUU19JTVBBSVIoQU5OX1IsNDA2NDEtM1ksLCxSRiwp&amp;WINDOW=FIRST_POPUP&amp;HEIGHT=45","0&amp;WIDTH=450&amp;START_MAXIMIZED=FALSE&amp;VAR:CALENDAR=FIVEDAY&amp;VAR:SYMBOL=B126KH&amp;VAR:INDEX=0"}</definedName>
    <definedName name="_3471__FDSAUDITLINK__" localSheetId="27">{"fdsup://directions/FAT Viewer?action=UPDATE&amp;creator=factset&amp;DYN_ARGS=TRUE&amp;DOC_NAME=FAT:FQL_AUDITING_CLIENT_TEMPLATE.FAT&amp;display_string=Audit&amp;VAR:KEY=OPCJAZQZER&amp;VAR:QUERY=RkZfRklOX0FTU0VUU19JTVBBSVIoQU5OX1IsNDA2NDEtM1ksLCxSRiwp&amp;WINDOW=FIRST_POPUP&amp;HEIGHT=45","0&amp;WIDTH=450&amp;START_MAXIMIZED=FALSE&amp;VAR:CALENDAR=FIVEDAY&amp;VAR:SYMBOL=B126KH&amp;VAR:INDEX=0"}</definedName>
    <definedName name="_3472__FDSAUDITLINK__" localSheetId="34">{"fdsup://directions/FAT Viewer?action=UPDATE&amp;creator=factset&amp;DYN_ARGS=TRUE&amp;DOC_NAME=FAT:FQL_AUDITING_CLIENT_TEMPLATE.FAT&amp;display_string=Audit&amp;VAR:KEY=YXAXOJKXKD&amp;VAR:QUERY=RkZfRklOX0FTU0VUU19JTVBBSVIoQU5OX1IsNDA2NDEtNFksLCxSRiwp&amp;WINDOW=FIRST_POPUP&amp;HEIGHT=45","0&amp;WIDTH=450&amp;START_MAXIMIZED=FALSE&amp;VAR:CALENDAR=FIVEDAY&amp;VAR:SYMBOL=B126KH&amp;VAR:INDEX=0"}</definedName>
    <definedName name="_3472__FDSAUDITLINK__" localSheetId="27">{"fdsup://directions/FAT Viewer?action=UPDATE&amp;creator=factset&amp;DYN_ARGS=TRUE&amp;DOC_NAME=FAT:FQL_AUDITING_CLIENT_TEMPLATE.FAT&amp;display_string=Audit&amp;VAR:KEY=YXAXOJKXKD&amp;VAR:QUERY=RkZfRklOX0FTU0VUU19JTVBBSVIoQU5OX1IsNDA2NDEtNFksLCxSRiwp&amp;WINDOW=FIRST_POPUP&amp;HEIGHT=45","0&amp;WIDTH=450&amp;START_MAXIMIZED=FALSE&amp;VAR:CALENDAR=FIVEDAY&amp;VAR:SYMBOL=B126KH&amp;VAR:INDEX=0"}</definedName>
    <definedName name="_3473__FDSAUDITLINK__" localSheetId="34">{"fdsup://Directions/FactSet Auditing Viewer?action=AUDIT_VALUE&amp;DB=129&amp;ID1=B126KH&amp;VALUEID=04601&amp;SDATE=2010&amp;PERIODTYPE=ANNR_STD&amp;SCFT=3&amp;window=popup_no_bar&amp;width=385&amp;height=120&amp;START_MAXIMIZED=FALSE&amp;creator=factset&amp;display_string=Audit"}</definedName>
    <definedName name="_3473__FDSAUDITLINK__" localSheetId="27">{"fdsup://Directions/FactSet Auditing Viewer?action=AUDIT_VALUE&amp;DB=129&amp;ID1=B126KH&amp;VALUEID=04601&amp;SDATE=2010&amp;PERIODTYPE=ANNR_STD&amp;SCFT=3&amp;window=popup_no_bar&amp;width=385&amp;height=120&amp;START_MAXIMIZED=FALSE&amp;creator=factset&amp;display_string=Audit"}</definedName>
    <definedName name="_3474__FDSAUDITLINK__" localSheetId="34">{"fdsup://Directions/FactSet Auditing Viewer?action=AUDIT_VALUE&amp;DB=129&amp;ID1=B126KH&amp;VALUEID=04601&amp;SDATE=2009&amp;PERIODTYPE=ANNR_STD&amp;SCFT=3&amp;window=popup_no_bar&amp;width=385&amp;height=120&amp;START_MAXIMIZED=FALSE&amp;creator=factset&amp;display_string=Audit"}</definedName>
    <definedName name="_3474__FDSAUDITLINK__" localSheetId="27">{"fdsup://Directions/FactSet Auditing Viewer?action=AUDIT_VALUE&amp;DB=129&amp;ID1=B126KH&amp;VALUEID=04601&amp;SDATE=2009&amp;PERIODTYPE=ANNR_STD&amp;SCFT=3&amp;window=popup_no_bar&amp;width=385&amp;height=120&amp;START_MAXIMIZED=FALSE&amp;creator=factset&amp;display_string=Audit"}</definedName>
    <definedName name="_3475__FDSAUDITLINK__" localSheetId="34">{"fdsup://Directions/FactSet Auditing Viewer?action=AUDIT_VALUE&amp;DB=129&amp;ID1=B126KH&amp;VALUEID=02201&amp;SDATE=2010&amp;PERIODTYPE=ANNR_STD&amp;SCFT=3&amp;window=popup_no_bar&amp;width=385&amp;height=120&amp;START_MAXIMIZED=FALSE&amp;creator=factset&amp;display_string=Audit"}</definedName>
    <definedName name="_3475__FDSAUDITLINK__" localSheetId="27">{"fdsup://Directions/FactSet Auditing Viewer?action=AUDIT_VALUE&amp;DB=129&amp;ID1=B126KH&amp;VALUEID=02201&amp;SDATE=2010&amp;PERIODTYPE=ANNR_STD&amp;SCFT=3&amp;window=popup_no_bar&amp;width=385&amp;height=120&amp;START_MAXIMIZED=FALSE&amp;creator=factset&amp;display_string=Audit"}</definedName>
    <definedName name="_3476__FDSAUDITLINK__" localSheetId="34">{"fdsup://Directions/FactSet Auditing Viewer?action=AUDIT_VALUE&amp;DB=129&amp;ID1=B126KH&amp;VALUEID=02201&amp;SDATE=2009&amp;PERIODTYPE=ANNR_STD&amp;SCFT=3&amp;window=popup_no_bar&amp;width=385&amp;height=120&amp;START_MAXIMIZED=FALSE&amp;creator=factset&amp;display_string=Audit"}</definedName>
    <definedName name="_3476__FDSAUDITLINK__" localSheetId="27">{"fdsup://Directions/FactSet Auditing Viewer?action=AUDIT_VALUE&amp;DB=129&amp;ID1=B126KH&amp;VALUEID=02201&amp;SDATE=2009&amp;PERIODTYPE=ANNR_STD&amp;SCFT=3&amp;window=popup_no_bar&amp;width=385&amp;height=120&amp;START_MAXIMIZED=FALSE&amp;creator=factset&amp;display_string=Audit"}</definedName>
    <definedName name="_3477__FDSAUDITLINK__" localSheetId="34">{"fdsup://Directions/FactSet Auditing Viewer?action=AUDIT_VALUE&amp;DB=129&amp;ID1=B126KH&amp;VALUEID=02001&amp;SDATE=2010&amp;PERIODTYPE=ANNR_STD&amp;SCFT=3&amp;window=popup_no_bar&amp;width=385&amp;height=120&amp;START_MAXIMIZED=FALSE&amp;creator=factset&amp;display_string=Audit"}</definedName>
    <definedName name="_3477__FDSAUDITLINK__" localSheetId="27">{"fdsup://Directions/FactSet Auditing Viewer?action=AUDIT_VALUE&amp;DB=129&amp;ID1=B126KH&amp;VALUEID=02001&amp;SDATE=2010&amp;PERIODTYPE=ANNR_STD&amp;SCFT=3&amp;window=popup_no_bar&amp;width=385&amp;height=120&amp;START_MAXIMIZED=FALSE&amp;creator=factset&amp;display_string=Audit"}</definedName>
    <definedName name="_3478__FDSAUDITLINK__" localSheetId="34">{"fdsup://Directions/FactSet Auditing Viewer?action=AUDIT_VALUE&amp;DB=129&amp;ID1=B126KH&amp;VALUEID=02001&amp;SDATE=2009&amp;PERIODTYPE=ANNR_STD&amp;SCFT=3&amp;window=popup_no_bar&amp;width=385&amp;height=120&amp;START_MAXIMIZED=FALSE&amp;creator=factset&amp;display_string=Audit"}</definedName>
    <definedName name="_3478__FDSAUDITLINK__" localSheetId="27">{"fdsup://Directions/FactSet Auditing Viewer?action=AUDIT_VALUE&amp;DB=129&amp;ID1=B126KH&amp;VALUEID=02001&amp;SDATE=2009&amp;PERIODTYPE=ANNR_STD&amp;SCFT=3&amp;window=popup_no_bar&amp;width=385&amp;height=120&amp;START_MAXIMIZED=FALSE&amp;creator=factset&amp;display_string=Audit"}</definedName>
    <definedName name="_3479__FDSAUDITLINK__" localSheetId="34">{"fdsup://Directions/FactSet Auditing Viewer?action=AUDIT_VALUE&amp;DB=129&amp;ID1=B126KH&amp;VALUEID=03101&amp;SDATE=2010&amp;PERIODTYPE=ANNR_STD&amp;SCFT=3&amp;window=popup_no_bar&amp;width=385&amp;height=120&amp;START_MAXIMIZED=FALSE&amp;creator=factset&amp;display_string=Audit"}</definedName>
    <definedName name="_3479__FDSAUDITLINK__" localSheetId="27">{"fdsup://Directions/FactSet Auditing Viewer?action=AUDIT_VALUE&amp;DB=129&amp;ID1=B126KH&amp;VALUEID=03101&amp;SDATE=2010&amp;PERIODTYPE=ANNR_STD&amp;SCFT=3&amp;window=popup_no_bar&amp;width=385&amp;height=120&amp;START_MAXIMIZED=FALSE&amp;creator=factset&amp;display_string=Audit"}</definedName>
    <definedName name="_3480__FDSAUDITLINK__" localSheetId="34">{"fdsup://Directions/FactSet Auditing Viewer?action=AUDIT_VALUE&amp;DB=129&amp;ID1=B126KH&amp;VALUEID=03101&amp;SDATE=2009&amp;PERIODTYPE=ANNR_STD&amp;SCFT=3&amp;window=popup_no_bar&amp;width=385&amp;height=120&amp;START_MAXIMIZED=FALSE&amp;creator=factset&amp;display_string=Audit"}</definedName>
    <definedName name="_3480__FDSAUDITLINK__" localSheetId="27">{"fdsup://Directions/FactSet Auditing Viewer?action=AUDIT_VALUE&amp;DB=129&amp;ID1=B126KH&amp;VALUEID=03101&amp;SDATE=2009&amp;PERIODTYPE=ANNR_STD&amp;SCFT=3&amp;window=popup_no_bar&amp;width=385&amp;height=120&amp;START_MAXIMIZED=FALSE&amp;creator=factset&amp;display_string=Audit"}</definedName>
    <definedName name="_3481__FDSAUDITLINK__" localSheetId="34">{"fdsup://Directions/FactSet Auditing Viewer?action=AUDIT_VALUE&amp;DB=129&amp;ID1=B126KH&amp;VALUEID=03051&amp;SDATE=2010&amp;PERIODTYPE=ANNR_STD&amp;SCFT=3&amp;window=popup_no_bar&amp;width=385&amp;height=120&amp;START_MAXIMIZED=FALSE&amp;creator=factset&amp;display_string=Audit"}</definedName>
    <definedName name="_3481__FDSAUDITLINK__" localSheetId="27">{"fdsup://Directions/FactSet Auditing Viewer?action=AUDIT_VALUE&amp;DB=129&amp;ID1=B126KH&amp;VALUEID=03051&amp;SDATE=2010&amp;PERIODTYPE=ANNR_STD&amp;SCFT=3&amp;window=popup_no_bar&amp;width=385&amp;height=120&amp;START_MAXIMIZED=FALSE&amp;creator=factset&amp;display_string=Audit"}</definedName>
    <definedName name="_3482__FDSAUDITLINK__" localSheetId="34">{"fdsup://Directions/FactSet Auditing Viewer?action=AUDIT_VALUE&amp;DB=129&amp;ID1=B126KH&amp;VALUEID=03051&amp;SDATE=2009&amp;PERIODTYPE=ANNR_STD&amp;SCFT=3&amp;window=popup_no_bar&amp;width=385&amp;height=120&amp;START_MAXIMIZED=FALSE&amp;creator=factset&amp;display_string=Audit"}</definedName>
    <definedName name="_3482__FDSAUDITLINK__" localSheetId="27">{"fdsup://Directions/FactSet Auditing Viewer?action=AUDIT_VALUE&amp;DB=129&amp;ID1=B126KH&amp;VALUEID=03051&amp;SDATE=2009&amp;PERIODTYPE=ANNR_STD&amp;SCFT=3&amp;window=popup_no_bar&amp;width=385&amp;height=120&amp;START_MAXIMIZED=FALSE&amp;creator=factset&amp;display_string=Audit"}</definedName>
    <definedName name="_3483__FDSAUDITLINK__" localSheetId="34">{"fdsup://Directions/FactSet Auditing Viewer?action=AUDIT_VALUE&amp;DB=129&amp;ID1=B126KH&amp;VALUEID=18184&amp;SDATE=2010&amp;PERIODTYPE=ANNR_STD&amp;SCFT=3&amp;window=popup_no_bar&amp;width=385&amp;height=120&amp;START_MAXIMIZED=FALSE&amp;creator=factset&amp;display_string=Audit"}</definedName>
    <definedName name="_3483__FDSAUDITLINK__" localSheetId="27">{"fdsup://Directions/FactSet Auditing Viewer?action=AUDIT_VALUE&amp;DB=129&amp;ID1=B126KH&amp;VALUEID=18184&amp;SDATE=2010&amp;PERIODTYPE=ANNR_STD&amp;SCFT=3&amp;window=popup_no_bar&amp;width=385&amp;height=120&amp;START_MAXIMIZED=FALSE&amp;creator=factset&amp;display_string=Audit"}</definedName>
    <definedName name="_3484__FDSAUDITLINK__" localSheetId="34">{"fdsup://Directions/FactSet Auditing Viewer?action=AUDIT_VALUE&amp;DB=129&amp;ID1=B126KH&amp;VALUEID=18184&amp;SDATE=2009&amp;PERIODTYPE=ANNR_STD&amp;SCFT=3&amp;window=popup_no_bar&amp;width=385&amp;height=120&amp;START_MAXIMIZED=FALSE&amp;creator=factset&amp;display_string=Audit"}</definedName>
    <definedName name="_3484__FDSAUDITLINK__" localSheetId="27">{"fdsup://Directions/FactSet Auditing Viewer?action=AUDIT_VALUE&amp;DB=129&amp;ID1=B126KH&amp;VALUEID=18184&amp;SDATE=2009&amp;PERIODTYPE=ANNR_STD&amp;SCFT=3&amp;window=popup_no_bar&amp;width=385&amp;height=120&amp;START_MAXIMIZED=FALSE&amp;creator=factset&amp;display_string=Audit"}</definedName>
    <definedName name="_3485__FDSAUDITLINK__" localSheetId="34">{"fdsup://directions/FAT Viewer?action=UPDATE&amp;creator=factset&amp;DYN_ARGS=TRUE&amp;DOC_NAME=FAT:FQL_AUDITING_CLIENT_TEMPLATE.FAT&amp;display_string=Audit&amp;VAR:KEY=KLSVWXYDAH&amp;VAR:QUERY=RkZfU0hMRFJTX0VRKEFOTl9SLDQwNjQxLCwsUkYsKQ==&amp;WINDOW=FIRST_POPUP&amp;HEIGHT=450&amp;WIDTH=450&amp;","START_MAXIMIZED=FALSE&amp;VAR:CALENDAR=FIVEDAY&amp;VAR:SYMBOL=B126KH&amp;VAR:INDEX=0"}</definedName>
    <definedName name="_3485__FDSAUDITLINK__" localSheetId="27">{"fdsup://directions/FAT Viewer?action=UPDATE&amp;creator=factset&amp;DYN_ARGS=TRUE&amp;DOC_NAME=FAT:FQL_AUDITING_CLIENT_TEMPLATE.FAT&amp;display_string=Audit&amp;VAR:KEY=KLSVWXYDAH&amp;VAR:QUERY=RkZfU0hMRFJTX0VRKEFOTl9SLDQwNjQxLCwsUkYsKQ==&amp;WINDOW=FIRST_POPUP&amp;HEIGHT=450&amp;WIDTH=450&amp;","START_MAXIMIZED=FALSE&amp;VAR:CALENDAR=FIVEDAY&amp;VAR:SYMBOL=B126KH&amp;VAR:INDEX=0"}</definedName>
    <definedName name="_3486__FDSAUDITLINK__" localSheetId="34">{"fdsup://directions/FAT Viewer?action=UPDATE&amp;creator=factset&amp;DYN_ARGS=TRUE&amp;DOC_NAME=FAT:FQL_AUDITING_CLIENT_TEMPLATE.FAT&amp;display_string=Audit&amp;VAR:KEY=CBCRKLYBQZ&amp;VAR:QUERY=RkZfU0hMRFJTX0VRKEFOTl9SLDQwNjQxLTFZLCwsUkYsKQ==&amp;WINDOW=FIRST_POPUP&amp;HEIGHT=450&amp;WIDTH=","450&amp;START_MAXIMIZED=FALSE&amp;VAR:CALENDAR=FIVEDAY&amp;VAR:SYMBOL=B126KH&amp;VAR:INDEX=0"}</definedName>
    <definedName name="_3486__FDSAUDITLINK__" localSheetId="27">{"fdsup://directions/FAT Viewer?action=UPDATE&amp;creator=factset&amp;DYN_ARGS=TRUE&amp;DOC_NAME=FAT:FQL_AUDITING_CLIENT_TEMPLATE.FAT&amp;display_string=Audit&amp;VAR:KEY=CBCRKLYBQZ&amp;VAR:QUERY=RkZfU0hMRFJTX0VRKEFOTl9SLDQwNjQxLTFZLCwsUkYsKQ==&amp;WINDOW=FIRST_POPUP&amp;HEIGHT=450&amp;WIDTH=","450&amp;START_MAXIMIZED=FALSE&amp;VAR:CALENDAR=FIVEDAY&amp;VAR:SYMBOL=B126KH&amp;VAR:INDEX=0"}</definedName>
    <definedName name="_3487__FDSAUDITLINK__" localSheetId="34">{"fdsup://directions/FAT Viewer?action=UPDATE&amp;creator=factset&amp;DYN_ARGS=TRUE&amp;DOC_NAME=FAT:FQL_AUDITING_CLIENT_TEMPLATE.FAT&amp;display_string=Audit&amp;VAR:KEY=KPAJGHSLYD&amp;VAR:QUERY=RkZfU0hMRFJTX0VRKEFOTl9SLDQwNjQxLTJZLCwsUkYsKQ==&amp;WINDOW=FIRST_POPUP&amp;HEIGHT=450&amp;WIDTH=","450&amp;START_MAXIMIZED=FALSE&amp;VAR:CALENDAR=FIVEDAY&amp;VAR:SYMBOL=B126KH&amp;VAR:INDEX=0"}</definedName>
    <definedName name="_3487__FDSAUDITLINK__" localSheetId="27">{"fdsup://directions/FAT Viewer?action=UPDATE&amp;creator=factset&amp;DYN_ARGS=TRUE&amp;DOC_NAME=FAT:FQL_AUDITING_CLIENT_TEMPLATE.FAT&amp;display_string=Audit&amp;VAR:KEY=KPAJGHSLYD&amp;VAR:QUERY=RkZfU0hMRFJTX0VRKEFOTl9SLDQwNjQxLTJZLCwsUkYsKQ==&amp;WINDOW=FIRST_POPUP&amp;HEIGHT=450&amp;WIDTH=","450&amp;START_MAXIMIZED=FALSE&amp;VAR:CALENDAR=FIVEDAY&amp;VAR:SYMBOL=B126KH&amp;VAR:INDEX=0"}</definedName>
    <definedName name="_3488__FDSAUDITLINK__" localSheetId="34">{"fdsup://directions/FAT Viewer?action=UPDATE&amp;creator=factset&amp;DYN_ARGS=TRUE&amp;DOC_NAME=FAT:FQL_AUDITING_CLIENT_TEMPLATE.FAT&amp;display_string=Audit&amp;VAR:KEY=YVEDIHKBIZ&amp;VAR:QUERY=RkZfU0hMRFJTX0VRKEFOTl9SLDQwNjQxLTNZLCwsUkYsKQ==&amp;WINDOW=FIRST_POPUP&amp;HEIGHT=450&amp;WIDTH=","450&amp;START_MAXIMIZED=FALSE&amp;VAR:CALENDAR=FIVEDAY&amp;VAR:SYMBOL=B126KH&amp;VAR:INDEX=0"}</definedName>
    <definedName name="_3488__FDSAUDITLINK__" localSheetId="27">{"fdsup://directions/FAT Viewer?action=UPDATE&amp;creator=factset&amp;DYN_ARGS=TRUE&amp;DOC_NAME=FAT:FQL_AUDITING_CLIENT_TEMPLATE.FAT&amp;display_string=Audit&amp;VAR:KEY=YVEDIHKBIZ&amp;VAR:QUERY=RkZfU0hMRFJTX0VRKEFOTl9SLDQwNjQxLTNZLCwsUkYsKQ==&amp;WINDOW=FIRST_POPUP&amp;HEIGHT=450&amp;WIDTH=","450&amp;START_MAXIMIZED=FALSE&amp;VAR:CALENDAR=FIVEDAY&amp;VAR:SYMBOL=B126KH&amp;VAR:INDEX=0"}</definedName>
    <definedName name="_3489__FDSAUDITLINK__" localSheetId="34">{"fdsup://directions/FAT Viewer?action=UPDATE&amp;creator=factset&amp;DYN_ARGS=TRUE&amp;DOC_NAME=FAT:FQL_AUDITING_CLIENT_TEMPLATE.FAT&amp;display_string=Audit&amp;VAR:KEY=CLWXEZGBIP&amp;VAR:QUERY=RkZfU0hMRFJTX0VRKEFOTl9SLDQwNjQxLTRZLCwsUkYsKQ==&amp;WINDOW=FIRST_POPUP&amp;HEIGHT=450&amp;WIDTH=","450&amp;START_MAXIMIZED=FALSE&amp;VAR:CALENDAR=FIVEDAY&amp;VAR:SYMBOL=B126KH&amp;VAR:INDEX=0"}</definedName>
    <definedName name="_3489__FDSAUDITLINK__" localSheetId="27">{"fdsup://directions/FAT Viewer?action=UPDATE&amp;creator=factset&amp;DYN_ARGS=TRUE&amp;DOC_NAME=FAT:FQL_AUDITING_CLIENT_TEMPLATE.FAT&amp;display_string=Audit&amp;VAR:KEY=CLWXEZGBIP&amp;VAR:QUERY=RkZfU0hMRFJTX0VRKEFOTl9SLDQwNjQxLTRZLCwsUkYsKQ==&amp;WINDOW=FIRST_POPUP&amp;HEIGHT=450&amp;WIDTH=","450&amp;START_MAXIMIZED=FALSE&amp;VAR:CALENDAR=FIVEDAY&amp;VAR:SYMBOL=B126KH&amp;VAR:INDEX=0"}</definedName>
    <definedName name="_3490__FDSAUDITLINK__" localSheetId="34">{"fdsup://directions/FAT Viewer?action=UPDATE&amp;creator=factset&amp;DYN_ARGS=TRUE&amp;DOC_NAME=FAT:FQL_AUDITING_CLIENT_TEMPLATE.FAT&amp;display_string=Audit&amp;VAR:KEY=OVCHEFCNYB&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B126KH&amp;VAR:INDEX=0"}</definedName>
    <definedName name="_3490__FDSAUDITLINK__" localSheetId="27">{"fdsup://directions/FAT Viewer?action=UPDATE&amp;creator=factset&amp;DYN_ARGS=TRUE&amp;DOC_NAME=FAT:FQL_AUDITING_CLIENT_TEMPLATE.FAT&amp;display_string=Audit&amp;VAR:KEY=OVCHEFCNYB&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B126KH&amp;VAR:INDEX=0"}</definedName>
    <definedName name="_3491__FDSAUDITLINK__" localSheetId="34">{"fdsup://Directions/FactSet Auditing Viewer?action=AUDIT_VALUE&amp;DB=129&amp;ID1=B126KH&amp;VALUEID=02001&amp;SDATE=201101&amp;PERIODTYPE=SEMI_STD&amp;SCFT=3&amp;window=popup_no_bar&amp;width=385&amp;height=120&amp;START_MAXIMIZED=FALSE&amp;creator=factset&amp;display_string=Audit"}</definedName>
    <definedName name="_3491__FDSAUDITLINK__" localSheetId="27">{"fdsup://Directions/FactSet Auditing Viewer?action=AUDIT_VALUE&amp;DB=129&amp;ID1=B126KH&amp;VALUEID=02001&amp;SDATE=201101&amp;PERIODTYPE=SEMI_STD&amp;SCFT=3&amp;window=popup_no_bar&amp;width=385&amp;height=120&amp;START_MAXIMIZED=FALSE&amp;creator=factset&amp;display_string=Audit"}</definedName>
    <definedName name="_3492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492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493__FDSAUDITLINK__" localSheetId="34">{"fdsup://Directions/FactSet Auditing Viewer?action=AUDIT_VALUE&amp;DB=129&amp;ID1=312748&amp;VALUEID=01001&amp;SDATE=2008&amp;PERIODTYPE=ANNR_STD&amp;SCFT=3&amp;window=popup_no_bar&amp;width=385&amp;height=120&amp;START_MAXIMIZED=FALSE&amp;creator=factset&amp;display_string=Audit"}</definedName>
    <definedName name="_3493__FDSAUDITLINK__" localSheetId="27">{"fdsup://Directions/FactSet Auditing Viewer?action=AUDIT_VALUE&amp;DB=129&amp;ID1=312748&amp;VALUEID=01001&amp;SDATE=2008&amp;PERIODTYPE=ANNR_STD&amp;SCFT=3&amp;window=popup_no_bar&amp;width=385&amp;height=120&amp;START_MAXIMIZED=FALSE&amp;creator=factset&amp;display_string=Audit"}</definedName>
    <definedName name="_3494__FDSAUDITLINK__" localSheetId="34">{"fdsup://Directions/FactSet Auditing Viewer?action=AUDIT_VALUE&amp;DB=129&amp;ID1=312748&amp;VALUEID=01001&amp;SDATE=2007&amp;PERIODTYPE=ANNR_STD&amp;SCFT=3&amp;window=popup_no_bar&amp;width=385&amp;height=120&amp;START_MAXIMIZED=FALSE&amp;creator=factset&amp;display_string=Audit"}</definedName>
    <definedName name="_3494__FDSAUDITLINK__" localSheetId="27">{"fdsup://Directions/FactSet Auditing Viewer?action=AUDIT_VALUE&amp;DB=129&amp;ID1=312748&amp;VALUEID=01001&amp;SDATE=2007&amp;PERIODTYPE=ANNR_STD&amp;SCFT=3&amp;window=popup_no_bar&amp;width=385&amp;height=120&amp;START_MAXIMIZED=FALSE&amp;creator=factset&amp;display_string=Audit"}</definedName>
    <definedName name="_3495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495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496__FDSAUDITLINK__" localSheetId="34">{"fdsup://Directions/FactSet Auditing Viewer?action=AUDIT_VALUE&amp;DB=129&amp;ID1=312748&amp;VALUEID=01250&amp;SDATE=2008&amp;PERIODTYPE=ANNR_STD&amp;SCFT=3&amp;window=popup_no_bar&amp;width=385&amp;height=120&amp;START_MAXIMIZED=FALSE&amp;creator=factset&amp;display_string=Audit"}</definedName>
    <definedName name="_3496__FDSAUDITLINK__" localSheetId="27">{"fdsup://Directions/FactSet Auditing Viewer?action=AUDIT_VALUE&amp;DB=129&amp;ID1=312748&amp;VALUEID=01250&amp;SDATE=2008&amp;PERIODTYPE=ANNR_STD&amp;SCFT=3&amp;window=popup_no_bar&amp;width=385&amp;height=120&amp;START_MAXIMIZED=FALSE&amp;creator=factset&amp;display_string=Audit"}</definedName>
    <definedName name="_3497__FDSAUDITLINK__" localSheetId="34">{"fdsup://Directions/FactSet Auditing Viewer?action=AUDIT_VALUE&amp;DB=129&amp;ID1=312748&amp;VALUEID=01250&amp;SDATE=2007&amp;PERIODTYPE=ANNR_STD&amp;SCFT=3&amp;window=popup_no_bar&amp;width=385&amp;height=120&amp;START_MAXIMIZED=FALSE&amp;creator=factset&amp;display_string=Audit"}</definedName>
    <definedName name="_3497__FDSAUDITLINK__" localSheetId="27">{"fdsup://Directions/FactSet Auditing Viewer?action=AUDIT_VALUE&amp;DB=129&amp;ID1=312748&amp;VALUEID=01250&amp;SDATE=2007&amp;PERIODTYPE=ANNR_STD&amp;SCFT=3&amp;window=popup_no_bar&amp;width=385&amp;height=120&amp;START_MAXIMIZED=FALSE&amp;creator=factset&amp;display_string=Audit"}</definedName>
    <definedName name="_3498__FDSAUDITLINK__" localSheetId="34">{"fdsup://directions/FAT Viewer?action=UPDATE&amp;creator=factset&amp;DYN_ARGS=TRUE&amp;DOC_NAME=FAT:FQL_AUDITING_CLIENT_TEMPLATE.FAT&amp;display_string=Audit&amp;VAR:KEY=ROPGVYBYVU&amp;VAR:QUERY=RkZfRUJJVERBX09QRVIoQU5OX1IsNDA2NDEsLCwsKQ==&amp;WINDOW=FIRST_POPUP&amp;HEIGHT=450&amp;WIDTH=450&amp;","START_MAXIMIZED=FALSE&amp;VAR:CALENDAR=FIVEDAY&amp;VAR:SYMBOL=312748&amp;VAR:INDEX=0"}</definedName>
    <definedName name="_3498__FDSAUDITLINK__" localSheetId="27">{"fdsup://directions/FAT Viewer?action=UPDATE&amp;creator=factset&amp;DYN_ARGS=TRUE&amp;DOC_NAME=FAT:FQL_AUDITING_CLIENT_TEMPLATE.FAT&amp;display_string=Audit&amp;VAR:KEY=ROPGVYBYVU&amp;VAR:QUERY=RkZfRUJJVERBX09QRVIoQU5OX1IsNDA2NDEsLCwsKQ==&amp;WINDOW=FIRST_POPUP&amp;HEIGHT=450&amp;WIDTH=450&amp;","START_MAXIMIZED=FALSE&amp;VAR:CALENDAR=FIVEDAY&amp;VAR:SYMBOL=312748&amp;VAR:INDEX=0"}</definedName>
    <definedName name="_3499__FDSAUDITLINK__" localSheetId="34">{"fdsup://directions/FAT Viewer?action=UPDATE&amp;creator=factset&amp;DYN_ARGS=TRUE&amp;DOC_NAME=FAT:FQL_AUDITING_CLIENT_TEMPLATE.FAT&amp;display_string=Audit&amp;VAR:KEY=HONYRIPAZC&amp;VAR:QUERY=RkZfRUJJVERBX09QRVIoQU5OX1IsNDA2NDEtMVksLCwsKQ==&amp;WINDOW=FIRST_POPUP&amp;HEIGHT=450&amp;WIDTH=","450&amp;START_MAXIMIZED=FALSE&amp;VAR:CALENDAR=FIVEDAY&amp;VAR:SYMBOL=312748&amp;VAR:INDEX=0"}</definedName>
    <definedName name="_3499__FDSAUDITLINK__" localSheetId="27">{"fdsup://directions/FAT Viewer?action=UPDATE&amp;creator=factset&amp;DYN_ARGS=TRUE&amp;DOC_NAME=FAT:FQL_AUDITING_CLIENT_TEMPLATE.FAT&amp;display_string=Audit&amp;VAR:KEY=HONYRIPAZC&amp;VAR:QUERY=RkZfRUJJVERBX09QRVIoQU5OX1IsNDA2NDEtMVksLCwsKQ==&amp;WINDOW=FIRST_POPUP&amp;HEIGHT=450&amp;WIDTH=","450&amp;START_MAXIMIZED=FALSE&amp;VAR:CALENDAR=FIVEDAY&amp;VAR:SYMBOL=312748&amp;VAR:INDEX=0"}</definedName>
    <definedName name="_3500__FDSAUDITLINK__" localSheetId="34">{"fdsup://directions/FAT Viewer?action=UPDATE&amp;creator=factset&amp;DYN_ARGS=TRUE&amp;DOC_NAME=FAT:FQL_AUDITING_CLIENT_TEMPLATE.FAT&amp;display_string=Audit&amp;VAR:KEY=LEVUPULGDO&amp;VAR:QUERY=RkZfRUJJVERBX09QRVIoQU5OX1IsNDA2NDEtMlksLCwsKQ==&amp;WINDOW=FIRST_POPUP&amp;HEIGHT=450&amp;WIDTH=","450&amp;START_MAXIMIZED=FALSE&amp;VAR:CALENDAR=FIVEDAY&amp;VAR:SYMBOL=312748&amp;VAR:INDEX=0"}</definedName>
    <definedName name="_3500__FDSAUDITLINK__" localSheetId="27">{"fdsup://directions/FAT Viewer?action=UPDATE&amp;creator=factset&amp;DYN_ARGS=TRUE&amp;DOC_NAME=FAT:FQL_AUDITING_CLIENT_TEMPLATE.FAT&amp;display_string=Audit&amp;VAR:KEY=LEVUPULGDO&amp;VAR:QUERY=RkZfRUJJVERBX09QRVIoQU5OX1IsNDA2NDEtMlksLCwsKQ==&amp;WINDOW=FIRST_POPUP&amp;HEIGHT=450&amp;WIDTH=","450&amp;START_MAXIMIZED=FALSE&amp;VAR:CALENDAR=FIVEDAY&amp;VAR:SYMBOL=312748&amp;VAR:INDEX=0"}</definedName>
    <definedName name="_3501__FDSAUDITLINK__" localSheetId="34">{"fdsup://directions/FAT Viewer?action=UPDATE&amp;creator=factset&amp;DYN_ARGS=TRUE&amp;DOC_NAME=FAT:FQL_AUDITING_CLIENT_TEMPLATE.FAT&amp;display_string=Audit&amp;VAR:KEY=JIHUDOBCVE&amp;VAR:QUERY=RkZfRUJJVERBX09QRVIoQU5OX1IsNDA2NDEtM1ksLCwsKQ==&amp;WINDOW=FIRST_POPUP&amp;HEIGHT=450&amp;WIDTH=","450&amp;START_MAXIMIZED=FALSE&amp;VAR:CALENDAR=FIVEDAY&amp;VAR:SYMBOL=312748&amp;VAR:INDEX=0"}</definedName>
    <definedName name="_3501__FDSAUDITLINK__" localSheetId="27">{"fdsup://directions/FAT Viewer?action=UPDATE&amp;creator=factset&amp;DYN_ARGS=TRUE&amp;DOC_NAME=FAT:FQL_AUDITING_CLIENT_TEMPLATE.FAT&amp;display_string=Audit&amp;VAR:KEY=JIHUDOBCVE&amp;VAR:QUERY=RkZfRUJJVERBX09QRVIoQU5OX1IsNDA2NDEtM1ksLCwsKQ==&amp;WINDOW=FIRST_POPUP&amp;HEIGHT=450&amp;WIDTH=","450&amp;START_MAXIMIZED=FALSE&amp;VAR:CALENDAR=FIVEDAY&amp;VAR:SYMBOL=312748&amp;VAR:INDEX=0"}</definedName>
    <definedName name="_3502__FDSAUDITLINK__" localSheetId="34">{"fdsup://directions/FAT Viewer?action=UPDATE&amp;creator=factset&amp;DYN_ARGS=TRUE&amp;DOC_NAME=FAT:FQL_AUDITING_CLIENT_TEMPLATE.FAT&amp;display_string=Audit&amp;VAR:KEY=VUHETAVMZW&amp;VAR:QUERY=RkZfRUJJVERBX09QRVIoQU5OX1IsNDA2NDEtNFksLCwsKQ==&amp;WINDOW=FIRST_POPUP&amp;HEIGHT=450&amp;WIDTH=","450&amp;START_MAXIMIZED=FALSE&amp;VAR:CALENDAR=FIVEDAY&amp;VAR:SYMBOL=312748&amp;VAR:INDEX=0"}</definedName>
    <definedName name="_3502__FDSAUDITLINK__" localSheetId="27">{"fdsup://directions/FAT Viewer?action=UPDATE&amp;creator=factset&amp;DYN_ARGS=TRUE&amp;DOC_NAME=FAT:FQL_AUDITING_CLIENT_TEMPLATE.FAT&amp;display_string=Audit&amp;VAR:KEY=VUHETAVMZW&amp;VAR:QUERY=RkZfRUJJVERBX09QRVIoQU5OX1IsNDA2NDEtNFksLCwsKQ==&amp;WINDOW=FIRST_POPUP&amp;HEIGHT=450&amp;WIDTH=","450&amp;START_MAXIMIZED=FALSE&amp;VAR:CALENDAR=FIVEDAY&amp;VAR:SYMBOL=312748&amp;VAR:INDEX=0"}</definedName>
    <definedName name="_3503__FDSAUDITLINK__" localSheetId="34">{"fdsup://Directions/FactSet Auditing Viewer?action=AUDIT_VALUE&amp;DB=129&amp;ID1=312748&amp;VALUEID=01151&amp;SDATE=2009&amp;PERIODTYPE=ANNR_STD&amp;SCFT=3&amp;window=popup_no_bar&amp;width=385&amp;height=120&amp;START_MAXIMIZED=FALSE&amp;creator=factset&amp;display_string=Audit"}</definedName>
    <definedName name="_3503__FDSAUDITLINK__" localSheetId="27">{"fdsup://Directions/FactSet Auditing Viewer?action=AUDIT_VALUE&amp;DB=129&amp;ID1=312748&amp;VALUEID=01151&amp;SDATE=2009&amp;PERIODTYPE=ANNR_STD&amp;SCFT=3&amp;window=popup_no_bar&amp;width=385&amp;height=120&amp;START_MAXIMIZED=FALSE&amp;creator=factset&amp;display_string=Audit"}</definedName>
    <definedName name="_3504__FDSAUDITLINK__" localSheetId="34">{"fdsup://Directions/FactSet Auditing Viewer?action=AUDIT_VALUE&amp;DB=129&amp;ID1=312748&amp;VALUEID=01151&amp;SDATE=2008&amp;PERIODTYPE=ANNR_STD&amp;SCFT=3&amp;window=popup_no_bar&amp;width=385&amp;height=120&amp;START_MAXIMIZED=FALSE&amp;creator=factset&amp;display_string=Audit"}</definedName>
    <definedName name="_3504__FDSAUDITLINK__" localSheetId="27">{"fdsup://Directions/FactSet Auditing Viewer?action=AUDIT_VALUE&amp;DB=129&amp;ID1=312748&amp;VALUEID=01151&amp;SDATE=2008&amp;PERIODTYPE=ANNR_STD&amp;SCFT=3&amp;window=popup_no_bar&amp;width=385&amp;height=120&amp;START_MAXIMIZED=FALSE&amp;creator=factset&amp;display_string=Audit"}</definedName>
    <definedName name="_3505__FDSAUDITLINK__" localSheetId="34">{"fdsup://Directions/FactSet Auditing Viewer?action=AUDIT_VALUE&amp;DB=129&amp;ID1=312748&amp;VALUEID=04049&amp;SDATE=2008&amp;PERIODTYPE=ANNR_STD&amp;SCFT=3&amp;window=popup_no_bar&amp;width=385&amp;height=120&amp;START_MAXIMIZED=FALSE&amp;creator=factset&amp;display_string=Audit"}</definedName>
    <definedName name="_3505__FDSAUDITLINK__" localSheetId="27">{"fdsup://Directions/FactSet Auditing Viewer?action=AUDIT_VALUE&amp;DB=129&amp;ID1=312748&amp;VALUEID=04049&amp;SDATE=2008&amp;PERIODTYPE=ANNR_STD&amp;SCFT=3&amp;window=popup_no_bar&amp;width=385&amp;height=120&amp;START_MAXIMIZED=FALSE&amp;creator=factset&amp;display_string=Audit"}</definedName>
    <definedName name="_3506__FDSAUDITLINK__" localSheetId="34">{"fdsup://Directions/FactSet Auditing Viewer?action=AUDIT_VALUE&amp;DB=129&amp;ID1=312748&amp;VALUEID=01151&amp;SDATE=2007&amp;PERIODTYPE=ANNR_STD&amp;SCFT=3&amp;window=popup_no_bar&amp;width=385&amp;height=120&amp;START_MAXIMIZED=FALSE&amp;creator=factset&amp;display_string=Audit"}</definedName>
    <definedName name="_3506__FDSAUDITLINK__" localSheetId="27">{"fdsup://Directions/FactSet Auditing Viewer?action=AUDIT_VALUE&amp;DB=129&amp;ID1=312748&amp;VALUEID=01151&amp;SDATE=2007&amp;PERIODTYPE=ANNR_STD&amp;SCFT=3&amp;window=popup_no_bar&amp;width=385&amp;height=120&amp;START_MAXIMIZED=FALSE&amp;creator=factset&amp;display_string=Audit"}</definedName>
    <definedName name="_3507__FDSAUDITLINK__" localSheetId="34">{"fdsup://Directions/FactSet Auditing Viewer?action=AUDIT_VALUE&amp;DB=129&amp;ID1=312748&amp;VALUEID=04049&amp;SDATE=2007&amp;PERIODTYPE=ANNR_STD&amp;SCFT=3&amp;window=popup_no_bar&amp;width=385&amp;height=120&amp;START_MAXIMIZED=FALSE&amp;creator=factset&amp;display_string=Audit"}</definedName>
    <definedName name="_3507__FDSAUDITLINK__" localSheetId="27">{"fdsup://Directions/FactSet Auditing Viewer?action=AUDIT_VALUE&amp;DB=129&amp;ID1=312748&amp;VALUEID=04049&amp;SDATE=2007&amp;PERIODTYPE=ANNR_STD&amp;SCFT=3&amp;window=popup_no_bar&amp;width=385&amp;height=120&amp;START_MAXIMIZED=FALSE&amp;creator=factset&amp;display_string=Audit"}</definedName>
    <definedName name="_3508__FDSAUDITLINK__" localSheetId="34">{"fdsup://Directions/FactSet Auditing Viewer?action=AUDIT_VALUE&amp;DB=129&amp;ID1=312748&amp;VALUEID=04050&amp;SDATE=2008&amp;PERIODTYPE=ANNR_STD&amp;SCFT=3&amp;window=popup_no_bar&amp;width=385&amp;height=120&amp;START_MAXIMIZED=FALSE&amp;creator=factset&amp;display_string=Audit"}</definedName>
    <definedName name="_3508__FDSAUDITLINK__" localSheetId="27">{"fdsup://Directions/FactSet Auditing Viewer?action=AUDIT_VALUE&amp;DB=129&amp;ID1=312748&amp;VALUEID=04050&amp;SDATE=2008&amp;PERIODTYPE=ANNR_STD&amp;SCFT=3&amp;window=popup_no_bar&amp;width=385&amp;height=120&amp;START_MAXIMIZED=FALSE&amp;creator=factset&amp;display_string=Audit"}</definedName>
    <definedName name="_3509__FDSAUDITLINK__" localSheetId="34">{"fdsup://Directions/FactSet Auditing Viewer?action=AUDIT_VALUE&amp;DB=129&amp;ID1=312748&amp;VALUEID=04050&amp;SDATE=2007&amp;PERIODTYPE=ANNR_STD&amp;SCFT=3&amp;window=popup_no_bar&amp;width=385&amp;height=120&amp;START_MAXIMIZED=FALSE&amp;creator=factset&amp;display_string=Audit"}</definedName>
    <definedName name="_3509__FDSAUDITLINK__" localSheetId="27">{"fdsup://Directions/FactSet Auditing Viewer?action=AUDIT_VALUE&amp;DB=129&amp;ID1=312748&amp;VALUEID=04050&amp;SDATE=2007&amp;PERIODTYPE=ANNR_STD&amp;SCFT=3&amp;window=popup_no_bar&amp;width=385&amp;height=120&amp;START_MAXIMIZED=FALSE&amp;creator=factset&amp;display_string=Audit"}</definedName>
    <definedName name="_3510__FDSAUDITLINK__" localSheetId="34">{"fdsup://directions/FAT Viewer?action=UPDATE&amp;creator=factset&amp;DYN_ARGS=TRUE&amp;DOC_NAME=FAT:FQL_AUDITING_CLIENT_TEMPLATE.FAT&amp;display_string=Audit&amp;VAR:KEY=SLYDWJKPKB&amp;VAR:QUERY=RkZfSU1QQUlSX1BQRShBTk5fUiw0MDY0MSwsLFJGLCk=&amp;WINDOW=FIRST_POPUP&amp;HEIGHT=450&amp;WIDTH=450&amp;","START_MAXIMIZED=FALSE&amp;VAR:CALENDAR=FIVEDAY&amp;VAR:SYMBOL=312748&amp;VAR:INDEX=0"}</definedName>
    <definedName name="_3510__FDSAUDITLINK__" localSheetId="27">{"fdsup://directions/FAT Viewer?action=UPDATE&amp;creator=factset&amp;DYN_ARGS=TRUE&amp;DOC_NAME=FAT:FQL_AUDITING_CLIENT_TEMPLATE.FAT&amp;display_string=Audit&amp;VAR:KEY=SLYDWJKPKB&amp;VAR:QUERY=RkZfSU1QQUlSX1BQRShBTk5fUiw0MDY0MSwsLFJGLCk=&amp;WINDOW=FIRST_POPUP&amp;HEIGHT=450&amp;WIDTH=450&amp;","START_MAXIMIZED=FALSE&amp;VAR:CALENDAR=FIVEDAY&amp;VAR:SYMBOL=312748&amp;VAR:INDEX=0"}</definedName>
    <definedName name="_3511__FDSAUDITLINK__" localSheetId="34">{"fdsup://directions/FAT Viewer?action=UPDATE&amp;creator=factset&amp;DYN_ARGS=TRUE&amp;DOC_NAME=FAT:FQL_AUDITING_CLIENT_TEMPLATE.FAT&amp;display_string=Audit&amp;VAR:KEY=WBMFAZUVOJ&amp;VAR:QUERY=RkZfSU1QQUlSX1BQRShBTk5fUiw0MDY0MS0xWSwsLFJGLCk=&amp;WINDOW=FIRST_POPUP&amp;HEIGHT=450&amp;WIDTH=","450&amp;START_MAXIMIZED=FALSE&amp;VAR:CALENDAR=FIVEDAY&amp;VAR:SYMBOL=312748&amp;VAR:INDEX=0"}</definedName>
    <definedName name="_3511__FDSAUDITLINK__" localSheetId="27">{"fdsup://directions/FAT Viewer?action=UPDATE&amp;creator=factset&amp;DYN_ARGS=TRUE&amp;DOC_NAME=FAT:FQL_AUDITING_CLIENT_TEMPLATE.FAT&amp;display_string=Audit&amp;VAR:KEY=WBMFAZUVOJ&amp;VAR:QUERY=RkZfSU1QQUlSX1BQRShBTk5fUiw0MDY0MS0xWSwsLFJGLCk=&amp;WINDOW=FIRST_POPUP&amp;HEIGHT=450&amp;WIDTH=","450&amp;START_MAXIMIZED=FALSE&amp;VAR:CALENDAR=FIVEDAY&amp;VAR:SYMBOL=312748&amp;VAR:INDEX=0"}</definedName>
    <definedName name="_3512__FDSAUDITLINK__" localSheetId="34">{"fdsup://directions/FAT Viewer?action=UPDATE&amp;creator=factset&amp;DYN_ARGS=TRUE&amp;DOC_NAME=FAT:FQL_AUDITING_CLIENT_TEMPLATE.FAT&amp;display_string=Audit&amp;VAR:KEY=EFEXUTSTCJ&amp;VAR:QUERY=RkZfSU1QQUlSX1BQRShBTk5fUiw0MDY0MS0yWSwsLFJGLCk=&amp;WINDOW=FIRST_POPUP&amp;HEIGHT=450&amp;WIDTH=","450&amp;START_MAXIMIZED=FALSE&amp;VAR:CALENDAR=FIVEDAY&amp;VAR:SYMBOL=312748&amp;VAR:INDEX=0"}</definedName>
    <definedName name="_3512__FDSAUDITLINK__" localSheetId="27">{"fdsup://directions/FAT Viewer?action=UPDATE&amp;creator=factset&amp;DYN_ARGS=TRUE&amp;DOC_NAME=FAT:FQL_AUDITING_CLIENT_TEMPLATE.FAT&amp;display_string=Audit&amp;VAR:KEY=EFEXUTSTCJ&amp;VAR:QUERY=RkZfSU1QQUlSX1BQRShBTk5fUiw0MDY0MS0yWSwsLFJGLCk=&amp;WINDOW=FIRST_POPUP&amp;HEIGHT=450&amp;WIDTH=","450&amp;START_MAXIMIZED=FALSE&amp;VAR:CALENDAR=FIVEDAY&amp;VAR:SYMBOL=312748&amp;VAR:INDEX=0"}</definedName>
    <definedName name="_3513__FDSAUDITLINK__" localSheetId="34">{"fdsup://directions/FAT Viewer?action=UPDATE&amp;creator=factset&amp;DYN_ARGS=TRUE&amp;DOC_NAME=FAT:FQL_AUDITING_CLIENT_TEMPLATE.FAT&amp;display_string=Audit&amp;VAR:KEY=ADANOLSNEP&amp;VAR:QUERY=RkZfSU1QQUlSX1BQRShBTk5fUiw0MDY0MS0zWSwsLFJGLCk=&amp;WINDOW=FIRST_POPUP&amp;HEIGHT=450&amp;WIDTH=","450&amp;START_MAXIMIZED=FALSE&amp;VAR:CALENDAR=FIVEDAY&amp;VAR:SYMBOL=312748&amp;VAR:INDEX=0"}</definedName>
    <definedName name="_3513__FDSAUDITLINK__" localSheetId="27">{"fdsup://directions/FAT Viewer?action=UPDATE&amp;creator=factset&amp;DYN_ARGS=TRUE&amp;DOC_NAME=FAT:FQL_AUDITING_CLIENT_TEMPLATE.FAT&amp;display_string=Audit&amp;VAR:KEY=ADANOLSNEP&amp;VAR:QUERY=RkZfSU1QQUlSX1BQRShBTk5fUiw0MDY0MS0zWSwsLFJGLCk=&amp;WINDOW=FIRST_POPUP&amp;HEIGHT=450&amp;WIDTH=","450&amp;START_MAXIMIZED=FALSE&amp;VAR:CALENDAR=FIVEDAY&amp;VAR:SYMBOL=312748&amp;VAR:INDEX=0"}</definedName>
    <definedName name="_3514__FDSAUDITLINK__" localSheetId="34">{"fdsup://directions/FAT Viewer?action=UPDATE&amp;creator=factset&amp;DYN_ARGS=TRUE&amp;DOC_NAME=FAT:FQL_AUDITING_CLIENT_TEMPLATE.FAT&amp;display_string=Audit&amp;VAR:KEY=SVEDUNKHUB&amp;VAR:QUERY=RkZfSU1QQUlSX1BQRShBTk5fUiw0MDY0MS00WSwsLFJGLCk=&amp;WINDOW=FIRST_POPUP&amp;HEIGHT=450&amp;WIDTH=","450&amp;START_MAXIMIZED=FALSE&amp;VAR:CALENDAR=FIVEDAY&amp;VAR:SYMBOL=312748&amp;VAR:INDEX=0"}</definedName>
    <definedName name="_3514__FDSAUDITLINK__" localSheetId="27">{"fdsup://directions/FAT Viewer?action=UPDATE&amp;creator=factset&amp;DYN_ARGS=TRUE&amp;DOC_NAME=FAT:FQL_AUDITING_CLIENT_TEMPLATE.FAT&amp;display_string=Audit&amp;VAR:KEY=SVEDUNKHUB&amp;VAR:QUERY=RkZfSU1QQUlSX1BQRShBTk5fUiw0MDY0MS00WSwsLFJGLCk=&amp;WINDOW=FIRST_POPUP&amp;HEIGHT=450&amp;WIDTH=","450&amp;START_MAXIMIZED=FALSE&amp;VAR:CALENDAR=FIVEDAY&amp;VAR:SYMBOL=312748&amp;VAR:INDEX=0"}</definedName>
    <definedName name="_3515__FDSAUDITLINK__" localSheetId="34">{"fdsup://directions/FAT Viewer?action=UPDATE&amp;creator=factset&amp;DYN_ARGS=TRUE&amp;DOC_NAME=FAT:FQL_AUDITING_CLIENT_TEMPLATE.FAT&amp;display_string=Audit&amp;VAR:KEY=WHELEXCFSN&amp;VAR:QUERY=RkZfRklOX0FTU0VUU19JTVBBSVIoQU5OX1IsNDA2NDEsLCxSRiwp&amp;WINDOW=FIRST_POPUP&amp;HEIGHT=450&amp;WI","DTH=450&amp;START_MAXIMIZED=FALSE&amp;VAR:CALENDAR=FIVEDAY&amp;VAR:SYMBOL=312748&amp;VAR:INDEX=0"}</definedName>
    <definedName name="_3515__FDSAUDITLINK__" localSheetId="27">{"fdsup://directions/FAT Viewer?action=UPDATE&amp;creator=factset&amp;DYN_ARGS=TRUE&amp;DOC_NAME=FAT:FQL_AUDITING_CLIENT_TEMPLATE.FAT&amp;display_string=Audit&amp;VAR:KEY=WHELEXCFSN&amp;VAR:QUERY=RkZfRklOX0FTU0VUU19JTVBBSVIoQU5OX1IsNDA2NDEsLCxSRiwp&amp;WINDOW=FIRST_POPUP&amp;HEIGHT=450&amp;WI","DTH=450&amp;START_MAXIMIZED=FALSE&amp;VAR:CALENDAR=FIVEDAY&amp;VAR:SYMBOL=312748&amp;VAR:INDEX=0"}</definedName>
    <definedName name="_3516__FDSAUDITLINK__" localSheetId="34">{"fdsup://directions/FAT Viewer?action=UPDATE&amp;creator=factset&amp;DYN_ARGS=TRUE&amp;DOC_NAME=FAT:FQL_AUDITING_CLIENT_TEMPLATE.FAT&amp;display_string=Audit&amp;VAR:KEY=ONYPALWNKV&amp;VAR:QUERY=RkZfRklOX0FTU0VUU19JTVBBSVIoQU5OX1IsNDA2NDEtMVksLCxSRiwp&amp;WINDOW=FIRST_POPUP&amp;HEIGHT=45","0&amp;WIDTH=450&amp;START_MAXIMIZED=FALSE&amp;VAR:CALENDAR=FIVEDAY&amp;VAR:SYMBOL=312748&amp;VAR:INDEX=0"}</definedName>
    <definedName name="_3516__FDSAUDITLINK__" localSheetId="27">{"fdsup://directions/FAT Viewer?action=UPDATE&amp;creator=factset&amp;DYN_ARGS=TRUE&amp;DOC_NAME=FAT:FQL_AUDITING_CLIENT_TEMPLATE.FAT&amp;display_string=Audit&amp;VAR:KEY=ONYPALWNKV&amp;VAR:QUERY=RkZfRklOX0FTU0VUU19JTVBBSVIoQU5OX1IsNDA2NDEtMVksLCxSRiwp&amp;WINDOW=FIRST_POPUP&amp;HEIGHT=45","0&amp;WIDTH=450&amp;START_MAXIMIZED=FALSE&amp;VAR:CALENDAR=FIVEDAY&amp;VAR:SYMBOL=312748&amp;VAR:INDEX=0"}</definedName>
    <definedName name="_3517__FDSAUDITLINK__" localSheetId="34">{"fdsup://directions/FAT Viewer?action=UPDATE&amp;creator=factset&amp;DYN_ARGS=TRUE&amp;DOC_NAME=FAT:FQL_AUDITING_CLIENT_TEMPLATE.FAT&amp;display_string=Audit&amp;VAR:KEY=SXSRWNUVGJ&amp;VAR:QUERY=RkZfRklOX0FTU0VUU19JTVBBSVIoQU5OX1IsNDA2NDEtMlksLCxSRiwp&amp;WINDOW=FIRST_POPUP&amp;HEIGHT=45","0&amp;WIDTH=450&amp;START_MAXIMIZED=FALSE&amp;VAR:CALENDAR=FIVEDAY&amp;VAR:SYMBOL=312748&amp;VAR:INDEX=0"}</definedName>
    <definedName name="_3517__FDSAUDITLINK__" localSheetId="27">{"fdsup://directions/FAT Viewer?action=UPDATE&amp;creator=factset&amp;DYN_ARGS=TRUE&amp;DOC_NAME=FAT:FQL_AUDITING_CLIENT_TEMPLATE.FAT&amp;display_string=Audit&amp;VAR:KEY=SXSRWNUVGJ&amp;VAR:QUERY=RkZfRklOX0FTU0VUU19JTVBBSVIoQU5OX1IsNDA2NDEtMlksLCxSRiwp&amp;WINDOW=FIRST_POPUP&amp;HEIGHT=45","0&amp;WIDTH=450&amp;START_MAXIMIZED=FALSE&amp;VAR:CALENDAR=FIVEDAY&amp;VAR:SYMBOL=312748&amp;VAR:INDEX=0"}</definedName>
    <definedName name="_3518__FDSAUDITLINK__" localSheetId="34">{"fdsup://directions/FAT Viewer?action=UPDATE&amp;creator=factset&amp;DYN_ARGS=TRUE&amp;DOC_NAME=FAT:FQL_AUDITING_CLIENT_TEMPLATE.FAT&amp;display_string=Audit&amp;VAR:KEY=SXEZYZWFCT&amp;VAR:QUERY=RkZfRklOX0FTU0VUU19JTVBBSVIoQU5OX1IsNDA2NDEtM1ksLCxSRiwp&amp;WINDOW=FIRST_POPUP&amp;HEIGHT=45","0&amp;WIDTH=450&amp;START_MAXIMIZED=FALSE&amp;VAR:CALENDAR=FIVEDAY&amp;VAR:SYMBOL=312748&amp;VAR:INDEX=0"}</definedName>
    <definedName name="_3518__FDSAUDITLINK__" localSheetId="27">{"fdsup://directions/FAT Viewer?action=UPDATE&amp;creator=factset&amp;DYN_ARGS=TRUE&amp;DOC_NAME=FAT:FQL_AUDITING_CLIENT_TEMPLATE.FAT&amp;display_string=Audit&amp;VAR:KEY=SXEZYZWFCT&amp;VAR:QUERY=RkZfRklOX0FTU0VUU19JTVBBSVIoQU5OX1IsNDA2NDEtM1ksLCxSRiwp&amp;WINDOW=FIRST_POPUP&amp;HEIGHT=45","0&amp;WIDTH=450&amp;START_MAXIMIZED=FALSE&amp;VAR:CALENDAR=FIVEDAY&amp;VAR:SYMBOL=312748&amp;VAR:INDEX=0"}</definedName>
    <definedName name="_3519__FDSAUDITLINK__" localSheetId="34">{"fdsup://directions/FAT Viewer?action=UPDATE&amp;creator=factset&amp;DYN_ARGS=TRUE&amp;DOC_NAME=FAT:FQL_AUDITING_CLIENT_TEMPLATE.FAT&amp;display_string=Audit&amp;VAR:KEY=AZQPOZENGN&amp;VAR:QUERY=RkZfRklOX0FTU0VUU19JTVBBSVIoQU5OX1IsNDA2NDEtNFksLCxSRiwp&amp;WINDOW=FIRST_POPUP&amp;HEIGHT=45","0&amp;WIDTH=450&amp;START_MAXIMIZED=FALSE&amp;VAR:CALENDAR=FIVEDAY&amp;VAR:SYMBOL=312748&amp;VAR:INDEX=0"}</definedName>
    <definedName name="_3519__FDSAUDITLINK__" localSheetId="27">{"fdsup://directions/FAT Viewer?action=UPDATE&amp;creator=factset&amp;DYN_ARGS=TRUE&amp;DOC_NAME=FAT:FQL_AUDITING_CLIENT_TEMPLATE.FAT&amp;display_string=Audit&amp;VAR:KEY=AZQPOZENGN&amp;VAR:QUERY=RkZfRklOX0FTU0VUU19JTVBBSVIoQU5OX1IsNDA2NDEtNFksLCxSRiwp&amp;WINDOW=FIRST_POPUP&amp;HEIGHT=45","0&amp;WIDTH=450&amp;START_MAXIMIZED=FALSE&amp;VAR:CALENDAR=FIVEDAY&amp;VAR:SYMBOL=312748&amp;VAR:INDEX=0"}</definedName>
    <definedName name="_3520__FDSAUDITLINK__" localSheetId="34">{"fdsup://Directions/FactSet Auditing Viewer?action=AUDIT_VALUE&amp;DB=129&amp;ID1=312748&amp;VALUEID=04601&amp;SDATE=2008&amp;PERIODTYPE=ANNR_STD&amp;SCFT=3&amp;window=popup_no_bar&amp;width=385&amp;height=120&amp;START_MAXIMIZED=FALSE&amp;creator=factset&amp;display_string=Audit"}</definedName>
    <definedName name="_3520__FDSAUDITLINK__" localSheetId="27">{"fdsup://Directions/FactSet Auditing Viewer?action=AUDIT_VALUE&amp;DB=129&amp;ID1=312748&amp;VALUEID=04601&amp;SDATE=2008&amp;PERIODTYPE=ANNR_STD&amp;SCFT=3&amp;window=popup_no_bar&amp;width=385&amp;height=120&amp;START_MAXIMIZED=FALSE&amp;creator=factset&amp;display_string=Audit"}</definedName>
    <definedName name="_3521__FDSAUDITLINK__" localSheetId="34">{"fdsup://Directions/FactSet Auditing Viewer?action=AUDIT_VALUE&amp;DB=129&amp;ID1=312748&amp;VALUEID=04601&amp;SDATE=2007&amp;PERIODTYPE=ANNR_STD&amp;SCFT=3&amp;window=popup_no_bar&amp;width=385&amp;height=120&amp;START_MAXIMIZED=FALSE&amp;creator=factset&amp;display_string=Audit"}</definedName>
    <definedName name="_3521__FDSAUDITLINK__" localSheetId="27">{"fdsup://Directions/FactSet Auditing Viewer?action=AUDIT_VALUE&amp;DB=129&amp;ID1=312748&amp;VALUEID=04601&amp;SDATE=2007&amp;PERIODTYPE=ANNR_STD&amp;SCFT=3&amp;window=popup_no_bar&amp;width=385&amp;height=120&amp;START_MAXIMIZED=FALSE&amp;creator=factset&amp;display_string=Audit"}</definedName>
    <definedName name="_3522__FDSAUDITLINK__" localSheetId="34">{"fdsup://Directions/FactSet Auditing Viewer?action=AUDIT_VALUE&amp;DB=129&amp;ID1=312748&amp;VALUEID=02201&amp;SDATE=2009&amp;PERIODTYPE=ANNR_STD&amp;SCFT=3&amp;window=popup_no_bar&amp;width=385&amp;height=120&amp;START_MAXIMIZED=FALSE&amp;creator=factset&amp;display_string=Audit"}</definedName>
    <definedName name="_3522__FDSAUDITLINK__" localSheetId="27">{"fdsup://Directions/FactSet Auditing Viewer?action=AUDIT_VALUE&amp;DB=129&amp;ID1=312748&amp;VALUEID=02201&amp;SDATE=2009&amp;PERIODTYPE=ANNR_STD&amp;SCFT=3&amp;window=popup_no_bar&amp;width=385&amp;height=120&amp;START_MAXIMIZED=FALSE&amp;creator=factset&amp;display_string=Audit"}</definedName>
    <definedName name="_3523__FDSAUDITLINK__" localSheetId="34">{"fdsup://Directions/FactSet Auditing Viewer?action=AUDIT_VALUE&amp;DB=129&amp;ID1=312748&amp;VALUEID=02201&amp;SDATE=2008&amp;PERIODTYPE=ANNR_STD&amp;SCFT=3&amp;window=popup_no_bar&amp;width=385&amp;height=120&amp;START_MAXIMIZED=FALSE&amp;creator=factset&amp;display_string=Audit"}</definedName>
    <definedName name="_3523__FDSAUDITLINK__" localSheetId="27">{"fdsup://Directions/FactSet Auditing Viewer?action=AUDIT_VALUE&amp;DB=129&amp;ID1=312748&amp;VALUEID=02201&amp;SDATE=2008&amp;PERIODTYPE=ANNR_STD&amp;SCFT=3&amp;window=popup_no_bar&amp;width=385&amp;height=120&amp;START_MAXIMIZED=FALSE&amp;creator=factset&amp;display_string=Audit"}</definedName>
    <definedName name="_3524__FDSAUDITLINK__" localSheetId="34">{"fdsup://Directions/FactSet Auditing Viewer?action=AUDIT_VALUE&amp;DB=129&amp;ID1=312748&amp;VALUEID=02201&amp;SDATE=2007&amp;PERIODTYPE=ANNR_STD&amp;SCFT=3&amp;window=popup_no_bar&amp;width=385&amp;height=120&amp;START_MAXIMIZED=FALSE&amp;creator=factset&amp;display_string=Audit"}</definedName>
    <definedName name="_3524__FDSAUDITLINK__" localSheetId="27">{"fdsup://Directions/FactSet Auditing Viewer?action=AUDIT_VALUE&amp;DB=129&amp;ID1=312748&amp;VALUEID=02201&amp;SDATE=2007&amp;PERIODTYPE=ANNR_STD&amp;SCFT=3&amp;window=popup_no_bar&amp;width=385&amp;height=120&amp;START_MAXIMIZED=FALSE&amp;creator=factset&amp;display_string=Audit"}</definedName>
    <definedName name="_3525__FDSAUDITLINK__" localSheetId="34">{"fdsup://Directions/FactSet Auditing Viewer?action=AUDIT_VALUE&amp;DB=129&amp;ID1=312748&amp;VALUEID=02001&amp;SDATE=2009&amp;PERIODTYPE=ANNR_STD&amp;SCFT=3&amp;window=popup_no_bar&amp;width=385&amp;height=120&amp;START_MAXIMIZED=FALSE&amp;creator=factset&amp;display_string=Audit"}</definedName>
    <definedName name="_3525__FDSAUDITLINK__" localSheetId="27">{"fdsup://Directions/FactSet Auditing Viewer?action=AUDIT_VALUE&amp;DB=129&amp;ID1=312748&amp;VALUEID=02001&amp;SDATE=2009&amp;PERIODTYPE=ANNR_STD&amp;SCFT=3&amp;window=popup_no_bar&amp;width=385&amp;height=120&amp;START_MAXIMIZED=FALSE&amp;creator=factset&amp;display_string=Audit"}</definedName>
    <definedName name="_3526__FDSAUDITLINK__" localSheetId="34">{"fdsup://Directions/FactSet Auditing Viewer?action=AUDIT_VALUE&amp;DB=129&amp;ID1=312748&amp;VALUEID=02001&amp;SDATE=2008&amp;PERIODTYPE=ANNR_STD&amp;SCFT=3&amp;window=popup_no_bar&amp;width=385&amp;height=120&amp;START_MAXIMIZED=FALSE&amp;creator=factset&amp;display_string=Audit"}</definedName>
    <definedName name="_3526__FDSAUDITLINK__" localSheetId="27">{"fdsup://Directions/FactSet Auditing Viewer?action=AUDIT_VALUE&amp;DB=129&amp;ID1=312748&amp;VALUEID=02001&amp;SDATE=2008&amp;PERIODTYPE=ANNR_STD&amp;SCFT=3&amp;window=popup_no_bar&amp;width=385&amp;height=120&amp;START_MAXIMIZED=FALSE&amp;creator=factset&amp;display_string=Audit"}</definedName>
    <definedName name="_3527__FDSAUDITLINK__" localSheetId="34">{"fdsup://Directions/FactSet Auditing Viewer?action=AUDIT_VALUE&amp;DB=129&amp;ID1=312748&amp;VALUEID=02001&amp;SDATE=2007&amp;PERIODTYPE=ANNR_STD&amp;SCFT=3&amp;window=popup_no_bar&amp;width=385&amp;height=120&amp;START_MAXIMIZED=FALSE&amp;creator=factset&amp;display_string=Audit"}</definedName>
    <definedName name="_3527__FDSAUDITLINK__" localSheetId="27">{"fdsup://Directions/FactSet Auditing Viewer?action=AUDIT_VALUE&amp;DB=129&amp;ID1=312748&amp;VALUEID=02001&amp;SDATE=2007&amp;PERIODTYPE=ANNR_STD&amp;SCFT=3&amp;window=popup_no_bar&amp;width=385&amp;height=120&amp;START_MAXIMIZED=FALSE&amp;creator=factset&amp;display_string=Audit"}</definedName>
    <definedName name="_3528__FDSAUDITLINK__" localSheetId="34">{"fdsup://Directions/FactSet Auditing Viewer?action=AUDIT_VALUE&amp;DB=129&amp;ID1=312748&amp;VALUEID=03101&amp;SDATE=2009&amp;PERIODTYPE=ANNR_STD&amp;SCFT=3&amp;window=popup_no_bar&amp;width=385&amp;height=120&amp;START_MAXIMIZED=FALSE&amp;creator=factset&amp;display_string=Audit"}</definedName>
    <definedName name="_3528__FDSAUDITLINK__" localSheetId="27">{"fdsup://Directions/FactSet Auditing Viewer?action=AUDIT_VALUE&amp;DB=129&amp;ID1=312748&amp;VALUEID=03101&amp;SDATE=2009&amp;PERIODTYPE=ANNR_STD&amp;SCFT=3&amp;window=popup_no_bar&amp;width=385&amp;height=120&amp;START_MAXIMIZED=FALSE&amp;creator=factset&amp;display_string=Audit"}</definedName>
    <definedName name="_3529__FDSAUDITLINK__" localSheetId="34">{"fdsup://Directions/FactSet Auditing Viewer?action=AUDIT_VALUE&amp;DB=129&amp;ID1=312748&amp;VALUEID=03101&amp;SDATE=2008&amp;PERIODTYPE=ANNR_STD&amp;SCFT=3&amp;window=popup_no_bar&amp;width=385&amp;height=120&amp;START_MAXIMIZED=FALSE&amp;creator=factset&amp;display_string=Audit"}</definedName>
    <definedName name="_3529__FDSAUDITLINK__" localSheetId="27">{"fdsup://Directions/FactSet Auditing Viewer?action=AUDIT_VALUE&amp;DB=129&amp;ID1=312748&amp;VALUEID=03101&amp;SDATE=2008&amp;PERIODTYPE=ANNR_STD&amp;SCFT=3&amp;window=popup_no_bar&amp;width=385&amp;height=120&amp;START_MAXIMIZED=FALSE&amp;creator=factset&amp;display_string=Audit"}</definedName>
    <definedName name="_3530__FDSAUDITLINK__" localSheetId="34">{"fdsup://Directions/FactSet Auditing Viewer?action=AUDIT_VALUE&amp;DB=129&amp;ID1=312748&amp;VALUEID=03101&amp;SDATE=2007&amp;PERIODTYPE=ANNR_STD&amp;SCFT=3&amp;window=popup_no_bar&amp;width=385&amp;height=120&amp;START_MAXIMIZED=FALSE&amp;creator=factset&amp;display_string=Audit"}</definedName>
    <definedName name="_3530__FDSAUDITLINK__" localSheetId="27">{"fdsup://Directions/FactSet Auditing Viewer?action=AUDIT_VALUE&amp;DB=129&amp;ID1=312748&amp;VALUEID=03101&amp;SDATE=2007&amp;PERIODTYPE=ANNR_STD&amp;SCFT=3&amp;window=popup_no_bar&amp;width=385&amp;height=120&amp;START_MAXIMIZED=FALSE&amp;creator=factset&amp;display_string=Audit"}</definedName>
    <definedName name="_3531__FDSAUDITLINK__" localSheetId="34">{"fdsup://Directions/FactSet Auditing Viewer?action=AUDIT_VALUE&amp;DB=129&amp;ID1=312748&amp;VALUEID=03051&amp;SDATE=2009&amp;PERIODTYPE=ANNR_STD&amp;SCFT=3&amp;window=popup_no_bar&amp;width=385&amp;height=120&amp;START_MAXIMIZED=FALSE&amp;creator=factset&amp;display_string=Audit"}</definedName>
    <definedName name="_3531__FDSAUDITLINK__" localSheetId="27">{"fdsup://Directions/FactSet Auditing Viewer?action=AUDIT_VALUE&amp;DB=129&amp;ID1=312748&amp;VALUEID=03051&amp;SDATE=2009&amp;PERIODTYPE=ANNR_STD&amp;SCFT=3&amp;window=popup_no_bar&amp;width=385&amp;height=120&amp;START_MAXIMIZED=FALSE&amp;creator=factset&amp;display_string=Audit"}</definedName>
    <definedName name="_3532__FDSAUDITLINK__" localSheetId="34">{"fdsup://Directions/FactSet Auditing Viewer?action=AUDIT_VALUE&amp;DB=129&amp;ID1=312748&amp;VALUEID=03051&amp;SDATE=2008&amp;PERIODTYPE=ANNR_STD&amp;SCFT=3&amp;window=popup_no_bar&amp;width=385&amp;height=120&amp;START_MAXIMIZED=FALSE&amp;creator=factset&amp;display_string=Audit"}</definedName>
    <definedName name="_3532__FDSAUDITLINK__" localSheetId="27">{"fdsup://Directions/FactSet Auditing Viewer?action=AUDIT_VALUE&amp;DB=129&amp;ID1=312748&amp;VALUEID=03051&amp;SDATE=2008&amp;PERIODTYPE=ANNR_STD&amp;SCFT=3&amp;window=popup_no_bar&amp;width=385&amp;height=120&amp;START_MAXIMIZED=FALSE&amp;creator=factset&amp;display_string=Audit"}</definedName>
    <definedName name="_3533__FDSAUDITLINK__" localSheetId="34">{"fdsup://Directions/FactSet Auditing Viewer?action=AUDIT_VALUE&amp;DB=129&amp;ID1=312748&amp;VALUEID=03051&amp;SDATE=2007&amp;PERIODTYPE=ANNR_STD&amp;SCFT=3&amp;window=popup_no_bar&amp;width=385&amp;height=120&amp;START_MAXIMIZED=FALSE&amp;creator=factset&amp;display_string=Audit"}</definedName>
    <definedName name="_3533__FDSAUDITLINK__" localSheetId="27">{"fdsup://Directions/FactSet Auditing Viewer?action=AUDIT_VALUE&amp;DB=129&amp;ID1=312748&amp;VALUEID=03051&amp;SDATE=2007&amp;PERIODTYPE=ANNR_STD&amp;SCFT=3&amp;window=popup_no_bar&amp;width=385&amp;height=120&amp;START_MAXIMIZED=FALSE&amp;creator=factset&amp;display_string=Audit"}</definedName>
    <definedName name="_3534__FDSAUDITLINK__" localSheetId="34">{"fdsup://Directions/FactSet Auditing Viewer?action=AUDIT_VALUE&amp;DB=129&amp;ID1=312748&amp;VALUEID=18184&amp;SDATE=2009&amp;PERIODTYPE=ANNR_STD&amp;SCFT=3&amp;window=popup_no_bar&amp;width=385&amp;height=120&amp;START_MAXIMIZED=FALSE&amp;creator=factset&amp;display_string=Audit"}</definedName>
    <definedName name="_3534__FDSAUDITLINK__" localSheetId="27">{"fdsup://Directions/FactSet Auditing Viewer?action=AUDIT_VALUE&amp;DB=129&amp;ID1=312748&amp;VALUEID=18184&amp;SDATE=2009&amp;PERIODTYPE=ANNR_STD&amp;SCFT=3&amp;window=popup_no_bar&amp;width=385&amp;height=120&amp;START_MAXIMIZED=FALSE&amp;creator=factset&amp;display_string=Audit"}</definedName>
    <definedName name="_3535__FDSAUDITLINK__" localSheetId="34">{"fdsup://Directions/FactSet Auditing Viewer?action=AUDIT_VALUE&amp;DB=129&amp;ID1=312748&amp;VALUEID=18184&amp;SDATE=2008&amp;PERIODTYPE=ANNR_STD&amp;SCFT=3&amp;window=popup_no_bar&amp;width=385&amp;height=120&amp;START_MAXIMIZED=FALSE&amp;creator=factset&amp;display_string=Audit"}</definedName>
    <definedName name="_3535__FDSAUDITLINK__" localSheetId="27">{"fdsup://Directions/FactSet Auditing Viewer?action=AUDIT_VALUE&amp;DB=129&amp;ID1=312748&amp;VALUEID=18184&amp;SDATE=2008&amp;PERIODTYPE=ANNR_STD&amp;SCFT=3&amp;window=popup_no_bar&amp;width=385&amp;height=120&amp;START_MAXIMIZED=FALSE&amp;creator=factset&amp;display_string=Audit"}</definedName>
    <definedName name="_3536__FDSAUDITLINK__" localSheetId="34">{"fdsup://directions/FAT Viewer?action=UPDATE&amp;creator=factset&amp;DYN_ARGS=TRUE&amp;DOC_NAME=FAT:FQL_AUDITING_CLIENT_TEMPLATE.FAT&amp;display_string=Audit&amp;VAR:KEY=SVCTKDCPUP&amp;VAR:QUERY=RkZfRUJJVERBX09QRVIoQU5OX1IsNDA2NDEtMVksLCwsKQ==&amp;WINDOW=FIRST_POPUP&amp;HEIGHT=450&amp;WIDTH=","450&amp;START_MAXIMIZED=FALSE&amp;VAR:CALENDAR=FIVEDAY&amp;VAR:SYMBOL=0&amp;VAR:INDEX=0"}</definedName>
    <definedName name="_3536__FDSAUDITLINK__" localSheetId="27">{"fdsup://directions/FAT Viewer?action=UPDATE&amp;creator=factset&amp;DYN_ARGS=TRUE&amp;DOC_NAME=FAT:FQL_AUDITING_CLIENT_TEMPLATE.FAT&amp;display_string=Audit&amp;VAR:KEY=SVCTKDCPUP&amp;VAR:QUERY=RkZfRUJJVERBX09QRVIoQU5OX1IsNDA2NDEtMVksLCwsKQ==&amp;WINDOW=FIRST_POPUP&amp;HEIGHT=450&amp;WIDTH=","450&amp;START_MAXIMIZED=FALSE&amp;VAR:CALENDAR=FIVEDAY&amp;VAR:SYMBOL=0&amp;VAR:INDEX=0"}</definedName>
    <definedName name="_3537__FDSAUDITLINK__" localSheetId="34">{"fdsup://directions/FAT Viewer?action=UPDATE&amp;creator=factset&amp;DYN_ARGS=TRUE&amp;DOC_NAME=FAT:FQL_AUDITING_CLIENT_TEMPLATE.FAT&amp;display_string=Audit&amp;VAR:KEY=CFGDWJIZMR&amp;VAR:QUERY=RkZfU0hMRFJTX0VRKEFOTl9SLDQwNjQxLCwsUkYsKQ==&amp;WINDOW=FIRST_POPUP&amp;HEIGHT=450&amp;WIDTH=450&amp;","START_MAXIMIZED=FALSE&amp;VAR:CALENDAR=FIVEDAY&amp;VAR:SYMBOL=312748&amp;VAR:INDEX=0"}</definedName>
    <definedName name="_3537__FDSAUDITLINK__" localSheetId="27">{"fdsup://directions/FAT Viewer?action=UPDATE&amp;creator=factset&amp;DYN_ARGS=TRUE&amp;DOC_NAME=FAT:FQL_AUDITING_CLIENT_TEMPLATE.FAT&amp;display_string=Audit&amp;VAR:KEY=CFGDWJIZMR&amp;VAR:QUERY=RkZfU0hMRFJTX0VRKEFOTl9SLDQwNjQxLCwsUkYsKQ==&amp;WINDOW=FIRST_POPUP&amp;HEIGHT=450&amp;WIDTH=450&amp;","START_MAXIMIZED=FALSE&amp;VAR:CALENDAR=FIVEDAY&amp;VAR:SYMBOL=312748&amp;VAR:INDEX=0"}</definedName>
    <definedName name="_3538__FDSAUDITLINK__" localSheetId="34">{"fdsup://directions/FAT Viewer?action=UPDATE&amp;creator=factset&amp;DYN_ARGS=TRUE&amp;DOC_NAME=FAT:FQL_AUDITING_CLIENT_TEMPLATE.FAT&amp;display_string=Audit&amp;VAR:KEY=MHYRYDUDSV&amp;VAR:QUERY=RkZfU0hMRFJTX0VRKEFOTl9SLDQwNjQxLTFZLCwsUkYsKQ==&amp;WINDOW=FIRST_POPUP&amp;HEIGHT=450&amp;WIDTH=","450&amp;START_MAXIMIZED=FALSE&amp;VAR:CALENDAR=FIVEDAY&amp;VAR:SYMBOL=312748&amp;VAR:INDEX=0"}</definedName>
    <definedName name="_3538__FDSAUDITLINK__" localSheetId="27">{"fdsup://directions/FAT Viewer?action=UPDATE&amp;creator=factset&amp;DYN_ARGS=TRUE&amp;DOC_NAME=FAT:FQL_AUDITING_CLIENT_TEMPLATE.FAT&amp;display_string=Audit&amp;VAR:KEY=MHYRYDUDSV&amp;VAR:QUERY=RkZfU0hMRFJTX0VRKEFOTl9SLDQwNjQxLTFZLCwsUkYsKQ==&amp;WINDOW=FIRST_POPUP&amp;HEIGHT=450&amp;WIDTH=","450&amp;START_MAXIMIZED=FALSE&amp;VAR:CALENDAR=FIVEDAY&amp;VAR:SYMBOL=312748&amp;VAR:INDEX=0"}</definedName>
    <definedName name="_3539__FDSAUDITLINK__" localSheetId="34">{"fdsup://directions/FAT Viewer?action=UPDATE&amp;creator=factset&amp;DYN_ARGS=TRUE&amp;DOC_NAME=FAT:FQL_AUDITING_CLIENT_TEMPLATE.FAT&amp;display_string=Audit&amp;VAR:KEY=UVKZUBYFEP&amp;VAR:QUERY=RkZfU0hMRFJTX0VRKEFOTl9SLDQwNjQxLTJZLCwsUkYsKQ==&amp;WINDOW=FIRST_POPUP&amp;HEIGHT=450&amp;WIDTH=","450&amp;START_MAXIMIZED=FALSE&amp;VAR:CALENDAR=FIVEDAY&amp;VAR:SYMBOL=312748&amp;VAR:INDEX=0"}</definedName>
    <definedName name="_3539__FDSAUDITLINK__" localSheetId="27">{"fdsup://directions/FAT Viewer?action=UPDATE&amp;creator=factset&amp;DYN_ARGS=TRUE&amp;DOC_NAME=FAT:FQL_AUDITING_CLIENT_TEMPLATE.FAT&amp;display_string=Audit&amp;VAR:KEY=UVKZUBYFEP&amp;VAR:QUERY=RkZfU0hMRFJTX0VRKEFOTl9SLDQwNjQxLTJZLCwsUkYsKQ==&amp;WINDOW=FIRST_POPUP&amp;HEIGHT=450&amp;WIDTH=","450&amp;START_MAXIMIZED=FALSE&amp;VAR:CALENDAR=FIVEDAY&amp;VAR:SYMBOL=312748&amp;VAR:INDEX=0"}</definedName>
    <definedName name="_3540__FDSAUDITLINK__" localSheetId="34">{"fdsup://directions/FAT Viewer?action=UPDATE&amp;creator=factset&amp;DYN_ARGS=TRUE&amp;DOC_NAME=FAT:FQL_AUDITING_CLIENT_TEMPLATE.FAT&amp;display_string=Audit&amp;VAR:KEY=CFYVODGLCL&amp;VAR:QUERY=RkZfU0hMRFJTX0VRKEFOTl9SLDQwNjQxLTNZLCwsUkYsKQ==&amp;WINDOW=FIRST_POPUP&amp;HEIGHT=450&amp;WIDTH=","450&amp;START_MAXIMIZED=FALSE&amp;VAR:CALENDAR=FIVEDAY&amp;VAR:SYMBOL=312748&amp;VAR:INDEX=0"}</definedName>
    <definedName name="_3540__FDSAUDITLINK__" localSheetId="27">{"fdsup://directions/FAT Viewer?action=UPDATE&amp;creator=factset&amp;DYN_ARGS=TRUE&amp;DOC_NAME=FAT:FQL_AUDITING_CLIENT_TEMPLATE.FAT&amp;display_string=Audit&amp;VAR:KEY=CFYVODGLCL&amp;VAR:QUERY=RkZfU0hMRFJTX0VRKEFOTl9SLDQwNjQxLTNZLCwsUkYsKQ==&amp;WINDOW=FIRST_POPUP&amp;HEIGHT=450&amp;WIDTH=","450&amp;START_MAXIMIZED=FALSE&amp;VAR:CALENDAR=FIVEDAY&amp;VAR:SYMBOL=312748&amp;VAR:INDEX=0"}</definedName>
    <definedName name="_3541__FDSAUDITLINK__" localSheetId="34">{"fdsup://directions/FAT Viewer?action=UPDATE&amp;creator=factset&amp;DYN_ARGS=TRUE&amp;DOC_NAME=FAT:FQL_AUDITING_CLIENT_TEMPLATE.FAT&amp;display_string=Audit&amp;VAR:KEY=MBGTWPMFAB&amp;VAR:QUERY=RkZfU0hMRFJTX0VRKEFOTl9SLDQwNjQxLTRZLCwsUkYsKQ==&amp;WINDOW=FIRST_POPUP&amp;HEIGHT=450&amp;WIDTH=","450&amp;START_MAXIMIZED=FALSE&amp;VAR:CALENDAR=FIVEDAY&amp;VAR:SYMBOL=312748&amp;VAR:INDEX=0"}</definedName>
    <definedName name="_3541__FDSAUDITLINK__" localSheetId="27">{"fdsup://directions/FAT Viewer?action=UPDATE&amp;creator=factset&amp;DYN_ARGS=TRUE&amp;DOC_NAME=FAT:FQL_AUDITING_CLIENT_TEMPLATE.FAT&amp;display_string=Audit&amp;VAR:KEY=MBGTWPMFAB&amp;VAR:QUERY=RkZfU0hMRFJTX0VRKEFOTl9SLDQwNjQxLTRZLCwsUkYsKQ==&amp;WINDOW=FIRST_POPUP&amp;HEIGHT=450&amp;WIDTH=","450&amp;START_MAXIMIZED=FALSE&amp;VAR:CALENDAR=FIVEDAY&amp;VAR:SYMBOL=312748&amp;VAR:INDEX=0"}</definedName>
    <definedName name="_3542__FDSAUDITLINK__" localSheetId="34">{"fdsup://Directions/FactSet Auditing Viewer?action=AUDIT_VALUE&amp;DB=129&amp;ID1=312748&amp;VALUEID=03426&amp;SDATE=2009&amp;PERIODTYPE=ANNR_STD&amp;SCFT=3&amp;window=popup_no_bar&amp;width=385&amp;height=120&amp;START_MAXIMIZED=FALSE&amp;creator=factset&amp;display_string=Audit"}</definedName>
    <definedName name="_3542__FDSAUDITLINK__" localSheetId="27">{"fdsup://Directions/FactSet Auditing Viewer?action=AUDIT_VALUE&amp;DB=129&amp;ID1=312748&amp;VALUEID=03426&amp;SDATE=2009&amp;PERIODTYPE=ANNR_STD&amp;SCFT=3&amp;window=popup_no_bar&amp;width=385&amp;height=120&amp;START_MAXIMIZED=FALSE&amp;creator=factset&amp;display_string=Audit"}</definedName>
    <definedName name="_3543__FDSAUDITLINK__" localSheetId="34">{"fdsup://Directions/FactSet Auditing Viewer?action=AUDIT_VALUE&amp;DB=129&amp;ID1=312748&amp;VALUEID=03426&amp;SDATE=2008&amp;PERIODTYPE=ANNR_STD&amp;SCFT=3&amp;window=popup_no_bar&amp;width=385&amp;height=120&amp;START_MAXIMIZED=FALSE&amp;creator=factset&amp;display_string=Audit"}</definedName>
    <definedName name="_3543__FDSAUDITLINK__" localSheetId="27">{"fdsup://Directions/FactSet Auditing Viewer?action=AUDIT_VALUE&amp;DB=129&amp;ID1=312748&amp;VALUEID=03426&amp;SDATE=2008&amp;PERIODTYPE=ANNR_STD&amp;SCFT=3&amp;window=popup_no_bar&amp;width=385&amp;height=120&amp;START_MAXIMIZED=FALSE&amp;creator=factset&amp;display_string=Audit"}</definedName>
    <definedName name="_3544__FDSAUDITLINK__" localSheetId="34">{"fdsup://Directions/FactSet Auditing Viewer?action=AUDIT_VALUE&amp;DB=129&amp;ID1=312748&amp;VALUEID=03426&amp;SDATE=2007&amp;PERIODTYPE=ANNR_STD&amp;SCFT=3&amp;window=popup_no_bar&amp;width=385&amp;height=120&amp;START_MAXIMIZED=FALSE&amp;creator=factset&amp;display_string=Audit"}</definedName>
    <definedName name="_3544__FDSAUDITLINK__" localSheetId="27">{"fdsup://Directions/FactSet Auditing Viewer?action=AUDIT_VALUE&amp;DB=129&amp;ID1=312748&amp;VALUEID=03426&amp;SDATE=2007&amp;PERIODTYPE=ANNR_STD&amp;SCFT=3&amp;window=popup_no_bar&amp;width=385&amp;height=120&amp;START_MAXIMIZED=FALSE&amp;creator=factset&amp;display_string=Audit"}</definedName>
    <definedName name="_3545__FDSAUDITLINK__" localSheetId="34">{"fdsup://Directions/FactSet Auditing Viewer?action=AUDIT_VALUE&amp;DB=129&amp;ID1=312748&amp;VALUEID=03426&amp;SDATE=201001&amp;PERIODTYPE=SEMI_STD&amp;SCFT=3&amp;window=popup_no_bar&amp;width=385&amp;height=120&amp;START_MAXIMIZED=FALSE&amp;creator=factset&amp;display_string=Audit"}</definedName>
    <definedName name="_3545__FDSAUDITLINK__" localSheetId="27">{"fdsup://Directions/FactSet Auditing Viewer?action=AUDIT_VALUE&amp;DB=129&amp;ID1=312748&amp;VALUEID=03426&amp;SDATE=201001&amp;PERIODTYPE=SEMI_STD&amp;SCFT=3&amp;window=popup_no_bar&amp;width=385&amp;height=120&amp;START_MAXIMIZED=FALSE&amp;creator=factset&amp;display_string=Audit"}</definedName>
    <definedName name="_3546__FDSAUDITLINK__" localSheetId="34">{"fdsup://directions/FAT Viewer?action=UPDATE&amp;creator=factset&amp;DYN_ARGS=TRUE&amp;DOC_NAME=FAT:FQL_AUDITING_CLIENT_TEMPLATE.FAT&amp;display_string=Audit&amp;VAR:KEY=WFIFUFKDKZ&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312748&amp;VAR:INDEX=0"}</definedName>
    <definedName name="_3546__FDSAUDITLINK__" localSheetId="27">{"fdsup://directions/FAT Viewer?action=UPDATE&amp;creator=factset&amp;DYN_ARGS=TRUE&amp;DOC_NAME=FAT:FQL_AUDITING_CLIENT_TEMPLATE.FAT&amp;display_string=Audit&amp;VAR:KEY=WFIFUFKDKZ&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312748&amp;VAR:INDEX=0"}</definedName>
    <definedName name="_3547__FDSAUDITLINK__" localSheetId="34">{"fdsup://Directions/FactSet Auditing Viewer?action=AUDIT_VALUE&amp;DB=129&amp;ID1=312748&amp;VALUEID=02001&amp;SDATE=201001&amp;PERIODTYPE=SEMI_STD&amp;SCFT=3&amp;window=popup_no_bar&amp;width=385&amp;height=120&amp;START_MAXIMIZED=FALSE&amp;creator=factset&amp;display_string=Audit"}</definedName>
    <definedName name="_3547__FDSAUDITLINK__" localSheetId="27">{"fdsup://Directions/FactSet Auditing Viewer?action=AUDIT_VALUE&amp;DB=129&amp;ID1=312748&amp;VALUEID=02001&amp;SDATE=201001&amp;PERIODTYPE=SEMI_STD&amp;SCFT=3&amp;window=popup_no_bar&amp;width=385&amp;height=120&amp;START_MAXIMIZED=FALSE&amp;creator=factset&amp;display_string=Audit"}</definedName>
    <definedName name="_3548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48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49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49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50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50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51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51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52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52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53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53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54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554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555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555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556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556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557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557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558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558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559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559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560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560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561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561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562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562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563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563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564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564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565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565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566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566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567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567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571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571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572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72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73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73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74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74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75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75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76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76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77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77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78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578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579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579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580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580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581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581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582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582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583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583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584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584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585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585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586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586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587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587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588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588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589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589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590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590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591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591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592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592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593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93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594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94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595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95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596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96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597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97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598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98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599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599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00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00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01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01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02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02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03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03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04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04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05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05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06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06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07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07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08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08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09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09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10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10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11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11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12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12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13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13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14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14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15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15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16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16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17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17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18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18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19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19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20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20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21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21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22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22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23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23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24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24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25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25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26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26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27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27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28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28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29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29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30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30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31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31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32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32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33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33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34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34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35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35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36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36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37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37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38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38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39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39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40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40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41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41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42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42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43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43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44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44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45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45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46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46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47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47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48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48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49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49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50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50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51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51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52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52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53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53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54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54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55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55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56__FDSAUDITLINK__" localSheetId="34">{"fdsup://directions/FAT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56__FDSAUDITLINK__" localSheetId="27">{"fdsup://directions/FAT Viewer?action=UPDATE&amp;creator=factset&amp;DYN_ARGS=TRUE&amp;DOC_NAME=FAT:FQL_AUDITING_CLIENT_TEMPLATE.FAT&amp;display_string=Audit&amp;VAR:KEY=HGFAHUNIJU&amp;VAR:QUERY=RkZfRUJJVERBX09QRVIoQU5OX1IsNDA2NDEsLCwsKQ==&amp;WINDOW=FIRST_POPUP&amp;HEIGHT=450&amp;WIDTH=450&amp;","START_MAXIMIZED=FALSE&amp;VAR:CALENDAR=FIVEDAY&amp;VAR:SYMBOL=0&amp;VAR:INDEX=0"}</definedName>
    <definedName name="_3657__FDSAUDITLINK__" localSheetId="34">{"fdsup://directions/FAT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57__FDSAUDITLINK__" localSheetId="27">{"fdsup://directions/FAT Viewer?action=UPDATE&amp;creator=factset&amp;DYN_ARGS=TRUE&amp;DOC_NAME=FAT:FQL_AUDITING_CLIENT_TEMPLATE.FAT&amp;display_string=Audit&amp;VAR:KEY=FGPYJUVIBO&amp;VAR:QUERY=RkZfRUJJVERBX09QRVIoQU5OX1IsNDA2NDEtMVksLCwsKQ==&amp;WINDOW=FIRST_POPUP&amp;HEIGHT=450&amp;WIDTH=","450&amp;START_MAXIMIZED=FALSE&amp;VAR:CALENDAR=FIVEDAY&amp;VAR:SYMBOL=0&amp;VAR:INDEX=0"}</definedName>
    <definedName name="_3658__FDSAUDITLINK__" localSheetId="34">{"fdsup://directions/FAT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58__FDSAUDITLINK__" localSheetId="27">{"fdsup://directions/FAT Viewer?action=UPDATE&amp;creator=factset&amp;DYN_ARGS=TRUE&amp;DOC_NAME=FAT:FQL_AUDITING_CLIENT_TEMPLATE.FAT&amp;display_string=Audit&amp;VAR:KEY=XAZEBCNWZC&amp;VAR:QUERY=RkZfRUJJVERBX09QRVIoQU5OX1IsNDA2NDEtMlksLCwsKQ==&amp;WINDOW=FIRST_POPUP&amp;HEIGHT=450&amp;WIDTH=","450&amp;START_MAXIMIZED=FALSE&amp;VAR:CALENDAR=FIVEDAY&amp;VAR:SYMBOL=0&amp;VAR:INDEX=0"}</definedName>
    <definedName name="_3659__FDSAUDITLINK__" localSheetId="34">{"fdsup://directions/FAT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59__FDSAUDITLINK__" localSheetId="27">{"fdsup://directions/FAT Viewer?action=UPDATE&amp;creator=factset&amp;DYN_ARGS=TRUE&amp;DOC_NAME=FAT:FQL_AUDITING_CLIENT_TEMPLATE.FAT&amp;display_string=Audit&amp;VAR:KEY=PKNMTQHMRA&amp;VAR:QUERY=RkZfRUJJVERBX09QRVIoQU5OX1IsNDA2NDEtM1ksLCwsKQ==&amp;WINDOW=FIRST_POPUP&amp;HEIGHT=450&amp;WIDTH=","450&amp;START_MAXIMIZED=FALSE&amp;VAR:CALENDAR=FIVEDAY&amp;VAR:SYMBOL=0&amp;VAR:INDEX=0"}</definedName>
    <definedName name="_3660__FDSAUDITLINK__" localSheetId="34">{"fdsup://directions/FAT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60__FDSAUDITLINK__" localSheetId="27">{"fdsup://directions/FAT Viewer?action=UPDATE&amp;creator=factset&amp;DYN_ARGS=TRUE&amp;DOC_NAME=FAT:FQL_AUDITING_CLIENT_TEMPLATE.FAT&amp;display_string=Audit&amp;VAR:KEY=JWRYXOHMBM&amp;VAR:QUERY=RkZfRUJJVERBX09QRVIoQU5OX1IsNDA2NDEtNFksLCwsKQ==&amp;WINDOW=FIRST_POPUP&amp;HEIGHT=450&amp;WIDTH=","450&amp;START_MAXIMIZED=FALSE&amp;VAR:CALENDAR=FIVEDAY&amp;VAR:SYMBOL=0&amp;VAR:INDEX=0"}</definedName>
    <definedName name="_3661__FDSAUDITLINK__" localSheetId="34">{"fdsup://directions/FAT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61__FDSAUDITLINK__" localSheetId="27">{"fdsup://directions/FAT Viewer?action=UPDATE&amp;creator=factset&amp;DYN_ARGS=TRUE&amp;DOC_NAME=FAT:FQL_AUDITING_CLIENT_TEMPLATE.FAT&amp;display_string=Audit&amp;VAR:KEY=ALWTEZQDOF&amp;VAR:QUERY=RkZfSU1QQUlSX1BQRShBTk5fUiw0MDY0MSwsLFJGLCk=&amp;WINDOW=FIRST_POPUP&amp;HEIGHT=450&amp;WIDTH=450&amp;","START_MAXIMIZED=FALSE&amp;VAR:CALENDAR=FIVEDAY&amp;VAR:SYMBOL=0&amp;VAR:INDEX=0"}</definedName>
    <definedName name="_3662__FDSAUDITLINK__" localSheetId="34">{"fdsup://directions/FAT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62__FDSAUDITLINK__" localSheetId="27">{"fdsup://directions/FAT Viewer?action=UPDATE&amp;creator=factset&amp;DYN_ARGS=TRUE&amp;DOC_NAME=FAT:FQL_AUDITING_CLIENT_TEMPLATE.FAT&amp;display_string=Audit&amp;VAR:KEY=QVAFAFUHIL&amp;VAR:QUERY=RkZfSU1QQUlSX1BQRShBTk5fUiw0MDY0MS0xWSwsLFJGLCk=&amp;WINDOW=FIRST_POPUP&amp;HEIGHT=450&amp;WIDTH=","450&amp;START_MAXIMIZED=FALSE&amp;VAR:CALENDAR=FIVEDAY&amp;VAR:SYMBOL=0&amp;VAR:INDEX=0"}</definedName>
    <definedName name="_3663__FDSAUDITLINK__" localSheetId="34">{"fdsup://directions/FAT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63__FDSAUDITLINK__" localSheetId="27">{"fdsup://directions/FAT Viewer?action=UPDATE&amp;creator=factset&amp;DYN_ARGS=TRUE&amp;DOC_NAME=FAT:FQL_AUDITING_CLIENT_TEMPLATE.FAT&amp;display_string=Audit&amp;VAR:KEY=UBOVEZKXQZ&amp;VAR:QUERY=RkZfSU1QQUlSX1BQRShBTk5fUiw0MDY0MS0yWSwsLFJGLCk=&amp;WINDOW=FIRST_POPUP&amp;HEIGHT=450&amp;WIDTH=","450&amp;START_MAXIMIZED=FALSE&amp;VAR:CALENDAR=FIVEDAY&amp;VAR:SYMBOL=0&amp;VAR:INDEX=0"}</definedName>
    <definedName name="_3664__FDSAUDITLINK__" localSheetId="34">{"fdsup://directions/FAT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64__FDSAUDITLINK__" localSheetId="27">{"fdsup://directions/FAT Viewer?action=UPDATE&amp;creator=factset&amp;DYN_ARGS=TRUE&amp;DOC_NAME=FAT:FQL_AUDITING_CLIENT_TEMPLATE.FAT&amp;display_string=Audit&amp;VAR:KEY=QLOTYNAHWX&amp;VAR:QUERY=RkZfSU1QQUlSX1BQRShBTk5fUiw0MDY0MS0zWSwsLFJGLCk=&amp;WINDOW=FIRST_POPUP&amp;HEIGHT=450&amp;WIDTH=","450&amp;START_MAXIMIZED=FALSE&amp;VAR:CALENDAR=FIVEDAY&amp;VAR:SYMBOL=0&amp;VAR:INDEX=0"}</definedName>
    <definedName name="_3665__FDSAUDITLINK__" localSheetId="34">{"fdsup://directions/FAT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65__FDSAUDITLINK__" localSheetId="27">{"fdsup://directions/FAT Viewer?action=UPDATE&amp;creator=factset&amp;DYN_ARGS=TRUE&amp;DOC_NAME=FAT:FQL_AUDITING_CLIENT_TEMPLATE.FAT&amp;display_string=Audit&amp;VAR:KEY=WXIBUFWNEL&amp;VAR:QUERY=RkZfSU1QQUlSX1BQRShBTk5fUiw0MDY0MS00WSwsLFJGLCk=&amp;WINDOW=FIRST_POPUP&amp;HEIGHT=450&amp;WIDTH=","450&amp;START_MAXIMIZED=FALSE&amp;VAR:CALENDAR=FIVEDAY&amp;VAR:SYMBOL=0&amp;VAR:INDEX=0"}</definedName>
    <definedName name="_3666__FDSAUDITLINK__" localSheetId="34">{"fdsup://directions/FAT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66__FDSAUDITLINK__" localSheetId="27">{"fdsup://directions/FAT Viewer?action=UPDATE&amp;creator=factset&amp;DYN_ARGS=TRUE&amp;DOC_NAME=FAT:FQL_AUDITING_CLIENT_TEMPLATE.FAT&amp;display_string=Audit&amp;VAR:KEY=ANMXKZSJAT&amp;VAR:QUERY=RkZfRklOX0FTU0VUU19JTVBBSVIoQU5OX1IsNDA2NDEsLCxSRiwp&amp;WINDOW=FIRST_POPUP&amp;HEIGHT=450&amp;WI","DTH=450&amp;START_MAXIMIZED=FALSE&amp;VAR:CALENDAR=FIVEDAY&amp;VAR:SYMBOL=0&amp;VAR:INDEX=0"}</definedName>
    <definedName name="_3667__FDSAUDITLINK__" localSheetId="34">{"fdsup://directions/FAT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67__FDSAUDITLINK__" localSheetId="27">{"fdsup://directions/FAT Viewer?action=UPDATE&amp;creator=factset&amp;DYN_ARGS=TRUE&amp;DOC_NAME=FAT:FQL_AUDITING_CLIENT_TEMPLATE.FAT&amp;display_string=Audit&amp;VAR:KEY=QZSPIPQLCD&amp;VAR:QUERY=RkZfRklOX0FTU0VUU19JTVBBSVIoQU5OX1IsNDA2NDEtMVksLCxSRiwp&amp;WINDOW=FIRST_POPUP&amp;HEIGHT=45","0&amp;WIDTH=450&amp;START_MAXIMIZED=FALSE&amp;VAR:CALENDAR=FIVEDAY&amp;VAR:SYMBOL=0&amp;VAR:INDEX=0"}</definedName>
    <definedName name="_3668__FDSAUDITLINK__" localSheetId="34">{"fdsup://directions/FAT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68__FDSAUDITLINK__" localSheetId="27">{"fdsup://directions/FAT Viewer?action=UPDATE&amp;creator=factset&amp;DYN_ARGS=TRUE&amp;DOC_NAME=FAT:FQL_AUDITING_CLIENT_TEMPLATE.FAT&amp;display_string=Audit&amp;VAR:KEY=QHWBAFIRQD&amp;VAR:QUERY=RkZfRklOX0FTU0VUU19JTVBBSVIoQU5OX1IsNDA2NDEtMlksLCxSRiwp&amp;WINDOW=FIRST_POPUP&amp;HEIGHT=45","0&amp;WIDTH=450&amp;START_MAXIMIZED=FALSE&amp;VAR:CALENDAR=FIVEDAY&amp;VAR:SYMBOL=0&amp;VAR:INDEX=0"}</definedName>
    <definedName name="_3669__FDSAUDITLINK__" localSheetId="34">{"fdsup://directions/FAT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69__FDSAUDITLINK__" localSheetId="27">{"fdsup://directions/FAT Viewer?action=UPDATE&amp;creator=factset&amp;DYN_ARGS=TRUE&amp;DOC_NAME=FAT:FQL_AUDITING_CLIENT_TEMPLATE.FAT&amp;display_string=Audit&amp;VAR:KEY=IHGJCDWLAR&amp;VAR:QUERY=RkZfRklOX0FTU0VUU19JTVBBSVIoQU5OX1IsNDA2NDEtM1ksLCxSRiwp&amp;WINDOW=FIRST_POPUP&amp;HEIGHT=45","0&amp;WIDTH=450&amp;START_MAXIMIZED=FALSE&amp;VAR:CALENDAR=FIVEDAY&amp;VAR:SYMBOL=0&amp;VAR:INDEX=0"}</definedName>
    <definedName name="_3670__FDSAUDITLINK__" localSheetId="34">{"fdsup://directions/FAT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70__FDSAUDITLINK__" localSheetId="27">{"fdsup://directions/FAT Viewer?action=UPDATE&amp;creator=factset&amp;DYN_ARGS=TRUE&amp;DOC_NAME=FAT:FQL_AUDITING_CLIENT_TEMPLATE.FAT&amp;display_string=Audit&amp;VAR:KEY=OHUPYLWXKJ&amp;VAR:QUERY=RkZfRklOX0FTU0VUU19JTVBBSVIoQU5OX1IsNDA2NDEtNFksLCxSRiwp&amp;WINDOW=FIRST_POPUP&amp;HEIGHT=45","0&amp;WIDTH=450&amp;START_MAXIMIZED=FALSE&amp;VAR:CALENDAR=FIVEDAY&amp;VAR:SYMBOL=0&amp;VAR:INDEX=0"}</definedName>
    <definedName name="_3671__FDSAUDITLINK__" localSheetId="34">{"fdsup://directions/FAT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71__FDSAUDITLINK__" localSheetId="27">{"fdsup://directions/FAT Viewer?action=UPDATE&amp;creator=factset&amp;DYN_ARGS=TRUE&amp;DOC_NAME=FAT:FQL_AUDITING_CLIENT_TEMPLATE.FAT&amp;display_string=Audit&amp;VAR:KEY=SHOBIBIHCR&amp;VAR:QUERY=RkZfU0hMRFJTX0VRKEFOTl9SLDQwNjQxLCwsUkYsKQ==&amp;WINDOW=FIRST_POPUP&amp;HEIGHT=450&amp;WIDTH=450&amp;","START_MAXIMIZED=FALSE&amp;VAR:CALENDAR=FIVEDAY&amp;VAR:SYMBOL=0&amp;VAR:INDEX=0"}</definedName>
    <definedName name="_3672__FDSAUDITLINK__" localSheetId="34">{"fdsup://directions/FAT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72__FDSAUDITLINK__" localSheetId="27">{"fdsup://directions/FAT Viewer?action=UPDATE&amp;creator=factset&amp;DYN_ARGS=TRUE&amp;DOC_NAME=FAT:FQL_AUDITING_CLIENT_TEMPLATE.FAT&amp;display_string=Audit&amp;VAR:KEY=ODEVUNQNAR&amp;VAR:QUERY=RkZfU0hMRFJTX0VRKEFOTl9SLDQwNjQxLTFZLCwsUkYsKQ==&amp;WINDOW=FIRST_POPUP&amp;HEIGHT=450&amp;WIDTH=","450&amp;START_MAXIMIZED=FALSE&amp;VAR:CALENDAR=FIVEDAY&amp;VAR:SYMBOL=0&amp;VAR:INDEX=0"}</definedName>
    <definedName name="_3673__FDSAUDITLINK__" localSheetId="34">{"fdsup://directions/FAT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73__FDSAUDITLINK__" localSheetId="27">{"fdsup://directions/FAT Viewer?action=UPDATE&amp;creator=factset&amp;DYN_ARGS=TRUE&amp;DOC_NAME=FAT:FQL_AUDITING_CLIENT_TEMPLATE.FAT&amp;display_string=Audit&amp;VAR:KEY=EFGHQLEHMF&amp;VAR:QUERY=RkZfU0hMRFJTX0VRKEFOTl9SLDQwNjQxLTJZLCwsUkYsKQ==&amp;WINDOW=FIRST_POPUP&amp;HEIGHT=450&amp;WIDTH=","450&amp;START_MAXIMIZED=FALSE&amp;VAR:CALENDAR=FIVEDAY&amp;VAR:SYMBOL=0&amp;VAR:INDEX=0"}</definedName>
    <definedName name="_3674__FDSAUDITLINK__" localSheetId="34">{"fdsup://directions/FAT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74__FDSAUDITLINK__" localSheetId="27">{"fdsup://directions/FAT Viewer?action=UPDATE&amp;creator=factset&amp;DYN_ARGS=TRUE&amp;DOC_NAME=FAT:FQL_AUDITING_CLIENT_TEMPLATE.FAT&amp;display_string=Audit&amp;VAR:KEY=CNCFMBERQB&amp;VAR:QUERY=RkZfU0hMRFJTX0VRKEFOTl9SLDQwNjQxLTNZLCwsUkYsKQ==&amp;WINDOW=FIRST_POPUP&amp;HEIGHT=450&amp;WIDTH=","450&amp;START_MAXIMIZED=FALSE&amp;VAR:CALENDAR=FIVEDAY&amp;VAR:SYMBOL=0&amp;VAR:INDEX=0"}</definedName>
    <definedName name="_3675__FDSAUDITLINK__" localSheetId="34">{"fdsup://directions/FAT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75__FDSAUDITLINK__" localSheetId="27">{"fdsup://directions/FAT Viewer?action=UPDATE&amp;creator=factset&amp;DYN_ARGS=TRUE&amp;DOC_NAME=FAT:FQL_AUDITING_CLIENT_TEMPLATE.FAT&amp;display_string=Audit&amp;VAR:KEY=AVIVCRYJOL&amp;VAR:QUERY=RkZfU0hMRFJTX0VRKEFOTl9SLDQwNjQxLTRZLCwsUkYsKQ==&amp;WINDOW=FIRST_POPUP&amp;HEIGHT=450&amp;WIDTH=","450&amp;START_MAXIMIZED=FALSE&amp;VAR:CALENDAR=FIVEDAY&amp;VAR:SYMBOL=0&amp;VAR:INDEX=0"}</definedName>
    <definedName name="_3676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3676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3677__FDSAUDITLINK__" localSheetId="34">{"fdsup://directions/FAT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77__FDSAUDITLINK__" localSheetId="27">{"fdsup://directions/FAT Viewer?action=UPDATE&amp;creator=factset&amp;DYN_ARGS=TRUE&amp;DOC_NAME=FAT:FQL_AUDITING_CLIENT_TEMPLATE.FAT&amp;display_string=Audit&amp;VAR:KEY=KHYZQHEBYH&amp;VAR:QUERY=KCgoKCgoKEZGX0RFQlQoUVRSLDQwNjQxLCwsLClARkZfREVCVChTRU1JLDQwNjQxLCwsLCkpQEZGX0RFQlQoQ","U5OX1IsNDA2NDE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678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678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679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679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680__FDSAUDITLINK__" localSheetId="34">{"fdsup://Directions/FactSet Auditing Viewer?action=AUDIT_VALUE&amp;DB=129&amp;ID1=B126KH&amp;VALUEID=01001&amp;SDATE=2009&amp;PERIODTYPE=ANNR_STD&amp;SCFT=3&amp;window=popup_no_bar&amp;width=385&amp;height=120&amp;START_MAXIMIZED=FALSE&amp;creator=factset&amp;display_string=Audit"}</definedName>
    <definedName name="_3680__FDSAUDITLINK__" localSheetId="27">{"fdsup://Directions/FactSet Auditing Viewer?action=AUDIT_VALUE&amp;DB=129&amp;ID1=B126KH&amp;VALUEID=01001&amp;SDATE=2009&amp;PERIODTYPE=ANNR_STD&amp;SCFT=3&amp;window=popup_no_bar&amp;width=385&amp;height=120&amp;START_MAXIMIZED=FALSE&amp;creator=factset&amp;display_string=Audit"}</definedName>
    <definedName name="_3681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3681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3682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3682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3683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683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684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3684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3685__FDSAUDITLINK__" localSheetId="34">{"fdsup://Directions/FactSet Auditing Viewer?action=AUDIT_VALUE&amp;DB=129&amp;ID1=047715&amp;VALUEID=01001&amp;SDATE=2010&amp;PERIODTYPE=ANNR_STD&amp;SCFT=3&amp;window=popup_no_bar&amp;width=385&amp;height=120&amp;START_MAXIMIZED=FALSE&amp;creator=factset&amp;display_string=Audit"}</definedName>
    <definedName name="_3685__FDSAUDITLINK__" localSheetId="27">{"fdsup://Directions/FactSet Auditing Viewer?action=AUDIT_VALUE&amp;DB=129&amp;ID1=047715&amp;VALUEID=01001&amp;SDATE=2010&amp;PERIODTYPE=ANNR_STD&amp;SCFT=3&amp;window=popup_no_bar&amp;width=385&amp;height=120&amp;START_MAXIMIZED=FALSE&amp;creator=factset&amp;display_string=Audit"}</definedName>
    <definedName name="_3686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686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687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3687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3688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688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689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689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690__FDSAUDITLINK__" localSheetId="34">{"fdsup://Directions/FactSet Auditing Viewer?action=AUDIT_VALUE&amp;DB=129&amp;ID1=B126KH&amp;VALUEID=01001&amp;SDATE=2009&amp;PERIODTYPE=ANNR_STD&amp;SCFT=3&amp;window=popup_no_bar&amp;width=385&amp;height=120&amp;START_MAXIMIZED=FALSE&amp;creator=factset&amp;display_string=Audit"}</definedName>
    <definedName name="_3690__FDSAUDITLINK__" localSheetId="27">{"fdsup://Directions/FactSet Auditing Viewer?action=AUDIT_VALUE&amp;DB=129&amp;ID1=B126KH&amp;VALUEID=01001&amp;SDATE=2009&amp;PERIODTYPE=ANNR_STD&amp;SCFT=3&amp;window=popup_no_bar&amp;width=385&amp;height=120&amp;START_MAXIMIZED=FALSE&amp;creator=factset&amp;display_string=Audit"}</definedName>
    <definedName name="_3691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3691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3692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3692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3693__FDSAUDITLINK__" localSheetId="34">{"fdsup://Directions/FactSet Auditing Viewer?action=AUDIT_VALUE&amp;DB=129&amp;ID1=010486&amp;VALUEID=01001&amp;SDATE=2010&amp;PERIODTYPE=ANNR_STD&amp;SCFT=3&amp;window=popup_no_bar&amp;width=385&amp;height=120&amp;START_MAXIMIZED=FALSE&amp;creator=factset&amp;display_string=Audit"}</definedName>
    <definedName name="_3693__FDSAUDITLINK__" localSheetId="27">{"fdsup://Directions/FactSet Auditing Viewer?action=AUDIT_VALUE&amp;DB=129&amp;ID1=010486&amp;VALUEID=01001&amp;SDATE=2010&amp;PERIODTYPE=ANNR_STD&amp;SCFT=3&amp;window=popup_no_bar&amp;width=385&amp;height=120&amp;START_MAXIMIZED=FALSE&amp;creator=factset&amp;display_string=Audit"}</definedName>
    <definedName name="_3694__FDSAUDITLINK__" localSheetId="34">{"fdsup://Directions/FactSet Auditing Viewer?action=AUDIT_VALUE&amp;DB=129&amp;ID1=046991&amp;VALUEID=01001&amp;SDATE=2009&amp;PERIODTYPE=ANNR_STD&amp;SCFT=3&amp;window=popup_no_bar&amp;width=385&amp;height=120&amp;START_MAXIMIZED=FALSE&amp;creator=factset&amp;display_string=Audit"}</definedName>
    <definedName name="_3694__FDSAUDITLINK__" localSheetId="27">{"fdsup://Directions/FactSet Auditing Viewer?action=AUDIT_VALUE&amp;DB=129&amp;ID1=046991&amp;VALUEID=01001&amp;SDATE=2009&amp;PERIODTYPE=ANNR_STD&amp;SCFT=3&amp;window=popup_no_bar&amp;width=385&amp;height=120&amp;START_MAXIMIZED=FALSE&amp;creator=factset&amp;display_string=Audit"}</definedName>
    <definedName name="_3695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3695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3696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3696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3697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697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698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3698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3699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699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700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700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701__FDSAUDITLINK__" localSheetId="34">{"fdsup://Directions/FactSet Auditing Viewer?action=AUDIT_VALUE&amp;DB=129&amp;ID1=B126KH&amp;VALUEID=01001&amp;SDATE=2009&amp;PERIODTYPE=ANNR_STD&amp;SCFT=3&amp;window=popup_no_bar&amp;width=385&amp;height=120&amp;START_MAXIMIZED=FALSE&amp;creator=factset&amp;display_string=Audit"}</definedName>
    <definedName name="_3701__FDSAUDITLINK__" localSheetId="27">{"fdsup://Directions/FactSet Auditing Viewer?action=AUDIT_VALUE&amp;DB=129&amp;ID1=B126KH&amp;VALUEID=01001&amp;SDATE=2009&amp;PERIODTYPE=ANNR_STD&amp;SCFT=3&amp;window=popup_no_bar&amp;width=385&amp;height=120&amp;START_MAXIMIZED=FALSE&amp;creator=factset&amp;display_string=Audit"}</definedName>
    <definedName name="_3702__FDSAUDITLINK__" localSheetId="34">{"fdsup://Directions/FactSet Auditing Viewer?action=AUDIT_VALUE&amp;DB=129&amp;ID1=320898&amp;VALUEID=01001&amp;SDATE=2010&amp;PERIODTYPE=ANNR_STD&amp;SCFT=3&amp;window=popup_no_bar&amp;width=385&amp;height=120&amp;START_MAXIMIZED=FALSE&amp;creator=factset&amp;display_string=Audit"}</definedName>
    <definedName name="_3702__FDSAUDITLINK__" localSheetId="27">{"fdsup://Directions/FactSet Auditing Viewer?action=AUDIT_VALUE&amp;DB=129&amp;ID1=320898&amp;VALUEID=01001&amp;SDATE=2010&amp;PERIODTYPE=ANNR_STD&amp;SCFT=3&amp;window=popup_no_bar&amp;width=385&amp;height=120&amp;START_MAXIMIZED=FALSE&amp;creator=factset&amp;display_string=Audit"}</definedName>
    <definedName name="_3703__FDSAUDITLINK__" localSheetId="34">{"fdsup://Directions/FactSet Auditing Viewer?action=AUDIT_VALUE&amp;DB=129&amp;ID1=337647&amp;VALUEID=01001&amp;SDATE=2010&amp;PERIODTYPE=ANNR_STD&amp;SCFT=3&amp;window=popup_no_bar&amp;width=385&amp;height=120&amp;START_MAXIMIZED=FALSE&amp;creator=factset&amp;display_string=Audit"}</definedName>
    <definedName name="_3703__FDSAUDITLINK__" localSheetId="27">{"fdsup://Directions/FactSet Auditing Viewer?action=AUDIT_VALUE&amp;DB=129&amp;ID1=337647&amp;VALUEID=01001&amp;SDATE=2010&amp;PERIODTYPE=ANNR_STD&amp;SCFT=3&amp;window=popup_no_bar&amp;width=385&amp;height=120&amp;START_MAXIMIZED=FALSE&amp;creator=factset&amp;display_string=Audit"}</definedName>
    <definedName name="_3704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704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705__FDSAUDITLINK__" localSheetId="34">{"fdsup://Directions/FactSet Auditing Viewer?action=AUDIT_VALUE&amp;DB=129&amp;ID1=312748&amp;VALUEID=01001&amp;SDATE=2007&amp;PERIODTYPE=ANNR_STD&amp;SCFT=3&amp;window=popup_no_bar&amp;width=385&amp;height=120&amp;START_MAXIMIZED=FALSE&amp;creator=factset&amp;display_string=Audit"}</definedName>
    <definedName name="_3705__FDSAUDITLINK__" localSheetId="27">{"fdsup://Directions/FactSet Auditing Viewer?action=AUDIT_VALUE&amp;DB=129&amp;ID1=312748&amp;VALUEID=01001&amp;SDATE=2007&amp;PERIODTYPE=ANNR_STD&amp;SCFT=3&amp;window=popup_no_bar&amp;width=385&amp;height=120&amp;START_MAXIMIZED=FALSE&amp;creator=factset&amp;display_string=Audit"}</definedName>
    <definedName name="_3706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3706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3707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3707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3708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708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709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3709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3710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710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711__FDSAUDITLINK__" localSheetId="34">{"fdsup://Directions/FactSet Auditing Viewer?action=AUDIT_VALUE&amp;DB=129&amp;ID1=B126KH&amp;VALUEID=01001&amp;SDATE=2010&amp;PERIODTYPE=ANNR_STD&amp;SCFT=3&amp;window=popup_no_bar&amp;width=385&amp;height=120&amp;START_MAXIMIZED=FALSE&amp;creator=factset&amp;display_string=Audit"}</definedName>
    <definedName name="_3711__FDSAUDITLINK__" localSheetId="27">{"fdsup://Directions/FactSet Auditing Viewer?action=AUDIT_VALUE&amp;DB=129&amp;ID1=B126KH&amp;VALUEID=01001&amp;SDATE=2010&amp;PERIODTYPE=ANNR_STD&amp;SCFT=3&amp;window=popup_no_bar&amp;width=385&amp;height=120&amp;START_MAXIMIZED=FALSE&amp;creator=factset&amp;display_string=Audit"}</definedName>
    <definedName name="_3712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3712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3713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713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714__FDSAUDITLINK__" localSheetId="34">{"fdsup://Directions/FactSet Auditing Viewer?action=AUDIT_VALUE&amp;DB=129&amp;ID1=047715&amp;VALUEID=01250&amp;SDATE=2010&amp;PERIODTYPE=ANNR_STD&amp;SCFT=3&amp;window=popup_no_bar&amp;width=385&amp;height=120&amp;START_MAXIMIZED=FALSE&amp;creator=factset&amp;display_string=Audit"}</definedName>
    <definedName name="_3714__FDSAUDITLINK__" localSheetId="27">{"fdsup://Directions/FactSet Auditing Viewer?action=AUDIT_VALUE&amp;DB=129&amp;ID1=047715&amp;VALUEID=01250&amp;SDATE=2010&amp;PERIODTYPE=ANNR_STD&amp;SCFT=3&amp;window=popup_no_bar&amp;width=385&amp;height=120&amp;START_MAXIMIZED=FALSE&amp;creator=factset&amp;display_string=Audit"}</definedName>
    <definedName name="_3715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715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716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3716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3717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717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718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718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719__FDSAUDITLINK__" localSheetId="34">{"fdsup://Directions/FactSet Auditing Viewer?action=AUDIT_VALUE&amp;DB=129&amp;ID1=B126KH&amp;VALUEID=01250&amp;SDATE=2009&amp;PERIODTYPE=ANNR_STD&amp;SCFT=3&amp;window=popup_no_bar&amp;width=385&amp;height=120&amp;START_MAXIMIZED=FALSE&amp;creator=factset&amp;display_string=Audit"}</definedName>
    <definedName name="_3719__FDSAUDITLINK__" localSheetId="27">{"fdsup://Directions/FactSet Auditing Viewer?action=AUDIT_VALUE&amp;DB=129&amp;ID1=B126KH&amp;VALUEID=01250&amp;SDATE=2009&amp;PERIODTYPE=ANNR_STD&amp;SCFT=3&amp;window=popup_no_bar&amp;width=385&amp;height=120&amp;START_MAXIMIZED=FALSE&amp;creator=factset&amp;display_string=Audit"}</definedName>
    <definedName name="_3720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3720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3721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3721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3722__FDSAUDITLINK__" localSheetId="34">{"fdsup://Directions/FactSet Auditing Viewer?action=AUDIT_VALUE&amp;DB=129&amp;ID1=010486&amp;VALUEID=01250&amp;SDATE=2010&amp;PERIODTYPE=ANNR_STD&amp;SCFT=3&amp;window=popup_no_bar&amp;width=385&amp;height=120&amp;START_MAXIMIZED=FALSE&amp;creator=factset&amp;display_string=Audit"}</definedName>
    <definedName name="_3722__FDSAUDITLINK__" localSheetId="27">{"fdsup://Directions/FactSet Auditing Viewer?action=AUDIT_VALUE&amp;DB=129&amp;ID1=010486&amp;VALUEID=01250&amp;SDATE=2010&amp;PERIODTYPE=ANNR_STD&amp;SCFT=3&amp;window=popup_no_bar&amp;width=385&amp;height=120&amp;START_MAXIMIZED=FALSE&amp;creator=factset&amp;display_string=Audit"}</definedName>
    <definedName name="_3723__FDSAUDITLINK__" localSheetId="34">{"fdsup://Directions/FactSet Auditing Viewer?action=AUDIT_VALUE&amp;DB=129&amp;ID1=046991&amp;VALUEID=01250&amp;SDATE=2009&amp;PERIODTYPE=ANNR_STD&amp;SCFT=3&amp;window=popup_no_bar&amp;width=385&amp;height=120&amp;START_MAXIMIZED=FALSE&amp;creator=factset&amp;display_string=Audit"}</definedName>
    <definedName name="_3723__FDSAUDITLINK__" localSheetId="27">{"fdsup://Directions/FactSet Auditing Viewer?action=AUDIT_VALUE&amp;DB=129&amp;ID1=046991&amp;VALUEID=01250&amp;SDATE=2009&amp;PERIODTYPE=ANNR_STD&amp;SCFT=3&amp;window=popup_no_bar&amp;width=385&amp;height=120&amp;START_MAXIMIZED=FALSE&amp;creator=factset&amp;display_string=Audit"}</definedName>
    <definedName name="_3724__FDSAUDITLINK__" localSheetId="34">{"fdsup://Directions/FactSet Auditing Viewer?action=AUDIT_VALUE&amp;DB=129&amp;ID1=B126KH&amp;VALUEID=01250&amp;SDATE=2009&amp;PERIODTYPE=ANNR_STD&amp;SCFT=3&amp;window=popup_no_bar&amp;width=385&amp;height=120&amp;START_MAXIMIZED=FALSE&amp;creator=factset&amp;display_string=Audit"}</definedName>
    <definedName name="_3724__FDSAUDITLINK__" localSheetId="27">{"fdsup://Directions/FactSet Auditing Viewer?action=AUDIT_VALUE&amp;DB=129&amp;ID1=B126KH&amp;VALUEID=01250&amp;SDATE=2009&amp;PERIODTYPE=ANNR_STD&amp;SCFT=3&amp;window=popup_no_bar&amp;width=385&amp;height=120&amp;START_MAXIMIZED=FALSE&amp;creator=factset&amp;display_string=Audit"}</definedName>
    <definedName name="_3725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3725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3726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3726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3727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3727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3728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728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729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3729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3730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730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731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731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732__FDSAUDITLINK__" localSheetId="34">{"fdsup://Directions/FactSet Auditing Viewer?action=AUDIT_VALUE&amp;DB=129&amp;ID1=B126KH&amp;VALUEID=01250&amp;SDATE=2009&amp;PERIODTYPE=ANNR_STD&amp;SCFT=3&amp;window=popup_no_bar&amp;width=385&amp;height=120&amp;START_MAXIMIZED=FALSE&amp;creator=factset&amp;display_string=Audit"}</definedName>
    <definedName name="_3732__FDSAUDITLINK__" localSheetId="27">{"fdsup://Directions/FactSet Auditing Viewer?action=AUDIT_VALUE&amp;DB=129&amp;ID1=B126KH&amp;VALUEID=01250&amp;SDATE=2009&amp;PERIODTYPE=ANNR_STD&amp;SCFT=3&amp;window=popup_no_bar&amp;width=385&amp;height=120&amp;START_MAXIMIZED=FALSE&amp;creator=factset&amp;display_string=Audit"}</definedName>
    <definedName name="_3733__FDSAUDITLINK__" localSheetId="34">{"fdsup://Directions/FactSet Auditing Viewer?action=AUDIT_VALUE&amp;DB=129&amp;ID1=320898&amp;VALUEID=01250&amp;SDATE=2010&amp;PERIODTYPE=ANNR_STD&amp;SCFT=3&amp;window=popup_no_bar&amp;width=385&amp;height=120&amp;START_MAXIMIZED=FALSE&amp;creator=factset&amp;display_string=Audit"}</definedName>
    <definedName name="_3733__FDSAUDITLINK__" localSheetId="27">{"fdsup://Directions/FactSet Auditing Viewer?action=AUDIT_VALUE&amp;DB=129&amp;ID1=320898&amp;VALUEID=01250&amp;SDATE=2010&amp;PERIODTYPE=ANNR_STD&amp;SCFT=3&amp;window=popup_no_bar&amp;width=385&amp;height=120&amp;START_MAXIMIZED=FALSE&amp;creator=factset&amp;display_string=Audit"}</definedName>
    <definedName name="_3734__FDSAUDITLINK__" localSheetId="34">{"fdsup://Directions/FactSet Auditing Viewer?action=AUDIT_VALUE&amp;DB=129&amp;ID1=337647&amp;VALUEID=01250&amp;SDATE=2010&amp;PERIODTYPE=ANNR_STD&amp;SCFT=3&amp;window=popup_no_bar&amp;width=385&amp;height=120&amp;START_MAXIMIZED=FALSE&amp;creator=factset&amp;display_string=Audit"}</definedName>
    <definedName name="_3734__FDSAUDITLINK__" localSheetId="27">{"fdsup://Directions/FactSet Auditing Viewer?action=AUDIT_VALUE&amp;DB=129&amp;ID1=337647&amp;VALUEID=01250&amp;SDATE=2010&amp;PERIODTYPE=ANNR_STD&amp;SCFT=3&amp;window=popup_no_bar&amp;width=385&amp;height=120&amp;START_MAXIMIZED=FALSE&amp;creator=factset&amp;display_string=Audit"}</definedName>
    <definedName name="_3735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735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736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3736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3737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737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738__FDSAUDITLINK__" localSheetId="34">{"fdsup://Directions/FactSet Auditing Viewer?action=AUDIT_VALUE&amp;DB=129&amp;ID1=B126KH&amp;VALUEID=01250&amp;SDATE=2009&amp;PERIODTYPE=ANNR_STD&amp;SCFT=3&amp;window=popup_no_bar&amp;width=385&amp;height=120&amp;START_MAXIMIZED=FALSE&amp;creator=factset&amp;display_string=Audit"}</definedName>
    <definedName name="_3738__FDSAUDITLINK__" localSheetId="27">{"fdsup://Directions/FactSet Auditing Viewer?action=AUDIT_VALUE&amp;DB=129&amp;ID1=B126KH&amp;VALUEID=01250&amp;SDATE=2009&amp;PERIODTYPE=ANNR_STD&amp;SCFT=3&amp;window=popup_no_bar&amp;width=385&amp;height=120&amp;START_MAXIMIZED=FALSE&amp;creator=factset&amp;display_string=Audit"}</definedName>
    <definedName name="_3739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3739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3740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3740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3741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741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742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3742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3743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743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744__FDSAUDITLINK__" localSheetId="34">{"fdsup://Directions/FactSet Auditing Viewer?action=AUDIT_VALUE&amp;DB=129&amp;ID1=B126KH&amp;VALUEID=01250&amp;SDATE=2010&amp;PERIODTYPE=ANNR_STD&amp;SCFT=3&amp;window=popup_no_bar&amp;width=385&amp;height=120&amp;START_MAXIMIZED=FALSE&amp;creator=factset&amp;display_string=Audit"}</definedName>
    <definedName name="_3744__FDSAUDITLINK__" localSheetId="27">{"fdsup://Directions/FactSet Auditing Viewer?action=AUDIT_VALUE&amp;DB=129&amp;ID1=B126KH&amp;VALUEID=01250&amp;SDATE=2010&amp;PERIODTYPE=ANNR_STD&amp;SCFT=3&amp;window=popup_no_bar&amp;width=385&amp;height=120&amp;START_MAXIMIZED=FALSE&amp;creator=factset&amp;display_string=Audit"}</definedName>
    <definedName name="_3745__FDSAUDITLINK__" localSheetId="34">{"fdsup://Directions/FactSet Auditing Viewer?action=AUDIT_VALUE&amp;DB=129&amp;ID1=010486&amp;VALUEID=01250&amp;SDATE=2008&amp;PERIODTYPE=ANNR_STD&amp;SCFT=3&amp;window=popup_no_bar&amp;width=385&amp;height=120&amp;START_MAXIMIZED=FALSE&amp;creator=factset&amp;display_string=Audit"}</definedName>
    <definedName name="_3745__FDSAUDITLINK__" localSheetId="27">{"fdsup://Directions/FactSet Auditing Viewer?action=AUDIT_VALUE&amp;DB=129&amp;ID1=010486&amp;VALUEID=01250&amp;SDATE=2008&amp;PERIODTYPE=ANNR_STD&amp;SCFT=3&amp;window=popup_no_bar&amp;width=385&amp;height=120&amp;START_MAXIMIZED=FALSE&amp;creator=factset&amp;display_string=Audit"}</definedName>
    <definedName name="_3746__FDSAUDITLINK__" localSheetId="34">{"fdsup://Directions/FactSet Auditing Viewer?action=AUDIT_VALUE&amp;DB=129&amp;ID1=010486&amp;VALUEID=01250&amp;SDATE=2009&amp;PERIODTYPE=ANNR_STD&amp;SCFT=3&amp;window=popup_no_bar&amp;width=385&amp;height=120&amp;START_MAXIMIZED=FALSE&amp;creator=factset&amp;display_string=Audit"}</definedName>
    <definedName name="_3746__FDSAUDITLINK__" localSheetId="27">{"fdsup://Directions/FactSet Auditing Viewer?action=AUDIT_VALUE&amp;DB=129&amp;ID1=010486&amp;VALUEID=01250&amp;SDATE=2009&amp;PERIODTYPE=ANNR_STD&amp;SCFT=3&amp;window=popup_no_bar&amp;width=385&amp;height=120&amp;START_MAXIMIZED=FALSE&amp;creator=factset&amp;display_string=Audit"}</definedName>
    <definedName name="_3747__FDSAUDITLINK__" localSheetId="34">{"fdsup://Directions/FactSet Auditing Viewer?action=AUDIT_VALUE&amp;DB=129&amp;ID1=046991&amp;VALUEID=01250&amp;SDATE=2008&amp;PERIODTYPE=ANNR_STD&amp;SCFT=3&amp;window=popup_no_bar&amp;width=385&amp;height=120&amp;START_MAXIMIZED=FALSE&amp;creator=factset&amp;display_string=Audit"}</definedName>
    <definedName name="_3747__FDSAUDITLINK__" localSheetId="27">{"fdsup://Directions/FactSet Auditing Viewer?action=AUDIT_VALUE&amp;DB=129&amp;ID1=046991&amp;VALUEID=01250&amp;SDATE=2008&amp;PERIODTYPE=ANNR_STD&amp;SCFT=3&amp;window=popup_no_bar&amp;width=385&amp;height=120&amp;START_MAXIMIZED=FALSE&amp;creator=factset&amp;display_string=Audit"}</definedName>
    <definedName name="_3748__FDSAUDITLINK__" localSheetId="34">{"fdsup://Directions/FactSet Auditing Viewer?action=AUDIT_VALUE&amp;DB=129&amp;ID1=047715&amp;VALUEID=01250&amp;SDATE=2010&amp;PERIODTYPE=ANNR_STD&amp;SCFT=3&amp;window=popup_no_bar&amp;width=385&amp;height=120&amp;START_MAXIMIZED=FALSE&amp;creator=factset&amp;display_string=Audit"}</definedName>
    <definedName name="_3748__FDSAUDITLINK__" localSheetId="27">{"fdsup://Directions/FactSet Auditing Viewer?action=AUDIT_VALUE&amp;DB=129&amp;ID1=047715&amp;VALUEID=01250&amp;SDATE=2010&amp;PERIODTYPE=ANNR_STD&amp;SCFT=3&amp;window=popup_no_bar&amp;width=385&amp;height=120&amp;START_MAXIMIZED=FALSE&amp;creator=factset&amp;display_string=Audit"}</definedName>
    <definedName name="_3749__FDSAUDITLINK__" localSheetId="34">{"fdsup://Directions/FactSet Auditing Viewer?action=AUDIT_VALUE&amp;DB=129&amp;ID1=047715&amp;VALUEID=01250&amp;SDATE=2007&amp;PERIODTYPE=ANNR_STD&amp;SCFT=3&amp;window=popup_no_bar&amp;width=385&amp;height=120&amp;START_MAXIMIZED=FALSE&amp;creator=factset&amp;display_string=Audit"}</definedName>
    <definedName name="_3749__FDSAUDITLINK__" localSheetId="27">{"fdsup://Directions/FactSet Auditing Viewer?action=AUDIT_VALUE&amp;DB=129&amp;ID1=047715&amp;VALUEID=01250&amp;SDATE=2007&amp;PERIODTYPE=ANNR_STD&amp;SCFT=3&amp;window=popup_no_bar&amp;width=385&amp;height=120&amp;START_MAXIMIZED=FALSE&amp;creator=factset&amp;display_string=Audit"}</definedName>
    <definedName name="_3750__FDSAUDITLINK__" localSheetId="34">{"fdsup://Directions/FactSet Auditing Viewer?action=AUDIT_VALUE&amp;DB=129&amp;ID1=320898&amp;VALUEID=01250&amp;SDATE=2009&amp;PERIODTYPE=ANNR_STD&amp;SCFT=3&amp;window=popup_no_bar&amp;width=385&amp;height=120&amp;START_MAXIMIZED=FALSE&amp;creator=factset&amp;display_string=Audit"}</definedName>
    <definedName name="_3750__FDSAUDITLINK__" localSheetId="27">{"fdsup://Directions/FactSet Auditing Viewer?action=AUDIT_VALUE&amp;DB=129&amp;ID1=320898&amp;VALUEID=01250&amp;SDATE=2009&amp;PERIODTYPE=ANNR_STD&amp;SCFT=3&amp;window=popup_no_bar&amp;width=385&amp;height=120&amp;START_MAXIMIZED=FALSE&amp;creator=factset&amp;display_string=Audit"}</definedName>
    <definedName name="_3751__FDSAUDITLINK__" localSheetId="34">{"fdsup://Directions/FactSet Auditing Viewer?action=AUDIT_VALUE&amp;DB=129&amp;ID1=337647&amp;VALUEID=01250&amp;SDATE=2009&amp;PERIODTYPE=ANNR_STD&amp;SCFT=3&amp;window=popup_no_bar&amp;width=385&amp;height=120&amp;START_MAXIMIZED=FALSE&amp;creator=factset&amp;display_string=Audit"}</definedName>
    <definedName name="_3751__FDSAUDITLINK__" localSheetId="27">{"fdsup://Directions/FactSet Auditing Viewer?action=AUDIT_VALUE&amp;DB=129&amp;ID1=337647&amp;VALUEID=01250&amp;SDATE=2009&amp;PERIODTYPE=ANNR_STD&amp;SCFT=3&amp;window=popup_no_bar&amp;width=385&amp;height=120&amp;START_MAXIMIZED=FALSE&amp;creator=factset&amp;display_string=Audit"}</definedName>
    <definedName name="_3752__FDSAUDITLINK__" localSheetId="34">{"fdsup://Directions/FactSet Auditing Viewer?action=AUDIT_VALUE&amp;DB=129&amp;ID1=010486&amp;VALUEID=01250&amp;SDATE=2010&amp;PERIODTYPE=ANNR_STD&amp;SCFT=3&amp;window=popup_no_bar&amp;width=385&amp;height=120&amp;START_MAXIMIZED=FALSE&amp;creator=factset&amp;display_string=Audit"}</definedName>
    <definedName name="_3752__FDSAUDITLINK__" localSheetId="27">{"fdsup://Directions/FactSet Auditing Viewer?action=AUDIT_VALUE&amp;DB=129&amp;ID1=010486&amp;VALUEID=01250&amp;SDATE=2010&amp;PERIODTYPE=ANNR_STD&amp;SCFT=3&amp;window=popup_no_bar&amp;width=385&amp;height=120&amp;START_MAXIMIZED=FALSE&amp;creator=factset&amp;display_string=Audit"}</definedName>
    <definedName name="_3753__FDSAUDITLINK__" localSheetId="34">{"fdsup://Directions/FactSet Auditing Viewer?action=AUDIT_VALUE&amp;DB=129&amp;ID1=046991&amp;VALUEID=01250&amp;SDATE=2009&amp;PERIODTYPE=ANNR_STD&amp;SCFT=3&amp;window=popup_no_bar&amp;width=385&amp;height=120&amp;START_MAXIMIZED=FALSE&amp;creator=factset&amp;display_string=Audit"}</definedName>
    <definedName name="_3753__FDSAUDITLINK__" localSheetId="27">{"fdsup://Directions/FactSet Auditing Viewer?action=AUDIT_VALUE&amp;DB=129&amp;ID1=046991&amp;VALUEID=01250&amp;SDATE=2009&amp;PERIODTYPE=ANNR_STD&amp;SCFT=3&amp;window=popup_no_bar&amp;width=385&amp;height=120&amp;START_MAXIMIZED=FALSE&amp;creator=factset&amp;display_string=Audit"}</definedName>
    <definedName name="_3754__FDSAUDITLINK__" localSheetId="34">{"fdsup://Directions/FactSet Auditing Viewer?action=AUDIT_VALUE&amp;DB=129&amp;ID1=312748&amp;VALUEID=01250&amp;SDATE=2009&amp;PERIODTYPE=ANNR_STD&amp;SCFT=3&amp;window=popup_no_bar&amp;width=385&amp;height=120&amp;START_MAXIMIZED=FALSE&amp;creator=factset&amp;display_string=Audit"}</definedName>
    <definedName name="_3754__FDSAUDITLINK__" localSheetId="27">{"fdsup://Directions/FactSet Auditing Viewer?action=AUDIT_VALUE&amp;DB=129&amp;ID1=312748&amp;VALUEID=01250&amp;SDATE=2009&amp;PERIODTYPE=ANNR_STD&amp;SCFT=3&amp;window=popup_no_bar&amp;width=385&amp;height=120&amp;START_MAXIMIZED=FALSE&amp;creator=factset&amp;display_string=Audit"}</definedName>
    <definedName name="_3755__FDSAUDITLINK__" localSheetId="34">{"fdsup://Directions/FactSet Auditing Viewer?action=AUDIT_VALUE&amp;DB=129&amp;ID1=B126KH&amp;VALUEID=01250&amp;SDATE=2009&amp;PERIODTYPE=ANNR_STD&amp;SCFT=3&amp;window=popup_no_bar&amp;width=385&amp;height=120&amp;START_MAXIMIZED=FALSE&amp;creator=factset&amp;display_string=Audit"}</definedName>
    <definedName name="_3755__FDSAUDITLINK__" localSheetId="27">{"fdsup://Directions/FactSet Auditing Viewer?action=AUDIT_VALUE&amp;DB=129&amp;ID1=B126KH&amp;VALUEID=01250&amp;SDATE=2009&amp;PERIODTYPE=ANNR_STD&amp;SCFT=3&amp;window=popup_no_bar&amp;width=385&amp;height=120&amp;START_MAXIMIZED=FALSE&amp;creator=factset&amp;display_string=Audit"}</definedName>
    <definedName name="_3756__FDSAUDITLINK__" localSheetId="34">{"fdsup://Directions/FactSet Auditing Viewer?action=AUDIT_VALUE&amp;DB=129&amp;ID1=320898&amp;VALUEID=01250&amp;SDATE=2010&amp;PERIODTYPE=ANNR_STD&amp;SCFT=3&amp;window=popup_no_bar&amp;width=385&amp;height=120&amp;START_MAXIMIZED=FALSE&amp;creator=factset&amp;display_string=Audit"}</definedName>
    <definedName name="_3756__FDSAUDITLINK__" localSheetId="27">{"fdsup://Directions/FactSet Auditing Viewer?action=AUDIT_VALUE&amp;DB=129&amp;ID1=320898&amp;VALUEID=01250&amp;SDATE=2010&amp;PERIODTYPE=ANNR_STD&amp;SCFT=3&amp;window=popup_no_bar&amp;width=385&amp;height=120&amp;START_MAXIMIZED=FALSE&amp;creator=factset&amp;display_string=Audit"}</definedName>
    <definedName name="_3757__FDSAUDITLINK__" localSheetId="34">{"fdsup://Directions/FactSet Auditing Viewer?action=AUDIT_VALUE&amp;DB=129&amp;ID1=337647&amp;VALUEID=01250&amp;SDATE=2010&amp;PERIODTYPE=ANNR_STD&amp;SCFT=3&amp;window=popup_no_bar&amp;width=385&amp;height=120&amp;START_MAXIMIZED=FALSE&amp;creator=factset&amp;display_string=Audit"}</definedName>
    <definedName name="_3757__FDSAUDITLINK__" localSheetId="27">{"fdsup://Directions/FactSet Auditing Viewer?action=AUDIT_VALUE&amp;DB=129&amp;ID1=337647&amp;VALUEID=01250&amp;SDATE=2010&amp;PERIODTYPE=ANNR_STD&amp;SCFT=3&amp;window=popup_no_bar&amp;width=385&amp;height=120&amp;START_MAXIMIZED=FALSE&amp;creator=factset&amp;display_string=Audit"}</definedName>
    <definedName name="_3758__FDSAUDITLINK__" localSheetId="34">{"fdsup://Directions/FactSet Auditing Viewer?action=AUDIT_VALUE&amp;DB=129&amp;ID1=047715&amp;VALUEID=01250&amp;SDATE=2009&amp;PERIODTYPE=ANNR_STD&amp;SCFT=3&amp;window=popup_no_bar&amp;width=385&amp;height=120&amp;START_MAXIMIZED=FALSE&amp;creator=factset&amp;display_string=Audit"}</definedName>
    <definedName name="_3758__FDSAUDITLINK__" localSheetId="27">{"fdsup://Directions/FactSet Auditing Viewer?action=AUDIT_VALUE&amp;DB=129&amp;ID1=047715&amp;VALUEID=01250&amp;SDATE=2009&amp;PERIODTYPE=ANNR_STD&amp;SCFT=3&amp;window=popup_no_bar&amp;width=385&amp;height=120&amp;START_MAXIMIZED=FALSE&amp;creator=factset&amp;display_string=Audit"}</definedName>
    <definedName name="_3759__FDSAUDITLINK__" localSheetId="34">{"fdsup://Directions/FactSet Auditing Viewer?action=AUDIT_VALUE&amp;DB=129&amp;ID1=B126KH&amp;VALUEID=01250&amp;SDATE=2010&amp;PERIODTYPE=ANNR_STD&amp;SCFT=3&amp;window=popup_no_bar&amp;width=385&amp;height=120&amp;START_MAXIMIZED=FALSE&amp;creator=factset&amp;display_string=Audit"}</definedName>
    <definedName name="_3759__FDSAUDITLINK__" localSheetId="27">{"fdsup://Directions/FactSet Auditing Viewer?action=AUDIT_VALUE&amp;DB=129&amp;ID1=B126KH&amp;VALUEID=01250&amp;SDATE=2010&amp;PERIODTYPE=ANNR_STD&amp;SCFT=3&amp;window=popup_no_bar&amp;width=385&amp;height=120&amp;START_MAXIMIZED=FALSE&amp;creator=factset&amp;display_string=Audit"}</definedName>
    <definedName name="_3760__FDSAUDITLINK__" localSheetId="34">{"fdsup://Directions/FactSet Auditing Viewer?action=AUDIT_VALUE&amp;DB=129&amp;ID1=010486&amp;VALUEID=01001&amp;SDATE=2009&amp;PERIODTYPE=ANNR_STD&amp;SCFT=3&amp;window=popup_no_bar&amp;width=385&amp;height=120&amp;START_MAXIMIZED=FALSE&amp;creator=factset&amp;display_string=Audit"}</definedName>
    <definedName name="_3760__FDSAUDITLINK__" localSheetId="27">{"fdsup://Directions/FactSet Auditing Viewer?action=AUDIT_VALUE&amp;DB=129&amp;ID1=010486&amp;VALUEID=01001&amp;SDATE=2009&amp;PERIODTYPE=ANNR_STD&amp;SCFT=3&amp;window=popup_no_bar&amp;width=385&amp;height=120&amp;START_MAXIMIZED=FALSE&amp;creator=factset&amp;display_string=Audit"}</definedName>
    <definedName name="_3761__FDSAUDITLINK__" localSheetId="34">{"fdsup://Directions/FactSet Auditing Viewer?action=AUDIT_VALUE&amp;DB=129&amp;ID1=010486&amp;VALUEID=04049&amp;SDATE=2009&amp;PERIODTYPE=ANNR_STD&amp;SCFT=3&amp;window=popup_no_bar&amp;width=385&amp;height=120&amp;START_MAXIMIZED=FALSE&amp;creator=factset&amp;display_string=Audit"}</definedName>
    <definedName name="_3761__FDSAUDITLINK__" localSheetId="27">{"fdsup://Directions/FactSet Auditing Viewer?action=AUDIT_VALUE&amp;DB=129&amp;ID1=010486&amp;VALUEID=04049&amp;SDATE=2009&amp;PERIODTYPE=ANNR_STD&amp;SCFT=3&amp;window=popup_no_bar&amp;width=385&amp;height=120&amp;START_MAXIMIZED=FALSE&amp;creator=factset&amp;display_string=Audit"}</definedName>
    <definedName name="_3762__FDSAUDITLINK__" localSheetId="34">{"fdsup://Directions/FactSet Auditing Viewer?action=AUDIT_VALUE&amp;DB=129&amp;ID1=046991&amp;VALUEID=04049&amp;SDATE=2008&amp;PERIODTYPE=ANNR_STD&amp;SCFT=3&amp;window=popup_no_bar&amp;width=385&amp;height=120&amp;START_MAXIMIZED=FALSE&amp;creator=factset&amp;display_string=Audit"}</definedName>
    <definedName name="_3762__FDSAUDITLINK__" localSheetId="27">{"fdsup://Directions/FactSet Auditing Viewer?action=AUDIT_VALUE&amp;DB=129&amp;ID1=046991&amp;VALUEID=04049&amp;SDATE=2008&amp;PERIODTYPE=ANNR_STD&amp;SCFT=3&amp;window=popup_no_bar&amp;width=385&amp;height=120&amp;START_MAXIMIZED=FALSE&amp;creator=factset&amp;display_string=Audit"}</definedName>
    <definedName name="_3763__FDSAUDITLINK__" localSheetId="34">{"fdsup://Directions/FactSet Auditing Viewer?action=AUDIT_VALUE&amp;DB=129&amp;ID1=046991&amp;VALUEID=04049&amp;SDATE=2005&amp;PERIODTYPE=ANNR_STD&amp;SCFT=3&amp;window=popup_no_bar&amp;width=385&amp;height=120&amp;START_MAXIMIZED=FALSE&amp;creator=factset&amp;display_string=Audit"}</definedName>
    <definedName name="_3763__FDSAUDITLINK__" localSheetId="27">{"fdsup://Directions/FactSet Auditing Viewer?action=AUDIT_VALUE&amp;DB=129&amp;ID1=046991&amp;VALUEID=04049&amp;SDATE=2005&amp;PERIODTYPE=ANNR_STD&amp;SCFT=3&amp;window=popup_no_bar&amp;width=385&amp;height=120&amp;START_MAXIMIZED=FALSE&amp;creator=factset&amp;display_string=Audit"}</definedName>
    <definedName name="_3764__FDSAUDITLINK__" localSheetId="34">{"fdsup://Directions/FactSet Auditing Viewer?action=AUDIT_VALUE&amp;DB=129&amp;ID1=047715&amp;VALUEID=04049&amp;SDATE=2007&amp;PERIODTYPE=ANNR_STD&amp;SCFT=3&amp;window=popup_no_bar&amp;width=385&amp;height=120&amp;START_MAXIMIZED=FALSE&amp;creator=factset&amp;display_string=Audit"}</definedName>
    <definedName name="_3764__FDSAUDITLINK__" localSheetId="27">{"fdsup://Directions/FactSet Auditing Viewer?action=AUDIT_VALUE&amp;DB=129&amp;ID1=047715&amp;VALUEID=04049&amp;SDATE=2007&amp;PERIODTYPE=ANNR_STD&amp;SCFT=3&amp;window=popup_no_bar&amp;width=385&amp;height=120&amp;START_MAXIMIZED=FALSE&amp;creator=factset&amp;display_string=Audit"}</definedName>
    <definedName name="_3765__FDSAUDITLINK__" localSheetId="34">{"fdsup://Directions/FactSet Auditing Viewer?action=AUDIT_VALUE&amp;DB=129&amp;ID1=046991&amp;VALUEID=04049&amp;SDATE=2009&amp;PERIODTYPE=ANNR_STD&amp;SCFT=3&amp;window=popup_no_bar&amp;width=385&amp;height=120&amp;START_MAXIMIZED=FALSE&amp;creator=factset&amp;display_string=Audit"}</definedName>
    <definedName name="_3765__FDSAUDITLINK__" localSheetId="27">{"fdsup://Directions/FactSet Auditing Viewer?action=AUDIT_VALUE&amp;DB=129&amp;ID1=046991&amp;VALUEID=04049&amp;SDATE=2009&amp;PERIODTYPE=ANNR_STD&amp;SCFT=3&amp;window=popup_no_bar&amp;width=385&amp;height=120&amp;START_MAXIMIZED=FALSE&amp;creator=factset&amp;display_string=Audit"}</definedName>
    <definedName name="_3766__FDSAUDITLINK__" localSheetId="34">{"fdsup://Directions/FactSet Auditing Viewer?action=AUDIT_VALUE&amp;DB=129&amp;ID1=B126KH&amp;VALUEID=04049&amp;SDATE=2009&amp;PERIODTYPE=ANNR_STD&amp;SCFT=3&amp;window=popup_no_bar&amp;width=385&amp;height=120&amp;START_MAXIMIZED=FALSE&amp;creator=factset&amp;display_string=Audit"}</definedName>
    <definedName name="_3766__FDSAUDITLINK__" localSheetId="27">{"fdsup://Directions/FactSet Auditing Viewer?action=AUDIT_VALUE&amp;DB=129&amp;ID1=B126KH&amp;VALUEID=04049&amp;SDATE=2009&amp;PERIODTYPE=ANNR_STD&amp;SCFT=3&amp;window=popup_no_bar&amp;width=385&amp;height=120&amp;START_MAXIMIZED=FALSE&amp;creator=factset&amp;display_string=Audit"}</definedName>
    <definedName name="_3767__FDSAUDITLINK__" localSheetId="34">{"fdsup://Directions/FactSet Auditing Viewer?action=AUDIT_VALUE&amp;DB=129&amp;ID1=320898&amp;VALUEID=04049&amp;SDATE=2010&amp;PERIODTYPE=ANNR_STD&amp;SCFT=3&amp;window=popup_no_bar&amp;width=385&amp;height=120&amp;START_MAXIMIZED=FALSE&amp;creator=factset&amp;display_string=Audit"}</definedName>
    <definedName name="_3767__FDSAUDITLINK__" localSheetId="27">{"fdsup://Directions/FactSet Auditing Viewer?action=AUDIT_VALUE&amp;DB=129&amp;ID1=320898&amp;VALUEID=04049&amp;SDATE=2010&amp;PERIODTYPE=ANNR_STD&amp;SCFT=3&amp;window=popup_no_bar&amp;width=385&amp;height=120&amp;START_MAXIMIZED=FALSE&amp;creator=factset&amp;display_string=Audit"}</definedName>
    <definedName name="_3768__FDSAUDITLINK__" localSheetId="34">{"fdsup://Directions/FactSet Auditing Viewer?action=AUDIT_VALUE&amp;DB=129&amp;ID1=337647&amp;VALUEID=04049&amp;SDATE=2010&amp;PERIODTYPE=ANNR_STD&amp;SCFT=3&amp;window=popup_no_bar&amp;width=385&amp;height=120&amp;START_MAXIMIZED=FALSE&amp;creator=factset&amp;display_string=Audit"}</definedName>
    <definedName name="_3768__FDSAUDITLINK__" localSheetId="27">{"fdsup://Directions/FactSet Auditing Viewer?action=AUDIT_VALUE&amp;DB=129&amp;ID1=337647&amp;VALUEID=04049&amp;SDATE=2010&amp;PERIODTYPE=ANNR_STD&amp;SCFT=3&amp;window=popup_no_bar&amp;width=385&amp;height=120&amp;START_MAXIMIZED=FALSE&amp;creator=factset&amp;display_string=Audit"}</definedName>
    <definedName name="_3769__FDSAUDITLINK__" localSheetId="34">{"fdsup://Directions/FactSet Auditing Viewer?action=AUDIT_VALUE&amp;DB=129&amp;ID1=047715&amp;VALUEID=04049&amp;SDATE=2009&amp;PERIODTYPE=ANNR_STD&amp;SCFT=3&amp;window=popup_no_bar&amp;width=385&amp;height=120&amp;START_MAXIMIZED=FALSE&amp;creator=factset&amp;display_string=Audit"}</definedName>
    <definedName name="_3769__FDSAUDITLINK__" localSheetId="27">{"fdsup://Directions/FactSet Auditing Viewer?action=AUDIT_VALUE&amp;DB=129&amp;ID1=047715&amp;VALUEID=04049&amp;SDATE=2009&amp;PERIODTYPE=ANNR_STD&amp;SCFT=3&amp;window=popup_no_bar&amp;width=385&amp;height=120&amp;START_MAXIMIZED=FALSE&amp;creator=factset&amp;display_string=Audit"}</definedName>
    <definedName name="_3770__FDSAUDITLINK__" localSheetId="34">{"fdsup://Directions/FactSet Auditing Viewer?action=AUDIT_VALUE&amp;DB=129&amp;ID1=B126KH&amp;VALUEID=04049&amp;SDATE=2010&amp;PERIODTYPE=ANNR_STD&amp;SCFT=3&amp;window=popup_no_bar&amp;width=385&amp;height=120&amp;START_MAXIMIZED=FALSE&amp;creator=factset&amp;display_string=Audit"}</definedName>
    <definedName name="_3770__FDSAUDITLINK__" localSheetId="27">{"fdsup://Directions/FactSet Auditing Viewer?action=AUDIT_VALUE&amp;DB=129&amp;ID1=B126KH&amp;VALUEID=04049&amp;SDATE=2010&amp;PERIODTYPE=ANNR_STD&amp;SCFT=3&amp;window=popup_no_bar&amp;width=385&amp;height=120&amp;START_MAXIMIZED=FALSE&amp;creator=factset&amp;display_string=Audit"}</definedName>
    <definedName name="_3771__FDSAUDITLINK__" localSheetId="34">{"fdsup://Directions/FactSet Auditing Viewer?action=AUDIT_VALUE&amp;DB=129&amp;ID1=B126KH&amp;VALUEID=01001&amp;SDATE=2010&amp;PERIODTYPE=ANNR_STD&amp;SCFT=3&amp;window=popup_no_bar&amp;width=385&amp;height=120&amp;START_MAXIMIZED=FALSE&amp;creator=factset&amp;display_string=Audit"}</definedName>
    <definedName name="_3771__FDSAUDITLINK__" localSheetId="27">{"fdsup://Directions/FactSet Auditing Viewer?action=AUDIT_VALUE&amp;DB=129&amp;ID1=B126KH&amp;VALUEID=01001&amp;SDATE=2010&amp;PERIODTYPE=ANNR_STD&amp;SCFT=3&amp;window=popup_no_bar&amp;width=385&amp;height=120&amp;START_MAXIMIZED=FALSE&amp;creator=factset&amp;display_string=Audit"}</definedName>
    <definedName name="_3772__FDSAUDITLINK__" localSheetId="34">{"fdsup://Directions/FactSet Auditing Viewer?action=AUDIT_VALUE&amp;DB=129&amp;ID1=046991&amp;VALUEID=01001&amp;SDATE=2008&amp;PERIODTYPE=ANNR_STD&amp;SCFT=3&amp;window=popup_no_bar&amp;width=385&amp;height=120&amp;START_MAXIMIZED=FALSE&amp;creator=factset&amp;display_string=Audit"}</definedName>
    <definedName name="_3772__FDSAUDITLINK__" localSheetId="27">{"fdsup://Directions/FactSet Auditing Viewer?action=AUDIT_VALUE&amp;DB=129&amp;ID1=046991&amp;VALUEID=01001&amp;SDATE=2008&amp;PERIODTYPE=ANNR_STD&amp;SCFT=3&amp;window=popup_no_bar&amp;width=385&amp;height=120&amp;START_MAXIMIZED=FALSE&amp;creator=factset&amp;display_string=Audit"}</definedName>
    <definedName name="_3773__FDSAUDITLINK__" localSheetId="34">{"fdsup://Directions/FactSet Auditing Viewer?action=AUDIT_VALUE&amp;DB=129&amp;ID1=047715&amp;VALUEID=01001&amp;SDATE=2010&amp;PERIODTYPE=ANNR_STD&amp;SCFT=3&amp;window=popup_no_bar&amp;width=385&amp;height=120&amp;START_MAXIMIZED=FALSE&amp;creator=factset&amp;display_string=Audit"}</definedName>
    <definedName name="_3773__FDSAUDITLINK__" localSheetId="27">{"fdsup://Directions/FactSet Auditing Viewer?action=AUDIT_VALUE&amp;DB=129&amp;ID1=047715&amp;VALUEID=01001&amp;SDATE=2010&amp;PERIODTYPE=ANNR_STD&amp;SCFT=3&amp;window=popup_no_bar&amp;width=385&amp;height=120&amp;START_MAXIMIZED=FALSE&amp;creator=factset&amp;display_string=Audit"}</definedName>
    <definedName name="_3774__FDSAUDITLINK__" localSheetId="34">{"fdsup://Directions/FactSet Auditing Viewer?action=AUDIT_VALUE&amp;DB=129&amp;ID1=047715&amp;VALUEID=01001&amp;SDATE=2007&amp;PERIODTYPE=ANNR_STD&amp;SCFT=3&amp;window=popup_no_bar&amp;width=385&amp;height=120&amp;START_MAXIMIZED=FALSE&amp;creator=factset&amp;display_string=Audit"}</definedName>
    <definedName name="_3774__FDSAUDITLINK__" localSheetId="27">{"fdsup://Directions/FactSet Auditing Viewer?action=AUDIT_VALUE&amp;DB=129&amp;ID1=047715&amp;VALUEID=01001&amp;SDATE=2007&amp;PERIODTYPE=ANNR_STD&amp;SCFT=3&amp;window=popup_no_bar&amp;width=385&amp;height=120&amp;START_MAXIMIZED=FALSE&amp;creator=factset&amp;display_string=Audit"}</definedName>
    <definedName name="_3775__FDSAUDITLINK__" localSheetId="34">{"fdsup://Directions/FactSet Auditing Viewer?action=AUDIT_VALUE&amp;DB=129&amp;ID1=320898&amp;VALUEID=01001&amp;SDATE=2009&amp;PERIODTYPE=ANNR_STD&amp;SCFT=3&amp;window=popup_no_bar&amp;width=385&amp;height=120&amp;START_MAXIMIZED=FALSE&amp;creator=factset&amp;display_string=Audit"}</definedName>
    <definedName name="_3775__FDSAUDITLINK__" localSheetId="27">{"fdsup://Directions/FactSet Auditing Viewer?action=AUDIT_VALUE&amp;DB=129&amp;ID1=320898&amp;VALUEID=01001&amp;SDATE=2009&amp;PERIODTYPE=ANNR_STD&amp;SCFT=3&amp;window=popup_no_bar&amp;width=385&amp;height=120&amp;START_MAXIMIZED=FALSE&amp;creator=factset&amp;display_string=Audit"}</definedName>
    <definedName name="_3776__FDSAUDITLINK__" localSheetId="34">{"fdsup://Directions/FactSet Auditing Viewer?action=AUDIT_VALUE&amp;DB=129&amp;ID1=337647&amp;VALUEID=01001&amp;SDATE=2009&amp;PERIODTYPE=ANNR_STD&amp;SCFT=3&amp;window=popup_no_bar&amp;width=385&amp;height=120&amp;START_MAXIMIZED=FALSE&amp;creator=factset&amp;display_string=Audit"}</definedName>
    <definedName name="_3776__FDSAUDITLINK__" localSheetId="27">{"fdsup://Directions/FactSet Auditing Viewer?action=AUDIT_VALUE&amp;DB=129&amp;ID1=337647&amp;VALUEID=01001&amp;SDATE=2009&amp;PERIODTYPE=ANNR_STD&amp;SCFT=3&amp;window=popup_no_bar&amp;width=385&amp;height=120&amp;START_MAXIMIZED=FALSE&amp;creator=factset&amp;display_string=Audit"}</definedName>
    <definedName name="_3777__FDSAUDITLINK__" localSheetId="34">{"fdsup://Directions/FactSet Auditing Viewer?action=AUDIT_VALUE&amp;DB=129&amp;ID1=010486&amp;VALUEID=01001&amp;SDATE=2010&amp;PERIODTYPE=ANNR_STD&amp;SCFT=3&amp;window=popup_no_bar&amp;width=385&amp;height=120&amp;START_MAXIMIZED=FALSE&amp;creator=factset&amp;display_string=Audit"}</definedName>
    <definedName name="_3777__FDSAUDITLINK__" localSheetId="27">{"fdsup://Directions/FactSet Auditing Viewer?action=AUDIT_VALUE&amp;DB=129&amp;ID1=010486&amp;VALUEID=01001&amp;SDATE=2010&amp;PERIODTYPE=ANNR_STD&amp;SCFT=3&amp;window=popup_no_bar&amp;width=385&amp;height=120&amp;START_MAXIMIZED=FALSE&amp;creator=factset&amp;display_string=Audit"}</definedName>
    <definedName name="_3778__FDSAUDITLINK__" localSheetId="34">{"fdsup://Directions/FactSet Auditing Viewer?action=AUDIT_VALUE&amp;DB=129&amp;ID1=046991&amp;VALUEID=01001&amp;SDATE=2009&amp;PERIODTYPE=ANNR_STD&amp;SCFT=3&amp;window=popup_no_bar&amp;width=385&amp;height=120&amp;START_MAXIMIZED=FALSE&amp;creator=factset&amp;display_string=Audit"}</definedName>
    <definedName name="_3778__FDSAUDITLINK__" localSheetId="27">{"fdsup://Directions/FactSet Auditing Viewer?action=AUDIT_VALUE&amp;DB=129&amp;ID1=046991&amp;VALUEID=01001&amp;SDATE=2009&amp;PERIODTYPE=ANNR_STD&amp;SCFT=3&amp;window=popup_no_bar&amp;width=385&amp;height=120&amp;START_MAXIMIZED=FALSE&amp;creator=factset&amp;display_string=Audit"}</definedName>
    <definedName name="_3779__FDSAUDITLINK__" localSheetId="34">{"fdsup://Directions/FactSet Auditing Viewer?action=AUDIT_VALUE&amp;DB=129&amp;ID1=312748&amp;VALUEID=01001&amp;SDATE=2009&amp;PERIODTYPE=ANNR_STD&amp;SCFT=3&amp;window=popup_no_bar&amp;width=385&amp;height=120&amp;START_MAXIMIZED=FALSE&amp;creator=factset&amp;display_string=Audit"}</definedName>
    <definedName name="_3779__FDSAUDITLINK__" localSheetId="27">{"fdsup://Directions/FactSet Auditing Viewer?action=AUDIT_VALUE&amp;DB=129&amp;ID1=312748&amp;VALUEID=01001&amp;SDATE=2009&amp;PERIODTYPE=ANNR_STD&amp;SCFT=3&amp;window=popup_no_bar&amp;width=385&amp;height=120&amp;START_MAXIMIZED=FALSE&amp;creator=factset&amp;display_string=Audit"}</definedName>
    <definedName name="_3780__FDSAUDITLINK__" localSheetId="34">{"fdsup://Directions/FactSet Auditing Viewer?action=AUDIT_VALUE&amp;DB=129&amp;ID1=B126KH&amp;VALUEID=01001&amp;SDATE=2009&amp;PERIODTYPE=ANNR_STD&amp;SCFT=3&amp;window=popup_no_bar&amp;width=385&amp;height=120&amp;START_MAXIMIZED=FALSE&amp;creator=factset&amp;display_string=Audit"}</definedName>
    <definedName name="_3780__FDSAUDITLINK__" localSheetId="27">{"fdsup://Directions/FactSet Auditing Viewer?action=AUDIT_VALUE&amp;DB=129&amp;ID1=B126KH&amp;VALUEID=01001&amp;SDATE=2009&amp;PERIODTYPE=ANNR_STD&amp;SCFT=3&amp;window=popup_no_bar&amp;width=385&amp;height=120&amp;START_MAXIMIZED=FALSE&amp;creator=factset&amp;display_string=Audit"}</definedName>
    <definedName name="_3781__FDSAUDITLINK__" localSheetId="34">{"fdsup://Directions/FactSet Auditing Viewer?action=AUDIT_VALUE&amp;DB=129&amp;ID1=320898&amp;VALUEID=01001&amp;SDATE=2010&amp;PERIODTYPE=ANNR_STD&amp;SCFT=3&amp;window=popup_no_bar&amp;width=385&amp;height=120&amp;START_MAXIMIZED=FALSE&amp;creator=factset&amp;display_string=Audit"}</definedName>
    <definedName name="_3781__FDSAUDITLINK__" localSheetId="27">{"fdsup://Directions/FactSet Auditing Viewer?action=AUDIT_VALUE&amp;DB=129&amp;ID1=320898&amp;VALUEID=01001&amp;SDATE=2010&amp;PERIODTYPE=ANNR_STD&amp;SCFT=3&amp;window=popup_no_bar&amp;width=385&amp;height=120&amp;START_MAXIMIZED=FALSE&amp;creator=factset&amp;display_string=Audit"}</definedName>
    <definedName name="_3782__FDSAUDITLINK__" localSheetId="34">{"fdsup://Directions/FactSet Auditing Viewer?action=AUDIT_VALUE&amp;DB=129&amp;ID1=337647&amp;VALUEID=01001&amp;SDATE=2010&amp;PERIODTYPE=ANNR_STD&amp;SCFT=3&amp;window=popup_no_bar&amp;width=385&amp;height=120&amp;START_MAXIMIZED=FALSE&amp;creator=factset&amp;display_string=Audit"}</definedName>
    <definedName name="_3782__FDSAUDITLINK__" localSheetId="27">{"fdsup://Directions/FactSet Auditing Viewer?action=AUDIT_VALUE&amp;DB=129&amp;ID1=337647&amp;VALUEID=01001&amp;SDATE=2010&amp;PERIODTYPE=ANNR_STD&amp;SCFT=3&amp;window=popup_no_bar&amp;width=385&amp;height=120&amp;START_MAXIMIZED=FALSE&amp;creator=factset&amp;display_string=Audit"}</definedName>
    <definedName name="_3783__FDSAUDITLINK__" localSheetId="34">{"fdsup://Directions/FactSet Auditing Viewer?action=AUDIT_VALUE&amp;DB=129&amp;ID1=047715&amp;VALUEID=01001&amp;SDATE=2009&amp;PERIODTYPE=ANNR_STD&amp;SCFT=3&amp;window=popup_no_bar&amp;width=385&amp;height=120&amp;START_MAXIMIZED=FALSE&amp;creator=factset&amp;display_string=Audit"}</definedName>
    <definedName name="_3783__FDSAUDITLINK__" localSheetId="27">{"fdsup://Directions/FactSet Auditing Viewer?action=AUDIT_VALUE&amp;DB=129&amp;ID1=047715&amp;VALUEID=01001&amp;SDATE=2009&amp;PERIODTYPE=ANNR_STD&amp;SCFT=3&amp;window=popup_no_bar&amp;width=385&amp;height=120&amp;START_MAXIMIZED=FALSE&amp;creator=factset&amp;display_string=Audit"}</definedName>
    <definedName name="_3784__FDSAUDITLINK__" localSheetId="34">{"fdsup://Directions/FactSet Auditing Viewer?action=AUDIT_VALUE&amp;DB=129&amp;ID1=B126KH&amp;VALUEID=01001&amp;SDATE=2010&amp;PERIODTYPE=ANNR_STD&amp;SCFT=3&amp;window=popup_no_bar&amp;width=385&amp;height=120&amp;START_MAXIMIZED=FALSE&amp;creator=factset&amp;display_string=Audit"}</definedName>
    <definedName name="_3784__FDSAUDITLINK__" localSheetId="27">{"fdsup://Directions/FactSet Auditing Viewer?action=AUDIT_VALUE&amp;DB=129&amp;ID1=B126KH&amp;VALUEID=01001&amp;SDATE=2010&amp;PERIODTYPE=ANNR_STD&amp;SCFT=3&amp;window=popup_no_bar&amp;width=385&amp;height=120&amp;START_MAXIMIZED=FALSE&amp;creator=factset&amp;display_string=Audit"}</definedName>
    <definedName name="_3785__FDSAUDITLINK__" localSheetId="34">{"fdsup://Directions/FactSet Auditing Viewer?action=AUDIT_VALUE&amp;DB=129&amp;ID1=B126KH&amp;VALUEID=04050&amp;SDATE=2009&amp;PERIODTYPE=ANNR_STD&amp;SCFT=3&amp;window=popup_no_bar&amp;width=385&amp;height=120&amp;START_MAXIMIZED=FALSE&amp;creator=factset&amp;display_string=Audit"}</definedName>
    <definedName name="_3785__FDSAUDITLINK__" localSheetId="27">{"fdsup://Directions/FactSet Auditing Viewer?action=AUDIT_VALUE&amp;DB=129&amp;ID1=B126KH&amp;VALUEID=04050&amp;SDATE=2009&amp;PERIODTYPE=ANNR_STD&amp;SCFT=3&amp;window=popup_no_bar&amp;width=385&amp;height=120&amp;START_MAXIMIZED=FALSE&amp;creator=factset&amp;display_string=Audit"}</definedName>
    <definedName name="_3786__FDSAUDITLINK__" localSheetId="34">{"fdsup://Directions/FactSet Auditing Viewer?action=AUDIT_VALUE&amp;DB=129&amp;ID1=320898&amp;VALUEID=04050&amp;SDATE=2010&amp;PERIODTYPE=ANNR_STD&amp;SCFT=3&amp;window=popup_no_bar&amp;width=385&amp;height=120&amp;START_MAXIMIZED=FALSE&amp;creator=factset&amp;display_string=Audit"}</definedName>
    <definedName name="_3786__FDSAUDITLINK__" localSheetId="27">{"fdsup://Directions/FactSet Auditing Viewer?action=AUDIT_VALUE&amp;DB=129&amp;ID1=320898&amp;VALUEID=04050&amp;SDATE=2010&amp;PERIODTYPE=ANNR_STD&amp;SCFT=3&amp;window=popup_no_bar&amp;width=385&amp;height=120&amp;START_MAXIMIZED=FALSE&amp;creator=factset&amp;display_string=Audit"}</definedName>
    <definedName name="_3787__FDSAUDITLINK__" localSheetId="34">{"fdsup://Directions/FactSet Auditing Viewer?action=AUDIT_VALUE&amp;DB=129&amp;ID1=047715&amp;VALUEID=04050&amp;SDATE=2009&amp;PERIODTYPE=ANNR_STD&amp;SCFT=3&amp;window=popup_no_bar&amp;width=385&amp;height=120&amp;START_MAXIMIZED=FALSE&amp;creator=factset&amp;display_string=Audit"}</definedName>
    <definedName name="_3787__FDSAUDITLINK__" localSheetId="27">{"fdsup://Directions/FactSet Auditing Viewer?action=AUDIT_VALUE&amp;DB=129&amp;ID1=047715&amp;VALUEID=04050&amp;SDATE=2009&amp;PERIODTYPE=ANNR_STD&amp;SCFT=3&amp;window=popup_no_bar&amp;width=385&amp;height=120&amp;START_MAXIMIZED=FALSE&amp;creator=factset&amp;display_string=Audit"}</definedName>
    <definedName name="_3788__FDSAUDITLINK__" localSheetId="34">{"fdsup://Directions/FactSet Auditing Viewer?action=AUDIT_VALUE&amp;DB=129&amp;ID1=B126KH&amp;VALUEID=04050&amp;SDATE=2010&amp;PERIODTYPE=ANNR_STD&amp;SCFT=3&amp;window=popup_no_bar&amp;width=385&amp;height=120&amp;START_MAXIMIZED=FALSE&amp;creator=factset&amp;display_string=Audit"}</definedName>
    <definedName name="_3788__FDSAUDITLINK__" localSheetId="27">{"fdsup://Directions/FactSet Auditing Viewer?action=AUDIT_VALUE&amp;DB=129&amp;ID1=B126KH&amp;VALUEID=04050&amp;SDATE=2010&amp;PERIODTYPE=ANNR_STD&amp;SCFT=3&amp;window=popup_no_bar&amp;width=385&amp;height=120&amp;START_MAXIMIZED=FALSE&amp;creator=factset&amp;display_string=Audit"}</definedName>
    <definedName name="_3792__FDSAUDITLINK__" localSheetId="34">{"fdsup://directions/FAT Viewer?action=UPDATE&amp;creator=factset&amp;DYN_ARGS=TRUE&amp;DOC_NAME=FAT:FQL_AUDITING_CLIENT_TEMPLATE.FAT&amp;display_string=Audit&amp;VAR:KEY=DQPGZUDING&amp;VAR:QUERY=RkZfRVBTX0RJTF9CRUZfVU5VU1VBTChBTk4sMzk5MDUp&amp;WINDOW=FIRST_POPUP&amp;HEIGHT=450&amp;WIDTH=450&amp;","START_MAXIMIZED=FALSE&amp;VAR:CALENDAR=FIVEDAY&amp;VAR:SYMBOL=312748&amp;VAR:INDEX=0"}</definedName>
    <definedName name="_3792__FDSAUDITLINK__" localSheetId="27">{"fdsup://directions/FAT Viewer?action=UPDATE&amp;creator=factset&amp;DYN_ARGS=TRUE&amp;DOC_NAME=FAT:FQL_AUDITING_CLIENT_TEMPLATE.FAT&amp;display_string=Audit&amp;VAR:KEY=DQPGZUDING&amp;VAR:QUERY=RkZfRVBTX0RJTF9CRUZfVU5VU1VBTChBTk4sMzk5MDUp&amp;WINDOW=FIRST_POPUP&amp;HEIGHT=450&amp;WIDTH=450&amp;","START_MAXIMIZED=FALSE&amp;VAR:CALENDAR=FIVEDAY&amp;VAR:SYMBOL=312748&amp;VAR:INDEX=0"}</definedName>
    <definedName name="_3797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797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79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79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06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06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07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807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80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80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813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813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815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15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16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16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17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17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22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3822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3823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23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24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24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25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25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29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829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830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30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34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34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36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836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838__FDSAUDITLINK__" localSheetId="34">{"fdsup://directions/FAT Viewer?action=UPDATE&amp;creator=factset&amp;DYN_ARGS=TRUE&amp;DOC_NAME=FAT:FQL_AUDITING_CLIENT_TEMPLATE.FAT&amp;display_string=Audit&amp;VAR:KEY=UJMZMXSHUX&amp;VAR:QUERY=RkZfUEUoQU5OLDQwNjQxLTNZLCwsUkYp&amp;WINDOW=FIRST_POPUP&amp;HEIGHT=450&amp;WIDTH=450&amp;START_MAXIMI","ZED=FALSE&amp;VAR:CALENDAR=FIVEDAY&amp;VAR:SYMBOL=312748&amp;VAR:INDEX=0"}</definedName>
    <definedName name="_3838__FDSAUDITLINK__" localSheetId="27">{"fdsup://directions/FAT Viewer?action=UPDATE&amp;creator=factset&amp;DYN_ARGS=TRUE&amp;DOC_NAME=FAT:FQL_AUDITING_CLIENT_TEMPLATE.FAT&amp;display_string=Audit&amp;VAR:KEY=UJMZMXSHUX&amp;VAR:QUERY=RkZfUEUoQU5OLDQwNjQxLTNZLCwsUkYp&amp;WINDOW=FIRST_POPUP&amp;HEIGHT=450&amp;WIDTH=450&amp;START_MAXIMI","ZED=FALSE&amp;VAR:CALENDAR=FIVEDAY&amp;VAR:SYMBOL=312748&amp;VAR:INDEX=0"}</definedName>
    <definedName name="_3839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839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840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40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41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41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842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42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43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843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845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45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846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846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847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47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4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4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49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49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50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50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55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55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857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857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85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5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59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59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860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860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861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61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862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62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63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63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64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864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865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65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66__FDSAUDITLINK__" localSheetId="34">{"fdsup://directions/FAT Viewer?action=UPDATE&amp;creator=factset&amp;DYN_ARGS=TRUE&amp;DOC_NAME=FAT:FQL_AUDITING_CLIENT_TEMPLATE.FAT&amp;display_string=Audit&amp;VAR:KEY=OXYVUFGHMZ&amp;VAR:QUERY=RkZfUEUoQU5OLDQwNjQxLTJZLCwsUkYp&amp;WINDOW=FIRST_POPUP&amp;HEIGHT=450&amp;WIDTH=450&amp;START_MAXIMI","ZED=FALSE&amp;VAR:CALENDAR=FIVEDAY&amp;VAR:SYMBOL=309272&amp;VAR:INDEX=0"}</definedName>
    <definedName name="_3866__FDSAUDITLINK__" localSheetId="27">{"fdsup://directions/FAT Viewer?action=UPDATE&amp;creator=factset&amp;DYN_ARGS=TRUE&amp;DOC_NAME=FAT:FQL_AUDITING_CLIENT_TEMPLATE.FAT&amp;display_string=Audit&amp;VAR:KEY=OXYVUFGHMZ&amp;VAR:QUERY=RkZfUEUoQU5OLDQwNjQxLTJZLCwsUkYp&amp;WINDOW=FIRST_POPUP&amp;HEIGHT=450&amp;WIDTH=450&amp;START_MAXIMI","ZED=FALSE&amp;VAR:CALENDAR=FIVEDAY&amp;VAR:SYMBOL=309272&amp;VAR:INDEX=0"}</definedName>
    <definedName name="_3867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67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72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72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873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873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874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874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875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75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78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878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879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79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3880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880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881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81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883__FDSAUDITLINK__" localSheetId="34">{"fdsup://directions/FAT Viewer?action=UPDATE&amp;creator=factset&amp;DYN_ARGS=TRUE&amp;DOC_NAME=FAT:FQL_AUDITING_CLIENT_TEMPLATE.FAT&amp;display_string=Audit&amp;VAR:KEY=YPWNCTGZKT&amp;VAR:QUERY=RkZfUEUoQU5OLDQwNjQxLTJZLCwsUkYp&amp;WINDOW=FIRST_POPUP&amp;HEIGHT=450&amp;WIDTH=450&amp;START_MAXIMI","ZED=FALSE&amp;VAR:CALENDAR=FIVEDAY&amp;VAR:SYMBOL=93114210&amp;VAR:INDEX=0"}</definedName>
    <definedName name="_3883__FDSAUDITLINK__" localSheetId="27">{"fdsup://directions/FAT Viewer?action=UPDATE&amp;creator=factset&amp;DYN_ARGS=TRUE&amp;DOC_NAME=FAT:FQL_AUDITING_CLIENT_TEMPLATE.FAT&amp;display_string=Audit&amp;VAR:KEY=YPWNCTGZKT&amp;VAR:QUERY=RkZfUEUoQU5OLDQwNjQxLTJZLCwsUkYp&amp;WINDOW=FIRST_POPUP&amp;HEIGHT=450&amp;WIDTH=450&amp;START_MAXIMI","ZED=FALSE&amp;VAR:CALENDAR=FIVEDAY&amp;VAR:SYMBOL=93114210&amp;VAR:INDEX=0"}</definedName>
    <definedName name="_3884__FDSAUDITLINK__" localSheetId="34">{"fdsup://directions/FAT Viewer?action=UPDATE&amp;creator=factset&amp;DYN_ARGS=TRUE&amp;DOC_NAME=FAT:FQL_AUDITING_CLIENT_TEMPLATE.FAT&amp;display_string=Audit&amp;VAR:KEY=MJGFQTIJKN&amp;VAR:QUERY=RkZfUEUoQU5OLDQwNjQxLTNZLCwsUkYp&amp;WINDOW=FIRST_POPUP&amp;HEIGHT=450&amp;WIDTH=450&amp;START_MAXIMI","ZED=FALSE&amp;VAR:CALENDAR=FIVEDAY&amp;VAR:SYMBOL=054052&amp;VAR:INDEX=0"}</definedName>
    <definedName name="_3884__FDSAUDITLINK__" localSheetId="27">{"fdsup://directions/FAT Viewer?action=UPDATE&amp;creator=factset&amp;DYN_ARGS=TRUE&amp;DOC_NAME=FAT:FQL_AUDITING_CLIENT_TEMPLATE.FAT&amp;display_string=Audit&amp;VAR:KEY=MJGFQTIJKN&amp;VAR:QUERY=RkZfUEUoQU5OLDQwNjQxLTNZLCwsUkYp&amp;WINDOW=FIRST_POPUP&amp;HEIGHT=450&amp;WIDTH=450&amp;START_MAXIMI","ZED=FALSE&amp;VAR:CALENDAR=FIVEDAY&amp;VAR:SYMBOL=054052&amp;VAR:INDEX=0"}</definedName>
    <definedName name="_3885__FDSAUDITLINK__" localSheetId="34">{"fdsup://directions/FAT Viewer?action=UPDATE&amp;creator=factset&amp;DYN_ARGS=TRUE&amp;DOC_NAME=FAT:FQL_AUDITING_CLIENT_TEMPLATE.FAT&amp;display_string=Audit&amp;VAR:KEY=CDCLKHIJUT&amp;VAR:QUERY=RkZfUEUoQU5OLDQwNjQxLCwsUkYp&amp;WINDOW=FIRST_POPUP&amp;HEIGHT=450&amp;WIDTH=450&amp;START_MAXIMIZED=","FALSE&amp;VAR:CALENDAR=FIVEDAY&amp;VAR:SYMBOL=93114210&amp;VAR:INDEX=0"}</definedName>
    <definedName name="_3885__FDSAUDITLINK__" localSheetId="27">{"fdsup://directions/FAT Viewer?action=UPDATE&amp;creator=factset&amp;DYN_ARGS=TRUE&amp;DOC_NAME=FAT:FQL_AUDITING_CLIENT_TEMPLATE.FAT&amp;display_string=Audit&amp;VAR:KEY=CDCLKHIJUT&amp;VAR:QUERY=RkZfUEUoQU5OLDQwNjQxLCwsUkYp&amp;WINDOW=FIRST_POPUP&amp;HEIGHT=450&amp;WIDTH=450&amp;START_MAXIMIZED=","FALSE&amp;VAR:CALENDAR=FIVEDAY&amp;VAR:SYMBOL=93114210&amp;VAR:INDEX=0"}</definedName>
    <definedName name="_3886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86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887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887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888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88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893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893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894__FDSAUDITLINK__" localSheetId="34">{"fdsup://directions/FAT Viewer?action=UPDATE&amp;creator=factset&amp;DYN_ARGS=TRUE&amp;DOC_NAME=FAT:FQL_AUDITING_CLIENT_TEMPLATE.FAT&amp;display_string=Audit&amp;VAR:KEY=QTKRELIZWN&amp;VAR:QUERY=RkZfUEUoQU5OLDQwNjQxLTNZLCwsUkYp&amp;WINDOW=FIRST_POPUP&amp;HEIGHT=450&amp;WIDTH=450&amp;START_MAXIMI","ZED=FALSE&amp;VAR:CALENDAR=FIVEDAY&amp;VAR:SYMBOL=93114210&amp;VAR:INDEX=0"}</definedName>
    <definedName name="_3894__FDSAUDITLINK__" localSheetId="27">{"fdsup://directions/FAT Viewer?action=UPDATE&amp;creator=factset&amp;DYN_ARGS=TRUE&amp;DOC_NAME=FAT:FQL_AUDITING_CLIENT_TEMPLATE.FAT&amp;display_string=Audit&amp;VAR:KEY=QTKRELIZWN&amp;VAR:QUERY=RkZfUEUoQU5OLDQwNjQxLTNZLCwsUkYp&amp;WINDOW=FIRST_POPUP&amp;HEIGHT=450&amp;WIDTH=450&amp;START_MAXIMI","ZED=FALSE&amp;VAR:CALENDAR=FIVEDAY&amp;VAR:SYMBOL=93114210&amp;VAR:INDEX=0"}</definedName>
    <definedName name="_389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89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901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01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02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902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903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03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04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04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05__FDSAUDITLINK__" localSheetId="34">{"fdsup://directions/FAT Viewer?action=UPDATE&amp;creator=factset&amp;DYN_ARGS=TRUE&amp;DOC_NAME=FAT:FQL_AUDITING_CLIENT_TEMPLATE.FAT&amp;display_string=Audit&amp;VAR:KEY=YZYPCLKJGD&amp;VAR:QUERY=RkZfUEUoQU5OLDQwNjQxLCwsUkYp&amp;WINDOW=FIRST_POPUP&amp;HEIGHT=450&amp;WIDTH=450&amp;START_MAXIMIZED=","FALSE&amp;VAR:CALENDAR=FIVEDAY&amp;VAR:SYMBOL=054052&amp;VAR:INDEX=0"}</definedName>
    <definedName name="_3905__FDSAUDITLINK__" localSheetId="27">{"fdsup://directions/FAT Viewer?action=UPDATE&amp;creator=factset&amp;DYN_ARGS=TRUE&amp;DOC_NAME=FAT:FQL_AUDITING_CLIENT_TEMPLATE.FAT&amp;display_string=Audit&amp;VAR:KEY=YZYPCLKJGD&amp;VAR:QUERY=RkZfUEUoQU5OLDQwNjQxLCwsUkYp&amp;WINDOW=FIRST_POPUP&amp;HEIGHT=450&amp;WIDTH=450&amp;START_MAXIMIZED=","FALSE&amp;VAR:CALENDAR=FIVEDAY&amp;VAR:SYMBOL=054052&amp;VAR:INDEX=0"}</definedName>
    <definedName name="_3906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906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907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907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3910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910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912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12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13__FDSAUDITLINK__" localSheetId="34">{"fdsup://directions/FAT Viewer?action=UPDATE&amp;creator=factset&amp;DYN_ARGS=TRUE&amp;DOC_NAME=FAT:FQL_AUDITING_CLIENT_TEMPLATE.FAT&amp;display_string=Audit&amp;VAR:KEY=AFMJMXIZGX&amp;VAR:QUERY=RkZfUEUoQU5OLDQwNjQxLCwsUkYp&amp;WINDOW=FIRST_POPUP&amp;HEIGHT=450&amp;WIDTH=450&amp;START_MAXIMIZED=","FALSE&amp;VAR:CALENDAR=FIVEDAY&amp;VAR:SYMBOL=06050510&amp;VAR:INDEX=0"}</definedName>
    <definedName name="_3913__FDSAUDITLINK__" localSheetId="27">{"fdsup://directions/FAT Viewer?action=UPDATE&amp;creator=factset&amp;DYN_ARGS=TRUE&amp;DOC_NAME=FAT:FQL_AUDITING_CLIENT_TEMPLATE.FAT&amp;display_string=Audit&amp;VAR:KEY=AFMJMXIZGX&amp;VAR:QUERY=RkZfUEUoQU5OLDQwNjQxLCwsUkYp&amp;WINDOW=FIRST_POPUP&amp;HEIGHT=450&amp;WIDTH=450&amp;START_MAXIMIZED=","FALSE&amp;VAR:CALENDAR=FIVEDAY&amp;VAR:SYMBOL=06050510&amp;VAR:INDEX=0"}</definedName>
    <definedName name="_3914__FDSAUDITLINK__" localSheetId="34">{"fdsup://directions/FAT Viewer?action=UPDATE&amp;creator=factset&amp;DYN_ARGS=TRUE&amp;DOC_NAME=FAT:FQL_AUDITING_CLIENT_TEMPLATE.FAT&amp;display_string=Audit&amp;VAR:KEY=QXOBURILKD&amp;VAR:QUERY=RkZfUEUoQU5OLDQwNjQxLTJZLCwsUkYp&amp;WINDOW=FIRST_POPUP&amp;HEIGHT=450&amp;WIDTH=450&amp;START_MAXIMI","ZED=FALSE&amp;VAR:CALENDAR=FIVEDAY&amp;VAR:SYMBOL=671402&amp;VAR:INDEX=0"}</definedName>
    <definedName name="_3914__FDSAUDITLINK__" localSheetId="27">{"fdsup://directions/FAT Viewer?action=UPDATE&amp;creator=factset&amp;DYN_ARGS=TRUE&amp;DOC_NAME=FAT:FQL_AUDITING_CLIENT_TEMPLATE.FAT&amp;display_string=Audit&amp;VAR:KEY=QXOBURILKD&amp;VAR:QUERY=RkZfUEUoQU5OLDQwNjQxLTJZLCwsUkYp&amp;WINDOW=FIRST_POPUP&amp;HEIGHT=450&amp;WIDTH=450&amp;START_MAXIMI","ZED=FALSE&amp;VAR:CALENDAR=FIVEDAY&amp;VAR:SYMBOL=671402&amp;VAR:INDEX=0"}</definedName>
    <definedName name="_3915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15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16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16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17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17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19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919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920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920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921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21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22__FDSAUDITLINK__" localSheetId="34">{"fdsup://directions/FAT Viewer?action=UPDATE&amp;creator=factset&amp;DYN_ARGS=TRUE&amp;DOC_NAME=FAT:FQL_AUDITING_CLIENT_TEMPLATE.FAT&amp;display_string=Audit&amp;VAR:KEY=IZYFIHCFSR&amp;VAR:QUERY=RkZfUEUoQU5OLDQwNjQxLTNZLCwsUkYp&amp;WINDOW=FIRST_POPUP&amp;HEIGHT=450&amp;WIDTH=450&amp;START_MAXIMI","ZED=FALSE&amp;VAR:CALENDAR=FIVEDAY&amp;VAR:SYMBOL=016419&amp;VAR:INDEX=0"}</definedName>
    <definedName name="_3922__FDSAUDITLINK__" localSheetId="27">{"fdsup://directions/FAT Viewer?action=UPDATE&amp;creator=factset&amp;DYN_ARGS=TRUE&amp;DOC_NAME=FAT:FQL_AUDITING_CLIENT_TEMPLATE.FAT&amp;display_string=Audit&amp;VAR:KEY=IZYFIHCFSR&amp;VAR:QUERY=RkZfUEUoQU5OLDQwNjQxLTNZLCwsUkYp&amp;WINDOW=FIRST_POPUP&amp;HEIGHT=450&amp;WIDTH=450&amp;START_MAXIMI","ZED=FALSE&amp;VAR:CALENDAR=FIVEDAY&amp;VAR:SYMBOL=016419&amp;VAR:INDEX=0"}</definedName>
    <definedName name="_3923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23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24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924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3925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25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26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26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392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92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3929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29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34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934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3936__FDSAUDITLINK__" localSheetId="34">{"fdsup://directions/FAT Viewer?action=UPDATE&amp;creator=factset&amp;DYN_ARGS=TRUE&amp;DOC_NAME=FAT:FQL_AUDITING_CLIENT_TEMPLATE.FAT&amp;display_string=Audit&amp;VAR:KEY=AVCFAZAPYH&amp;VAR:QUERY=RkZfUEUoQU5OLDQwNjQxLTJZLCwsUkYp&amp;WINDOW=FIRST_POPUP&amp;HEIGHT=450&amp;WIDTH=450&amp;START_MAXIMI","ZED=FALSE&amp;VAR:CALENDAR=FIVEDAY&amp;VAR:SYMBOL=B16GWD&amp;VAR:INDEX=0"}</definedName>
    <definedName name="_3936__FDSAUDITLINK__" localSheetId="27">{"fdsup://directions/FAT Viewer?action=UPDATE&amp;creator=factset&amp;DYN_ARGS=TRUE&amp;DOC_NAME=FAT:FQL_AUDITING_CLIENT_TEMPLATE.FAT&amp;display_string=Audit&amp;VAR:KEY=AVCFAZAPYH&amp;VAR:QUERY=RkZfUEUoQU5OLDQwNjQxLTJZLCwsUkYp&amp;WINDOW=FIRST_POPUP&amp;HEIGHT=450&amp;WIDTH=450&amp;START_MAXIMI","ZED=FALSE&amp;VAR:CALENDAR=FIVEDAY&amp;VAR:SYMBOL=B16GWD&amp;VAR:INDEX=0"}</definedName>
    <definedName name="_393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3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39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39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3942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942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949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949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955__FDSAUDITLINK__" localSheetId="34">{"fdsup://directions/FAT Viewer?action=UPDATE&amp;creator=factset&amp;DYN_ARGS=TRUE&amp;DOC_NAME=FAT:FQL_AUDITING_CLIENT_TEMPLATE.FAT&amp;display_string=Audit&amp;VAR:KEY=CRGHUNIDIF&amp;VAR:QUERY=RkZfUEUoQU5OLDQwNjQxLTFZLCwsUkYp&amp;WINDOW=FIRST_POPUP&amp;HEIGHT=450&amp;WIDTH=450&amp;START_MAXIMI","ZED=FALSE&amp;VAR:CALENDAR=FIVEDAY&amp;VAR:SYMBOL=93114210&amp;VAR:INDEX=0"}</definedName>
    <definedName name="_3955__FDSAUDITLINK__" localSheetId="27">{"fdsup://directions/FAT Viewer?action=UPDATE&amp;creator=factset&amp;DYN_ARGS=TRUE&amp;DOC_NAME=FAT:FQL_AUDITING_CLIENT_TEMPLATE.FAT&amp;display_string=Audit&amp;VAR:KEY=CRGHUNIDIF&amp;VAR:QUERY=RkZfUEUoQU5OLDQwNjQxLTFZLCwsUkYp&amp;WINDOW=FIRST_POPUP&amp;HEIGHT=450&amp;WIDTH=450&amp;START_MAXIMI","ZED=FALSE&amp;VAR:CALENDAR=FIVEDAY&amp;VAR:SYMBOL=93114210&amp;VAR:INDEX=0"}</definedName>
    <definedName name="_3956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56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57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957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3958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58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59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59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60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960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964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64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3965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65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66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66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68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68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69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69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3970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970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3971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71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72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972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3973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73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3974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74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75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975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3981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81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82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982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3983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983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3984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84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3985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85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3986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86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87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87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3988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88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92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992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3993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93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3995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995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3997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97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399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399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000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000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001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001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004__FDSAUDITLINK__" localSheetId="34">{"fdsup://directions/FAT Viewer?action=UPDATE&amp;creator=factset&amp;DYN_ARGS=TRUE&amp;DOC_NAME=FAT:FQL_AUDITING_CLIENT_TEMPLATE.FAT&amp;display_string=Audit&amp;VAR:KEY=KLOTOJCTKZ&amp;VAR:QUERY=RkZfUEUoQU5OLDQwNjQxLTFZLCwsUkYp&amp;WINDOW=FIRST_POPUP&amp;HEIGHT=450&amp;WIDTH=450&amp;START_MAXIMI","ZED=FALSE&amp;VAR:CALENDAR=FIVEDAY&amp;VAR:SYMBOL=016419&amp;VAR:INDEX=0"}</definedName>
    <definedName name="_4004__FDSAUDITLINK__" localSheetId="27">{"fdsup://directions/FAT Viewer?action=UPDATE&amp;creator=factset&amp;DYN_ARGS=TRUE&amp;DOC_NAME=FAT:FQL_AUDITING_CLIENT_TEMPLATE.FAT&amp;display_string=Audit&amp;VAR:KEY=KLOTOJCTKZ&amp;VAR:QUERY=RkZfUEUoQU5OLDQwNjQxLTFZLCwsUkYp&amp;WINDOW=FIRST_POPUP&amp;HEIGHT=450&amp;WIDTH=450&amp;START_MAXIMI","ZED=FALSE&amp;VAR:CALENDAR=FIVEDAY&amp;VAR:SYMBOL=016419&amp;VAR:INDEX=0"}</definedName>
    <definedName name="_4005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05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06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06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07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007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008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08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11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011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012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012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013__FDSAUDITLINK__" localSheetId="34">{"fdsup://directions/FAT Viewer?action=UPDATE&amp;creator=factset&amp;DYN_ARGS=TRUE&amp;DOC_NAME=FAT:FQL_AUDITING_CLIENT_TEMPLATE.FAT&amp;display_string=Audit&amp;VAR:KEY=KPYFMJSVSL&amp;VAR:QUERY=RkZfUEUoQU5OLDQwNjQxLTJZLCwsUkYp&amp;WINDOW=FIRST_POPUP&amp;HEIGHT=450&amp;WIDTH=450&amp;START_MAXIMI","ZED=FALSE&amp;VAR:CALENDAR=FIVEDAY&amp;VAR:SYMBOL=016419&amp;VAR:INDEX=0"}</definedName>
    <definedName name="_4013__FDSAUDITLINK__" localSheetId="27">{"fdsup://directions/FAT Viewer?action=UPDATE&amp;creator=factset&amp;DYN_ARGS=TRUE&amp;DOC_NAME=FAT:FQL_AUDITING_CLIENT_TEMPLATE.FAT&amp;display_string=Audit&amp;VAR:KEY=KPYFMJSVSL&amp;VAR:QUERY=RkZfUEUoQU5OLDQwNjQxLTJZLCwsUkYp&amp;WINDOW=FIRST_POPUP&amp;HEIGHT=450&amp;WIDTH=450&amp;START_MAXIMI","ZED=FALSE&amp;VAR:CALENDAR=FIVEDAY&amp;VAR:SYMBOL=016419&amp;VAR:INDEX=0"}</definedName>
    <definedName name="_4014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014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016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16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17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17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18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18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19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19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25__FDSAUDITLINK__" localSheetId="34">{"fdsup://directions/FAT Viewer?action=UPDATE&amp;creator=factset&amp;DYN_ARGS=TRUE&amp;DOC_NAME=FAT:FQL_AUDITING_CLIENT_TEMPLATE.FAT&amp;display_string=Audit&amp;VAR:KEY=IFYVIBCDOR&amp;VAR:QUERY=RkZfUEUoQU5OLDQwNjQxLTFZLCwsUkYp&amp;WINDOW=FIRST_POPUP&amp;HEIGHT=450&amp;WIDTH=450&amp;START_MAXIMI","ZED=FALSE&amp;VAR:CALENDAR=FIVEDAY&amp;VAR:SYMBOL=671402&amp;VAR:INDEX=0"}</definedName>
    <definedName name="_4025__FDSAUDITLINK__" localSheetId="27">{"fdsup://directions/FAT Viewer?action=UPDATE&amp;creator=factset&amp;DYN_ARGS=TRUE&amp;DOC_NAME=FAT:FQL_AUDITING_CLIENT_TEMPLATE.FAT&amp;display_string=Audit&amp;VAR:KEY=IFYVIBCDOR&amp;VAR:QUERY=RkZfUEUoQU5OLDQwNjQxLTFZLCwsUkYp&amp;WINDOW=FIRST_POPUP&amp;HEIGHT=450&amp;WIDTH=450&amp;START_MAXIMI","ZED=FALSE&amp;VAR:CALENDAR=FIVEDAY&amp;VAR:SYMBOL=671402&amp;VAR:INDEX=0"}</definedName>
    <definedName name="_4026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026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027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027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02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02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030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30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32__FDSAUDITLINK__" localSheetId="34">{"fdsup://directions/FAT Viewer?action=UPDATE&amp;creator=factset&amp;DYN_ARGS=TRUE&amp;DOC_NAME=FAT:FQL_AUDITING_CLIENT_TEMPLATE.FAT&amp;display_string=Audit&amp;VAR:KEY=MTKRMJWPCN&amp;VAR:QUERY=RkZfUEUoQU5OLDQwNjQxLTFZLCwsUkYp&amp;WINDOW=FIRST_POPUP&amp;HEIGHT=450&amp;WIDTH=450&amp;START_MAXIMI","ZED=FALSE&amp;VAR:CALENDAR=FIVEDAY&amp;VAR:SYMBOL=054052&amp;VAR:INDEX=0"}</definedName>
    <definedName name="_4032__FDSAUDITLINK__" localSheetId="27">{"fdsup://directions/FAT Viewer?action=UPDATE&amp;creator=factset&amp;DYN_ARGS=TRUE&amp;DOC_NAME=FAT:FQL_AUDITING_CLIENT_TEMPLATE.FAT&amp;display_string=Audit&amp;VAR:KEY=MTKRMJWPCN&amp;VAR:QUERY=RkZfUEUoQU5OLDQwNjQxLTFZLCwsUkYp&amp;WINDOW=FIRST_POPUP&amp;HEIGHT=450&amp;WIDTH=450&amp;START_MAXIMI","ZED=FALSE&amp;VAR:CALENDAR=FIVEDAY&amp;VAR:SYMBOL=054052&amp;VAR:INDEX=0"}</definedName>
    <definedName name="_4033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33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34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34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38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38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39__FDSAUDITLINK__" localSheetId="34">{"fdsup://directions/FAT Viewer?action=UPDATE&amp;creator=factset&amp;DYN_ARGS=TRUE&amp;DOC_NAME=FAT:FQL_AUDITING_CLIENT_TEMPLATE.FAT&amp;display_string=Audit&amp;VAR:KEY=QVEHYJMZMR&amp;VAR:QUERY=RkZfUEUoQU5OLDQwNjQxLTNZLCwsUkYp&amp;WINDOW=FIRST_POPUP&amp;HEIGHT=450&amp;WIDTH=450&amp;START_MAXIMI","ZED=FALSE&amp;VAR:CALENDAR=FIVEDAY&amp;VAR:SYMBOL=671402&amp;VAR:INDEX=0"}</definedName>
    <definedName name="_4039__FDSAUDITLINK__" localSheetId="27">{"fdsup://directions/FAT Viewer?action=UPDATE&amp;creator=factset&amp;DYN_ARGS=TRUE&amp;DOC_NAME=FAT:FQL_AUDITING_CLIENT_TEMPLATE.FAT&amp;display_string=Audit&amp;VAR:KEY=QVEHYJMZMR&amp;VAR:QUERY=RkZfUEUoQU5OLDQwNjQxLTNZLCwsUkYp&amp;WINDOW=FIRST_POPUP&amp;HEIGHT=450&amp;WIDTH=450&amp;START_MAXIMI","ZED=FALSE&amp;VAR:CALENDAR=FIVEDAY&amp;VAR:SYMBOL=671402&amp;VAR:INDEX=0"}</definedName>
    <definedName name="_4040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40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41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041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042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42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43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43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44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44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45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45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46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046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049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49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50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50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57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057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058__FDSAUDITLINK__" localSheetId="34">{"fdsup://directions/FAT Viewer?action=UPDATE&amp;creator=factset&amp;DYN_ARGS=TRUE&amp;DOC_NAME=FAT:FQL_AUDITING_CLIENT_TEMPLATE.FAT&amp;display_string=Audit&amp;VAR:KEY=KLELEFWLON&amp;VAR:QUERY=RkZfUEUoQU5OLDQwNjQxLTFZLCwsUkYp&amp;WINDOW=FIRST_POPUP&amp;HEIGHT=450&amp;WIDTH=450&amp;START_MAXIMI","ZED=FALSE&amp;VAR:CALENDAR=FIVEDAY&amp;VAR:SYMBOL=090674&amp;VAR:INDEX=0"}</definedName>
    <definedName name="_4058__FDSAUDITLINK__" localSheetId="27">{"fdsup://directions/FAT Viewer?action=UPDATE&amp;creator=factset&amp;DYN_ARGS=TRUE&amp;DOC_NAME=FAT:FQL_AUDITING_CLIENT_TEMPLATE.FAT&amp;display_string=Audit&amp;VAR:KEY=KLELEFWLON&amp;VAR:QUERY=RkZfUEUoQU5OLDQwNjQxLTFZLCwsUkYp&amp;WINDOW=FIRST_POPUP&amp;HEIGHT=450&amp;WIDTH=450&amp;START_MAXIMI","ZED=FALSE&amp;VAR:CALENDAR=FIVEDAY&amp;VAR:SYMBOL=090674&amp;VAR:INDEX=0"}</definedName>
    <definedName name="_4059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59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63__FDSAUDITLINK__" localSheetId="34">{"fdsup://directions/FAT Viewer?action=UPDATE&amp;creator=factset&amp;DYN_ARGS=TRUE&amp;DOC_NAME=FAT:FQL_AUDITING_CLIENT_TEMPLATE.FAT&amp;display_string=Audit&amp;VAR:KEY=ORINGFWDQD&amp;VAR:QUERY=RkZfRUJJVERBX09QRVIoQU5OX1IsNDA2NDEsLCwsKQ==&amp;WINDOW=FIRST_POPUP&amp;HEIGHT=450&amp;WIDTH=450&amp;","START_MAXIMIZED=FALSE&amp;VAR:CALENDAR=FIVEDAY&amp;VAR:SYMBOL=046991&amp;VAR:INDEX=0"}</definedName>
    <definedName name="_4063__FDSAUDITLINK__" localSheetId="27">{"fdsup://directions/FAT Viewer?action=UPDATE&amp;creator=factset&amp;DYN_ARGS=TRUE&amp;DOC_NAME=FAT:FQL_AUDITING_CLIENT_TEMPLATE.FAT&amp;display_string=Audit&amp;VAR:KEY=ORINGFWDQD&amp;VAR:QUERY=RkZfRUJJVERBX09QRVIoQU5OX1IsNDA2NDEsLCwsKQ==&amp;WINDOW=FIRST_POPUP&amp;HEIGHT=450&amp;WIDTH=450&amp;","START_MAXIMIZED=FALSE&amp;VAR:CALENDAR=FIVEDAY&amp;VAR:SYMBOL=046991&amp;VAR:INDEX=0"}</definedName>
    <definedName name="_4064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64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066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066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068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068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069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069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070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070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074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074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081__FDSAUDITLINK__" localSheetId="34">{"fdsup://directions/FAT Viewer?action=UPDATE&amp;creator=factset&amp;DYN_ARGS=TRUE&amp;DOC_NAME=FAT:FQL_AUDITING_CLIENT_TEMPLATE.FAT&amp;display_string=Audit&amp;VAR:KEY=MNKBELINSN&amp;VAR:QUERY=RkZfUEUoQU5OLDQwNjQxLTNZLCwsUkYp&amp;WINDOW=FIRST_POPUP&amp;HEIGHT=450&amp;WIDTH=450&amp;START_MAXIMI","ZED=FALSE&amp;VAR:CALENDAR=FIVEDAY&amp;VAR:SYMBOL=309272&amp;VAR:INDEX=0"}</definedName>
    <definedName name="_4081__FDSAUDITLINK__" localSheetId="27">{"fdsup://directions/FAT Viewer?action=UPDATE&amp;creator=factset&amp;DYN_ARGS=TRUE&amp;DOC_NAME=FAT:FQL_AUDITING_CLIENT_TEMPLATE.FAT&amp;display_string=Audit&amp;VAR:KEY=MNKBELINSN&amp;VAR:QUERY=RkZfUEUoQU5OLDQwNjQxLTNZLCwsUkYp&amp;WINDOW=FIRST_POPUP&amp;HEIGHT=450&amp;WIDTH=450&amp;START_MAXIMI","ZED=FALSE&amp;VAR:CALENDAR=FIVEDAY&amp;VAR:SYMBOL=309272&amp;VAR:INDEX=0"}</definedName>
    <definedName name="_4082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82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083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83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084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84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85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85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86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86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087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87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088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88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089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089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090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090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095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95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098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098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099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099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100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00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06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106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110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110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11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11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112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112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113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13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14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114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115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115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123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23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24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124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125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25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26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126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127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127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12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12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129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129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130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130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131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31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32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132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133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133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134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134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135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135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136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136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137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137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138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138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140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140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141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141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142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142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143__FDSAUDITLINK__" localSheetId="34">{"fdsup://directions/FAT Viewer?action=UPDATE&amp;creator=factset&amp;DYN_ARGS=TRUE&amp;DOC_NAME=FAT:FQL_AUDITING_CLIENT_TEMPLATE.FAT&amp;display_string=Audit&amp;VAR:KEY=YZYTWJEZKT&amp;VAR:QUERY=RkZfRUJJVERBX09QRVIoQU5OX1IsNDA2NDEsLCwsKQ==&amp;WINDOW=FIRST_POPUP&amp;HEIGHT=450&amp;WIDTH=450&amp;","START_MAXIMIZED=FALSE&amp;VAR:CALENDAR=FIVEDAY&amp;VAR:SYMBOL=312748&amp;VAR:INDEX=0"}</definedName>
    <definedName name="_4143__FDSAUDITLINK__" localSheetId="27">{"fdsup://directions/FAT Viewer?action=UPDATE&amp;creator=factset&amp;DYN_ARGS=TRUE&amp;DOC_NAME=FAT:FQL_AUDITING_CLIENT_TEMPLATE.FAT&amp;display_string=Audit&amp;VAR:KEY=YZYTWJEZKT&amp;VAR:QUERY=RkZfRUJJVERBX09QRVIoQU5OX1IsNDA2NDEsLCwsKQ==&amp;WINDOW=FIRST_POPUP&amp;HEIGHT=450&amp;WIDTH=450&amp;","START_MAXIMIZED=FALSE&amp;VAR:CALENDAR=FIVEDAY&amp;VAR:SYMBOL=312748&amp;VAR:INDEX=0"}</definedName>
    <definedName name="_4145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145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146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46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47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147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148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48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155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55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64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164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174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174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181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181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182__FDSAUDITLINK__" localSheetId="34">{"fdsup://directions/FAT Viewer?action=UPDATE&amp;creator=factset&amp;DYN_ARGS=TRUE&amp;DOC_NAME=FAT:FQL_AUDITING_CLIENT_TEMPLATE.FAT&amp;display_string=Audit&amp;VAR:KEY=SVWTCXAFCV&amp;VAR:QUERY=RkZfUEUoQU5OLDQwNjQxLTNZLCwsUkYp&amp;WINDOW=FIRST_POPUP&amp;HEIGHT=450&amp;WIDTH=450&amp;START_MAXIMI","ZED=FALSE&amp;VAR:CALENDAR=FIVEDAY&amp;VAR:SYMBOL=090674&amp;VAR:INDEX=0"}</definedName>
    <definedName name="_4182__FDSAUDITLINK__" localSheetId="27">{"fdsup://directions/FAT Viewer?action=UPDATE&amp;creator=factset&amp;DYN_ARGS=TRUE&amp;DOC_NAME=FAT:FQL_AUDITING_CLIENT_TEMPLATE.FAT&amp;display_string=Audit&amp;VAR:KEY=SVWTCXAFCV&amp;VAR:QUERY=RkZfUEUoQU5OLDQwNjQxLTNZLCwsUkYp&amp;WINDOW=FIRST_POPUP&amp;HEIGHT=450&amp;WIDTH=450&amp;START_MAXIMI","ZED=FALSE&amp;VAR:CALENDAR=FIVEDAY&amp;VAR:SYMBOL=090674&amp;VAR:INDEX=0"}</definedName>
    <definedName name="_4183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183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185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185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186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186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187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87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92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192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195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95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196__FDSAUDITLINK__" localSheetId="34">{"fdsup://directions/FAT Viewer?action=UPDATE&amp;creator=factset&amp;DYN_ARGS=TRUE&amp;DOC_NAME=FAT:FQL_AUDITING_CLIENT_TEMPLATE.FAT&amp;display_string=Audit&amp;VAR:KEY=AZAVMBYBEN&amp;VAR:QUERY=RkZfUEUoQU5OLDQwNjQxLCwsUkYp&amp;WINDOW=FIRST_POPUP&amp;HEIGHT=450&amp;WIDTH=450&amp;START_MAXIMIZED=","FALSE&amp;VAR:CALENDAR=FIVEDAY&amp;VAR:SYMBOL=016419&amp;VAR:INDEX=0"}</definedName>
    <definedName name="_4196__FDSAUDITLINK__" localSheetId="27">{"fdsup://directions/FAT Viewer?action=UPDATE&amp;creator=factset&amp;DYN_ARGS=TRUE&amp;DOC_NAME=FAT:FQL_AUDITING_CLIENT_TEMPLATE.FAT&amp;display_string=Audit&amp;VAR:KEY=AZAVMBYBEN&amp;VAR:QUERY=RkZfUEUoQU5OLDQwNjQxLCwsUkYp&amp;WINDOW=FIRST_POPUP&amp;HEIGHT=450&amp;WIDTH=450&amp;START_MAXIMIZED=","FALSE&amp;VAR:CALENDAR=FIVEDAY&amp;VAR:SYMBOL=016419&amp;VAR:INDEX=0"}</definedName>
    <definedName name="_4197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197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198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98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199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199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201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201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205__FDSAUDITLINK__" localSheetId="34">{"fdsup://directions/FAT Viewer?action=UPDATE&amp;creator=factset&amp;DYN_ARGS=TRUE&amp;DOC_NAME=FAT:FQL_AUDITING_CLIENT_TEMPLATE.FAT&amp;display_string=Audit&amp;VAR:KEY=ULILYBALUR&amp;VAR:QUERY=RkZfUEUoQU5OLDQwNjQxLTFZLCwsUkYp&amp;WINDOW=FIRST_POPUP&amp;HEIGHT=450&amp;WIDTH=450&amp;START_MAXIMI","ZED=FALSE&amp;VAR:CALENDAR=FIVEDAY&amp;VAR:SYMBOL=B16GWD&amp;VAR:INDEX=0"}</definedName>
    <definedName name="_4205__FDSAUDITLINK__" localSheetId="27">{"fdsup://directions/FAT Viewer?action=UPDATE&amp;creator=factset&amp;DYN_ARGS=TRUE&amp;DOC_NAME=FAT:FQL_AUDITING_CLIENT_TEMPLATE.FAT&amp;display_string=Audit&amp;VAR:KEY=ULILYBALUR&amp;VAR:QUERY=RkZfUEUoQU5OLDQwNjQxLTFZLCwsUkYp&amp;WINDOW=FIRST_POPUP&amp;HEIGHT=450&amp;WIDTH=450&amp;START_MAXIMI","ZED=FALSE&amp;VAR:CALENDAR=FIVEDAY&amp;VAR:SYMBOL=B16GWD&amp;VAR:INDEX=0"}</definedName>
    <definedName name="_4211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211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212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212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213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13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18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218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219__FDSAUDITLINK__" localSheetId="34">{"fdsup://directions/FAT Viewer?action=UPDATE&amp;creator=factset&amp;DYN_ARGS=TRUE&amp;DOC_NAME=FAT:FQL_AUDITING_CLIENT_TEMPLATE.FAT&amp;display_string=Audit&amp;VAR:KEY=MLWFUBMDED&amp;VAR:QUERY=RkZfUEUoQU5OLDQwNjQxLCwsUkYp&amp;WINDOW=FIRST_POPUP&amp;HEIGHT=450&amp;WIDTH=450&amp;START_MAXIMIZED=","FALSE&amp;VAR:CALENDAR=FIVEDAY&amp;VAR:SYMBOL=673230&amp;VAR:INDEX=0"}</definedName>
    <definedName name="_4219__FDSAUDITLINK__" localSheetId="27">{"fdsup://directions/FAT Viewer?action=UPDATE&amp;creator=factset&amp;DYN_ARGS=TRUE&amp;DOC_NAME=FAT:FQL_AUDITING_CLIENT_TEMPLATE.FAT&amp;display_string=Audit&amp;VAR:KEY=MLWFUBMDED&amp;VAR:QUERY=RkZfUEUoQU5OLDQwNjQxLCwsUkYp&amp;WINDOW=FIRST_POPUP&amp;HEIGHT=450&amp;WIDTH=450&amp;START_MAXIMIZED=","FALSE&amp;VAR:CALENDAR=FIVEDAY&amp;VAR:SYMBOL=673230&amp;VAR:INDEX=0"}</definedName>
    <definedName name="_4220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220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221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21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22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222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223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223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224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24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27__FDSAUDITLINK__" localSheetId="34">{"fdsup://directions/FAT Viewer?action=UPDATE&amp;creator=factset&amp;DYN_ARGS=TRUE&amp;DOC_NAME=FAT:FQL_AUDITING_CLIENT_TEMPLATE.FAT&amp;display_string=Audit&amp;VAR:KEY=SRGBENIPWN&amp;VAR:QUERY=RkZfRUJJVERBX09QRVIoQU5OX1IsNDA2NDEsLCwsKQ==&amp;WINDOW=FIRST_POPUP&amp;HEIGHT=450&amp;WIDTH=450&amp;","START_MAXIMIZED=FALSE&amp;VAR:CALENDAR=FIVEDAY&amp;VAR:SYMBOL=320898&amp;VAR:INDEX=0"}</definedName>
    <definedName name="_4227__FDSAUDITLINK__" localSheetId="27">{"fdsup://directions/FAT Viewer?action=UPDATE&amp;creator=factset&amp;DYN_ARGS=TRUE&amp;DOC_NAME=FAT:FQL_AUDITING_CLIENT_TEMPLATE.FAT&amp;display_string=Audit&amp;VAR:KEY=SRGBENIPWN&amp;VAR:QUERY=RkZfRUJJVERBX09QRVIoQU5OX1IsNDA2NDEsLCwsKQ==&amp;WINDOW=FIRST_POPUP&amp;HEIGHT=450&amp;WIDTH=450&amp;","START_MAXIMIZED=FALSE&amp;VAR:CALENDAR=FIVEDAY&amp;VAR:SYMBOL=320898&amp;VAR:INDEX=0"}</definedName>
    <definedName name="_4229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29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31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231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232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232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233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233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234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34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35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35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36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36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38__FDSAUDITLINK__" localSheetId="34">{"fdsup://directions/FAT Viewer?action=UPDATE&amp;creator=factset&amp;DYN_ARGS=TRUE&amp;DOC_NAME=FAT:FQL_AUDITING_CLIENT_TEMPLATE.FAT&amp;display_string=Audit&amp;VAR:KEY=MLIFAZUPIZ&amp;VAR:QUERY=RkZfUEUoQU5OLDQwNjQxLCwsUkYp&amp;WINDOW=FIRST_POPUP&amp;HEIGHT=450&amp;WIDTH=450&amp;START_MAXIMIZED=","FALSE&amp;VAR:CALENDAR=FIVEDAY&amp;VAR:SYMBOL=690064&amp;VAR:INDEX=0"}</definedName>
    <definedName name="_4238__FDSAUDITLINK__" localSheetId="27">{"fdsup://directions/FAT Viewer?action=UPDATE&amp;creator=factset&amp;DYN_ARGS=TRUE&amp;DOC_NAME=FAT:FQL_AUDITING_CLIENT_TEMPLATE.FAT&amp;display_string=Audit&amp;VAR:KEY=MLIFAZUPIZ&amp;VAR:QUERY=RkZfUEUoQU5OLDQwNjQxLCwsUkYp&amp;WINDOW=FIRST_POPUP&amp;HEIGHT=450&amp;WIDTH=450&amp;START_MAXIMIZED=","FALSE&amp;VAR:CALENDAR=FIVEDAY&amp;VAR:SYMBOL=690064&amp;VAR:INDEX=0"}</definedName>
    <definedName name="_4242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42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49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249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250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50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51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251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252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52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53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53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54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254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261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261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262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62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63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63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64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64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65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65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66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66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67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67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268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268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269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269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270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270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271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271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273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73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274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74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275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75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276__FDSAUDITLINK__" localSheetId="34">{"fdsup://directions/FAT Viewer?action=UPDATE&amp;creator=factset&amp;DYN_ARGS=TRUE&amp;DOC_NAME=FAT:FQL_AUDITING_CLIENT_TEMPLATE.FAT&amp;display_string=Audit&amp;VAR:KEY=MNSVIXEVED&amp;VAR:QUERY=RkZfUEUoQU5OLDQwNjQxLCwsUkYp&amp;WINDOW=FIRST_POPUP&amp;HEIGHT=450&amp;WIDTH=450&amp;START_MAXIMIZED=","FALSE&amp;VAR:CALENDAR=FIVEDAY&amp;VAR:SYMBOL=B16GWD&amp;VAR:INDEX=0"}</definedName>
    <definedName name="_4276__FDSAUDITLINK__" localSheetId="27">{"fdsup://directions/FAT Viewer?action=UPDATE&amp;creator=factset&amp;DYN_ARGS=TRUE&amp;DOC_NAME=FAT:FQL_AUDITING_CLIENT_TEMPLATE.FAT&amp;display_string=Audit&amp;VAR:KEY=MNSVIXEVED&amp;VAR:QUERY=RkZfUEUoQU5OLDQwNjQxLCwsUkYp&amp;WINDOW=FIRST_POPUP&amp;HEIGHT=450&amp;WIDTH=450&amp;START_MAXIMIZED=","FALSE&amp;VAR:CALENDAR=FIVEDAY&amp;VAR:SYMBOL=B16GWD&amp;VAR:INDEX=0"}</definedName>
    <definedName name="_4277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277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278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78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281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281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282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282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283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83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284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84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285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85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289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289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300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00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04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04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05__FDSAUDITLINK__" localSheetId="34">{"fdsup://directions/FAT Viewer?action=UPDATE&amp;creator=factset&amp;DYN_ARGS=TRUE&amp;DOC_NAME=FAT:FQL_AUDITING_CLIENT_TEMPLATE.FAT&amp;display_string=Audit&amp;VAR:KEY=KPUJOPWXEL&amp;VAR:QUERY=RkZfUEUoQU5OLDQwNjQxLTJZLCwsUkYp&amp;WINDOW=FIRST_POPUP&amp;HEIGHT=450&amp;WIDTH=450&amp;START_MAXIMI","ZED=FALSE&amp;VAR:CALENDAR=FIVEDAY&amp;VAR:SYMBOL=054052&amp;VAR:INDEX=0"}</definedName>
    <definedName name="_4305__FDSAUDITLINK__" localSheetId="27">{"fdsup://directions/FAT Viewer?action=UPDATE&amp;creator=factset&amp;DYN_ARGS=TRUE&amp;DOC_NAME=FAT:FQL_AUDITING_CLIENT_TEMPLATE.FAT&amp;display_string=Audit&amp;VAR:KEY=KPUJOPWXEL&amp;VAR:QUERY=RkZfUEUoQU5OLDQwNjQxLTJZLCwsUkYp&amp;WINDOW=FIRST_POPUP&amp;HEIGHT=450&amp;WIDTH=450&amp;START_MAXIMI","ZED=FALSE&amp;VAR:CALENDAR=FIVEDAY&amp;VAR:SYMBOL=054052&amp;VAR:INDEX=0"}</definedName>
    <definedName name="_4306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06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07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307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311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311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312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312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313__FDSAUDITLINK__" localSheetId="34">{"fdsup://directions/FAT Viewer?action=UPDATE&amp;creator=factset&amp;DYN_ARGS=TRUE&amp;DOC_NAME=FAT:FQL_AUDITING_CLIENT_TEMPLATE.FAT&amp;display_string=Audit&amp;VAR:KEY=CRGFCVSDCV&amp;VAR:QUERY=RkZfRUJJVERBX09QRVIoQU5OX1IsNDA2NDEsLCwsKQ==&amp;WINDOW=FIRST_POPUP&amp;HEIGHT=450&amp;WIDTH=450&amp;","START_MAXIMIZED=FALSE&amp;VAR:CALENDAR=FIVEDAY&amp;VAR:SYMBOL=010486&amp;VAR:INDEX=0"}</definedName>
    <definedName name="_4313__FDSAUDITLINK__" localSheetId="27">{"fdsup://directions/FAT Viewer?action=UPDATE&amp;creator=factset&amp;DYN_ARGS=TRUE&amp;DOC_NAME=FAT:FQL_AUDITING_CLIENT_TEMPLATE.FAT&amp;display_string=Audit&amp;VAR:KEY=CRGFCVSDCV&amp;VAR:QUERY=RkZfRUJJVERBX09QRVIoQU5OX1IsNDA2NDEsLCwsKQ==&amp;WINDOW=FIRST_POPUP&amp;HEIGHT=450&amp;WIDTH=450&amp;","START_MAXIMIZED=FALSE&amp;VAR:CALENDAR=FIVEDAY&amp;VAR:SYMBOL=010486&amp;VAR:INDEX=0"}</definedName>
    <definedName name="_4315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315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323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23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24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324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325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325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331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331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332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332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334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34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35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35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36__FDSAUDITLINK__" localSheetId="34">{"fdsup://directions/FAT Viewer?action=UPDATE&amp;creator=factset&amp;DYN_ARGS=TRUE&amp;DOC_NAME=FAT:FQL_AUDITING_CLIENT_TEMPLATE.FAT&amp;display_string=Audit&amp;VAR:KEY=EJWDMZKXWX&amp;VAR:QUERY=RkZfUEUoQU5OLDQwNjQxLTNZLCwsUkYp&amp;WINDOW=FIRST_POPUP&amp;HEIGHT=450&amp;WIDTH=450&amp;START_MAXIMI","ZED=FALSE&amp;VAR:CALENDAR=FIVEDAY&amp;VAR:SYMBOL=06050510&amp;VAR:INDEX=0"}</definedName>
    <definedName name="_4336__FDSAUDITLINK__" localSheetId="27">{"fdsup://directions/FAT Viewer?action=UPDATE&amp;creator=factset&amp;DYN_ARGS=TRUE&amp;DOC_NAME=FAT:FQL_AUDITING_CLIENT_TEMPLATE.FAT&amp;display_string=Audit&amp;VAR:KEY=EJWDMZKXWX&amp;VAR:QUERY=RkZfUEUoQU5OLDQwNjQxLTNZLCwsUkYp&amp;WINDOW=FIRST_POPUP&amp;HEIGHT=450&amp;WIDTH=450&amp;START_MAXIMI","ZED=FALSE&amp;VAR:CALENDAR=FIVEDAY&amp;VAR:SYMBOL=06050510&amp;VAR:INDEX=0"}</definedName>
    <definedName name="_4340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340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341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41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42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342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343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43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344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44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45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45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46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46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47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347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348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48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49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49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350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350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351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51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52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352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353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353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35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5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59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59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60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360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361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361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362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62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63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363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364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364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365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65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66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66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67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67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71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371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374__FDSAUDITLINK__" localSheetId="34">{"fdsup://directions/FAT Viewer?action=UPDATE&amp;creator=factset&amp;DYN_ARGS=TRUE&amp;DOC_NAME=FAT:FQL_AUDITING_CLIENT_TEMPLATE.FAT&amp;display_string=Audit&amp;VAR:KEY=OLMZSBUFQL&amp;VAR:QUERY=RkZfUEUoQU5OLDQwNjQxLTFZLCwsUkYp&amp;WINDOW=FIRST_POPUP&amp;HEIGHT=450&amp;WIDTH=450&amp;START_MAXIMI","ZED=FALSE&amp;VAR:CALENDAR=FIVEDAY&amp;VAR:SYMBOL=06050510&amp;VAR:INDEX=0"}</definedName>
    <definedName name="_4374__FDSAUDITLINK__" localSheetId="27">{"fdsup://directions/FAT Viewer?action=UPDATE&amp;creator=factset&amp;DYN_ARGS=TRUE&amp;DOC_NAME=FAT:FQL_AUDITING_CLIENT_TEMPLATE.FAT&amp;display_string=Audit&amp;VAR:KEY=OLMZSBUFQL&amp;VAR:QUERY=RkZfUEUoQU5OLDQwNjQxLTFZLCwsUkYp&amp;WINDOW=FIRST_POPUP&amp;HEIGHT=450&amp;WIDTH=450&amp;START_MAXIMI","ZED=FALSE&amp;VAR:CALENDAR=FIVEDAY&amp;VAR:SYMBOL=06050510&amp;VAR:INDEX=0"}</definedName>
    <definedName name="_4375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375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376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76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377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77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78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78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79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79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380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80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383__FDSAUDITLINK__" localSheetId="34">{"fdsup://directions/FAT Viewer?action=UPDATE&amp;creator=factset&amp;DYN_ARGS=TRUE&amp;DOC_NAME=FAT:FQL_AUDITING_CLIENT_TEMPLATE.FAT&amp;display_string=Audit&amp;VAR:KEY=MZMDYZQPKT&amp;VAR:QUERY=RkZfRUJJVERBX09QRVIoQU5OX1IsNDA2NDEsLCwsKQ==&amp;WINDOW=FIRST_POPUP&amp;HEIGHT=450&amp;WIDTH=450&amp;","START_MAXIMIZED=FALSE&amp;VAR:CALENDAR=FIVEDAY&amp;VAR:SYMBOL=337647&amp;VAR:INDEX=0"}</definedName>
    <definedName name="_4383__FDSAUDITLINK__" localSheetId="27">{"fdsup://directions/FAT Viewer?action=UPDATE&amp;creator=factset&amp;DYN_ARGS=TRUE&amp;DOC_NAME=FAT:FQL_AUDITING_CLIENT_TEMPLATE.FAT&amp;display_string=Audit&amp;VAR:KEY=MZMDYZQPKT&amp;VAR:QUERY=RkZfRUJJVERBX09QRVIoQU5OX1IsNDA2NDEsLCwsKQ==&amp;WINDOW=FIRST_POPUP&amp;HEIGHT=450&amp;WIDTH=450&amp;","START_MAXIMIZED=FALSE&amp;VAR:CALENDAR=FIVEDAY&amp;VAR:SYMBOL=337647&amp;VAR:INDEX=0"}</definedName>
    <definedName name="_4385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85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86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386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387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87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388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88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389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89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390__FDSAUDITLINK__" localSheetId="34">{"fdsup://directions/FAT Viewer?action=UPDATE&amp;creator=factset&amp;DYN_ARGS=TRUE&amp;DOC_NAME=FAT:FQL_AUDITING_CLIENT_TEMPLATE.FAT&amp;display_string=Audit&amp;VAR:KEY=KXCPGHITSF&amp;VAR:QUERY=RkZfUEUoQU5OLDQwNjQxLCwsUkYp&amp;WINDOW=FIRST_POPUP&amp;HEIGHT=450&amp;WIDTH=450&amp;START_MAXIMIZED=","FALSE&amp;VAR:CALENDAR=FIVEDAY&amp;VAR:SYMBOL=010486&amp;VAR:INDEX=0"}</definedName>
    <definedName name="_4390__FDSAUDITLINK__" localSheetId="27">{"fdsup://directions/FAT Viewer?action=UPDATE&amp;creator=factset&amp;DYN_ARGS=TRUE&amp;DOC_NAME=FAT:FQL_AUDITING_CLIENT_TEMPLATE.FAT&amp;display_string=Audit&amp;VAR:KEY=KXCPGHITSF&amp;VAR:QUERY=RkZfUEUoQU5OLDQwNjQxLCwsUkYp&amp;WINDOW=FIRST_POPUP&amp;HEIGHT=450&amp;WIDTH=450&amp;START_MAXIMIZED=","FALSE&amp;VAR:CALENDAR=FIVEDAY&amp;VAR:SYMBOL=010486&amp;VAR:INDEX=0"}</definedName>
    <definedName name="_4393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93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394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394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396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396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400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400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401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401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402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02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03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03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05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05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07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407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408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408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409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409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410__FDSAUDITLINK__" localSheetId="34">{"fdsup://directions/FAT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410__FDSAUDITLINK__" localSheetId="27">{"fdsup://directions/FAT Viewer?action=UPDATE&amp;creator=factset&amp;DYN_ARGS=TRUE&amp;DOC_NAME=FAT:FQL_AUDITING_CLIENT_TEMPLATE.FAT&amp;display_string=Audit&amp;VAR:KEY=LYJGXUDGFE&amp;VAR:QUERY=RkZfRklOX0FTU0VUU19JTVBBSVIoQU5OX1IsNDA3ODctNFksLCxSRiwp&amp;WINDOW=FIRST_POPUP&amp;HEIGHT=45","0&amp;WIDTH=450&amp;START_MAXIMIZED=FALSE&amp;VAR:CALENDAR=FIVEDAY&amp;VAR:SYMBOL=0&amp;VAR:INDEX=0"}</definedName>
    <definedName name="_4414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14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29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29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33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33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34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34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37__FDSAUDITLINK__" localSheetId="34">{"fdsup://directions/FAT Viewer?action=UPDATE&amp;creator=factset&amp;DYN_ARGS=TRUE&amp;DOC_NAME=FAT:FQL_AUDITING_CLIENT_TEMPLATE.FAT&amp;display_string=Audit&amp;VAR:KEY=AVONGPWTKJ&amp;VAR:QUERY=RkZfUEUoQU5OLDQwNjQxLCwsUkYp&amp;WINDOW=FIRST_POPUP&amp;HEIGHT=450&amp;WIDTH=450&amp;START_MAXIMIZED=","FALSE&amp;VAR:CALENDAR=FIVEDAY&amp;VAR:SYMBOL=671402&amp;VAR:INDEX=0"}</definedName>
    <definedName name="_4437__FDSAUDITLINK__" localSheetId="27">{"fdsup://directions/FAT Viewer?action=UPDATE&amp;creator=factset&amp;DYN_ARGS=TRUE&amp;DOC_NAME=FAT:FQL_AUDITING_CLIENT_TEMPLATE.FAT&amp;display_string=Audit&amp;VAR:KEY=AVONGPWTKJ&amp;VAR:QUERY=RkZfUEUoQU5OLDQwNjQxLCwsUkYp&amp;WINDOW=FIRST_POPUP&amp;HEIGHT=450&amp;WIDTH=450&amp;START_MAXIMIZED=","FALSE&amp;VAR:CALENDAR=FIVEDAY&amp;VAR:SYMBOL=671402&amp;VAR:INDEX=0"}</definedName>
    <definedName name="_4438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438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439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39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40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40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41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441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442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42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47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47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48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448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454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54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56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56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58__FDSAUDITLINK__" localSheetId="34">{"fdsup://directions/FAT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458__FDSAUDITLINK__" localSheetId="27">{"fdsup://directions/FAT Viewer?action=UPDATE&amp;creator=factset&amp;DYN_ARGS=TRUE&amp;DOC_NAME=FAT:FQL_AUDITING_CLIENT_TEMPLATE.FAT&amp;display_string=Audit&amp;VAR:KEY=JKFWTYREXS&amp;VAR:QUERY=KCgoKCgoKEZGX0RFQlQoUVRSLDQwNzg3LCwsLClARkZfREVCVChTRU1JLDQwNzg3LCwsLCkpQEZGX0RFQlQoQ","U5OX1IsNDA3ODcsLCwsKSlARkZfREVCVChRVFIsMCwsLCwpKUBGRl9ERUJUKFNFTUksMCwsLCwpKUBGRl9ERUJUKFFUUiwwLCwsLCkpQEZGX0RFQlQoU0VNSSwwLCwsLCkpQEZGX0RFQlQoQU5OX1IsMCwsLCwpKQ==&amp;WINDOW=FIRST_POPUP&amp;HEIGHT=450&amp;WIDTH=450&amp;START_MAXIMIZED=FALSE&amp;VAR:CALENDAR=FIVEDAY&amp;VAR:SYMB","OL=0&amp;VAR:INDEX=0"}</definedName>
    <definedName name="_4459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459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460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460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461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61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62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62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65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65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66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66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73__FDSAUDITLINK__" localSheetId="34">{"fdsup://directions/FAT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73__FDSAUDITLINK__" localSheetId="27">{"fdsup://directions/FAT Viewer?action=UPDATE&amp;creator=factset&amp;DYN_ARGS=TRUE&amp;DOC_NAME=FAT:FQL_AUDITING_CLIENT_TEMPLATE.FAT&amp;display_string=Audit&amp;VAR:KEY=ODAVUNQJSF&amp;VAR:QUERY=RkZfRUJJVERBX09QRVIoQU5OX1IsNDA3ODcsLCwsKQ==&amp;WINDOW=FIRST_POPUP&amp;HEIGHT=450&amp;WIDTH=450&amp;","START_MAXIMIZED=FALSE&amp;VAR:CALENDAR=FIVEDAY&amp;VAR:SYMBOL=0&amp;VAR:INDEX=0"}</definedName>
    <definedName name="_4476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476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477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77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78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78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479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479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480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80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481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481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482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82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483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83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486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86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87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87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88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88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489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89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490__FDSAUDITLINK__" localSheetId="34">{"fdsup://directions/FAT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490__FDSAUDITLINK__" localSheetId="27">{"fdsup://directions/FAT Viewer?action=UPDATE&amp;creator=factset&amp;DYN_ARGS=TRUE&amp;DOC_NAME=FAT:FQL_AUDITING_CLIENT_TEMPLATE.FAT&amp;display_string=Audit&amp;VAR:KEY=ZELEPEBEJG&amp;VAR:QUERY=RkZfRklOX0FTU0VUU19JTVBBSVIoQU5OX1IsNDA3ODctMlksLCxSRiwp&amp;WINDOW=FIRST_POPUP&amp;HEIGHT=45","0&amp;WIDTH=450&amp;START_MAXIMIZED=FALSE&amp;VAR:CALENDAR=FIVEDAY&amp;VAR:SYMBOL=0&amp;VAR:INDEX=0"}</definedName>
    <definedName name="_4491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491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49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9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499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499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500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00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01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501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502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02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03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03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05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505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506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506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511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511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514__FDSAUDITLINK__" localSheetId="34">{"fdsup://directions/FAT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514__FDSAUDITLINK__" localSheetId="27">{"fdsup://directions/FAT Viewer?action=UPDATE&amp;creator=factset&amp;DYN_ARGS=TRUE&amp;DOC_NAME=FAT:FQL_AUDITING_CLIENT_TEMPLATE.FAT&amp;display_string=Audit&amp;VAR:KEY=PUJQTCVEXY&amp;VAR:QUERY=RkZfRklOX0FTU0VUU19JTVBBSVIoQU5OX1IsNDA3ODctMVksLCxSRiwp&amp;WINDOW=FIRST_POPUP&amp;HEIGHT=45","0&amp;WIDTH=450&amp;START_MAXIMIZED=FALSE&amp;VAR:CALENDAR=FIVEDAY&amp;VAR:SYMBOL=0&amp;VAR:INDEX=0"}</definedName>
    <definedName name="_4515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515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516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16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17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17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18__FDSAUDITLINK__" localSheetId="34">{"fdsup://directions/FAT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518__FDSAUDITLINK__" localSheetId="27">{"fdsup://directions/FAT Viewer?action=UPDATE&amp;creator=factset&amp;DYN_ARGS=TRUE&amp;DOC_NAME=FAT:FQL_AUDITING_CLIENT_TEMPLATE.FAT&amp;display_string=Audit&amp;VAR:KEY=MHOHSXSLWL&amp;VAR:QUERY=RkZfRUJJVERBX09QRVIoQU5OX1IsNDA3ODctMlksLCwsKQ==&amp;WINDOW=FIRST_POPUP&amp;HEIGHT=450&amp;WIDTH=","450&amp;START_MAXIMIZED=FALSE&amp;VAR:CALENDAR=FIVEDAY&amp;VAR:SYMBOL=0&amp;VAR:INDEX=0"}</definedName>
    <definedName name="_4519__FDSAUDITLINK__" localSheetId="34">{"fdsup://directions/FAT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519__FDSAUDITLINK__" localSheetId="27">{"fdsup://directions/FAT Viewer?action=UPDATE&amp;creator=factset&amp;DYN_ARGS=TRUE&amp;DOC_NAME=FAT:FQL_AUDITING_CLIENT_TEMPLATE.FAT&amp;display_string=Audit&amp;VAR:KEY=VIZYJGTSHY&amp;VAR:QUERY=RkZfSU1QQUlSX1BQRShBTk5fUiw0MDc4Ny0xWSwsLFJGLCk=&amp;WINDOW=FIRST_POPUP&amp;HEIGHT=450&amp;WIDTH=","450&amp;START_MAXIMIZED=FALSE&amp;VAR:CALENDAR=FIVEDAY&amp;VAR:SYMBOL=0&amp;VAR:INDEX=0"}</definedName>
    <definedName name="_4520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520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521__FDSAUDITLINK__" localSheetId="34">{"fdsup://directions/FAT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521__FDSAUDITLINK__" localSheetId="27">{"fdsup://directions/FAT Viewer?action=UPDATE&amp;creator=factset&amp;DYN_ARGS=TRUE&amp;DOC_NAME=FAT:FQL_AUDITING_CLIENT_TEMPLATE.FAT&amp;display_string=Audit&amp;VAR:KEY=EDOZOZQHKD&amp;VAR:QUERY=RkZfRUJJVERBX09QRVIoQU5OX1IsNDA3ODctM1ksLCwsKQ==&amp;WINDOW=FIRST_POPUP&amp;HEIGHT=450&amp;WIDTH=","450&amp;START_MAXIMIZED=FALSE&amp;VAR:CALENDAR=FIVEDAY&amp;VAR:SYMBOL=0&amp;VAR:INDEX=0"}</definedName>
    <definedName name="_4522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522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523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523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524__FDSAUDITLINK__" localSheetId="34">{"fdsup://directions/FAT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524__FDSAUDITLINK__" localSheetId="27">{"fdsup://directions/FAT Viewer?action=UPDATE&amp;creator=factset&amp;DYN_ARGS=TRUE&amp;DOC_NAME=FAT:FQL_AUDITING_CLIENT_TEMPLATE.FAT&amp;display_string=Audit&amp;VAR:KEY=MNUJGLODGZ&amp;VAR:QUERY=RkZfRUJJVERBX09QRVIoQU5OX1IsNDA2NDEsLCwsKQ==&amp;WINDOW=FIRST_POPUP&amp;HEIGHT=450&amp;WIDTH=450&amp;","START_MAXIMIZED=FALSE&amp;VAR:CALENDAR=FIVEDAY&amp;VAR:SYMBOL=0&amp;VAR:INDEX=0"}</definedName>
    <definedName name="_4525__FDSAUDITLINK__" localSheetId="34">{"fdsup://directions/FAT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525__FDSAUDITLINK__" localSheetId="27">{"fdsup://directions/FAT Viewer?action=UPDATE&amp;creator=factset&amp;DYN_ARGS=TRUE&amp;DOC_NAME=FAT:FQL_AUDITING_CLIENT_TEMPLATE.FAT&amp;display_string=Audit&amp;VAR:KEY=BAXGZQRSJU&amp;VAR:QUERY=RkZfSU1QQUlSX1BQRShBTk5fUiw0MDc4Ny0yWSwsLFJGLCk=&amp;WINDOW=FIRST_POPUP&amp;HEIGHT=450&amp;WIDTH=","450&amp;START_MAXIMIZED=FALSE&amp;VAR:CALENDAR=FIVEDAY&amp;VAR:SYMBOL=0&amp;VAR:INDEX=0"}</definedName>
    <definedName name="_4526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26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27__FDSAUDITLINK__" localSheetId="34">{"fdsup://directions/FAT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27__FDSAUDITLINK__" localSheetId="27">{"fdsup://directions/FAT Viewer?action=UPDATE&amp;creator=factset&amp;DYN_ARGS=TRUE&amp;DOC_NAME=FAT:FQL_AUDITING_CLIENT_TEMPLATE.FAT&amp;display_string=Audit&amp;VAR:KEY=TYZWDUHANU&amp;VAR:QUERY=RkZfSU1QQUlSX1BQRShBTk5fUiw0MDc4NywsLFJGLCk=&amp;WINDOW=FIRST_POPUP&amp;HEIGHT=450&amp;WIDTH=450&amp;","START_MAXIMIZED=FALSE&amp;VAR:CALENDAR=FIVEDAY&amp;VAR:SYMBOL=0&amp;VAR:INDEX=0"}</definedName>
    <definedName name="_4528__FDSAUDITLINK__" localSheetId="34">{"fdsup://directions/FAT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28__FDSAUDITLINK__" localSheetId="27">{"fdsup://directions/FAT Viewer?action=UPDATE&amp;creator=factset&amp;DYN_ARGS=TRUE&amp;DOC_NAME=FAT:FQL_AUDITING_CLIENT_TEMPLATE.FAT&amp;display_string=Audit&amp;VAR:KEY=QDERQNSTCP&amp;VAR:QUERY=RkZfRUJJVERBX09QRVIoQU5OX1IsNDA3ODctNFksLCwsKQ==&amp;WINDOW=FIRST_POPUP&amp;HEIGHT=450&amp;WIDTH=","450&amp;START_MAXIMIZED=FALSE&amp;VAR:CALENDAR=FIVEDAY&amp;VAR:SYMBOL=0&amp;VAR:INDEX=0"}</definedName>
    <definedName name="_4529__FDSAUDITLINK__" localSheetId="34">{"fdsup://directions/FAT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529__FDSAUDITLINK__" localSheetId="27">{"fdsup://directions/FAT Viewer?action=UPDATE&amp;creator=factset&amp;DYN_ARGS=TRUE&amp;DOC_NAME=FAT:FQL_AUDITING_CLIENT_TEMPLATE.FAT&amp;display_string=Audit&amp;VAR:KEY=LOHKVSNUTM&amp;VAR:QUERY=RkZfSU1QQUlSX1BQRShBTk5fUiw0MDc4Ny0zWSwsLFJGLCk=&amp;WINDOW=FIRST_POPUP&amp;HEIGHT=450&amp;WIDTH=","450&amp;START_MAXIMIZED=FALSE&amp;VAR:CALENDAR=FIVEDAY&amp;VAR:SYMBOL=0&amp;VAR:INDEX=0"}</definedName>
    <definedName name="_4530__FDSAUDITLINK__" localSheetId="34">{"fdsup://directions/FAT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530__FDSAUDITLINK__" localSheetId="27">{"fdsup://directions/FAT Viewer?action=UPDATE&amp;creator=factset&amp;DYN_ARGS=TRUE&amp;DOC_NAME=FAT:FQL_AUDITING_CLIENT_TEMPLATE.FAT&amp;display_string=Audit&amp;VAR:KEY=HGNORKXGBC&amp;VAR:QUERY=RkZfU0hMRFJTX0VRKEFOTl9SLDQwNzg3LTFZLCwsUkYsKQ==&amp;WINDOW=FIRST_POPUP&amp;HEIGHT=450&amp;WIDTH=","450&amp;START_MAXIMIZED=FALSE&amp;VAR:CALENDAR=FIVEDAY&amp;VAR:SYMBOL=0&amp;VAR:INDEX=0"}</definedName>
    <definedName name="_4531__FDSAUDITLINK__" localSheetId="34">{"fdsup://directions/FAT Viewer?action=UPDATE&amp;creator=factset&amp;DYN_ARGS=TRUE&amp;DOC_NAME=FAT:FQL_AUDITING_CLIENT_TEMPLATE.FAT&amp;display_string=Audit&amp;VAR:KEY=IBYZONCBYB&amp;VAR:QUERY=RkZfUEUoQU5OLDQwNjQxLTFZLCwsUkYp&amp;WINDOW=FIRST_POPUP&amp;HEIGHT=450&amp;WIDTH=450&amp;START_MAXIMI","ZED=FALSE&amp;VAR:CALENDAR=FIVEDAY&amp;VAR:SYMBOL=673230&amp;VAR:INDEX=0"}</definedName>
    <definedName name="_4531__FDSAUDITLINK__" localSheetId="27">{"fdsup://directions/FAT Viewer?action=UPDATE&amp;creator=factset&amp;DYN_ARGS=TRUE&amp;DOC_NAME=FAT:FQL_AUDITING_CLIENT_TEMPLATE.FAT&amp;display_string=Audit&amp;VAR:KEY=IBYZONCBYB&amp;VAR:QUERY=RkZfUEUoQU5OLDQwNjQxLTFZLCwsUkYp&amp;WINDOW=FIRST_POPUP&amp;HEIGHT=450&amp;WIDTH=450&amp;START_MAXIMI","ZED=FALSE&amp;VAR:CALENDAR=FIVEDAY&amp;VAR:SYMBOL=673230&amp;VAR:INDEX=0"}</definedName>
    <definedName name="_4532__FDSAUDITLINK__" localSheetId="34">{"fdsup://directions/FAT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532__FDSAUDITLINK__" localSheetId="27">{"fdsup://directions/FAT Viewer?action=UPDATE&amp;creator=factset&amp;DYN_ARGS=TRUE&amp;DOC_NAME=FAT:FQL_AUDITING_CLIENT_TEMPLATE.FAT&amp;display_string=Audit&amp;VAR:KEY=ZGFGBKJWTQ&amp;VAR:QUERY=RkZfU0hMRFJTX0VRKEFOTl9SLDQwNzg3LCwsUkYsKQ==&amp;WINDOW=FIRST_POPUP&amp;HEIGHT=450&amp;WIDTH=450&amp;","START_MAXIMIZED=FALSE&amp;VAR:CALENDAR=FIVEDAY&amp;VAR:SYMBOL=0&amp;VAR:INDEX=0"}</definedName>
    <definedName name="_4534__FDSAUDITLINK__" localSheetId="34">{"fdsup://directions/FAT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534__FDSAUDITLINK__" localSheetId="27">{"fdsup://directions/FAT Viewer?action=UPDATE&amp;creator=factset&amp;DYN_ARGS=TRUE&amp;DOC_NAME=FAT:FQL_AUDITING_CLIENT_TEMPLATE.FAT&amp;display_string=Audit&amp;VAR:KEY=DMHUXGZYPE&amp;VAR:QUERY=RkZfRklOX0FTU0VUU19JTVBBSVIoQU5OX1IsNDA3ODcsLCxSRiwp&amp;WINDOW=FIRST_POPUP&amp;HEIGHT=450&amp;WI","DTH=450&amp;START_MAXIMIZED=FALSE&amp;VAR:CALENDAR=FIVEDAY&amp;VAR:SYMBOL=0&amp;VAR:INDEX=0"}</definedName>
    <definedName name="_4535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35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36__FDSAUDITLINK__" localSheetId="34">{"fdsup://directions/FAT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536__FDSAUDITLINK__" localSheetId="27">{"fdsup://directions/FAT Viewer?action=UPDATE&amp;creator=factset&amp;DYN_ARGS=TRUE&amp;DOC_NAME=FAT:FQL_AUDITING_CLIENT_TEMPLATE.FAT&amp;display_string=Audit&amp;VAR:KEY=HIXQTOJMPC&amp;VAR:QUERY=RkZfRklOX0FTU0VUU19JTVBBSVIoQU5OX1IsNDA3ODctM1ksLCxSRiwp&amp;WINDOW=FIRST_POPUP&amp;HEIGHT=45","0&amp;WIDTH=450&amp;START_MAXIMIZED=FALSE&amp;VAR:CALENDAR=FIVEDAY&amp;VAR:SYMBOL=0&amp;VAR:INDEX=0"}</definedName>
    <definedName name="_4540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540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548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548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549__FDSAUDITLINK__" localSheetId="34">{"fdsup://directions/FAT Viewer?action=UPDATE&amp;creator=factset&amp;DYN_ARGS=TRUE&amp;DOC_NAME=FAT:FQL_AUDITING_CLIENT_TEMPLATE.FAT&amp;display_string=Audit&amp;VAR:KEY=ANAZAZIPCN&amp;VAR:QUERY=RkZfRUJJVERBX09QRVIoQU5OX1IsNDA2NDEsLCwsKQ==&amp;WINDOW=FIRST_POPUP&amp;HEIGHT=450&amp;WIDTH=450&amp;","START_MAXIMIZED=FALSE&amp;VAR:CALENDAR=FIVEDAY&amp;VAR:SYMBOL=B126KH&amp;VAR:INDEX=0"}</definedName>
    <definedName name="_4549__FDSAUDITLINK__" localSheetId="27">{"fdsup://directions/FAT Viewer?action=UPDATE&amp;creator=factset&amp;DYN_ARGS=TRUE&amp;DOC_NAME=FAT:FQL_AUDITING_CLIENT_TEMPLATE.FAT&amp;display_string=Audit&amp;VAR:KEY=ANAZAZIPCN&amp;VAR:QUERY=RkZfRUJJVERBX09QRVIoQU5OX1IsNDA2NDEsLCwsKQ==&amp;WINDOW=FIRST_POPUP&amp;HEIGHT=450&amp;WIDTH=450&amp;","START_MAXIMIZED=FALSE&amp;VAR:CALENDAR=FIVEDAY&amp;VAR:SYMBOL=B126KH&amp;VAR:INDEX=0"}</definedName>
    <definedName name="_456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56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567__FDSAUDITLINK__" localSheetId="34">{"fdsup://directions/FAT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567__FDSAUDITLINK__" localSheetId="27">{"fdsup://directions/FAT Viewer?action=UPDATE&amp;creator=factset&amp;DYN_ARGS=TRUE&amp;DOC_NAME=FAT:FQL_AUDITING_CLIENT_TEMPLATE.FAT&amp;display_string=Audit&amp;VAR:KEY=DKTOFOVSHW&amp;VAR:QUERY=RkZfU0hMRFJTX0VRKEFOTl9SLDQwNzg3LTJZLCwsUkYsKQ==&amp;WINDOW=FIRST_POPUP&amp;HEIGHT=450&amp;WIDTH=","450&amp;START_MAXIMIZED=FALSE&amp;VAR:CALENDAR=FIVEDAY&amp;VAR:SYMBOL=0&amp;VAR:INDEX=0"}</definedName>
    <definedName name="_4568__FDSAUDITLINK__" localSheetId="34">{"fdsup://directions/FAT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68__FDSAUDITLINK__" localSheetId="27">{"fdsup://directions/FAT Viewer?action=UPDATE&amp;creator=factset&amp;DYN_ARGS=TRUE&amp;DOC_NAME=FAT:FQL_AUDITING_CLIENT_TEMPLATE.FAT&amp;display_string=Audit&amp;VAR:KEY=OHOBCDQVWZ&amp;VAR:QUERY=RkZfRUJJVERBX09QRVIoQU5OX1IsNDA3ODctMVksLCwsKQ==&amp;WINDOW=FIRST_POPUP&amp;HEIGHT=450&amp;WIDTH=","450&amp;START_MAXIMIZED=FALSE&amp;VAR:CALENDAR=FIVEDAY&amp;VAR:SYMBOL=0&amp;VAR:INDEX=0"}</definedName>
    <definedName name="_4572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72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73__FDSAUDITLINK__" localSheetId="34">{"fdsup://Directions/FactSet Auditing Viewer?action=AUDIT_VALUE&amp;DB=129&amp;ID1=B1P6ZR&amp;VALUEID=01401&amp;SDATE=2009&amp;PERIODTYPE=ANN_STD&amp;SCFT=3&amp;window=popup_no_bar&amp;width=385&amp;height=120&amp;START_MAXIMIZED=FALSE&amp;creator=factset&amp;display_string=Audit"}</definedName>
    <definedName name="_4573__FDSAUDITLINK__" localSheetId="27">{"fdsup://Directions/FactSet Auditing Viewer?action=AUDIT_VALUE&amp;DB=129&amp;ID1=B1P6ZR&amp;VALUEID=01401&amp;SDATE=2009&amp;PERIODTYPE=ANN_STD&amp;SCFT=3&amp;window=popup_no_bar&amp;width=385&amp;height=120&amp;START_MAXIMIZED=FALSE&amp;creator=factset&amp;display_string=Audit"}</definedName>
    <definedName name="_4574__FDSAUDITLINK__" localSheetId="34">{"fdsup://Directions/FactSet Auditing Viewer?action=AUDIT_VALUE&amp;DB=129&amp;ID1=B1P6ZR&amp;VALUEID=01401&amp;SDATE=2009&amp;PERIODTYPE=ANN_STD&amp;SCFT=3&amp;window=popup_no_bar&amp;width=385&amp;height=120&amp;START_MAXIMIZED=FALSE&amp;creator=factset&amp;display_string=Audit"}</definedName>
    <definedName name="_4574__FDSAUDITLINK__" localSheetId="27">{"fdsup://Directions/FactSet Auditing Viewer?action=AUDIT_VALUE&amp;DB=129&amp;ID1=B1P6ZR&amp;VALUEID=01401&amp;SDATE=2009&amp;PERIODTYPE=ANN_STD&amp;SCFT=3&amp;window=popup_no_bar&amp;width=385&amp;height=120&amp;START_MAXIMIZED=FALSE&amp;creator=factset&amp;display_string=Audit"}</definedName>
    <definedName name="_4575__FDSAUDITLINK__" localSheetId="34">{"fdsup://directions/FAT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75__FDSAUDITLINK__" localSheetId="27">{"fdsup://directions/FAT Viewer?action=UPDATE&amp;creator=factset&amp;DYN_ARGS=TRUE&amp;DOC_NAME=FAT:FQL_AUDITING_CLIENT_TEMPLATE.FAT&amp;display_string=Audit&amp;VAR:KEY=ZCTOFAZOVW&amp;VAR:QUERY=RkZfU0hMRFJTX0VRKEFOTl9SLDQwNzg3LTNZLCwsUkYsKQ==&amp;WINDOW=FIRST_POPUP&amp;HEIGHT=450&amp;WIDTH=","450&amp;START_MAXIMIZED=FALSE&amp;VAR:CALENDAR=FIVEDAY&amp;VAR:SYMBOL=0&amp;VAR:INDEX=0"}</definedName>
    <definedName name="_457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57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578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578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4581__FDSAUDITLINK__" localSheetId="34">{"fdsup://directions/FAT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581__FDSAUDITLINK__" localSheetId="27">{"fdsup://directions/FAT Viewer?action=UPDATE&amp;creator=factset&amp;DYN_ARGS=TRUE&amp;DOC_NAME=FAT:FQL_AUDITING_CLIENT_TEMPLATE.FAT&amp;display_string=Audit&amp;VAR:KEY=LYJKPABKFI&amp;VAR:QUERY=RkZfSU1QQUlSX1BQRShBTk5fUiw0MDc4Ny00WSwsLFJGLCk=&amp;WINDOW=FIRST_POPUP&amp;HEIGHT=450&amp;WIDTH=","450&amp;START_MAXIMIZED=FALSE&amp;VAR:CALENDAR=FIVEDAY&amp;VAR:SYMBOL=0&amp;VAR:INDEX=0"}</definedName>
    <definedName name="_4582__FDSAUDITLINK__" localSheetId="34">{"fdsup://directions/FAT Viewer?action=UPDATE&amp;creator=factset&amp;DYN_ARGS=TRUE&amp;DOC_NAME=FAT:FQL_AUDITING_CLIENT_TEMPLATE.FAT&amp;display_string=Audit&amp;VAR:KEY=ENSDQLIDUL&amp;VAR:QUERY=RkZfUEUoQU5OLDQwNjQxLTFZLCwsUkYp&amp;WINDOW=FIRST_POPUP&amp;HEIGHT=450&amp;WIDTH=450&amp;START_MAXIMI","ZED=FALSE&amp;VAR:CALENDAR=FIVEDAY&amp;VAR:SYMBOL=312748&amp;VAR:INDEX=0"}</definedName>
    <definedName name="_4582__FDSAUDITLINK__" localSheetId="27">{"fdsup://directions/FAT Viewer?action=UPDATE&amp;creator=factset&amp;DYN_ARGS=TRUE&amp;DOC_NAME=FAT:FQL_AUDITING_CLIENT_TEMPLATE.FAT&amp;display_string=Audit&amp;VAR:KEY=ENSDQLIDUL&amp;VAR:QUERY=RkZfUEUoQU5OLDQwNjQxLTFZLCwsUkYp&amp;WINDOW=FIRST_POPUP&amp;HEIGHT=450&amp;WIDTH=450&amp;START_MAXIMI","ZED=FALSE&amp;VAR:CALENDAR=FIVEDAY&amp;VAR:SYMBOL=312748&amp;VAR:INDEX=0"}</definedName>
    <definedName name="_4706__FDSAUDITLINK__" localSheetId="34">{"fdsup://Directions/FactSet Auditing Viewer?action=AUDIT_VALUE&amp;DB=129&amp;ID1=309272&amp;VALUEID=01001&amp;SDATE=2009&amp;PERIODTYPE=ANN_STD&amp;SCFT=3&amp;window=popup_no_bar&amp;width=385&amp;height=120&amp;START_MAXIMIZED=FALSE&amp;creator=factset&amp;display_string=Audit"}</definedName>
    <definedName name="_4706__FDSAUDITLINK__" localSheetId="27">{"fdsup://Directions/FactSet Auditing Viewer?action=AUDIT_VALUE&amp;DB=129&amp;ID1=309272&amp;VALUEID=01001&amp;SDATE=2009&amp;PERIODTYPE=ANN_STD&amp;SCFT=3&amp;window=popup_no_bar&amp;width=385&amp;height=120&amp;START_MAXIMIZED=FALSE&amp;creator=factset&amp;display_string=Audit"}</definedName>
    <definedName name="_4707__FDSAUDITLINK__" localSheetId="34">{"fdsup://Directions/FactSet Auditing Viewer?action=AUDIT_VALUE&amp;DB=129&amp;ID1=025592&amp;VALUEID=01001&amp;SDATE=2010&amp;PERIODTYPE=ANN_STD&amp;SCFT=3&amp;window=popup_no_bar&amp;width=385&amp;height=120&amp;START_MAXIMIZED=FALSE&amp;creator=factset&amp;display_string=Audit"}</definedName>
    <definedName name="_4707__FDSAUDITLINK__" localSheetId="27">{"fdsup://Directions/FactSet Auditing Viewer?action=AUDIT_VALUE&amp;DB=129&amp;ID1=025592&amp;VALUEID=01001&amp;SDATE=2010&amp;PERIODTYPE=ANN_STD&amp;SCFT=3&amp;window=popup_no_bar&amp;width=385&amp;height=120&amp;START_MAXIMIZED=FALSE&amp;creator=factset&amp;display_string=Audit"}</definedName>
    <definedName name="_4708__FDSAUDITLINK__" localSheetId="34">{"fdsup://Directions/FactSet Auditing Viewer?action=AUDIT_VALUE&amp;DB=129&amp;ID1=025592&amp;VALUEID=01001&amp;SDATE=2009&amp;PERIODTYPE=ANN_STD&amp;SCFT=3&amp;window=popup_no_bar&amp;width=385&amp;height=120&amp;START_MAXIMIZED=FALSE&amp;creator=factset&amp;display_string=Audit"}</definedName>
    <definedName name="_4708__FDSAUDITLINK__" localSheetId="27">{"fdsup://Directions/FactSet Auditing Viewer?action=AUDIT_VALUE&amp;DB=129&amp;ID1=025592&amp;VALUEID=01001&amp;SDATE=2009&amp;PERIODTYPE=ANN_STD&amp;SCFT=3&amp;window=popup_no_bar&amp;width=385&amp;height=120&amp;START_MAXIMIZED=FALSE&amp;creator=factset&amp;display_string=Audit"}</definedName>
    <definedName name="_4709__FDSAUDITLINK__" localSheetId="34">{"fdsup://directions/FAT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709__FDSAUDITLINK__" localSheetId="27">{"fdsup://directions/FAT Viewer?action=UPDATE&amp;creator=factset&amp;DYN_ARGS=TRUE&amp;DOC_NAME=FAT:FQL_AUDITING_CLIENT_TEMPLATE.FAT&amp;display_string=Audit&amp;VAR:KEY=JQVIVAVUNW&amp;VAR:QUERY=RkZfU0hMRFJTX0VRKEFOTl9SLDQwNzg3LTRZLCwsUkYsKQ==&amp;WINDOW=FIRST_POPUP&amp;HEIGHT=450&amp;WIDTH=","450&amp;START_MAXIMIZED=FALSE&amp;VAR:CALENDAR=FIVEDAY&amp;VAR:SYMBOL=0&amp;VAR:INDEX=0"}</definedName>
    <definedName name="_4712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712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714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14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15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15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18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18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4723__FDSAUDITLINK__" localSheetId="34">{"fdsup://directions/FAT Viewer?action=UPDATE&amp;creator=factset&amp;DYN_ARGS=TRUE&amp;DOC_NAME=FAT:FQL_AUDITING_CLIENT_TEMPLATE.FAT&amp;display_string=Audit&amp;VAR:KEY=SDOJQXAXUL&amp;VAR:QUERY=RkZfUEUoQU5OLDQwNjQxLTRZLCwsUkYp&amp;WINDOW=FIRST_POPUP&amp;HEIGHT=450&amp;WIDTH=450&amp;START_MAXIMI","ZED=FALSE&amp;VAR:CALENDAR=FIVEDAY&amp;VAR:SYMBOL=054052&amp;VAR:INDEX=0"}</definedName>
    <definedName name="_4723__FDSAUDITLINK__" localSheetId="27">{"fdsup://directions/FAT Viewer?action=UPDATE&amp;creator=factset&amp;DYN_ARGS=TRUE&amp;DOC_NAME=FAT:FQL_AUDITING_CLIENT_TEMPLATE.FAT&amp;display_string=Audit&amp;VAR:KEY=SDOJQXAXUL&amp;VAR:QUERY=RkZfUEUoQU5OLDQwNjQxLTRZLCwsUkYp&amp;WINDOW=FIRST_POPUP&amp;HEIGHT=450&amp;WIDTH=450&amp;START_MAXIMI","ZED=FALSE&amp;VAR:CALENDAR=FIVEDAY&amp;VAR:SYMBOL=054052&amp;VAR:INDEX=0"}</definedName>
    <definedName name="_4724__FDSAUDITLINK__" localSheetId="34">{"fdsup://directions/FAT Viewer?action=UPDATE&amp;creator=factset&amp;DYN_ARGS=TRUE&amp;DOC_NAME=FAT:FQL_AUDITING_CLIENT_TEMPLATE.FAT&amp;display_string=Audit&amp;VAR:KEY=ENCPWFAVUJ&amp;VAR:QUERY=RkZfUEUoQU5OLDQwNjQxLTRZLCwsUkYp&amp;WINDOW=FIRST_POPUP&amp;HEIGHT=450&amp;WIDTH=450&amp;START_MAXIMI","ZED=FALSE&amp;VAR:CALENDAR=FIVEDAY&amp;VAR:SYMBOL=010486&amp;VAR:INDEX=0"}</definedName>
    <definedName name="_4724__FDSAUDITLINK__" localSheetId="27">{"fdsup://directions/FAT Viewer?action=UPDATE&amp;creator=factset&amp;DYN_ARGS=TRUE&amp;DOC_NAME=FAT:FQL_AUDITING_CLIENT_TEMPLATE.FAT&amp;display_string=Audit&amp;VAR:KEY=ENCPWFAVUJ&amp;VAR:QUERY=RkZfUEUoQU5OLDQwNjQxLTRZLCwsUkYp&amp;WINDOW=FIRST_POPUP&amp;HEIGHT=450&amp;WIDTH=450&amp;START_MAXIMI","ZED=FALSE&amp;VAR:CALENDAR=FIVEDAY&amp;VAR:SYMBOL=010486&amp;VAR:INDEX=0"}</definedName>
    <definedName name="_4730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730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741__FDSAUDITLINK__" localSheetId="34">{"fdsup://directions/FAT Viewer?action=UPDATE&amp;creator=factset&amp;DYN_ARGS=TRUE&amp;DOC_NAME=FAT:FQL_AUDITING_CLIENT_TEMPLATE.FAT&amp;display_string=Audit&amp;VAR:KEY=BQPIVAHUTS&amp;VAR:QUERY=RkZfUEUoQU5OLDQwNzg3LTFZLCwsUkYp&amp;WINDOW=FIRST_POPUP&amp;HEIGHT=450&amp;WIDTH=450&amp;START_MAXIMI","ZED=FALSE&amp;VAR:CALENDAR=FIVEDAY&amp;VAR:SYMBOL=312748&amp;VAR:INDEX=0"}</definedName>
    <definedName name="_4741__FDSAUDITLINK__" localSheetId="27">{"fdsup://directions/FAT Viewer?action=UPDATE&amp;creator=factset&amp;DYN_ARGS=TRUE&amp;DOC_NAME=FAT:FQL_AUDITING_CLIENT_TEMPLATE.FAT&amp;display_string=Audit&amp;VAR:KEY=BQPIVAHUTS&amp;VAR:QUERY=RkZfUEUoQU5OLDQwNzg3LTFZLCwsUkYp&amp;WINDOW=FIRST_POPUP&amp;HEIGHT=450&amp;WIDTH=450&amp;START_MAXIMI","ZED=FALSE&amp;VAR:CALENDAR=FIVEDAY&amp;VAR:SYMBOL=312748&amp;VAR:INDEX=0"}</definedName>
    <definedName name="_4774__FDSAUDITLINK__" localSheetId="34">{"fdsup://directions/FAT Viewer?action=UPDATE&amp;creator=factset&amp;DYN_ARGS=TRUE&amp;DOC_NAME=FAT:FQL_AUDITING_CLIENT_TEMPLATE.FAT&amp;display_string=Audit&amp;VAR:KEY=VGXONSPGVI&amp;VAR:QUERY=RkZfUEUoQU5OLDQwNzg3LTJZLCwsUkYp&amp;WINDOW=FIRST_POPUP&amp;HEIGHT=450&amp;WIDTH=450&amp;START_MAXIMI","ZED=FALSE&amp;VAR:CALENDAR=FIVEDAY&amp;VAR:SYMBOL=090674&amp;VAR:INDEX=0"}</definedName>
    <definedName name="_4774__FDSAUDITLINK__" localSheetId="27">{"fdsup://directions/FAT Viewer?action=UPDATE&amp;creator=factset&amp;DYN_ARGS=TRUE&amp;DOC_NAME=FAT:FQL_AUDITING_CLIENT_TEMPLATE.FAT&amp;display_string=Audit&amp;VAR:KEY=VGXONSPGVI&amp;VAR:QUERY=RkZfUEUoQU5OLDQwNzg3LTJZLCwsUkYp&amp;WINDOW=FIRST_POPUP&amp;HEIGHT=450&amp;WIDTH=450&amp;START_MAXIMI","ZED=FALSE&amp;VAR:CALENDAR=FIVEDAY&amp;VAR:SYMBOL=090674&amp;VAR:INDEX=0"}</definedName>
    <definedName name="_4805__FDSAUDITLINK__" localSheetId="34">{"fdsup://Directions/FactSet Auditing Viewer?action=AUDIT_VALUE&amp;DB=129&amp;ID1=690064&amp;VALUEID=02999&amp;SDATE=2008&amp;PERIODTYPE=ANNR_STD&amp;SCFT=3&amp;window=popup_no_bar&amp;width=385&amp;height=120&amp;START_MAXIMIZED=FALSE&amp;creator=factset&amp;display_string=Audit"}</definedName>
    <definedName name="_4805__FDSAUDITLINK__" localSheetId="27">{"fdsup://Directions/FactSet Auditing Viewer?action=AUDIT_VALUE&amp;DB=129&amp;ID1=690064&amp;VALUEID=02999&amp;SDATE=2008&amp;PERIODTYPE=ANNR_STD&amp;SCFT=3&amp;window=popup_no_bar&amp;width=385&amp;height=120&amp;START_MAXIMIZED=FALSE&amp;creator=factset&amp;display_string=Audit"}</definedName>
    <definedName name="_4811__FDSAUDITLINK__" localSheetId="34">{"fdsup://directions/FAT Viewer?action=UPDATE&amp;creator=factset&amp;DYN_ARGS=TRUE&amp;DOC_NAME=FAT:FQL_AUDITING_CLIENT_TEMPLATE.FAT&amp;display_string=Audit&amp;VAR:KEY=FINYZOHCBS&amp;VAR:QUERY=RkZfUEUoQU5OLDQwNzg3LTFZLCwsUkYp&amp;WINDOW=FIRST_POPUP&amp;HEIGHT=450&amp;WIDTH=450&amp;START_MAXIMI","ZED=FALSE&amp;VAR:CALENDAR=FIVEDAY&amp;VAR:SYMBOL=06050510&amp;VAR:INDEX=0"}</definedName>
    <definedName name="_4811__FDSAUDITLINK__" localSheetId="27">{"fdsup://directions/FAT Viewer?action=UPDATE&amp;creator=factset&amp;DYN_ARGS=TRUE&amp;DOC_NAME=FAT:FQL_AUDITING_CLIENT_TEMPLATE.FAT&amp;display_string=Audit&amp;VAR:KEY=FINYZOHCBS&amp;VAR:QUERY=RkZfUEUoQU5OLDQwNzg3LTFZLCwsUkYp&amp;WINDOW=FIRST_POPUP&amp;HEIGHT=450&amp;WIDTH=450&amp;START_MAXIMI","ZED=FALSE&amp;VAR:CALENDAR=FIVEDAY&amp;VAR:SYMBOL=06050510&amp;VAR:INDEX=0"}</definedName>
    <definedName name="_4812__FDSAUDITLINK__" localSheetId="34">{"fdsup://Directions/FactSet Auditing Viewer?action=AUDIT_VALUE&amp;DB=129&amp;ID1=B126KH&amp;VALUEID=04601&amp;SDATE=2009&amp;PERIODTYPE=ANNR_STD&amp;SCFT=3&amp;window=popup_no_bar&amp;width=385&amp;height=120&amp;START_MAXIMIZED=FALSE&amp;creator=factset&amp;display_string=Audit"}</definedName>
    <definedName name="_4812__FDSAUDITLINK__" localSheetId="27">{"fdsup://Directions/FactSet Auditing Viewer?action=AUDIT_VALUE&amp;DB=129&amp;ID1=B126KH&amp;VALUEID=04601&amp;SDATE=2009&amp;PERIODTYPE=ANNR_STD&amp;SCFT=3&amp;window=popup_no_bar&amp;width=385&amp;height=120&amp;START_MAXIMIZED=FALSE&amp;creator=factset&amp;display_string=Audit"}</definedName>
    <definedName name="_4814__FDSAUDITLINK__" localSheetId="34">{"fdsup://directions/FAT Viewer?action=UPDATE&amp;creator=factset&amp;DYN_ARGS=TRUE&amp;DOC_NAME=FAT:FQL_AUDITING_CLIENT_TEMPLATE.FAT&amp;display_string=Audit&amp;VAR:KEY=JWLOVWBMFE&amp;VAR:QUERY=RkZfUEUoQU5OLDQwNzg3LCwsUkYp&amp;WINDOW=FIRST_POPUP&amp;HEIGHT=450&amp;WIDTH=450&amp;START_MAXIMIZED=","FALSE&amp;VAR:CALENDAR=FIVEDAY&amp;VAR:SYMBOL=312748&amp;VAR:INDEX=0"}</definedName>
    <definedName name="_4814__FDSAUDITLINK__" localSheetId="27">{"fdsup://directions/FAT Viewer?action=UPDATE&amp;creator=factset&amp;DYN_ARGS=TRUE&amp;DOC_NAME=FAT:FQL_AUDITING_CLIENT_TEMPLATE.FAT&amp;display_string=Audit&amp;VAR:KEY=JWLOVWBMFE&amp;VAR:QUERY=RkZfUEUoQU5OLDQwNzg3LCwsUkYp&amp;WINDOW=FIRST_POPUP&amp;HEIGHT=450&amp;WIDTH=450&amp;START_MAXIMIZED=","FALSE&amp;VAR:CALENDAR=FIVEDAY&amp;VAR:SYMBOL=312748&amp;VAR:INDEX=0"}</definedName>
    <definedName name="_4818__FDSAUDITLINK__" localSheetId="34">{"fdsup://directions/FAT Viewer?action=UPDATE&amp;creator=factset&amp;DYN_ARGS=TRUE&amp;DOC_NAME=FAT:FQL_AUDITING_CLIENT_TEMPLATE.FAT&amp;display_string=Audit&amp;VAR:KEY=LADEBSTELS&amp;VAR:QUERY=RkZfUEUoQU5OLDQwNzg3LTJZLCwsUkYp&amp;WINDOW=FIRST_POPUP&amp;HEIGHT=450&amp;WIDTH=450&amp;START_MAXIMI","ZED=FALSE&amp;VAR:CALENDAR=FIVEDAY&amp;VAR:SYMBOL=B16GWD&amp;VAR:INDEX=0"}</definedName>
    <definedName name="_4818__FDSAUDITLINK__" localSheetId="27">{"fdsup://directions/FAT Viewer?action=UPDATE&amp;creator=factset&amp;DYN_ARGS=TRUE&amp;DOC_NAME=FAT:FQL_AUDITING_CLIENT_TEMPLATE.FAT&amp;display_string=Audit&amp;VAR:KEY=LADEBSTELS&amp;VAR:QUERY=RkZfUEUoQU5OLDQwNzg3LTJZLCwsUkYp&amp;WINDOW=FIRST_POPUP&amp;HEIGHT=450&amp;WIDTH=450&amp;START_MAXIMI","ZED=FALSE&amp;VAR:CALENDAR=FIVEDAY&amp;VAR:SYMBOL=B16GWD&amp;VAR:INDEX=0"}</definedName>
    <definedName name="_4819__FDSAUDITLINK__" localSheetId="34">{"fdsup://directions/FAT Viewer?action=UPDATE&amp;creator=factset&amp;DYN_ARGS=TRUE&amp;DOC_NAME=FAT:FQL_AUDITING_CLIENT_TEMPLATE.FAT&amp;display_string=Audit&amp;VAR:KEY=MXUFAZOXCB&amp;VAR:QUERY=RkZfUEUoQU5OLDQwNjQxLTRZLCwsUkYp&amp;WINDOW=FIRST_POPUP&amp;HEIGHT=450&amp;WIDTH=450&amp;START_MAXIMI","ZED=FALSE&amp;VAR:CALENDAR=FIVEDAY&amp;VAR:SYMBOL=690064&amp;VAR:INDEX=0"}</definedName>
    <definedName name="_4819__FDSAUDITLINK__" localSheetId="27">{"fdsup://directions/FAT Viewer?action=UPDATE&amp;creator=factset&amp;DYN_ARGS=TRUE&amp;DOC_NAME=FAT:FQL_AUDITING_CLIENT_TEMPLATE.FAT&amp;display_string=Audit&amp;VAR:KEY=MXUFAZOXCB&amp;VAR:QUERY=RkZfUEUoQU5OLDQwNjQxLTRZLCwsUkYp&amp;WINDOW=FIRST_POPUP&amp;HEIGHT=450&amp;WIDTH=450&amp;START_MAXIMI","ZED=FALSE&amp;VAR:CALENDAR=FIVEDAY&amp;VAR:SYMBOL=690064&amp;VAR:INDEX=0"}</definedName>
    <definedName name="_4823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823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4824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824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830__FDSAUDITLINK__" localSheetId="34">{"fdsup://directions/FAT Viewer?action=UPDATE&amp;creator=factset&amp;DYN_ARGS=TRUE&amp;DOC_NAME=FAT:FQL_AUDITING_CLIENT_TEMPLATE.FAT&amp;display_string=Audit&amp;VAR:KEY=PWTCFQDWFE&amp;VAR:QUERY=RkZfUEUoQU5OLDQwNzg3LTJZLCwsUkYp&amp;WINDOW=FIRST_POPUP&amp;HEIGHT=450&amp;WIDTH=450&amp;START_MAXIMI","ZED=FALSE&amp;VAR:CALENDAR=FIVEDAY&amp;VAR:SYMBOL=06050510&amp;VAR:INDEX=0"}</definedName>
    <definedName name="_4830__FDSAUDITLINK__" localSheetId="27">{"fdsup://directions/FAT Viewer?action=UPDATE&amp;creator=factset&amp;DYN_ARGS=TRUE&amp;DOC_NAME=FAT:FQL_AUDITING_CLIENT_TEMPLATE.FAT&amp;display_string=Audit&amp;VAR:KEY=PWTCFQDWFE&amp;VAR:QUERY=RkZfUEUoQU5OLDQwNzg3LTJZLCwsUkYp&amp;WINDOW=FIRST_POPUP&amp;HEIGHT=450&amp;WIDTH=450&amp;START_MAXIMI","ZED=FALSE&amp;VAR:CALENDAR=FIVEDAY&amp;VAR:SYMBOL=06050510&amp;VAR:INDEX=0"}</definedName>
    <definedName name="_483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83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833__FDSAUDITLINK__" localSheetId="34">{"fdsup://directions/FAT Viewer?action=UPDATE&amp;creator=factset&amp;DYN_ARGS=TRUE&amp;DOC_NAME=FAT:FQL_AUDITING_CLIENT_TEMPLATE.FAT&amp;display_string=Audit&amp;VAR:KEY=BKTQVCPKFO&amp;VAR:QUERY=RkZfUEUoQU5OLDQwNzg3LCwsUkYp&amp;WINDOW=FIRST_POPUP&amp;HEIGHT=450&amp;WIDTH=450&amp;START_MAXIMIZED=","FALSE&amp;VAR:CALENDAR=FIVEDAY&amp;VAR:SYMBOL=690064&amp;VAR:INDEX=0"}</definedName>
    <definedName name="_4833__FDSAUDITLINK__" localSheetId="27">{"fdsup://directions/FAT Viewer?action=UPDATE&amp;creator=factset&amp;DYN_ARGS=TRUE&amp;DOC_NAME=FAT:FQL_AUDITING_CLIENT_TEMPLATE.FAT&amp;display_string=Audit&amp;VAR:KEY=BKTQVCPKFO&amp;VAR:QUERY=RkZfUEUoQU5OLDQwNzg3LCwsUkYp&amp;WINDOW=FIRST_POPUP&amp;HEIGHT=450&amp;WIDTH=450&amp;START_MAXIMIZED=","FALSE&amp;VAR:CALENDAR=FIVEDAY&amp;VAR:SYMBOL=690064&amp;VAR:INDEX=0"}</definedName>
    <definedName name="_4834__FDSAUDITLINK__" localSheetId="34">{"fdsup://directions/FAT Viewer?action=UPDATE&amp;creator=factset&amp;DYN_ARGS=TRUE&amp;DOC_NAME=FAT:FQL_AUDITING_CLIENT_TEMPLATE.FAT&amp;display_string=Audit&amp;VAR:KEY=ZYNGTSZYTW&amp;VAR:QUERY=RkZfUEUoQU5OLDQwNzg3LTRZLCwsUkYp&amp;WINDOW=FIRST_POPUP&amp;HEIGHT=450&amp;WIDTH=450&amp;START_MAXIMI","ZED=FALSE&amp;VAR:CALENDAR=FIVEDAY&amp;VAR:SYMBOL=671402&amp;VAR:INDEX=0"}</definedName>
    <definedName name="_4834__FDSAUDITLINK__" localSheetId="27">{"fdsup://directions/FAT Viewer?action=UPDATE&amp;creator=factset&amp;DYN_ARGS=TRUE&amp;DOC_NAME=FAT:FQL_AUDITING_CLIENT_TEMPLATE.FAT&amp;display_string=Audit&amp;VAR:KEY=ZYNGTSZYTW&amp;VAR:QUERY=RkZfUEUoQU5OLDQwNzg3LTRZLCwsUkYp&amp;WINDOW=FIRST_POPUP&amp;HEIGHT=450&amp;WIDTH=450&amp;START_MAXIMI","ZED=FALSE&amp;VAR:CALENDAR=FIVEDAY&amp;VAR:SYMBOL=671402&amp;VAR:INDEX=0"}</definedName>
    <definedName name="_4840__FDSAUDITLINK__" localSheetId="34">{"fdsup://Directions/FactSet Auditing Viewer?action=AUDIT_VALUE&amp;DB=129&amp;ID1=054052&amp;VALUEID=01151&amp;SDATE=2009&amp;PERIODTYPE=ANNR_STD&amp;SCFT=3&amp;window=popup_no_bar&amp;width=385&amp;height=120&amp;START_MAXIMIZED=FALSE&amp;creator=factset&amp;display_string=Audit"}</definedName>
    <definedName name="_4840__FDSAUDITLINK__" localSheetId="27">{"fdsup://Directions/FactSet Auditing Viewer?action=AUDIT_VALUE&amp;DB=129&amp;ID1=054052&amp;VALUEID=01151&amp;SDATE=2009&amp;PERIODTYPE=ANNR_STD&amp;SCFT=3&amp;window=popup_no_bar&amp;width=385&amp;height=120&amp;START_MAXIMIZED=FALSE&amp;creator=factset&amp;display_string=Audit"}</definedName>
    <definedName name="_4841__FDSAUDITLINK__" localSheetId="34">{"fdsup://Directions/FactSet Auditing Viewer?action=AUDIT_VALUE&amp;DB=129&amp;ID1=054052&amp;VALUEID=01151&amp;SDATE=2006&amp;PERIODTYPE=ANNR_STD&amp;SCFT=3&amp;window=popup_no_bar&amp;width=385&amp;height=120&amp;START_MAXIMIZED=FALSE&amp;creator=factset&amp;display_string=Audit"}</definedName>
    <definedName name="_4841__FDSAUDITLINK__" localSheetId="27">{"fdsup://Directions/FactSet Auditing Viewer?action=AUDIT_VALUE&amp;DB=129&amp;ID1=054052&amp;VALUEID=01151&amp;SDATE=2006&amp;PERIODTYPE=ANNR_STD&amp;SCFT=3&amp;window=popup_no_bar&amp;width=385&amp;height=120&amp;START_MAXIMIZED=FALSE&amp;creator=factset&amp;display_string=Audit"}</definedName>
    <definedName name="_4842__FDSAUDITLINK__" localSheetId="34">{"fdsup://Directions/FactSet Auditing Viewer?action=AUDIT_VALUE&amp;DB=129&amp;ID1=671402&amp;VALUEID=01151&amp;SDATE=2007&amp;PERIODTYPE=ANNR_STD&amp;SCFT=3&amp;window=popup_no_bar&amp;width=385&amp;height=120&amp;START_MAXIMIZED=FALSE&amp;creator=factset&amp;display_string=Audit"}</definedName>
    <definedName name="_4842__FDSAUDITLINK__" localSheetId="27">{"fdsup://Directions/FactSet Auditing Viewer?action=AUDIT_VALUE&amp;DB=129&amp;ID1=671402&amp;VALUEID=01151&amp;SDATE=2007&amp;PERIODTYPE=ANNR_STD&amp;SCFT=3&amp;window=popup_no_bar&amp;width=385&amp;height=120&amp;START_MAXIMIZED=FALSE&amp;creator=factset&amp;display_string=Audit"}</definedName>
    <definedName name="_4843__FDSAUDITLINK__" localSheetId="34">{"fdsup://Directions/FactSet Auditing Viewer?action=AUDIT_VALUE&amp;DB=129&amp;ID1=06050510&amp;VALUEID=01151&amp;SDATE=2010&amp;PERIODTYPE=ANNR_STD&amp;SCFT=3&amp;window=popup_no_bar&amp;width=385&amp;height=120&amp;START_MAXIMIZED=FALSE&amp;creator=factset&amp;display_string=Audit"}</definedName>
    <definedName name="_4843__FDSAUDITLINK__" localSheetId="27">{"fdsup://Directions/FactSet Auditing Viewer?action=AUDIT_VALUE&amp;DB=129&amp;ID1=06050510&amp;VALUEID=01151&amp;SDATE=2010&amp;PERIODTYPE=ANNR_STD&amp;SCFT=3&amp;window=popup_no_bar&amp;width=385&amp;height=120&amp;START_MAXIMIZED=FALSE&amp;creator=factset&amp;display_string=Audit"}</definedName>
    <definedName name="_4844__FDSAUDITLINK__" localSheetId="34">{"fdsup://Directions/FactSet Auditing Viewer?action=AUDIT_VALUE&amp;DB=129&amp;ID1=671402&amp;VALUEID=01151&amp;SDATE=2006&amp;PERIODTYPE=ANNR_STD&amp;SCFT=3&amp;window=popup_no_bar&amp;width=385&amp;height=120&amp;START_MAXIMIZED=FALSE&amp;creator=factset&amp;display_string=Audit"}</definedName>
    <definedName name="_4844__FDSAUDITLINK__" localSheetId="27">{"fdsup://Directions/FactSet Auditing Viewer?action=AUDIT_VALUE&amp;DB=129&amp;ID1=671402&amp;VALUEID=01151&amp;SDATE=2006&amp;PERIODTYPE=ANNR_STD&amp;SCFT=3&amp;window=popup_no_bar&amp;width=385&amp;height=120&amp;START_MAXIMIZED=FALSE&amp;creator=factset&amp;display_string=Audit"}</definedName>
    <definedName name="_4845__FDSAUDITLINK__" localSheetId="34">{"fdsup://Directions/FactSet Auditing Viewer?action=AUDIT_VALUE&amp;DB=129&amp;ID1=06050510&amp;VALUEID=01151&amp;SDATE=2007&amp;PERIODTYPE=ANNR_STD&amp;SCFT=3&amp;window=popup_no_bar&amp;width=385&amp;height=120&amp;START_MAXIMIZED=FALSE&amp;creator=factset&amp;display_string=Audit"}</definedName>
    <definedName name="_4845__FDSAUDITLINK__" localSheetId="27">{"fdsup://Directions/FactSet Auditing Viewer?action=AUDIT_VALUE&amp;DB=129&amp;ID1=06050510&amp;VALUEID=01151&amp;SDATE=2007&amp;PERIODTYPE=ANNR_STD&amp;SCFT=3&amp;window=popup_no_bar&amp;width=385&amp;height=120&amp;START_MAXIMIZED=FALSE&amp;creator=factset&amp;display_string=Audit"}</definedName>
    <definedName name="_4847__FDSAUDITLINK__" localSheetId="34">{"fdsup://Directions/FactSet Auditing Viewer?action=AUDIT_VALUE&amp;DB=129&amp;ID1=054052&amp;VALUEID=01151&amp;SDATE=2010&amp;PERIODTYPE=ANNR_STD&amp;SCFT=3&amp;window=popup_no_bar&amp;width=385&amp;height=120&amp;START_MAXIMIZED=FALSE&amp;creator=factset&amp;display_string=Audit"}</definedName>
    <definedName name="_4847__FDSAUDITLINK__" localSheetId="27">{"fdsup://Directions/FactSet Auditing Viewer?action=AUDIT_VALUE&amp;DB=129&amp;ID1=054052&amp;VALUEID=01151&amp;SDATE=2010&amp;PERIODTYPE=ANNR_STD&amp;SCFT=3&amp;window=popup_no_bar&amp;width=385&amp;height=120&amp;START_MAXIMIZED=FALSE&amp;creator=factset&amp;display_string=Audit"}</definedName>
    <definedName name="_4848__FDSAUDITLINK__" localSheetId="34">{"fdsup://Directions/FactSet Auditing Viewer?action=AUDIT_VALUE&amp;DB=129&amp;ID1=06050510&amp;VALUEID=01151&amp;SDATE=2006&amp;PERIODTYPE=ANNR_STD&amp;SCFT=3&amp;window=popup_no_bar&amp;width=385&amp;height=120&amp;START_MAXIMIZED=FALSE&amp;creator=factset&amp;display_string=Audit"}</definedName>
    <definedName name="_4848__FDSAUDITLINK__" localSheetId="27">{"fdsup://Directions/FactSet Auditing Viewer?action=AUDIT_VALUE&amp;DB=129&amp;ID1=06050510&amp;VALUEID=01151&amp;SDATE=2006&amp;PERIODTYPE=ANNR_STD&amp;SCFT=3&amp;window=popup_no_bar&amp;width=385&amp;height=120&amp;START_MAXIMIZED=FALSE&amp;creator=factset&amp;display_string=Audit"}</definedName>
    <definedName name="_4849__FDSAUDITLINK__" localSheetId="34">{"fdsup://Directions/FactSet Auditing Viewer?action=AUDIT_VALUE&amp;DB=129&amp;ID1=054052&amp;VALUEID=01151&amp;SDATE=2007&amp;PERIODTYPE=ANNR_STD&amp;SCFT=3&amp;window=popup_no_bar&amp;width=385&amp;height=120&amp;START_MAXIMIZED=FALSE&amp;creator=factset&amp;display_string=Audit"}</definedName>
    <definedName name="_4849__FDSAUDITLINK__" localSheetId="27">{"fdsup://Directions/FactSet Auditing Viewer?action=AUDIT_VALUE&amp;DB=129&amp;ID1=054052&amp;VALUEID=01151&amp;SDATE=2007&amp;PERIODTYPE=ANNR_STD&amp;SCFT=3&amp;window=popup_no_bar&amp;width=385&amp;height=120&amp;START_MAXIMIZED=FALSE&amp;creator=factset&amp;display_string=Audit"}</definedName>
    <definedName name="_4855__FDSAUDITLINK__" localSheetId="34">{"fdsup://directions/FAT Viewer?action=UPDATE&amp;creator=factset&amp;DYN_ARGS=TRUE&amp;DOC_NAME=FAT:FQL_AUDITING_CLIENT_TEMPLATE.FAT&amp;display_string=Audit&amp;VAR:KEY=GRMPKVCPCX&amp;VAR:QUERY=RkZfUEUoQU5OLDQwNjQxLTNZLCwsUkYp&amp;WINDOW=FIRST_POPUP&amp;HEIGHT=450&amp;WIDTH=450&amp;START_MAXIMI","ZED=FALSE&amp;VAR:CALENDAR=FIVEDAY&amp;VAR:SYMBOL=690064&amp;VAR:INDEX=0"}</definedName>
    <definedName name="_4855__FDSAUDITLINK__" localSheetId="27">{"fdsup://directions/FAT Viewer?action=UPDATE&amp;creator=factset&amp;DYN_ARGS=TRUE&amp;DOC_NAME=FAT:FQL_AUDITING_CLIENT_TEMPLATE.FAT&amp;display_string=Audit&amp;VAR:KEY=GRMPKVCPCX&amp;VAR:QUERY=RkZfUEUoQU5OLDQwNjQxLTNZLCwsUkYp&amp;WINDOW=FIRST_POPUP&amp;HEIGHT=450&amp;WIDTH=450&amp;START_MAXIMI","ZED=FALSE&amp;VAR:CALENDAR=FIVEDAY&amp;VAR:SYMBOL=690064&amp;VAR:INDEX=0"}</definedName>
    <definedName name="_4858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858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4865__FDSAUDITLINK__" localSheetId="34">{"fdsup://directions/FAT Viewer?action=UPDATE&amp;creator=factset&amp;DYN_ARGS=TRUE&amp;DOC_NAME=FAT:FQL_AUDITING_CLIENT_TEMPLATE.FAT&amp;display_string=Audit&amp;VAR:KEY=SJYPQZKHMB&amp;VAR:QUERY=RkZfUEUoQU5OLDQwNjQxLTRZLCwsUkYp&amp;WINDOW=FIRST_POPUP&amp;HEIGHT=450&amp;WIDTH=450&amp;START_MAXIMI","ZED=FALSE&amp;VAR:CALENDAR=FIVEDAY&amp;VAR:SYMBOL=016419&amp;VAR:INDEX=0"}</definedName>
    <definedName name="_4865__FDSAUDITLINK__" localSheetId="27">{"fdsup://directions/FAT Viewer?action=UPDATE&amp;creator=factset&amp;DYN_ARGS=TRUE&amp;DOC_NAME=FAT:FQL_AUDITING_CLIENT_TEMPLATE.FAT&amp;display_string=Audit&amp;VAR:KEY=SJYPQZKHMB&amp;VAR:QUERY=RkZfUEUoQU5OLDQwNjQxLTRZLCwsUkYp&amp;WINDOW=FIRST_POPUP&amp;HEIGHT=450&amp;WIDTH=450&amp;START_MAXIMI","ZED=FALSE&amp;VAR:CALENDAR=FIVEDAY&amp;VAR:SYMBOL=016419&amp;VAR:INDEX=0"}</definedName>
    <definedName name="_4868__FDSAUDITLINK__" localSheetId="34">{"fdsup://directions/FAT Viewer?action=UPDATE&amp;creator=factset&amp;DYN_ARGS=TRUE&amp;DOC_NAME=FAT:FQL_AUDITING_CLIENT_TEMPLATE.FAT&amp;display_string=Audit&amp;VAR:KEY=EZSTSTKBUH&amp;VAR:QUERY=RkZfUEUoQU5OLDQwNjQxLTJZLCwsUkYp&amp;WINDOW=FIRST_POPUP&amp;HEIGHT=450&amp;WIDTH=450&amp;START_MAXIMI","ZED=FALSE&amp;VAR:CALENDAR=FIVEDAY&amp;VAR:SYMBOL=690064&amp;VAR:INDEX=0"}</definedName>
    <definedName name="_4868__FDSAUDITLINK__" localSheetId="27">{"fdsup://directions/FAT Viewer?action=UPDATE&amp;creator=factset&amp;DYN_ARGS=TRUE&amp;DOC_NAME=FAT:FQL_AUDITING_CLIENT_TEMPLATE.FAT&amp;display_string=Audit&amp;VAR:KEY=EZSTSTKBUH&amp;VAR:QUERY=RkZfUEUoQU5OLDQwNjQxLTJZLCwsUkYp&amp;WINDOW=FIRST_POPUP&amp;HEIGHT=450&amp;WIDTH=450&amp;START_MAXIMI","ZED=FALSE&amp;VAR:CALENDAR=FIVEDAY&amp;VAR:SYMBOL=690064&amp;VAR:INDEX=0"}</definedName>
    <definedName name="_487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87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4878__FDSAUDITLINK__" localSheetId="34">{"fdsup://directions/FAT Viewer?action=UPDATE&amp;creator=factset&amp;DYN_ARGS=TRUE&amp;DOC_NAME=FAT:FQL_AUDITING_CLIENT_TEMPLATE.FAT&amp;display_string=Audit&amp;VAR:KEY=YTCHUZOBMJ&amp;VAR:QUERY=RkZfUEUoQU5OLDQwNjQxLTRZLCwsUkYp&amp;WINDOW=FIRST_POPUP&amp;HEIGHT=450&amp;WIDTH=450&amp;START_MAXIMI","ZED=FALSE&amp;VAR:CALENDAR=FIVEDAY&amp;VAR:SYMBOL=090674&amp;VAR:INDEX=0"}</definedName>
    <definedName name="_4878__FDSAUDITLINK__" localSheetId="27">{"fdsup://directions/FAT Viewer?action=UPDATE&amp;creator=factset&amp;DYN_ARGS=TRUE&amp;DOC_NAME=FAT:FQL_AUDITING_CLIENT_TEMPLATE.FAT&amp;display_string=Audit&amp;VAR:KEY=YTCHUZOBMJ&amp;VAR:QUERY=RkZfUEUoQU5OLDQwNjQxLTRZLCwsUkYp&amp;WINDOW=FIRST_POPUP&amp;HEIGHT=450&amp;WIDTH=450&amp;START_MAXIMI","ZED=FALSE&amp;VAR:CALENDAR=FIVEDAY&amp;VAR:SYMBOL=090674&amp;VAR:INDEX=0"}</definedName>
    <definedName name="_4894__FDSAUDITLINK__" localSheetId="34">{"fdsup://Directions/FactSet Auditing Viewer?action=AUDIT_VALUE&amp;DB=129&amp;ID1=690064&amp;VALUEID=02999&amp;SDATE=2007&amp;PERIODTYPE=ANNR_STD&amp;SCFT=3&amp;window=popup_no_bar&amp;width=385&amp;height=120&amp;START_MAXIMIZED=FALSE&amp;creator=factset&amp;display_string=Audit"}</definedName>
    <definedName name="_4894__FDSAUDITLINK__" localSheetId="27">{"fdsup://Directions/FactSet Auditing Viewer?action=AUDIT_VALUE&amp;DB=129&amp;ID1=690064&amp;VALUEID=02999&amp;SDATE=2007&amp;PERIODTYPE=ANNR_STD&amp;SCFT=3&amp;window=popup_no_bar&amp;width=385&amp;height=120&amp;START_MAXIMIZED=FALSE&amp;creator=factset&amp;display_string=Audit"}</definedName>
    <definedName name="_4897__FDSAUDITLINK__" localSheetId="34">{"fdsup://directions/FAT Viewer?action=UPDATE&amp;creator=factset&amp;DYN_ARGS=TRUE&amp;DOC_NAME=FAT:FQL_AUDITING_CLIENT_TEMPLATE.FAT&amp;display_string=Audit&amp;VAR:KEY=FSXEFAPOZM&amp;VAR:QUERY=RkZfUEUoQU5OLDQwNzg3LCwsUkYp&amp;WINDOW=FIRST_POPUP&amp;HEIGHT=450&amp;WIDTH=450&amp;START_MAXIMIZED=","FALSE&amp;VAR:CALENDAR=FIVEDAY&amp;VAR:SYMBOL=090674&amp;VAR:INDEX=0"}</definedName>
    <definedName name="_4897__FDSAUDITLINK__" localSheetId="27">{"fdsup://directions/FAT Viewer?action=UPDATE&amp;creator=factset&amp;DYN_ARGS=TRUE&amp;DOC_NAME=FAT:FQL_AUDITING_CLIENT_TEMPLATE.FAT&amp;display_string=Audit&amp;VAR:KEY=FSXEFAPOZM&amp;VAR:QUERY=RkZfUEUoQU5OLDQwNzg3LCwsUkYp&amp;WINDOW=FIRST_POPUP&amp;HEIGHT=450&amp;WIDTH=450&amp;START_MAXIMIZED=","FALSE&amp;VAR:CALENDAR=FIVEDAY&amp;VAR:SYMBOL=090674&amp;VAR:INDEX=0"}</definedName>
    <definedName name="_4922__FDSAUDITLINK__" localSheetId="34">{"fdsup://directions/FAT Viewer?action=UPDATE&amp;creator=factset&amp;DYN_ARGS=TRUE&amp;DOC_NAME=FAT:FQL_AUDITING_CLIENT_TEMPLATE.FAT&amp;display_string=Audit&amp;VAR:KEY=NUBSBYTIXG&amp;VAR:QUERY=RkZfUEUoQU5OLDQwNzg3LTJZLCwsUkYp&amp;WINDOW=FIRST_POPUP&amp;HEIGHT=450&amp;WIDTH=450&amp;START_MAXIMI","ZED=FALSE&amp;VAR:CALENDAR=FIVEDAY&amp;VAR:SYMBOL=690064&amp;VAR:INDEX=0"}</definedName>
    <definedName name="_4922__FDSAUDITLINK__" localSheetId="27">{"fdsup://directions/FAT Viewer?action=UPDATE&amp;creator=factset&amp;DYN_ARGS=TRUE&amp;DOC_NAME=FAT:FQL_AUDITING_CLIENT_TEMPLATE.FAT&amp;display_string=Audit&amp;VAR:KEY=NUBSBYTIXG&amp;VAR:QUERY=RkZfUEUoQU5OLDQwNzg3LTJZLCwsUkYp&amp;WINDOW=FIRST_POPUP&amp;HEIGHT=450&amp;WIDTH=450&amp;START_MAXIMI","ZED=FALSE&amp;VAR:CALENDAR=FIVEDAY&amp;VAR:SYMBOL=690064&amp;VAR:INDEX=0"}</definedName>
    <definedName name="_4933__FDSAUDITLINK__" localSheetId="34">{"fdsup://directions/FAT Viewer?action=UPDATE&amp;creator=factset&amp;DYN_ARGS=TRUE&amp;DOC_NAME=FAT:FQL_AUDITING_CLIENT_TEMPLATE.FAT&amp;display_string=Audit&amp;VAR:KEY=JALMTAJKFU&amp;VAR:QUERY=RkZfUEUoQU5OLDQwNzg3LTRZLCwsUkYp&amp;WINDOW=FIRST_POPUP&amp;HEIGHT=450&amp;WIDTH=450&amp;START_MAXIMI","ZED=FALSE&amp;VAR:CALENDAR=FIVEDAY&amp;VAR:SYMBOL=076680&amp;VAR:INDEX=0"}</definedName>
    <definedName name="_4933__FDSAUDITLINK__" localSheetId="27">{"fdsup://directions/FAT Viewer?action=UPDATE&amp;creator=factset&amp;DYN_ARGS=TRUE&amp;DOC_NAME=FAT:FQL_AUDITING_CLIENT_TEMPLATE.FAT&amp;display_string=Audit&amp;VAR:KEY=JALMTAJKFU&amp;VAR:QUERY=RkZfUEUoQU5OLDQwNzg3LTRZLCwsUkYp&amp;WINDOW=FIRST_POPUP&amp;HEIGHT=450&amp;WIDTH=450&amp;START_MAXIMI","ZED=FALSE&amp;VAR:CALENDAR=FIVEDAY&amp;VAR:SYMBOL=076680&amp;VAR:INDEX=0"}</definedName>
    <definedName name="_4972__FDSAUDITLINK__" localSheetId="34">{"fdsup://directions/FAT Viewer?action=UPDATE&amp;creator=factset&amp;DYN_ARGS=TRUE&amp;DOC_NAME=FAT:FQL_AUDITING_CLIENT_TEMPLATE.FAT&amp;display_string=Audit&amp;VAR:KEY=LKFKXKLIXU&amp;VAR:QUERY=RkZfUEUoQU5OLDQwNzg3LTJZLCwsUkYp&amp;WINDOW=FIRST_POPUP&amp;HEIGHT=450&amp;WIDTH=450&amp;START_MAXIMI","ZED=FALSE&amp;VAR:CALENDAR=FIVEDAY&amp;VAR:SYMBOL=016419&amp;VAR:INDEX=0"}</definedName>
    <definedName name="_4972__FDSAUDITLINK__" localSheetId="27">{"fdsup://directions/FAT Viewer?action=UPDATE&amp;creator=factset&amp;DYN_ARGS=TRUE&amp;DOC_NAME=FAT:FQL_AUDITING_CLIENT_TEMPLATE.FAT&amp;display_string=Audit&amp;VAR:KEY=LKFKXKLIXU&amp;VAR:QUERY=RkZfUEUoQU5OLDQwNzg3LTJZLCwsUkYp&amp;WINDOW=FIRST_POPUP&amp;HEIGHT=450&amp;WIDTH=450&amp;START_MAXIMI","ZED=FALSE&amp;VAR:CALENDAR=FIVEDAY&amp;VAR:SYMBOL=016419&amp;VAR:INDEX=0"}</definedName>
    <definedName name="_4976__FDSAUDITLINK__" localSheetId="34">{"fdsup://directions/FAT Viewer?action=UPDATE&amp;creator=factset&amp;DYN_ARGS=TRUE&amp;DOC_NAME=FAT:FQL_AUDITING_CLIENT_TEMPLATE.FAT&amp;display_string=Audit&amp;VAR:KEY=ZANMTYVYPY&amp;VAR:QUERY=RkZfUEUoQU5OLDQwNzg3LTFZLCwsUkYp&amp;WINDOW=FIRST_POPUP&amp;HEIGHT=450&amp;WIDTH=450&amp;START_MAXIMI","ZED=FALSE&amp;VAR:CALENDAR=FIVEDAY&amp;VAR:SYMBOL=B126KH&amp;VAR:INDEX=0"}</definedName>
    <definedName name="_4976__FDSAUDITLINK__" localSheetId="27">{"fdsup://directions/FAT Viewer?action=UPDATE&amp;creator=factset&amp;DYN_ARGS=TRUE&amp;DOC_NAME=FAT:FQL_AUDITING_CLIENT_TEMPLATE.FAT&amp;display_string=Audit&amp;VAR:KEY=ZANMTYVYPY&amp;VAR:QUERY=RkZfUEUoQU5OLDQwNzg3LTFZLCwsUkYp&amp;WINDOW=FIRST_POPUP&amp;HEIGHT=450&amp;WIDTH=450&amp;START_MAXIMI","ZED=FALSE&amp;VAR:CALENDAR=FIVEDAY&amp;VAR:SYMBOL=B126KH&amp;VAR:INDEX=0"}</definedName>
    <definedName name="_5020__FDSAUDITLINK__" localSheetId="34">{"fdsup://directions/FAT Viewer?action=UPDATE&amp;creator=factset&amp;DYN_ARGS=TRUE&amp;DOC_NAME=FAT:FQL_AUDITING_CLIENT_TEMPLATE.FAT&amp;display_string=Audit&amp;VAR:KEY=EDQBELEZGH&amp;VAR:QUERY=RkZfUEUoQU5OLDQwNjQxLTRZLCwsUkYp&amp;WINDOW=FIRST_POPUP&amp;HEIGHT=450&amp;WIDTH=450&amp;START_MAXIMI","ZED=FALSE&amp;VAR:CALENDAR=FIVEDAY&amp;VAR:SYMBOL=06050510&amp;VAR:INDEX=0"}</definedName>
    <definedName name="_5020__FDSAUDITLINK__" localSheetId="27">{"fdsup://directions/FAT Viewer?action=UPDATE&amp;creator=factset&amp;DYN_ARGS=TRUE&amp;DOC_NAME=FAT:FQL_AUDITING_CLIENT_TEMPLATE.FAT&amp;display_string=Audit&amp;VAR:KEY=EDQBELEZGH&amp;VAR:QUERY=RkZfUEUoQU5OLDQwNjQxLTRZLCwsUkYp&amp;WINDOW=FIRST_POPUP&amp;HEIGHT=450&amp;WIDTH=450&amp;START_MAXIMI","ZED=FALSE&amp;VAR:CALENDAR=FIVEDAY&amp;VAR:SYMBOL=06050510&amp;VAR:INDEX=0"}</definedName>
    <definedName name="_5021__FDSAUDITLINK__" localSheetId="34">{"fdsup://directions/FAT Viewer?action=UPDATE&amp;creator=factset&amp;DYN_ARGS=TRUE&amp;DOC_NAME=FAT:FQL_AUDITING_CLIENT_TEMPLATE.FAT&amp;display_string=Audit&amp;VAR:KEY=HUZMVGHENY&amp;VAR:QUERY=RkZfUEUoQU5OLDQwNzg3LTNZLCwsUkYp&amp;WINDOW=FIRST_POPUP&amp;HEIGHT=450&amp;WIDTH=450&amp;START_MAXIMI","ZED=FALSE&amp;VAR:CALENDAR=FIVEDAY&amp;VAR:SYMBOL=076680&amp;VAR:INDEX=0"}</definedName>
    <definedName name="_5021__FDSAUDITLINK__" localSheetId="27">{"fdsup://directions/FAT Viewer?action=UPDATE&amp;creator=factset&amp;DYN_ARGS=TRUE&amp;DOC_NAME=FAT:FQL_AUDITING_CLIENT_TEMPLATE.FAT&amp;display_string=Audit&amp;VAR:KEY=HUZMVGHENY&amp;VAR:QUERY=RkZfUEUoQU5OLDQwNzg3LTNZLCwsUkYp&amp;WINDOW=FIRST_POPUP&amp;HEIGHT=450&amp;WIDTH=450&amp;START_MAXIMI","ZED=FALSE&amp;VAR:CALENDAR=FIVEDAY&amp;VAR:SYMBOL=076680&amp;VAR:INDEX=0"}</definedName>
    <definedName name="_5023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023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025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025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027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27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3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503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5037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037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04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504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5041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41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42__FDSAUDITLINK__" localSheetId="34">{"fdsup://directions/FAT Viewer?action=UPDATE&amp;creator=factset&amp;DYN_ARGS=TRUE&amp;DOC_NAME=FAT:FQL_AUDITING_CLIENT_TEMPLATE.FAT&amp;display_string=Audit&amp;VAR:KEY=VGPQLMDETG&amp;VAR:QUERY=RkZfUEUoQU5OLDQwNzg3LTFZLCwsUkYp&amp;WINDOW=FIRST_POPUP&amp;HEIGHT=450&amp;WIDTH=450&amp;START_MAXIMI","ZED=FALSE&amp;VAR:CALENDAR=FIVEDAY&amp;VAR:SYMBOL=B16GWD&amp;VAR:INDEX=0"}</definedName>
    <definedName name="_5042__FDSAUDITLINK__" localSheetId="27">{"fdsup://directions/FAT Viewer?action=UPDATE&amp;creator=factset&amp;DYN_ARGS=TRUE&amp;DOC_NAME=FAT:FQL_AUDITING_CLIENT_TEMPLATE.FAT&amp;display_string=Audit&amp;VAR:KEY=VGPQLMDETG&amp;VAR:QUERY=RkZfUEUoQU5OLDQwNzg3LTFZLCwsUkYp&amp;WINDOW=FIRST_POPUP&amp;HEIGHT=450&amp;WIDTH=450&amp;START_MAXIMI","ZED=FALSE&amp;VAR:CALENDAR=FIVEDAY&amp;VAR:SYMBOL=B16GWD&amp;VAR:INDEX=0"}</definedName>
    <definedName name="_5043__FDSAUDITLINK__" localSheetId="34">{"fdsup://directions/FAT Viewer?action=UPDATE&amp;creator=factset&amp;DYN_ARGS=TRUE&amp;DOC_NAME=FAT:FQL_AUDITING_CLIENT_TEMPLATE.FAT&amp;display_string=Audit&amp;VAR:KEY=YTSLMPKVIN&amp;VAR:QUERY=RkZfUEUoQU5OLDQwNjQxLTRZLCwsUkYp&amp;WINDOW=FIRST_POPUP&amp;HEIGHT=450&amp;WIDTH=450&amp;START_MAXIMI","ZED=FALSE&amp;VAR:CALENDAR=FIVEDAY&amp;VAR:SYMBOL=B16GWD&amp;VAR:INDEX=0"}</definedName>
    <definedName name="_5043__FDSAUDITLINK__" localSheetId="27">{"fdsup://directions/FAT Viewer?action=UPDATE&amp;creator=factset&amp;DYN_ARGS=TRUE&amp;DOC_NAME=FAT:FQL_AUDITING_CLIENT_TEMPLATE.FAT&amp;display_string=Audit&amp;VAR:KEY=YTSLMPKVIN&amp;VAR:QUERY=RkZfUEUoQU5OLDQwNjQxLTRZLCwsUkYp&amp;WINDOW=FIRST_POPUP&amp;HEIGHT=450&amp;WIDTH=450&amp;START_MAXIMI","ZED=FALSE&amp;VAR:CALENDAR=FIVEDAY&amp;VAR:SYMBOL=B16GWD&amp;VAR:INDEX=0"}</definedName>
    <definedName name="_5044__FDSAUDITLINK__" localSheetId="34">{"fdsup://directions/FAT Viewer?action=UPDATE&amp;creator=factset&amp;DYN_ARGS=TRUE&amp;DOC_NAME=FAT:FQL_AUDITING_CLIENT_TEMPLATE.FAT&amp;display_string=Audit&amp;VAR:KEY=LKVKTITKPK&amp;VAR:QUERY=RkZfUEUoQU5OLDQwNzg3LTNZLCwsUkYp&amp;WINDOW=FIRST_POPUP&amp;HEIGHT=450&amp;WIDTH=450&amp;START_MAXIMI","ZED=FALSE&amp;VAR:CALENDAR=FIVEDAY&amp;VAR:SYMBOL=016419&amp;VAR:INDEX=0"}</definedName>
    <definedName name="_5044__FDSAUDITLINK__" localSheetId="27">{"fdsup://directions/FAT Viewer?action=UPDATE&amp;creator=factset&amp;DYN_ARGS=TRUE&amp;DOC_NAME=FAT:FQL_AUDITING_CLIENT_TEMPLATE.FAT&amp;display_string=Audit&amp;VAR:KEY=LKVKTITKPK&amp;VAR:QUERY=RkZfUEUoQU5OLDQwNzg3LTNZLCwsUkYp&amp;WINDOW=FIRST_POPUP&amp;HEIGHT=450&amp;WIDTH=450&amp;START_MAXIMI","ZED=FALSE&amp;VAR:CALENDAR=FIVEDAY&amp;VAR:SYMBOL=016419&amp;VAR:INDEX=0"}</definedName>
    <definedName name="_5045__FDSAUDITLINK__" localSheetId="34">{"fdsup://directions/FAT Viewer?action=UPDATE&amp;creator=factset&amp;DYN_ARGS=TRUE&amp;DOC_NAME=FAT:FQL_AUDITING_CLIENT_TEMPLATE.FAT&amp;display_string=Audit&amp;VAR:KEY=VYJIFWDQRO&amp;VAR:QUERY=RkZfUEUoQU5OLDQwNzg3LTRZLCwsUkYp&amp;WINDOW=FIRST_POPUP&amp;HEIGHT=450&amp;WIDTH=450&amp;START_MAXIMI","ZED=FALSE&amp;VAR:CALENDAR=FIVEDAY&amp;VAR:SYMBOL=309272&amp;VAR:INDEX=0"}</definedName>
    <definedName name="_5045__FDSAUDITLINK__" localSheetId="27">{"fdsup://directions/FAT Viewer?action=UPDATE&amp;creator=factset&amp;DYN_ARGS=TRUE&amp;DOC_NAME=FAT:FQL_AUDITING_CLIENT_TEMPLATE.FAT&amp;display_string=Audit&amp;VAR:KEY=VYJIFWDQRO&amp;VAR:QUERY=RkZfUEUoQU5OLDQwNzg3LTRZLCwsUkYp&amp;WINDOW=FIRST_POPUP&amp;HEIGHT=450&amp;WIDTH=450&amp;START_MAXIMI","ZED=FALSE&amp;VAR:CALENDAR=FIVEDAY&amp;VAR:SYMBOL=309272&amp;VAR:INDEX=0"}</definedName>
    <definedName name="_5049__FDSAUDITLINK__" localSheetId="34">{"fdsup://directions/FAT Viewer?action=UPDATE&amp;creator=factset&amp;DYN_ARGS=TRUE&amp;DOC_NAME=FAT:FQL_AUDITING_CLIENT_TEMPLATE.FAT&amp;display_string=Audit&amp;VAR:KEY=BWHQJWLULK&amp;VAR:QUERY=RkZfUEUoQU5OLDQwNzg3LTNZLCwsUkYp&amp;WINDOW=FIRST_POPUP&amp;HEIGHT=450&amp;WIDTH=450&amp;START_MAXIMI","ZED=FALSE&amp;VAR:CALENDAR=FIVEDAY&amp;VAR:SYMBOL=06050510&amp;VAR:INDEX=0"}</definedName>
    <definedName name="_5049__FDSAUDITLINK__" localSheetId="27">{"fdsup://directions/FAT Viewer?action=UPDATE&amp;creator=factset&amp;DYN_ARGS=TRUE&amp;DOC_NAME=FAT:FQL_AUDITING_CLIENT_TEMPLATE.FAT&amp;display_string=Audit&amp;VAR:KEY=BWHQJWLULK&amp;VAR:QUERY=RkZfUEUoQU5OLDQwNzg3LTNZLCwsUkYp&amp;WINDOW=FIRST_POPUP&amp;HEIGHT=450&amp;WIDTH=450&amp;START_MAXIMI","ZED=FALSE&amp;VAR:CALENDAR=FIVEDAY&amp;VAR:SYMBOL=06050510&amp;VAR:INDEX=0"}</definedName>
    <definedName name="_5055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55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56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56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58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058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062__FDSAUDITLINK__" localSheetId="34">{"fdsup://directions/FAT Viewer?action=UPDATE&amp;creator=factset&amp;DYN_ARGS=TRUE&amp;DOC_NAME=FAT:FQL_AUDITING_CLIENT_TEMPLATE.FAT&amp;display_string=Audit&amp;VAR:KEY=JSZMPQHCPC&amp;VAR:QUERY=RkZfUEUoQU5OLDQwNzg3LTRZLCwsUkYp&amp;WINDOW=FIRST_POPUP&amp;HEIGHT=450&amp;WIDTH=450&amp;START_MAXIMI","ZED=FALSE&amp;VAR:CALENDAR=FIVEDAY&amp;VAR:SYMBOL=06050510&amp;VAR:INDEX=0"}</definedName>
    <definedName name="_5062__FDSAUDITLINK__" localSheetId="27">{"fdsup://directions/FAT Viewer?action=UPDATE&amp;creator=factset&amp;DYN_ARGS=TRUE&amp;DOC_NAME=FAT:FQL_AUDITING_CLIENT_TEMPLATE.FAT&amp;display_string=Audit&amp;VAR:KEY=JSZMPQHCPC&amp;VAR:QUERY=RkZfUEUoQU5OLDQwNzg3LTRZLCwsUkYp&amp;WINDOW=FIRST_POPUP&amp;HEIGHT=450&amp;WIDTH=450&amp;START_MAXIMI","ZED=FALSE&amp;VAR:CALENDAR=FIVEDAY&amp;VAR:SYMBOL=06050510&amp;VAR:INDEX=0"}</definedName>
    <definedName name="_5066__FDSAUDITLINK__" localSheetId="34">{"fdsup://directions/FAT Viewer?action=UPDATE&amp;creator=factset&amp;DYN_ARGS=TRUE&amp;DOC_NAME=FAT:FQL_AUDITING_CLIENT_TEMPLATE.FAT&amp;display_string=Audit&amp;VAR:KEY=TSJYXSNMFA&amp;VAR:QUERY=RkZfUEUoQU5OLDQwNzg3LTFZLCwsUkYp&amp;WINDOW=FIRST_POPUP&amp;HEIGHT=450&amp;WIDTH=450&amp;START_MAXIMI","ZED=FALSE&amp;VAR:CALENDAR=FIVEDAY&amp;VAR:SYMBOL=309272&amp;VAR:INDEX=0"}</definedName>
    <definedName name="_5066__FDSAUDITLINK__" localSheetId="27">{"fdsup://directions/FAT Viewer?action=UPDATE&amp;creator=factset&amp;DYN_ARGS=TRUE&amp;DOC_NAME=FAT:FQL_AUDITING_CLIENT_TEMPLATE.FAT&amp;display_string=Audit&amp;VAR:KEY=TSJYXSNMFA&amp;VAR:QUERY=RkZfUEUoQU5OLDQwNzg3LTFZLCwsUkYp&amp;WINDOW=FIRST_POPUP&amp;HEIGHT=450&amp;WIDTH=450&amp;START_MAXIMI","ZED=FALSE&amp;VAR:CALENDAR=FIVEDAY&amp;VAR:SYMBOL=309272&amp;VAR:INDEX=0"}</definedName>
    <definedName name="_5081__FDSAUDITLINK__" localSheetId="34">{"fdsup://directions/FAT Viewer?action=UPDATE&amp;creator=factset&amp;DYN_ARGS=TRUE&amp;DOC_NAME=FAT:FQL_AUDITING_CLIENT_TEMPLATE.FAT&amp;display_string=Audit&amp;VAR:KEY=EZABGTADKT&amp;VAR:QUERY=RkZfUEUoQU5OLDQwNjQxLTRZLCwsUkYp&amp;WINDOW=FIRST_POPUP&amp;HEIGHT=450&amp;WIDTH=450&amp;START_MAXIMI","ZED=FALSE&amp;VAR:CALENDAR=FIVEDAY&amp;VAR:SYMBOL=309272&amp;VAR:INDEX=0"}</definedName>
    <definedName name="_5081__FDSAUDITLINK__" localSheetId="27">{"fdsup://directions/FAT Viewer?action=UPDATE&amp;creator=factset&amp;DYN_ARGS=TRUE&amp;DOC_NAME=FAT:FQL_AUDITING_CLIENT_TEMPLATE.FAT&amp;display_string=Audit&amp;VAR:KEY=EZABGTADKT&amp;VAR:QUERY=RkZfUEUoQU5OLDQwNjQxLTRZLCwsUkYp&amp;WINDOW=FIRST_POPUP&amp;HEIGHT=450&amp;WIDTH=450&amp;START_MAXIMI","ZED=FALSE&amp;VAR:CALENDAR=FIVEDAY&amp;VAR:SYMBOL=309272&amp;VAR:INDEX=0"}</definedName>
    <definedName name="_5087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87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091__FDSAUDITLINK__" localSheetId="34">{"fdsup://directions/FAT Viewer?action=UPDATE&amp;creator=factset&amp;DYN_ARGS=TRUE&amp;DOC_NAME=FAT:FQL_AUDITING_CLIENT_TEMPLATE.FAT&amp;display_string=Audit&amp;VAR:KEY=JWTILSXQJO&amp;VAR:QUERY=RkZfUEUoQU5OLDQwNzg3LCwsUkYp&amp;WINDOW=FIRST_POPUP&amp;HEIGHT=450&amp;WIDTH=450&amp;START_MAXIMIZED=","FALSE&amp;VAR:CALENDAR=FIVEDAY&amp;VAR:SYMBOL=671402&amp;VAR:INDEX=0"}</definedName>
    <definedName name="_5091__FDSAUDITLINK__" localSheetId="27">{"fdsup://directions/FAT Viewer?action=UPDATE&amp;creator=factset&amp;DYN_ARGS=TRUE&amp;DOC_NAME=FAT:FQL_AUDITING_CLIENT_TEMPLATE.FAT&amp;display_string=Audit&amp;VAR:KEY=JWTILSXQJO&amp;VAR:QUERY=RkZfUEUoQU5OLDQwNzg3LCwsUkYp&amp;WINDOW=FIRST_POPUP&amp;HEIGHT=450&amp;WIDTH=450&amp;START_MAXIMIZED=","FALSE&amp;VAR:CALENDAR=FIVEDAY&amp;VAR:SYMBOL=671402&amp;VAR:INDEX=0"}</definedName>
    <definedName name="_5092__FDSAUDITLINK__" localSheetId="34">{"fdsup://directions/FAT Viewer?action=UPDATE&amp;creator=factset&amp;DYN_ARGS=TRUE&amp;DOC_NAME=FAT:FQL_AUDITING_CLIENT_TEMPLATE.FAT&amp;display_string=Audit&amp;VAR:KEY=DQZSDUDAVG&amp;VAR:QUERY=RkZfUEUoQU5OLDQwNzg3LTNZLCwsUkYp&amp;WINDOW=FIRST_POPUP&amp;HEIGHT=450&amp;WIDTH=450&amp;START_MAXIMI","ZED=FALSE&amp;VAR:CALENDAR=FIVEDAY&amp;VAR:SYMBOL=309272&amp;VAR:INDEX=0"}</definedName>
    <definedName name="_5092__FDSAUDITLINK__" localSheetId="27">{"fdsup://directions/FAT Viewer?action=UPDATE&amp;creator=factset&amp;DYN_ARGS=TRUE&amp;DOC_NAME=FAT:FQL_AUDITING_CLIENT_TEMPLATE.FAT&amp;display_string=Audit&amp;VAR:KEY=DQZSDUDAVG&amp;VAR:QUERY=RkZfUEUoQU5OLDQwNzg3LTNZLCwsUkYp&amp;WINDOW=FIRST_POPUP&amp;HEIGHT=450&amp;WIDTH=450&amp;START_MAXIMI","ZED=FALSE&amp;VAR:CALENDAR=FIVEDAY&amp;VAR:SYMBOL=309272&amp;VAR:INDEX=0"}</definedName>
    <definedName name="_5095__FDSAUDITLINK__" localSheetId="34">{"fdsup://directions/FAT Viewer?action=UPDATE&amp;creator=factset&amp;DYN_ARGS=TRUE&amp;DOC_NAME=FAT:FQL_AUDITING_CLIENT_TEMPLATE.FAT&amp;display_string=Audit&amp;VAR:KEY=VIJWLUPEVY&amp;VAR:QUERY=RkZfUEUoQU5OLDQwNzg3LTFZLCwsUkYp&amp;WINDOW=FIRST_POPUP&amp;HEIGHT=450&amp;WIDTH=450&amp;START_MAXIMI","ZED=FALSE&amp;VAR:CALENDAR=FIVEDAY&amp;VAR:SYMBOL=016419&amp;VAR:INDEX=0"}</definedName>
    <definedName name="_5095__FDSAUDITLINK__" localSheetId="27">{"fdsup://directions/FAT Viewer?action=UPDATE&amp;creator=factset&amp;DYN_ARGS=TRUE&amp;DOC_NAME=FAT:FQL_AUDITING_CLIENT_TEMPLATE.FAT&amp;display_string=Audit&amp;VAR:KEY=VIJWLUPEVY&amp;VAR:QUERY=RkZfUEUoQU5OLDQwNzg3LTFZLCwsUkYp&amp;WINDOW=FIRST_POPUP&amp;HEIGHT=450&amp;WIDTH=450&amp;START_MAXIMI","ZED=FALSE&amp;VAR:CALENDAR=FIVEDAY&amp;VAR:SYMBOL=016419&amp;VAR:INDEX=0"}</definedName>
    <definedName name="_5096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096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105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105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106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106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107__FDSAUDITLINK__" localSheetId="34">{"fdsup://directions/FAT Viewer?action=UPDATE&amp;creator=factset&amp;DYN_ARGS=TRUE&amp;DOC_NAME=FAT:FQL_AUDITING_CLIENT_TEMPLATE.FAT&amp;display_string=Audit&amp;VAR:KEY=HEZUJIPWXM&amp;VAR:QUERY=RkZfUEUoQU5OLDQwNzg3LCwsUkYp&amp;WINDOW=FIRST_POPUP&amp;HEIGHT=450&amp;WIDTH=450&amp;START_MAXIMIZED=","FALSE&amp;VAR:CALENDAR=FIVEDAY&amp;VAR:SYMBOL=06050510&amp;VAR:INDEX=0"}</definedName>
    <definedName name="_5107__FDSAUDITLINK__" localSheetId="27">{"fdsup://directions/FAT Viewer?action=UPDATE&amp;creator=factset&amp;DYN_ARGS=TRUE&amp;DOC_NAME=FAT:FQL_AUDITING_CLIENT_TEMPLATE.FAT&amp;display_string=Audit&amp;VAR:KEY=HEZUJIPWXM&amp;VAR:QUERY=RkZfUEUoQU5OLDQwNzg3LCwsUkYp&amp;WINDOW=FIRST_POPUP&amp;HEIGHT=450&amp;WIDTH=450&amp;START_MAXIMIZED=","FALSE&amp;VAR:CALENDAR=FIVEDAY&amp;VAR:SYMBOL=06050510&amp;VAR:INDEX=0"}</definedName>
    <definedName name="_5111__FDSAUDITLINK__" localSheetId="34">{"fdsup://directions/FAT Viewer?action=UPDATE&amp;creator=factset&amp;DYN_ARGS=TRUE&amp;DOC_NAME=FAT:FQL_AUDITING_CLIENT_TEMPLATE.FAT&amp;display_string=Audit&amp;VAR:KEY=HMPOTSTMFS&amp;VAR:QUERY=RkZfUEUoQU5OLDQwNzg3LTFZLCwsUkYp&amp;WINDOW=FIRST_POPUP&amp;HEIGHT=450&amp;WIDTH=450&amp;START_MAXIMI","ZED=FALSE&amp;VAR:CALENDAR=FIVEDAY&amp;VAR:SYMBOL=076680&amp;VAR:INDEX=0"}</definedName>
    <definedName name="_5111__FDSAUDITLINK__" localSheetId="27">{"fdsup://directions/FAT Viewer?action=UPDATE&amp;creator=factset&amp;DYN_ARGS=TRUE&amp;DOC_NAME=FAT:FQL_AUDITING_CLIENT_TEMPLATE.FAT&amp;display_string=Audit&amp;VAR:KEY=HMPOTSTMFS&amp;VAR:QUERY=RkZfUEUoQU5OLDQwNzg3LTFZLCwsUkYp&amp;WINDOW=FIRST_POPUP&amp;HEIGHT=450&amp;WIDTH=450&amp;START_MAXIMI","ZED=FALSE&amp;VAR:CALENDAR=FIVEDAY&amp;VAR:SYMBOL=076680&amp;VAR:INDEX=0"}</definedName>
    <definedName name="_5113__FDSAUDITLINK__" localSheetId="34">{"fdsup://directions/FAT Viewer?action=UPDATE&amp;creator=factset&amp;DYN_ARGS=TRUE&amp;DOC_NAME=FAT:FQL_AUDITING_CLIENT_TEMPLATE.FAT&amp;display_string=Audit&amp;VAR:KEY=SDQNIBUTQD&amp;VAR:QUERY=RkZfUEUoQU5OLDQwNjQxLTRZLCwsUkYp&amp;WINDOW=FIRST_POPUP&amp;HEIGHT=450&amp;WIDTH=450&amp;START_MAXIMI","ZED=FALSE&amp;VAR:CALENDAR=FIVEDAY&amp;VAR:SYMBOL=312748&amp;VAR:INDEX=0"}</definedName>
    <definedName name="_5113__FDSAUDITLINK__" localSheetId="27">{"fdsup://directions/FAT Viewer?action=UPDATE&amp;creator=factset&amp;DYN_ARGS=TRUE&amp;DOC_NAME=FAT:FQL_AUDITING_CLIENT_TEMPLATE.FAT&amp;display_string=Audit&amp;VAR:KEY=SDQNIBUTQD&amp;VAR:QUERY=RkZfUEUoQU5OLDQwNjQxLTRZLCwsUkYp&amp;WINDOW=FIRST_POPUP&amp;HEIGHT=450&amp;WIDTH=450&amp;START_MAXIMI","ZED=FALSE&amp;VAR:CALENDAR=FIVEDAY&amp;VAR:SYMBOL=312748&amp;VAR:INDEX=0"}</definedName>
    <definedName name="_5119__FDSAUDITLINK__" localSheetId="34">{"fdsup://Directions/FactSet Auditing Viewer?action=AUDIT_VALUE&amp;DB=129&amp;ID1=B23VYZ&amp;VALUEID=02999&amp;SDATE=2009&amp;PERIODTYPE=ANNR_STD&amp;SCFT=3&amp;window=popup_no_bar&amp;width=385&amp;height=120&amp;START_MAXIMIZED=FALSE&amp;creator=factset&amp;display_string=Audit"}</definedName>
    <definedName name="_5119__FDSAUDITLINK__" localSheetId="27">{"fdsup://Directions/FactSet Auditing Viewer?action=AUDIT_VALUE&amp;DB=129&amp;ID1=B23VYZ&amp;VALUEID=02999&amp;SDATE=2009&amp;PERIODTYPE=ANNR_STD&amp;SCFT=3&amp;window=popup_no_bar&amp;width=385&amp;height=120&amp;START_MAXIMIZED=FALSE&amp;creator=factset&amp;display_string=Audit"}</definedName>
    <definedName name="_5124__FDSAUDITLINK__" localSheetId="34">{"fdsup://directions/FAT Viewer?action=UPDATE&amp;creator=factset&amp;DYN_ARGS=TRUE&amp;DOC_NAME=FAT:FQL_AUDITING_CLIENT_TEMPLATE.FAT&amp;display_string=Audit&amp;VAR:KEY=LYHKTCTQBY&amp;VAR:QUERY=RkZfUEUoQU5OLDQwNzg3LCwsUkYp&amp;WINDOW=FIRST_POPUP&amp;HEIGHT=450&amp;WIDTH=450&amp;START_MAXIMIZED=","FALSE&amp;VAR:CALENDAR=FIVEDAY&amp;VAR:SYMBOL=309272&amp;VAR:INDEX=0"}</definedName>
    <definedName name="_5124__FDSAUDITLINK__" localSheetId="27">{"fdsup://directions/FAT Viewer?action=UPDATE&amp;creator=factset&amp;DYN_ARGS=TRUE&amp;DOC_NAME=FAT:FQL_AUDITING_CLIENT_TEMPLATE.FAT&amp;display_string=Audit&amp;VAR:KEY=LYHKTCTQBY&amp;VAR:QUERY=RkZfUEUoQU5OLDQwNzg3LCwsUkYp&amp;WINDOW=FIRST_POPUP&amp;HEIGHT=450&amp;WIDTH=450&amp;START_MAXIMIZED=","FALSE&amp;VAR:CALENDAR=FIVEDAY&amp;VAR:SYMBOL=309272&amp;VAR:INDEX=0"}</definedName>
    <definedName name="_5134__FDSAUDITLINK__" localSheetId="34">{"fdsup://directions/FAT Viewer?action=UPDATE&amp;creator=factset&amp;DYN_ARGS=TRUE&amp;DOC_NAME=FAT:FQL_AUDITING_CLIENT_TEMPLATE.FAT&amp;display_string=Audit&amp;VAR:KEY=IJGDOZMVSP&amp;VAR:QUERY=RkZfUEUoQU5OLDQwNjQxLTFZLCwsUkYp&amp;WINDOW=FIRST_POPUP&amp;HEIGHT=450&amp;WIDTH=450&amp;START_MAXIMI","ZED=FALSE&amp;VAR:CALENDAR=FIVEDAY&amp;VAR:SYMBOL=690064&amp;VAR:INDEX=0"}</definedName>
    <definedName name="_5134__FDSAUDITLINK__" localSheetId="27">{"fdsup://directions/FAT Viewer?action=UPDATE&amp;creator=factset&amp;DYN_ARGS=TRUE&amp;DOC_NAME=FAT:FQL_AUDITING_CLIENT_TEMPLATE.FAT&amp;display_string=Audit&amp;VAR:KEY=IJGDOZMVSP&amp;VAR:QUERY=RkZfUEUoQU5OLDQwNjQxLTFZLCwsUkYp&amp;WINDOW=FIRST_POPUP&amp;HEIGHT=450&amp;WIDTH=450&amp;START_MAXIMI","ZED=FALSE&amp;VAR:CALENDAR=FIVEDAY&amp;VAR:SYMBOL=690064&amp;VAR:INDEX=0"}</definedName>
    <definedName name="_5136__FDSAUDITLINK__" localSheetId="34">{"fdsup://directions/FAT Viewer?action=UPDATE&amp;creator=factset&amp;DYN_ARGS=TRUE&amp;DOC_NAME=FAT:FQL_AUDITING_CLIENT_TEMPLATE.FAT&amp;display_string=Audit&amp;VAR:KEY=VSJSBYZWRG&amp;VAR:QUERY=RkZfUEUoQU5OLDQwNzg3LCwsUkYp&amp;WINDOW=FIRST_POPUP&amp;HEIGHT=450&amp;WIDTH=450&amp;START_MAXIMIZED=","FALSE&amp;VAR:CALENDAR=FIVEDAY&amp;VAR:SYMBOL=B126KH&amp;VAR:INDEX=0"}</definedName>
    <definedName name="_5136__FDSAUDITLINK__" localSheetId="27">{"fdsup://directions/FAT Viewer?action=UPDATE&amp;creator=factset&amp;DYN_ARGS=TRUE&amp;DOC_NAME=FAT:FQL_AUDITING_CLIENT_TEMPLATE.FAT&amp;display_string=Audit&amp;VAR:KEY=VSJSBYZWRG&amp;VAR:QUERY=RkZfUEUoQU5OLDQwNzg3LCwsUkYp&amp;WINDOW=FIRST_POPUP&amp;HEIGHT=450&amp;WIDTH=450&amp;START_MAXIMIZED=","FALSE&amp;VAR:CALENDAR=FIVEDAY&amp;VAR:SYMBOL=B126KH&amp;VAR:INDEX=0"}</definedName>
    <definedName name="_5140__FDSAUDITLINK__" localSheetId="34">{"fdsup://directions/FAT Viewer?action=UPDATE&amp;creator=factset&amp;DYN_ARGS=TRUE&amp;DOC_NAME=FAT:FQL_AUDITING_CLIENT_TEMPLATE.FAT&amp;display_string=Audit&amp;VAR:KEY=FCRUZUTCRO&amp;VAR:QUERY=RkZfUEUoQU5OLDQwNzg3LTRZLCwsUkYp&amp;WINDOW=FIRST_POPUP&amp;HEIGHT=450&amp;WIDTH=450&amp;START_MAXIMI","ZED=FALSE&amp;VAR:CALENDAR=FIVEDAY&amp;VAR:SYMBOL=B16GWD&amp;VAR:INDEX=0"}</definedName>
    <definedName name="_5140__FDSAUDITLINK__" localSheetId="27">{"fdsup://directions/FAT Viewer?action=UPDATE&amp;creator=factset&amp;DYN_ARGS=TRUE&amp;DOC_NAME=FAT:FQL_AUDITING_CLIENT_TEMPLATE.FAT&amp;display_string=Audit&amp;VAR:KEY=FCRUZUTCRO&amp;VAR:QUERY=RkZfUEUoQU5OLDQwNzg3LTRZLCwsUkYp&amp;WINDOW=FIRST_POPUP&amp;HEIGHT=450&amp;WIDTH=450&amp;START_MAXIMI","ZED=FALSE&amp;VAR:CALENDAR=FIVEDAY&amp;VAR:SYMBOL=B16GWD&amp;VAR:INDEX=0"}</definedName>
    <definedName name="_5143__FDSAUDITLINK__" localSheetId="34">{"fdsup://Directions/FactSet Auditing Viewer?action=AUDIT_VALUE&amp;DB=129&amp;ID1=B23VYZ&amp;VALUEID=02999&amp;SDATE=2008&amp;PERIODTYPE=ANNR_STD&amp;SCFT=3&amp;window=popup_no_bar&amp;width=385&amp;height=120&amp;START_MAXIMIZED=FALSE&amp;creator=factset&amp;display_string=Audit"}</definedName>
    <definedName name="_5143__FDSAUDITLINK__" localSheetId="27">{"fdsup://Directions/FactSet Auditing Viewer?action=AUDIT_VALUE&amp;DB=129&amp;ID1=B23VYZ&amp;VALUEID=02999&amp;SDATE=2008&amp;PERIODTYPE=ANNR_STD&amp;SCFT=3&amp;window=popup_no_bar&amp;width=385&amp;height=120&amp;START_MAXIMIZED=FALSE&amp;creator=factset&amp;display_string=Audit"}</definedName>
    <definedName name="_5148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148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149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149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152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152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153__FDSAUDITLINK__" localSheetId="34">{"fdsup://directions/FAT Viewer?action=UPDATE&amp;creator=factset&amp;DYN_ARGS=TRUE&amp;DOC_NAME=FAT:FQL_AUDITING_CLIENT_TEMPLATE.FAT&amp;display_string=Audit&amp;VAR:KEY=XYLMRABIXY&amp;VAR:QUERY=RkZfUEUoQU5OLDQwNzg3LTNZLCwsUkYp&amp;WINDOW=FIRST_POPUP&amp;HEIGHT=450&amp;WIDTH=450&amp;START_MAXIMI","ZED=FALSE&amp;VAR:CALENDAR=FIVEDAY&amp;VAR:SYMBOL=B23VYZ&amp;VAR:INDEX=0"}</definedName>
    <definedName name="_5153__FDSAUDITLINK__" localSheetId="27">{"fdsup://directions/FAT Viewer?action=UPDATE&amp;creator=factset&amp;DYN_ARGS=TRUE&amp;DOC_NAME=FAT:FQL_AUDITING_CLIENT_TEMPLATE.FAT&amp;display_string=Audit&amp;VAR:KEY=XYLMRABIXY&amp;VAR:QUERY=RkZfUEUoQU5OLDQwNzg3LTNZLCwsUkYp&amp;WINDOW=FIRST_POPUP&amp;HEIGHT=450&amp;WIDTH=450&amp;START_MAXIMI","ZED=FALSE&amp;VAR:CALENDAR=FIVEDAY&amp;VAR:SYMBOL=B23VYZ&amp;VAR:INDEX=0"}</definedName>
    <definedName name="_5162__FDSAUDITLINK__" localSheetId="34">{"fdsup://directions/FAT Viewer?action=UPDATE&amp;creator=factset&amp;DYN_ARGS=TRUE&amp;DOC_NAME=FAT:FQL_AUDITING_CLIENT_TEMPLATE.FAT&amp;display_string=Audit&amp;VAR:KEY=URQBSBOJCT&amp;VAR:QUERY=RkZfUEUoQU5OLDQwNjQxLTRZLCwsUkYp&amp;WINDOW=FIRST_POPUP&amp;HEIGHT=450&amp;WIDTH=450&amp;START_MAXIMI","ZED=FALSE&amp;VAR:CALENDAR=FIVEDAY&amp;VAR:SYMBOL=673230&amp;VAR:INDEX=0"}</definedName>
    <definedName name="_5162__FDSAUDITLINK__" localSheetId="27">{"fdsup://directions/FAT Viewer?action=UPDATE&amp;creator=factset&amp;DYN_ARGS=TRUE&amp;DOC_NAME=FAT:FQL_AUDITING_CLIENT_TEMPLATE.FAT&amp;display_string=Audit&amp;VAR:KEY=URQBSBOJCT&amp;VAR:QUERY=RkZfUEUoQU5OLDQwNjQxLTRZLCwsUkYp&amp;WINDOW=FIRST_POPUP&amp;HEIGHT=450&amp;WIDTH=450&amp;START_MAXIMI","ZED=FALSE&amp;VAR:CALENDAR=FIVEDAY&amp;VAR:SYMBOL=673230&amp;VAR:INDEX=0"}</definedName>
    <definedName name="_5163__FDSAUDITLINK__" localSheetId="34">{"fdsup://directions/FAT Viewer?action=UPDATE&amp;creator=factset&amp;DYN_ARGS=TRUE&amp;DOC_NAME=FAT:FQL_AUDITING_CLIENT_TEMPLATE.FAT&amp;display_string=Audit&amp;VAR:KEY=HGHUXMVKBG&amp;VAR:QUERY=RkZfUEUoQU5OLDQwNzg3LTFZLCwsUkYp&amp;WINDOW=FIRST_POPUP&amp;HEIGHT=450&amp;WIDTH=450&amp;START_MAXIMI","ZED=FALSE&amp;VAR:CALENDAR=FIVEDAY&amp;VAR:SYMBOL=090674&amp;VAR:INDEX=0"}</definedName>
    <definedName name="_5163__FDSAUDITLINK__" localSheetId="27">{"fdsup://directions/FAT Viewer?action=UPDATE&amp;creator=factset&amp;DYN_ARGS=TRUE&amp;DOC_NAME=FAT:FQL_AUDITING_CLIENT_TEMPLATE.FAT&amp;display_string=Audit&amp;VAR:KEY=HGHUXMVKBG&amp;VAR:QUERY=RkZfUEUoQU5OLDQwNzg3LTFZLCwsUkYp&amp;WINDOW=FIRST_POPUP&amp;HEIGHT=450&amp;WIDTH=450&amp;START_MAXIMI","ZED=FALSE&amp;VAR:CALENDAR=FIVEDAY&amp;VAR:SYMBOL=090674&amp;VAR:INDEX=0"}</definedName>
    <definedName name="_5165__FDSAUDITLINK__" localSheetId="34">{"fdsup://directions/FAT Viewer?action=UPDATE&amp;creator=factset&amp;DYN_ARGS=TRUE&amp;DOC_NAME=FAT:FQL_AUDITING_CLIENT_TEMPLATE.FAT&amp;display_string=Audit&amp;VAR:KEY=NGXSVOBYVW&amp;VAR:QUERY=RkZfUEUoQU5OLDQwNzg3LTRZLCwsUkYp&amp;WINDOW=FIRST_POPUP&amp;HEIGHT=450&amp;WIDTH=450&amp;START_MAXIMI","ZED=FALSE&amp;VAR:CALENDAR=FIVEDAY&amp;VAR:SYMBOL=B126KH&amp;VAR:INDEX=0"}</definedName>
    <definedName name="_5165__FDSAUDITLINK__" localSheetId="27">{"fdsup://directions/FAT Viewer?action=UPDATE&amp;creator=factset&amp;DYN_ARGS=TRUE&amp;DOC_NAME=FAT:FQL_AUDITING_CLIENT_TEMPLATE.FAT&amp;display_string=Audit&amp;VAR:KEY=NGXSVOBYVW&amp;VAR:QUERY=RkZfUEUoQU5OLDQwNzg3LTRZLCwsUkYp&amp;WINDOW=FIRST_POPUP&amp;HEIGHT=450&amp;WIDTH=450&amp;START_MAXIMI","ZED=FALSE&amp;VAR:CALENDAR=FIVEDAY&amp;VAR:SYMBOL=B126KH&amp;VAR:INDEX=0"}</definedName>
    <definedName name="_5166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166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168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168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169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169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5174__FDSAUDITLINK__" localSheetId="34">{"fdsup://directions/FAT Viewer?action=UPDATE&amp;creator=factset&amp;DYN_ARGS=TRUE&amp;DOC_NAME=FAT:FQL_AUDITING_CLIENT_TEMPLATE.FAT&amp;display_string=Audit&amp;VAR:KEY=UNMZQFUFOH&amp;VAR:QUERY=RkZfUEUoQU5OLDQwNjQxLTRZLCwsUkYp&amp;WINDOW=FIRST_POPUP&amp;HEIGHT=450&amp;WIDTH=450&amp;START_MAXIMI","ZED=FALSE&amp;VAR:CALENDAR=FIVEDAY&amp;VAR:SYMBOL=671402&amp;VAR:INDEX=0"}</definedName>
    <definedName name="_5174__FDSAUDITLINK__" localSheetId="27">{"fdsup://directions/FAT Viewer?action=UPDATE&amp;creator=factset&amp;DYN_ARGS=TRUE&amp;DOC_NAME=FAT:FQL_AUDITING_CLIENT_TEMPLATE.FAT&amp;display_string=Audit&amp;VAR:KEY=UNMZQFUFOH&amp;VAR:QUERY=RkZfUEUoQU5OLDQwNjQxLTRZLCwsUkYp&amp;WINDOW=FIRST_POPUP&amp;HEIGHT=450&amp;WIDTH=450&amp;START_MAXIMI","ZED=FALSE&amp;VAR:CALENDAR=FIVEDAY&amp;VAR:SYMBOL=671402&amp;VAR:INDEX=0"}</definedName>
    <definedName name="_5175__FDSAUDITLINK__" localSheetId="34">{"fdsup://directions/FAT Viewer?action=UPDATE&amp;creator=factset&amp;DYN_ARGS=TRUE&amp;DOC_NAME=FAT:FQL_AUDITING_CLIENT_TEMPLATE.FAT&amp;display_string=Audit&amp;VAR:KEY=RAHSNCJWLO&amp;VAR:QUERY=RkZfUEUoQU5OLDQwNzg3LCwsUkYp&amp;WINDOW=FIRST_POPUP&amp;HEIGHT=450&amp;WIDTH=450&amp;START_MAXIMIZED=","FALSE&amp;VAR:CALENDAR=FIVEDAY&amp;VAR:SYMBOL=93114210&amp;VAR:INDEX=0"}</definedName>
    <definedName name="_5175__FDSAUDITLINK__" localSheetId="27">{"fdsup://directions/FAT Viewer?action=UPDATE&amp;creator=factset&amp;DYN_ARGS=TRUE&amp;DOC_NAME=FAT:FQL_AUDITING_CLIENT_TEMPLATE.FAT&amp;display_string=Audit&amp;VAR:KEY=RAHSNCJWLO&amp;VAR:QUERY=RkZfUEUoQU5OLDQwNzg3LCwsUkYp&amp;WINDOW=FIRST_POPUP&amp;HEIGHT=450&amp;WIDTH=450&amp;START_MAXIMIZED=","FALSE&amp;VAR:CALENDAR=FIVEDAY&amp;VAR:SYMBOL=93114210&amp;VAR:INDEX=0"}</definedName>
    <definedName name="_5180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180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5183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183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208__FDSAUDITLINK__" localSheetId="34">{"fdsup://directions/FAT Viewer?action=UPDATE&amp;creator=factset&amp;DYN_ARGS=TRUE&amp;DOC_NAME=FAT:FQL_AUDITING_CLIENT_TEMPLATE.FAT&amp;display_string=Audit&amp;VAR:KEY=NGZWFUTADA&amp;VAR:QUERY=RkZfUEUoQU5OLDQwNzg3LTNZLCwsUkYp&amp;WINDOW=FIRST_POPUP&amp;HEIGHT=450&amp;WIDTH=450&amp;START_MAXIMI","ZED=FALSE&amp;VAR:CALENDAR=FIVEDAY&amp;VAR:SYMBOL=090674&amp;VAR:INDEX=0"}</definedName>
    <definedName name="_5208__FDSAUDITLINK__" localSheetId="27">{"fdsup://directions/FAT Viewer?action=UPDATE&amp;creator=factset&amp;DYN_ARGS=TRUE&amp;DOC_NAME=FAT:FQL_AUDITING_CLIENT_TEMPLATE.FAT&amp;display_string=Audit&amp;VAR:KEY=NGZWFUTADA&amp;VAR:QUERY=RkZfUEUoQU5OLDQwNzg3LTNZLCwsUkYp&amp;WINDOW=FIRST_POPUP&amp;HEIGHT=450&amp;WIDTH=450&amp;START_MAXIMI","ZED=FALSE&amp;VAR:CALENDAR=FIVEDAY&amp;VAR:SYMBOL=090674&amp;VAR:INDEX=0"}</definedName>
    <definedName name="_5212__FDSAUDITLINK__" localSheetId="34">{"fdsup://directions/FAT Viewer?action=UPDATE&amp;creator=factset&amp;DYN_ARGS=TRUE&amp;DOC_NAME=FAT:FQL_AUDITING_CLIENT_TEMPLATE.FAT&amp;display_string=Audit&amp;VAR:KEY=XOTETMLSDW&amp;VAR:QUERY=RkZfUEUoQU5OLDQwNzg3LTRZLCwsUkYp&amp;WINDOW=FIRST_POPUP&amp;HEIGHT=450&amp;WIDTH=450&amp;START_MAXIMI","ZED=FALSE&amp;VAR:CALENDAR=FIVEDAY&amp;VAR:SYMBOL=B23VYZ&amp;VAR:INDEX=0"}</definedName>
    <definedName name="_5212__FDSAUDITLINK__" localSheetId="27">{"fdsup://directions/FAT Viewer?action=UPDATE&amp;creator=factset&amp;DYN_ARGS=TRUE&amp;DOC_NAME=FAT:FQL_AUDITING_CLIENT_TEMPLATE.FAT&amp;display_string=Audit&amp;VAR:KEY=XOTETMLSDW&amp;VAR:QUERY=RkZfUEUoQU5OLDQwNzg3LTRZLCwsUkYp&amp;WINDOW=FIRST_POPUP&amp;HEIGHT=450&amp;WIDTH=450&amp;START_MAXIMI","ZED=FALSE&amp;VAR:CALENDAR=FIVEDAY&amp;VAR:SYMBOL=B23VYZ&amp;VAR:INDEX=0"}</definedName>
    <definedName name="_5238__FDSAUDITLINK__" localSheetId="34">{"fdsup://directions/FAT Viewer?action=UPDATE&amp;creator=factset&amp;DYN_ARGS=TRUE&amp;DOC_NAME=FAT:FQL_AUDITING_CLIENT_TEMPLATE.FAT&amp;display_string=Audit&amp;VAR:KEY=BCNUTEFAZE&amp;VAR:QUERY=RkZfUEUoQU5OLDQwNzg3LTRZLCwsUkYp&amp;WINDOW=FIRST_POPUP&amp;HEIGHT=450&amp;WIDTH=450&amp;START_MAXIMI","ZED=FALSE&amp;VAR:CALENDAR=FIVEDAY&amp;VAR:SYMBOL=312748&amp;VAR:INDEX=0"}</definedName>
    <definedName name="_5238__FDSAUDITLINK__" localSheetId="27">{"fdsup://directions/FAT Viewer?action=UPDATE&amp;creator=factset&amp;DYN_ARGS=TRUE&amp;DOC_NAME=FAT:FQL_AUDITING_CLIENT_TEMPLATE.FAT&amp;display_string=Audit&amp;VAR:KEY=BCNUTEFAZE&amp;VAR:QUERY=RkZfUEUoQU5OLDQwNzg3LTRZLCwsUkYp&amp;WINDOW=FIRST_POPUP&amp;HEIGHT=450&amp;WIDTH=450&amp;START_MAXIMI","ZED=FALSE&amp;VAR:CALENDAR=FIVEDAY&amp;VAR:SYMBOL=312748&amp;VAR:INDEX=0"}</definedName>
    <definedName name="_5258__FDSAUDITLINK__" localSheetId="34">{"fdsup://directions/FAT Viewer?action=UPDATE&amp;creator=factset&amp;DYN_ARGS=TRUE&amp;DOC_NAME=FAT:FQL_AUDITING_CLIENT_TEMPLATE.FAT&amp;display_string=Audit&amp;VAR:KEY=HQPGPGPMTU&amp;VAR:QUERY=RkZfUEUoQU5OLDQwNzg3LTJZLCwsUkYp&amp;WINDOW=FIRST_POPUP&amp;HEIGHT=450&amp;WIDTH=450&amp;START_MAXIMI","ZED=FALSE&amp;VAR:CALENDAR=FIVEDAY&amp;VAR:SYMBOL=93114210&amp;VAR:INDEX=0"}</definedName>
    <definedName name="_5258__FDSAUDITLINK__" localSheetId="27">{"fdsup://directions/FAT Viewer?action=UPDATE&amp;creator=factset&amp;DYN_ARGS=TRUE&amp;DOC_NAME=FAT:FQL_AUDITING_CLIENT_TEMPLATE.FAT&amp;display_string=Audit&amp;VAR:KEY=HQPGPGPMTU&amp;VAR:QUERY=RkZfUEUoQU5OLDQwNzg3LTJZLCwsUkYp&amp;WINDOW=FIRST_POPUP&amp;HEIGHT=450&amp;WIDTH=450&amp;START_MAXIMI","ZED=FALSE&amp;VAR:CALENDAR=FIVEDAY&amp;VAR:SYMBOL=93114210&amp;VAR:INDEX=0"}</definedName>
    <definedName name="_5289__FDSAUDITLINK__" localSheetId="34">{"fdsup://directions/FAT Viewer?action=UPDATE&amp;creator=factset&amp;DYN_ARGS=TRUE&amp;DOC_NAME=FAT:FQL_AUDITING_CLIENT_TEMPLATE.FAT&amp;display_string=Audit&amp;VAR:KEY=FORMXMPMFS&amp;VAR:QUERY=RkZfUEUoQU5OLDQwNzg3LTNZLCwsUkYp&amp;WINDOW=FIRST_POPUP&amp;HEIGHT=450&amp;WIDTH=450&amp;START_MAXIMI","ZED=FALSE&amp;VAR:CALENDAR=FIVEDAY&amp;VAR:SYMBOL=690064&amp;VAR:INDEX=0"}</definedName>
    <definedName name="_5289__FDSAUDITLINK__" localSheetId="27">{"fdsup://directions/FAT Viewer?action=UPDATE&amp;creator=factset&amp;DYN_ARGS=TRUE&amp;DOC_NAME=FAT:FQL_AUDITING_CLIENT_TEMPLATE.FAT&amp;display_string=Audit&amp;VAR:KEY=FORMXMPMFS&amp;VAR:QUERY=RkZfUEUoQU5OLDQwNzg3LTNZLCwsUkYp&amp;WINDOW=FIRST_POPUP&amp;HEIGHT=450&amp;WIDTH=450&amp;START_MAXIMI","ZED=FALSE&amp;VAR:CALENDAR=FIVEDAY&amp;VAR:SYMBOL=690064&amp;VAR:INDEX=0"}</definedName>
    <definedName name="_5297__FDSAUDITLINK__" localSheetId="34">{"fdsup://directions/FAT Viewer?action=UPDATE&amp;creator=factset&amp;DYN_ARGS=TRUE&amp;DOC_NAME=FAT:FQL_AUDITING_CLIENT_TEMPLATE.FAT&amp;display_string=Audit&amp;VAR:KEY=JITYRWBUNQ&amp;VAR:QUERY=RkZfUEUoQU5OLDQwNzg3LTRZLCwsUkYp&amp;WINDOW=FIRST_POPUP&amp;HEIGHT=450&amp;WIDTH=450&amp;START_MAXIMI","ZED=FALSE&amp;VAR:CALENDAR=FIVEDAY&amp;VAR:SYMBOL=690064&amp;VAR:INDEX=0"}</definedName>
    <definedName name="_5297__FDSAUDITLINK__" localSheetId="27">{"fdsup://directions/FAT Viewer?action=UPDATE&amp;creator=factset&amp;DYN_ARGS=TRUE&amp;DOC_NAME=FAT:FQL_AUDITING_CLIENT_TEMPLATE.FAT&amp;display_string=Audit&amp;VAR:KEY=JITYRWBUNQ&amp;VAR:QUERY=RkZfUEUoQU5OLDQwNzg3LTRZLCwsUkYp&amp;WINDOW=FIRST_POPUP&amp;HEIGHT=450&amp;WIDTH=450&amp;START_MAXIMI","ZED=FALSE&amp;VAR:CALENDAR=FIVEDAY&amp;VAR:SYMBOL=690064&amp;VAR:INDEX=0"}</definedName>
    <definedName name="_5301__FDSAUDITLINK__" localSheetId="34">{"fdsup://directions/FAT Viewer?action=UPDATE&amp;creator=factset&amp;DYN_ARGS=TRUE&amp;DOC_NAME=FAT:FQL_AUDITING_CLIENT_TEMPLATE.FAT&amp;display_string=Audit&amp;VAR:KEY=DIVANKRSPK&amp;VAR:QUERY=RkZfUEUoQU5OLDQwNzg3LTNZLCwsUkYp&amp;WINDOW=FIRST_POPUP&amp;HEIGHT=450&amp;WIDTH=450&amp;START_MAXIMI","ZED=FALSE&amp;VAR:CALENDAR=FIVEDAY&amp;VAR:SYMBOL=312748&amp;VAR:INDEX=0"}</definedName>
    <definedName name="_5301__FDSAUDITLINK__" localSheetId="27">{"fdsup://directions/FAT Viewer?action=UPDATE&amp;creator=factset&amp;DYN_ARGS=TRUE&amp;DOC_NAME=FAT:FQL_AUDITING_CLIENT_TEMPLATE.FAT&amp;display_string=Audit&amp;VAR:KEY=DIVANKRSPK&amp;VAR:QUERY=RkZfUEUoQU5OLDQwNzg3LTNZLCwsUkYp&amp;WINDOW=FIRST_POPUP&amp;HEIGHT=450&amp;WIDTH=450&amp;START_MAXIMI","ZED=FALSE&amp;VAR:CALENDAR=FIVEDAY&amp;VAR:SYMBOL=312748&amp;VAR:INDEX=0"}</definedName>
    <definedName name="_5302__FDSAUDITLINK__" localSheetId="34">{"fdsup://directions/FAT Viewer?action=UPDATE&amp;creator=factset&amp;DYN_ARGS=TRUE&amp;DOC_NAME=FAT:FQL_AUDITING_CLIENT_TEMPLATE.FAT&amp;display_string=Audit&amp;VAR:KEY=XMTEDQLIDY&amp;VAR:QUERY=RkZfUEUoQU5OLDQwNzg3LTNZLCwsUkYp&amp;WINDOW=FIRST_POPUP&amp;HEIGHT=450&amp;WIDTH=450&amp;START_MAXIMI","ZED=FALSE&amp;VAR:CALENDAR=FIVEDAY&amp;VAR:SYMBOL=B126KH&amp;VAR:INDEX=0"}</definedName>
    <definedName name="_5302__FDSAUDITLINK__" localSheetId="27">{"fdsup://directions/FAT Viewer?action=UPDATE&amp;creator=factset&amp;DYN_ARGS=TRUE&amp;DOC_NAME=FAT:FQL_AUDITING_CLIENT_TEMPLATE.FAT&amp;display_string=Audit&amp;VAR:KEY=XMTEDQLIDY&amp;VAR:QUERY=RkZfUEUoQU5OLDQwNzg3LTNZLCwsUkYp&amp;WINDOW=FIRST_POPUP&amp;HEIGHT=450&amp;WIDTH=450&amp;START_MAXIMI","ZED=FALSE&amp;VAR:CALENDAR=FIVEDAY&amp;VAR:SYMBOL=B126KH&amp;VAR:INDEX=0"}</definedName>
    <definedName name="_5303__FDSAUDITLINK__" localSheetId="34">{"fdsup://directions/FAT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303__FDSAUDITLINK__" localSheetId="27">{"fdsup://directions/FAT Viewer?action=UPDATE&amp;creator=factset&amp;DYN_ARGS=TRUE&amp;DOC_NAME=FAT:FQL_AUDITING_CLIENT_TEMPLATE.FAT&amp;display_string=Audit&amp;VAR:KEY=JEZKTUXQRU&amp;VAR:QUERY=RkZfUEUoQU5OLDQwNzg3LTRZLCwsUkYp&amp;WINDOW=FIRST_POPUP&amp;HEIGHT=450&amp;WIDTH=450&amp;START_MAXIMI","ZED=FALSE&amp;VAR:CALENDAR=FIVEDAY&amp;VAR:SYMBOL=0&amp;VAR:INDEX=0"}</definedName>
    <definedName name="_5308__FDSAUDITLINK__" localSheetId="34">{"fdsup://directions/FAT Viewer?action=UPDATE&amp;creator=factset&amp;DYN_ARGS=TRUE&amp;DOC_NAME=FAT:FQL_AUDITING_CLIENT_TEMPLATE.FAT&amp;display_string=Audit&amp;VAR:KEY=AFWDIFSRSD&amp;VAR:QUERY=RkZfUEUoQU5OLDQwNjQxLTRZLCwsUkYp&amp;WINDOW=FIRST_POPUP&amp;HEIGHT=450&amp;WIDTH=450&amp;START_MAXIMI","ZED=FALSE&amp;VAR:CALENDAR=FIVEDAY&amp;VAR:SYMBOL=93114210&amp;VAR:INDEX=0"}</definedName>
    <definedName name="_5308__FDSAUDITLINK__" localSheetId="27">{"fdsup://directions/FAT Viewer?action=UPDATE&amp;creator=factset&amp;DYN_ARGS=TRUE&amp;DOC_NAME=FAT:FQL_AUDITING_CLIENT_TEMPLATE.FAT&amp;display_string=Audit&amp;VAR:KEY=AFWDIFSRSD&amp;VAR:QUERY=RkZfUEUoQU5OLDQwNjQxLTRZLCwsUkYp&amp;WINDOW=FIRST_POPUP&amp;HEIGHT=450&amp;WIDTH=450&amp;START_MAXIMI","ZED=FALSE&amp;VAR:CALENDAR=FIVEDAY&amp;VAR:SYMBOL=93114210&amp;VAR:INDEX=0"}</definedName>
    <definedName name="_5353__FDSAUDITLINK__" localSheetId="34">{"fdsup://directions/FAT Viewer?action=UPDATE&amp;creator=factset&amp;DYN_ARGS=TRUE&amp;DOC_NAME=FAT:FQL_AUDITING_CLIENT_TEMPLATE.FAT&amp;display_string=Audit&amp;VAR:KEY=DKJOLMRETM&amp;VAR:QUERY=RkZfUEUoQU5OLDQwNzg3LCwsUkYp&amp;WINDOW=FIRST_POPUP&amp;HEIGHT=450&amp;WIDTH=450&amp;START_MAXIMIZED=","FALSE&amp;VAR:CALENDAR=FIVEDAY&amp;VAR:SYMBOL=B23VYZ&amp;VAR:INDEX=0"}</definedName>
    <definedName name="_5353__FDSAUDITLINK__" localSheetId="27">{"fdsup://directions/FAT Viewer?action=UPDATE&amp;creator=factset&amp;DYN_ARGS=TRUE&amp;DOC_NAME=FAT:FQL_AUDITING_CLIENT_TEMPLATE.FAT&amp;display_string=Audit&amp;VAR:KEY=DKJOLMRETM&amp;VAR:QUERY=RkZfUEUoQU5OLDQwNzg3LCwsUkYp&amp;WINDOW=FIRST_POPUP&amp;HEIGHT=450&amp;WIDTH=450&amp;START_MAXIMIZED=","FALSE&amp;VAR:CALENDAR=FIVEDAY&amp;VAR:SYMBOL=B23VYZ&amp;VAR:INDEX=0"}</definedName>
    <definedName name="_5354__FDSAUDITLINK__" localSheetId="34">{"fdsup://directions/FAT Viewer?action=UPDATE&amp;creator=factset&amp;DYN_ARGS=TRUE&amp;DOC_NAME=FAT:FQL_AUDITING_CLIENT_TEMPLATE.FAT&amp;display_string=Audit&amp;VAR:KEY=XAZWTKZKTA&amp;VAR:QUERY=RkZfUEUoQU5OLDQwNzg3LTRZLCwsUkYp&amp;WINDOW=FIRST_POPUP&amp;HEIGHT=450&amp;WIDTH=450&amp;START_MAXIMI","ZED=FALSE&amp;VAR:CALENDAR=FIVEDAY&amp;VAR:SYMBOL=016419&amp;VAR:INDEX=0"}</definedName>
    <definedName name="_5354__FDSAUDITLINK__" localSheetId="27">{"fdsup://directions/FAT Viewer?action=UPDATE&amp;creator=factset&amp;DYN_ARGS=TRUE&amp;DOC_NAME=FAT:FQL_AUDITING_CLIENT_TEMPLATE.FAT&amp;display_string=Audit&amp;VAR:KEY=XAZWTKZKTA&amp;VAR:QUERY=RkZfUEUoQU5OLDQwNzg3LTRZLCwsUkYp&amp;WINDOW=FIRST_POPUP&amp;HEIGHT=450&amp;WIDTH=450&amp;START_MAXIMI","ZED=FALSE&amp;VAR:CALENDAR=FIVEDAY&amp;VAR:SYMBOL=016419&amp;VAR:INDEX=0"}</definedName>
    <definedName name="_5355__FDSAUDITLINK__" localSheetId="34">{"fdsup://directions/FAT Viewer?action=UPDATE&amp;creator=factset&amp;DYN_ARGS=TRUE&amp;DOC_NAME=FAT:FQL_AUDITING_CLIENT_TEMPLATE.FAT&amp;display_string=Audit&amp;VAR:KEY=ZMPWJUHYNK&amp;VAR:QUERY=RkZfUEUoQU5OLDQwNzg3LTNZLCwsUkYp&amp;WINDOW=FIRST_POPUP&amp;HEIGHT=450&amp;WIDTH=450&amp;START_MAXIMI","ZED=FALSE&amp;VAR:CALENDAR=FIVEDAY&amp;VAR:SYMBOL=671402&amp;VAR:INDEX=0"}</definedName>
    <definedName name="_5355__FDSAUDITLINK__" localSheetId="27">{"fdsup://directions/FAT Viewer?action=UPDATE&amp;creator=factset&amp;DYN_ARGS=TRUE&amp;DOC_NAME=FAT:FQL_AUDITING_CLIENT_TEMPLATE.FAT&amp;display_string=Audit&amp;VAR:KEY=ZMPWJUHYNK&amp;VAR:QUERY=RkZfUEUoQU5OLDQwNzg3LTNZLCwsUkYp&amp;WINDOW=FIRST_POPUP&amp;HEIGHT=450&amp;WIDTH=450&amp;START_MAXIMI","ZED=FALSE&amp;VAR:CALENDAR=FIVEDAY&amp;VAR:SYMBOL=671402&amp;VAR:INDEX=0"}</definedName>
    <definedName name="_5356__FDSAUDITLINK__" localSheetId="34">{"fdsup://directions/FAT Viewer?action=UPDATE&amp;creator=factset&amp;DYN_ARGS=TRUE&amp;DOC_NAME=FAT:FQL_AUDITING_CLIENT_TEMPLATE.FAT&amp;display_string=Audit&amp;VAR:KEY=FWHCDANOPM&amp;VAR:QUERY=RkZfUEUoQU5OLDQwNzg3LTFZLCwsUkYp&amp;WINDOW=FIRST_POPUP&amp;HEIGHT=450&amp;WIDTH=450&amp;START_MAXIMI","ZED=FALSE&amp;VAR:CALENDAR=FIVEDAY&amp;VAR:SYMBOL=671402&amp;VAR:INDEX=0"}</definedName>
    <definedName name="_5356__FDSAUDITLINK__" localSheetId="27">{"fdsup://directions/FAT Viewer?action=UPDATE&amp;creator=factset&amp;DYN_ARGS=TRUE&amp;DOC_NAME=FAT:FQL_AUDITING_CLIENT_TEMPLATE.FAT&amp;display_string=Audit&amp;VAR:KEY=FWHCDANOPM&amp;VAR:QUERY=RkZfUEUoQU5OLDQwNzg3LTFZLCwsUkYp&amp;WINDOW=FIRST_POPUP&amp;HEIGHT=450&amp;WIDTH=450&amp;START_MAXIMI","ZED=FALSE&amp;VAR:CALENDAR=FIVEDAY&amp;VAR:SYMBOL=671402&amp;VAR:INDEX=0"}</definedName>
    <definedName name="_5357__FDSAUDITLINK__" localSheetId="34">{"fdsup://directions/FAT Viewer?action=UPDATE&amp;creator=factset&amp;DYN_ARGS=TRUE&amp;DOC_NAME=FAT:FQL_AUDITING_CLIENT_TEMPLATE.FAT&amp;display_string=Audit&amp;VAR:KEY=LUPGHAVCRA&amp;VAR:QUERY=RkZfUEUoQU5OLDQwNzg3LTRZLCwsUkYp&amp;WINDOW=FIRST_POPUP&amp;HEIGHT=450&amp;WIDTH=450&amp;START_MAXIMI","ZED=FALSE&amp;VAR:CALENDAR=FIVEDAY&amp;VAR:SYMBOL=93114210&amp;VAR:INDEX=0"}</definedName>
    <definedName name="_5357__FDSAUDITLINK__" localSheetId="27">{"fdsup://directions/FAT Viewer?action=UPDATE&amp;creator=factset&amp;DYN_ARGS=TRUE&amp;DOC_NAME=FAT:FQL_AUDITING_CLIENT_TEMPLATE.FAT&amp;display_string=Audit&amp;VAR:KEY=LUPGHAVCRA&amp;VAR:QUERY=RkZfUEUoQU5OLDQwNzg3LTRZLCwsUkYp&amp;WINDOW=FIRST_POPUP&amp;HEIGHT=450&amp;WIDTH=450&amp;START_MAXIMI","ZED=FALSE&amp;VAR:CALENDAR=FIVEDAY&amp;VAR:SYMBOL=93114210&amp;VAR:INDEX=0"}</definedName>
    <definedName name="_5358__FDSAUDITLINK__" localSheetId="34">{"fdsup://directions/FAT Viewer?action=UPDATE&amp;creator=factset&amp;DYN_ARGS=TRUE&amp;DOC_NAME=FAT:FQL_AUDITING_CLIENT_TEMPLATE.FAT&amp;display_string=Audit&amp;VAR:KEY=PMBGBKLKTQ&amp;VAR:QUERY=RkZfUEUoQU5OLDQwNzg3LTRZLCwsUkYp&amp;WINDOW=FIRST_POPUP&amp;HEIGHT=450&amp;WIDTH=450&amp;START_MAXIMI","ZED=FALSE&amp;VAR:CALENDAR=FIVEDAY&amp;VAR:SYMBOL=090674&amp;VAR:INDEX=0"}</definedName>
    <definedName name="_5358__FDSAUDITLINK__" localSheetId="27">{"fdsup://directions/FAT Viewer?action=UPDATE&amp;creator=factset&amp;DYN_ARGS=TRUE&amp;DOC_NAME=FAT:FQL_AUDITING_CLIENT_TEMPLATE.FAT&amp;display_string=Audit&amp;VAR:KEY=PMBGBKLKTQ&amp;VAR:QUERY=RkZfUEUoQU5OLDQwNzg3LTRZLCwsUkYp&amp;WINDOW=FIRST_POPUP&amp;HEIGHT=450&amp;WIDTH=450&amp;START_MAXIMI","ZED=FALSE&amp;VAR:CALENDAR=FIVEDAY&amp;VAR:SYMBOL=090674&amp;VAR:INDEX=0"}</definedName>
    <definedName name="_5359__FDSAUDITLINK__" localSheetId="34">{"fdsup://directions/FAT Viewer?action=UPDATE&amp;creator=factset&amp;DYN_ARGS=TRUE&amp;DOC_NAME=FAT:FQL_AUDITING_CLIENT_TEMPLATE.FAT&amp;display_string=Audit&amp;VAR:KEY=ZUPYJSDQDS&amp;VAR:QUERY=RkZfUEUoQU5OLDQwNzg3LTFZLCwsUkYp&amp;WINDOW=FIRST_POPUP&amp;HEIGHT=450&amp;WIDTH=450&amp;START_MAXIMI","ZED=FALSE&amp;VAR:CALENDAR=FIVEDAY&amp;VAR:SYMBOL=B23VYZ&amp;VAR:INDEX=0"}</definedName>
    <definedName name="_5359__FDSAUDITLINK__" localSheetId="27">{"fdsup://directions/FAT Viewer?action=UPDATE&amp;creator=factset&amp;DYN_ARGS=TRUE&amp;DOC_NAME=FAT:FQL_AUDITING_CLIENT_TEMPLATE.FAT&amp;display_string=Audit&amp;VAR:KEY=ZUPYJSDQDS&amp;VAR:QUERY=RkZfUEUoQU5OLDQwNzg3LTFZLCwsUkYp&amp;WINDOW=FIRST_POPUP&amp;HEIGHT=450&amp;WIDTH=450&amp;START_MAXIMI","ZED=FALSE&amp;VAR:CALENDAR=FIVEDAY&amp;VAR:SYMBOL=B23VYZ&amp;VAR:INDEX=0"}</definedName>
    <definedName name="_5360__FDSAUDITLINK__" localSheetId="34">{"fdsup://directions/FAT Viewer?action=UPDATE&amp;creator=factset&amp;DYN_ARGS=TRUE&amp;DOC_NAME=FAT:FQL_AUDITING_CLIENT_TEMPLATE.FAT&amp;display_string=Audit&amp;VAR:KEY=HGPITAZELE&amp;VAR:QUERY=RkZfUEUoQU5OLDQwNzg3LTJZLCwsUkYp&amp;WINDOW=FIRST_POPUP&amp;HEIGHT=450&amp;WIDTH=450&amp;START_MAXIMI","ZED=FALSE&amp;VAR:CALENDAR=FIVEDAY&amp;VAR:SYMBOL=309272&amp;VAR:INDEX=0"}</definedName>
    <definedName name="_5360__FDSAUDITLINK__" localSheetId="27">{"fdsup://directions/FAT Viewer?action=UPDATE&amp;creator=factset&amp;DYN_ARGS=TRUE&amp;DOC_NAME=FAT:FQL_AUDITING_CLIENT_TEMPLATE.FAT&amp;display_string=Audit&amp;VAR:KEY=HGPITAZELE&amp;VAR:QUERY=RkZfUEUoQU5OLDQwNzg3LTJZLCwsUkYp&amp;WINDOW=FIRST_POPUP&amp;HEIGHT=450&amp;WIDTH=450&amp;START_MAXIMI","ZED=FALSE&amp;VAR:CALENDAR=FIVEDAY&amp;VAR:SYMBOL=309272&amp;VAR:INDEX=0"}</definedName>
    <definedName name="_5361__FDSAUDITLINK__" localSheetId="34">{"fdsup://directions/FAT Viewer?action=UPDATE&amp;creator=factset&amp;DYN_ARGS=TRUE&amp;DOC_NAME=FAT:FQL_AUDITING_CLIENT_TEMPLATE.FAT&amp;display_string=Audit&amp;VAR:KEY=ZYDQHWXANQ&amp;VAR:QUERY=RkZfUEUoQU5OLDQwNzg3LTJZLCwsUkYp&amp;WINDOW=FIRST_POPUP&amp;HEIGHT=450&amp;WIDTH=450&amp;START_MAXIMI","ZED=FALSE&amp;VAR:CALENDAR=FIVEDAY&amp;VAR:SYMBOL=312748&amp;VAR:INDEX=0"}</definedName>
    <definedName name="_5361__FDSAUDITLINK__" localSheetId="27">{"fdsup://directions/FAT Viewer?action=UPDATE&amp;creator=factset&amp;DYN_ARGS=TRUE&amp;DOC_NAME=FAT:FQL_AUDITING_CLIENT_TEMPLATE.FAT&amp;display_string=Audit&amp;VAR:KEY=ZYDQHWXANQ&amp;VAR:QUERY=RkZfUEUoQU5OLDQwNzg3LTJZLCwsUkYp&amp;WINDOW=FIRST_POPUP&amp;HEIGHT=450&amp;WIDTH=450&amp;START_MAXIMI","ZED=FALSE&amp;VAR:CALENDAR=FIVEDAY&amp;VAR:SYMBOL=312748&amp;VAR:INDEX=0"}</definedName>
    <definedName name="_5362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2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3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3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4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4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5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5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6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6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7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7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8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8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9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69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0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0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1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1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2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2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3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3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4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4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5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5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6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6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7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7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8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8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9__FDSAUDITLINK__" localSheetId="34">{"fdsup://directions/FAT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79__FDSAUDITLINK__" localSheetId="27">{"fdsup://directions/FAT Viewer?action=UPDATE&amp;creator=factset&amp;DYN_ARGS=TRUE&amp;DOC_NAME=FAT:FQL_AUDITING_CLIENT_TEMPLATE.FAT&amp;display_string=Audit&amp;VAR:KEY=BMJMLQPUNG&amp;VAR:QUERY=KCgoKCgoKEZGX0RFQlQoUVRSLDQwNzg3LCwsLEdCUClARkZfREVCVChTRU1JLDQwNzg3LCwsLEdCUCkpQEZGX","0RFQlQoQU5OX1IsNDA3ODcsLCwsR0JQKSlARkZfREVCVChRVFIsMCwsLCxHQlApKUBGRl9ERUJUKFNFTUksMCwsLCxHQlApKUBGRl9ERUJUKFFUUiwwLCwsLEdCUCkpQEZGX0RFQlQoU0VNSSwwLCwsLEdCUCkpQEZGX0RFQlQoQU5OX1IsMCwsLCxHQlApKQ==&amp;WINDOW=FIRST_POPUP&amp;HEIGHT=450&amp;WIDTH=450&amp;START_MAXIMIZED=FAL","SE&amp;VAR:CALENDAR=FIVEDAY&amp;VAR:SYMBOL=0&amp;VAR:INDEX=0"}</definedName>
    <definedName name="_5392__FDSAUDITLINK__" localSheetId="34">{"fdsup://directions/FAT Viewer?action=UPDATE&amp;creator=factset&amp;DYN_ARGS=TRUE&amp;DOC_NAME=FAT:FQL_AUDITING_CLIENT_TEMPLATE.FAT&amp;display_string=Audit&amp;VAR:KEY=NUNOVQZCZG&amp;VAR:QUERY=RkZfUEUoQU5OLDQwNzg3LCwsUkYp&amp;WINDOW=FIRST_POPUP&amp;HEIGHT=450&amp;WIDTH=450&amp;START_MAXIMIZED=","FALSE&amp;VAR:CALENDAR=FIVEDAY&amp;VAR:SYMBOL=076680&amp;VAR:INDEX=0"}</definedName>
    <definedName name="_5392__FDSAUDITLINK__" localSheetId="27">{"fdsup://directions/FAT Viewer?action=UPDATE&amp;creator=factset&amp;DYN_ARGS=TRUE&amp;DOC_NAME=FAT:FQL_AUDITING_CLIENT_TEMPLATE.FAT&amp;display_string=Audit&amp;VAR:KEY=NUNOVQZCZG&amp;VAR:QUERY=RkZfUEUoQU5OLDQwNzg3LCwsUkYp&amp;WINDOW=FIRST_POPUP&amp;HEIGHT=450&amp;WIDTH=450&amp;START_MAXIMIZED=","FALSE&amp;VAR:CALENDAR=FIVEDAY&amp;VAR:SYMBOL=076680&amp;VAR:INDEX=0"}</definedName>
    <definedName name="_5393__FDSAUDITLINK__" localSheetId="34">{"fdsup://directions/FAT Viewer?action=UPDATE&amp;creator=factset&amp;DYN_ARGS=TRUE&amp;DOC_NAME=FAT:FQL_AUDITING_CLIENT_TEMPLATE.FAT&amp;display_string=Audit&amp;VAR:KEY=HOBKZMBMDG&amp;VAR:QUERY=RkZfUEUoQU5OLDQwNzg3LTFZLCwsUkYp&amp;WINDOW=FIRST_POPUP&amp;HEIGHT=450&amp;WIDTH=450&amp;START_MAXIMI","ZED=FALSE&amp;VAR:CALENDAR=FIVEDAY&amp;VAR:SYMBOL=93114210&amp;VAR:INDEX=0"}</definedName>
    <definedName name="_5393__FDSAUDITLINK__" localSheetId="27">{"fdsup://directions/FAT Viewer?action=UPDATE&amp;creator=factset&amp;DYN_ARGS=TRUE&amp;DOC_NAME=FAT:FQL_AUDITING_CLIENT_TEMPLATE.FAT&amp;display_string=Audit&amp;VAR:KEY=HOBKZMBMDG&amp;VAR:QUERY=RkZfUEUoQU5OLDQwNzg3LTFZLCwsUkYp&amp;WINDOW=FIRST_POPUP&amp;HEIGHT=450&amp;WIDTH=450&amp;START_MAXIMI","ZED=FALSE&amp;VAR:CALENDAR=FIVEDAY&amp;VAR:SYMBOL=93114210&amp;VAR:INDEX=0"}</definedName>
    <definedName name="_5394__FDSAUDITLINK__" localSheetId="34">{"fdsup://directions/FAT Viewer?action=UPDATE&amp;creator=factset&amp;DYN_ARGS=TRUE&amp;DOC_NAME=FAT:FQL_AUDITING_CLIENT_TEMPLATE.FAT&amp;display_string=Audit&amp;VAR:KEY=RKTKPUNYHU&amp;VAR:QUERY=RkZfUEUoQU5OLDQwNzg3LTFZLCwsUkYp&amp;WINDOW=FIRST_POPUP&amp;HEIGHT=450&amp;WIDTH=450&amp;START_MAXIMI","ZED=FALSE&amp;VAR:CALENDAR=FIVEDAY&amp;VAR:SYMBOL=690064&amp;VAR:INDEX=0"}</definedName>
    <definedName name="_5394__FDSAUDITLINK__" localSheetId="27">{"fdsup://directions/FAT Viewer?action=UPDATE&amp;creator=factset&amp;DYN_ARGS=TRUE&amp;DOC_NAME=FAT:FQL_AUDITING_CLIENT_TEMPLATE.FAT&amp;display_string=Audit&amp;VAR:KEY=RKTKPUNYHU&amp;VAR:QUERY=RkZfUEUoQU5OLDQwNzg3LTFZLCwsUkYp&amp;WINDOW=FIRST_POPUP&amp;HEIGHT=450&amp;WIDTH=450&amp;START_MAXIMI","ZED=FALSE&amp;VAR:CALENDAR=FIVEDAY&amp;VAR:SYMBOL=690064&amp;VAR:INDEX=0"}</definedName>
    <definedName name="_5395__FDSAUDITLINK__" localSheetId="34">{"fdsup://directions/FAT Viewer?action=UPDATE&amp;creator=factset&amp;DYN_ARGS=TRUE&amp;DOC_NAME=FAT:FQL_AUDITING_CLIENT_TEMPLATE.FAT&amp;display_string=Audit&amp;VAR:KEY=FELUBSBODO&amp;VAR:QUERY=RkZfUEUoQU5OLDQwNzg3LTJZLCwsUkYp&amp;WINDOW=FIRST_POPUP&amp;HEIGHT=450&amp;WIDTH=450&amp;START_MAXIMI","ZED=FALSE&amp;VAR:CALENDAR=FIVEDAY&amp;VAR:SYMBOL=B126KH&amp;VAR:INDEX=0"}</definedName>
    <definedName name="_5395__FDSAUDITLINK__" localSheetId="27">{"fdsup://directions/FAT Viewer?action=UPDATE&amp;creator=factset&amp;DYN_ARGS=TRUE&amp;DOC_NAME=FAT:FQL_AUDITING_CLIENT_TEMPLATE.FAT&amp;display_string=Audit&amp;VAR:KEY=FELUBSBODO&amp;VAR:QUERY=RkZfUEUoQU5OLDQwNzg3LTJZLCwsUkYp&amp;WINDOW=FIRST_POPUP&amp;HEIGHT=450&amp;WIDTH=450&amp;START_MAXIMI","ZED=FALSE&amp;VAR:CALENDAR=FIVEDAY&amp;VAR:SYMBOL=B126KH&amp;VAR:INDEX=0"}</definedName>
    <definedName name="_5396__FDSAUDITLINK__" localSheetId="34">{"fdsup://directions/FAT Viewer?action=UPDATE&amp;creator=factset&amp;DYN_ARGS=TRUE&amp;DOC_NAME=FAT:FQL_AUDITING_CLIENT_TEMPLATE.FAT&amp;display_string=Audit&amp;VAR:KEY=NKVYPWFWTO&amp;VAR:QUERY=RkZfUEUoQU5OLDQwNzg3LTJZLCwsUkYp&amp;WINDOW=FIRST_POPUP&amp;HEIGHT=450&amp;WIDTH=450&amp;START_MAXIMI","ZED=FALSE&amp;VAR:CALENDAR=FIVEDAY&amp;VAR:SYMBOL=671402&amp;VAR:INDEX=0"}</definedName>
    <definedName name="_5396__FDSAUDITLINK__" localSheetId="27">{"fdsup://directions/FAT Viewer?action=UPDATE&amp;creator=factset&amp;DYN_ARGS=TRUE&amp;DOC_NAME=FAT:FQL_AUDITING_CLIENT_TEMPLATE.FAT&amp;display_string=Audit&amp;VAR:KEY=NKVYPWFWTO&amp;VAR:QUERY=RkZfUEUoQU5OLDQwNzg3LTJZLCwsUkYp&amp;WINDOW=FIRST_POPUP&amp;HEIGHT=450&amp;WIDTH=450&amp;START_MAXIMI","ZED=FALSE&amp;VAR:CALENDAR=FIVEDAY&amp;VAR:SYMBOL=671402&amp;VAR:INDEX=0"}</definedName>
    <definedName name="_5397__FDSAUDITLINK__" localSheetId="34">{"fdsup://directions/FAT Viewer?action=UPDATE&amp;creator=factset&amp;DYN_ARGS=TRUE&amp;DOC_NAME=FAT:FQL_AUDITING_CLIENT_TEMPLATE.FAT&amp;display_string=Audit&amp;VAR:KEY=VQBUXAJIXY&amp;VAR:QUERY=RkZfUEUoQU5OLDQwNzg3LTJZLCwsUkYp&amp;WINDOW=FIRST_POPUP&amp;HEIGHT=450&amp;WIDTH=450&amp;START_MAXIMI","ZED=FALSE&amp;VAR:CALENDAR=FIVEDAY&amp;VAR:SYMBOL=B23VYZ&amp;VAR:INDEX=0"}</definedName>
    <definedName name="_5397__FDSAUDITLINK__" localSheetId="27">{"fdsup://directions/FAT Viewer?action=UPDATE&amp;creator=factset&amp;DYN_ARGS=TRUE&amp;DOC_NAME=FAT:FQL_AUDITING_CLIENT_TEMPLATE.FAT&amp;display_string=Audit&amp;VAR:KEY=VQBUXAJIXY&amp;VAR:QUERY=RkZfUEUoQU5OLDQwNzg3LTJZLCwsUkYp&amp;WINDOW=FIRST_POPUP&amp;HEIGHT=450&amp;WIDTH=450&amp;START_MAXIMI","ZED=FALSE&amp;VAR:CALENDAR=FIVEDAY&amp;VAR:SYMBOL=B23VYZ&amp;VAR:INDEX=0"}</definedName>
    <definedName name="_5398__FDSAUDITLINK__" localSheetId="34">{"fdsup://directions/FAT Viewer?action=UPDATE&amp;creator=factset&amp;DYN_ARGS=TRUE&amp;DOC_NAME=FAT:FQL_AUDITING_CLIENT_TEMPLATE.FAT&amp;display_string=Audit&amp;VAR:KEY=ZOVYDALIVC&amp;VAR:QUERY=RkZfUEUoQU5OLDQwNzg3LTNZLCwsUkYp&amp;WINDOW=FIRST_POPUP&amp;HEIGHT=450&amp;WIDTH=450&amp;START_MAXIMI","ZED=FALSE&amp;VAR:CALENDAR=FIVEDAY&amp;VAR:SYMBOL=93114210&amp;VAR:INDEX=0"}</definedName>
    <definedName name="_5398__FDSAUDITLINK__" localSheetId="27">{"fdsup://directions/FAT Viewer?action=UPDATE&amp;creator=factset&amp;DYN_ARGS=TRUE&amp;DOC_NAME=FAT:FQL_AUDITING_CLIENT_TEMPLATE.FAT&amp;display_string=Audit&amp;VAR:KEY=ZOVYDALIVC&amp;VAR:QUERY=RkZfUEUoQU5OLDQwNzg3LTNZLCwsUkYp&amp;WINDOW=FIRST_POPUP&amp;HEIGHT=450&amp;WIDTH=450&amp;START_MAXIMI","ZED=FALSE&amp;VAR:CALENDAR=FIVEDAY&amp;VAR:SYMBOL=93114210&amp;VAR:INDEX=0"}</definedName>
    <definedName name="_5399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399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401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01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06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406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5424__FDSAUDITLINK__" localSheetId="34">{"fdsup://directions/FAT Viewer?action=UPDATE&amp;creator=factset&amp;DYN_ARGS=TRUE&amp;DOC_NAME=FAT:FQL_AUDITING_CLIENT_TEMPLATE.FAT&amp;display_string=Audit&amp;VAR:KEY=LMNQLWTQLG&amp;VAR:QUERY=RkZfUEUoQU5OLDQwNzg3LTJZLCwsUkYp&amp;WINDOW=FIRST_POPUP&amp;HEIGHT=450&amp;WIDTH=450&amp;START_MAXIMI","ZED=FALSE&amp;VAR:CALENDAR=FIVEDAY&amp;VAR:SYMBOL=076680&amp;VAR:INDEX=0"}</definedName>
    <definedName name="_5424__FDSAUDITLINK__" localSheetId="27">{"fdsup://directions/FAT Viewer?action=UPDATE&amp;creator=factset&amp;DYN_ARGS=TRUE&amp;DOC_NAME=FAT:FQL_AUDITING_CLIENT_TEMPLATE.FAT&amp;display_string=Audit&amp;VAR:KEY=LMNQLWTQLG&amp;VAR:QUERY=RkZfUEUoQU5OLDQwNzg3LTJZLCwsUkYp&amp;WINDOW=FIRST_POPUP&amp;HEIGHT=450&amp;WIDTH=450&amp;START_MAXIMI","ZED=FALSE&amp;VAR:CALENDAR=FIVEDAY&amp;VAR:SYMBOL=076680&amp;VAR:INDEX=0"}</definedName>
    <definedName name="_5441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41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44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44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5458__FDSAUDITLINK__" localSheetId="34">{"fdsup://directions/FAT Viewer?action=UPDATE&amp;creator=factset&amp;DYN_ARGS=TRUE&amp;DOC_NAME=FAT:FQL_AUDITING_CLIENT_TEMPLATE.FAT&amp;display_string=Audit&amp;VAR:KEY=BMPENMREZU&amp;VAR:QUERY=RkZfUEUoQU5OLDQwNzg3LTNZLCwsUkYp&amp;WINDOW=FIRST_POPUP&amp;HEIGHT=450&amp;WIDTH=450&amp;START_MAXIMI","ZED=FALSE&amp;VAR:CALENDAR=FIVEDAY&amp;VAR:SYMBOL=B16GWD&amp;VAR:INDEX=0"}</definedName>
    <definedName name="_5458__FDSAUDITLINK__" localSheetId="27">{"fdsup://directions/FAT Viewer?action=UPDATE&amp;creator=factset&amp;DYN_ARGS=TRUE&amp;DOC_NAME=FAT:FQL_AUDITING_CLIENT_TEMPLATE.FAT&amp;display_string=Audit&amp;VAR:KEY=BMPENMREZU&amp;VAR:QUERY=RkZfUEUoQU5OLDQwNzg3LTNZLCwsUkYp&amp;WINDOW=FIRST_POPUP&amp;HEIGHT=450&amp;WIDTH=450&amp;START_MAXIMI","ZED=FALSE&amp;VAR:CALENDAR=FIVEDAY&amp;VAR:SYMBOL=B16GWD&amp;VAR:INDEX=0"}</definedName>
    <definedName name="_5464__FDSAUDITLINK__" localSheetId="34">{"fdsup://directions/FAT Viewer?action=UPDATE&amp;creator=factset&amp;DYN_ARGS=TRUE&amp;DOC_NAME=FAT:FQL_AUDITING_CLIENT_TEMPLATE.FAT&amp;display_string=Audit&amp;VAR:KEY=VUDILQFETA&amp;VAR:QUERY=RkZfUEUoQU5OLDQwNzg3LCwsUkYp&amp;WINDOW=FIRST_POPUP&amp;HEIGHT=450&amp;WIDTH=450&amp;START_MAXIMIZED=","FALSE&amp;VAR:CALENDAR=FIVEDAY&amp;VAR:SYMBOL=016419&amp;VAR:INDEX=0"}</definedName>
    <definedName name="_5464__FDSAUDITLINK__" localSheetId="27">{"fdsup://directions/FAT Viewer?action=UPDATE&amp;creator=factset&amp;DYN_ARGS=TRUE&amp;DOC_NAME=FAT:FQL_AUDITING_CLIENT_TEMPLATE.FAT&amp;display_string=Audit&amp;VAR:KEY=VUDILQFETA&amp;VAR:QUERY=RkZfUEUoQU5OLDQwNzg3LCwsUkYp&amp;WINDOW=FIRST_POPUP&amp;HEIGHT=450&amp;WIDTH=450&amp;START_MAXIMIZED=","FALSE&amp;VAR:CALENDAR=FIVEDAY&amp;VAR:SYMBOL=016419&amp;VAR:INDEX=0"}</definedName>
    <definedName name="_5465__FDSAUDITLINK__" localSheetId="34">{"fdsup://directions/FAT Viewer?action=UPDATE&amp;creator=factset&amp;DYN_ARGS=TRUE&amp;DOC_NAME=FAT:FQL_AUDITING_CLIENT_TEMPLATE.FAT&amp;display_string=Audit&amp;VAR:KEY=BSFCVUZGVC&amp;VAR:QUERY=RkZfUEUoQU5OLDQwNzg3LCwsUkYp&amp;WINDOW=FIRST_POPUP&amp;HEIGHT=450&amp;WIDTH=450&amp;START_MAXIMIZED=","FALSE&amp;VAR:CALENDAR=FIVEDAY&amp;VAR:SYMBOL=B16GWD&amp;VAR:INDEX=0"}</definedName>
    <definedName name="_5465__FDSAUDITLINK__" localSheetId="27">{"fdsup://directions/FAT Viewer?action=UPDATE&amp;creator=factset&amp;DYN_ARGS=TRUE&amp;DOC_NAME=FAT:FQL_AUDITING_CLIENT_TEMPLATE.FAT&amp;display_string=Audit&amp;VAR:KEY=BSFCVUZGVC&amp;VAR:QUERY=RkZfUEUoQU5OLDQwNzg3LCwsUkYp&amp;WINDOW=FIRST_POPUP&amp;HEIGHT=450&amp;WIDTH=450&amp;START_MAXIMIZED=","FALSE&amp;VAR:CALENDAR=FIVEDAY&amp;VAR:SYMBOL=B16GWD&amp;VAR:INDEX=0"}</definedName>
    <definedName name="_5481__FDSAUDITLINK__" localSheetId="34">{"fdsup://Directions/FactSet Auditing Viewer?action=AUDIT_VALUE&amp;DB=129&amp;ID1=016419&amp;VALUEID=01451&amp;SDATE=2009&amp;PERIODTYPE=ANN_STD&amp;SCFT=3&amp;window=popup_no_bar&amp;width=385&amp;height=120&amp;START_MAXIMIZED=FALSE&amp;creator=factset&amp;display_string=Audit"}</definedName>
    <definedName name="_5481__FDSAUDITLINK__" localSheetId="27">{"fdsup://Directions/FactSet Auditing Viewer?action=AUDIT_VALUE&amp;DB=129&amp;ID1=016419&amp;VALUEID=01451&amp;SDATE=2009&amp;PERIODTYPE=ANN_STD&amp;SCFT=3&amp;window=popup_no_bar&amp;width=385&amp;height=120&amp;START_MAXIMIZED=FALSE&amp;creator=factset&amp;display_string=Audit"}</definedName>
    <definedName name="_5482__FDSAUDITLINK__" localSheetId="34">{"fdsup://Directions/FactSet Auditing Viewer?action=AUDIT_VALUE&amp;DB=129&amp;ID1=671402&amp;VALUEID=01451&amp;SDATE=2009&amp;PERIODTYPE=ANN_STD&amp;SCFT=3&amp;window=popup_no_bar&amp;width=385&amp;height=120&amp;START_MAXIMIZED=FALSE&amp;creator=factset&amp;display_string=Audit"}</definedName>
    <definedName name="_5482__FDSAUDITLINK__" localSheetId="27">{"fdsup://Directions/FactSet Auditing Viewer?action=AUDIT_VALUE&amp;DB=129&amp;ID1=671402&amp;VALUEID=01451&amp;SDATE=2009&amp;PERIODTYPE=ANN_STD&amp;SCFT=3&amp;window=popup_no_bar&amp;width=385&amp;height=120&amp;START_MAXIMIZED=FALSE&amp;creator=factset&amp;display_string=Audit"}</definedName>
    <definedName name="_5484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5484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552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52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528__FDSAUDITLINK__" localSheetId="34">{"fdsup://Directions/FactSet Auditing Viewer?action=AUDIT_VALUE&amp;DB=129&amp;ID1=671402&amp;VALUEID=02999&amp;SDATE=2006&amp;PERIODTYPE=ANNR_STD&amp;SCFT=3&amp;window=popup_no_bar&amp;width=385&amp;height=120&amp;START_MAXIMIZED=FALSE&amp;creator=factset&amp;display_string=Audit"}</definedName>
    <definedName name="_5528__FDSAUDITLINK__" localSheetId="27">{"fdsup://Directions/FactSet Auditing Viewer?action=AUDIT_VALUE&amp;DB=129&amp;ID1=671402&amp;VALUEID=02999&amp;SDATE=2006&amp;PERIODTYPE=ANNR_STD&amp;SCFT=3&amp;window=popup_no_bar&amp;width=385&amp;height=120&amp;START_MAXIMIZED=FALSE&amp;creator=factset&amp;display_string=Audit"}</definedName>
    <definedName name="_5529__FDSAUDITLINK__" localSheetId="34">{"fdsup://Directions/FactSet Auditing Viewer?action=AUDIT_VALUE&amp;DB=129&amp;ID1=06050510&amp;VALUEID=02999&amp;SDATE=2006&amp;PERIODTYPE=ANNR_STD&amp;SCFT=3&amp;window=popup_no_bar&amp;width=385&amp;height=120&amp;START_MAXIMIZED=FALSE&amp;creator=factset&amp;display_string=Audit"}</definedName>
    <definedName name="_5529__FDSAUDITLINK__" localSheetId="27">{"fdsup://Directions/FactSet Auditing Viewer?action=AUDIT_VALUE&amp;DB=129&amp;ID1=06050510&amp;VALUEID=02999&amp;SDATE=2006&amp;PERIODTYPE=ANNR_STD&amp;SCFT=3&amp;window=popup_no_bar&amp;width=385&amp;height=120&amp;START_MAXIMIZED=FALSE&amp;creator=factset&amp;display_string=Audit"}</definedName>
    <definedName name="_553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53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530__FDSAUDITLINK__" localSheetId="34">{"fdsup://Directions/FactSet Auditing Viewer?action=AUDIT_VALUE&amp;DB=129&amp;ID1=690064&amp;VALUEID=02999&amp;SDATE=2006&amp;PERIODTYPE=ANNR_STD&amp;SCFT=3&amp;window=popup_no_bar&amp;width=385&amp;height=120&amp;START_MAXIMIZED=FALSE&amp;creator=factset&amp;display_string=Audit"}</definedName>
    <definedName name="_5530__FDSAUDITLINK__" localSheetId="27">{"fdsup://Directions/FactSet Auditing Viewer?action=AUDIT_VALUE&amp;DB=129&amp;ID1=690064&amp;VALUEID=02999&amp;SDATE=2006&amp;PERIODTYPE=ANNR_STD&amp;SCFT=3&amp;window=popup_no_bar&amp;width=385&amp;height=120&amp;START_MAXIMIZED=FALSE&amp;creator=factset&amp;display_string=Audit"}</definedName>
    <definedName name="_5531__FDSAUDITLINK__" localSheetId="34">{"fdsup://Directions/FactSet Auditing Viewer?action=AUDIT_VALUE&amp;DB=129&amp;ID1=93114210&amp;VALUEID=02999&amp;SDATE=2006&amp;PERIODTYPE=ANNR_STD&amp;SCFT=3&amp;window=popup_no_bar&amp;width=385&amp;height=120&amp;START_MAXIMIZED=FALSE&amp;creator=factset&amp;display_string=Audit"}</definedName>
    <definedName name="_5531__FDSAUDITLINK__" localSheetId="27">{"fdsup://Directions/FactSet Auditing Viewer?action=AUDIT_VALUE&amp;DB=129&amp;ID1=93114210&amp;VALUEID=02999&amp;SDATE=2006&amp;PERIODTYPE=ANNR_STD&amp;SCFT=3&amp;window=popup_no_bar&amp;width=385&amp;height=120&amp;START_MAXIMIZED=FALSE&amp;creator=factset&amp;display_string=Audit"}</definedName>
    <definedName name="_5532__FDSAUDITLINK__" localSheetId="34">{"fdsup://Directions/FactSet Auditing Viewer?action=AUDIT_VALUE&amp;DB=129&amp;ID1=054052&amp;VALUEID=02999&amp;SDATE=2006&amp;PERIODTYPE=ANNR_STD&amp;SCFT=3&amp;window=popup_no_bar&amp;width=385&amp;height=120&amp;START_MAXIMIZED=FALSE&amp;creator=factset&amp;display_string=Audit"}</definedName>
    <definedName name="_5532__FDSAUDITLINK__" localSheetId="27">{"fdsup://Directions/FactSet Auditing Viewer?action=AUDIT_VALUE&amp;DB=129&amp;ID1=054052&amp;VALUEID=02999&amp;SDATE=2006&amp;PERIODTYPE=ANNR_STD&amp;SCFT=3&amp;window=popup_no_bar&amp;width=385&amp;height=120&amp;START_MAXIMIZED=FALSE&amp;creator=factset&amp;display_string=Audit"}</definedName>
    <definedName name="_5533__FDSAUDITLINK__" localSheetId="34">{"fdsup://Directions/FactSet Auditing Viewer?action=AUDIT_VALUE&amp;DB=129&amp;ID1=B16GWD&amp;VALUEID=02999&amp;SDATE=2006&amp;PERIODTYPE=ANNR_STD&amp;SCFT=3&amp;window=popup_no_bar&amp;width=385&amp;height=120&amp;START_MAXIMIZED=FALSE&amp;creator=factset&amp;display_string=Audit"}</definedName>
    <definedName name="_5533__FDSAUDITLINK__" localSheetId="27">{"fdsup://Directions/FactSet Auditing Viewer?action=AUDIT_VALUE&amp;DB=129&amp;ID1=B16GWD&amp;VALUEID=02999&amp;SDATE=2006&amp;PERIODTYPE=ANNR_STD&amp;SCFT=3&amp;window=popup_no_bar&amp;width=385&amp;height=120&amp;START_MAXIMIZED=FALSE&amp;creator=factset&amp;display_string=Audit"}</definedName>
    <definedName name="_5534__FDSAUDITLINK__" localSheetId="34">{"fdsup://Directions/FactSet Auditing Viewer?action=AUDIT_VALUE&amp;DB=129&amp;ID1=671402&amp;VALUEID=02999&amp;SDATE=2007&amp;PERIODTYPE=ANNR_STD&amp;SCFT=3&amp;window=popup_no_bar&amp;width=385&amp;height=120&amp;START_MAXIMIZED=FALSE&amp;creator=factset&amp;display_string=Audit"}</definedName>
    <definedName name="_5534__FDSAUDITLINK__" localSheetId="27">{"fdsup://Directions/FactSet Auditing Viewer?action=AUDIT_VALUE&amp;DB=129&amp;ID1=671402&amp;VALUEID=02999&amp;SDATE=2007&amp;PERIODTYPE=ANNR_STD&amp;SCFT=3&amp;window=popup_no_bar&amp;width=385&amp;height=120&amp;START_MAXIMIZED=FALSE&amp;creator=factset&amp;display_string=Audit"}</definedName>
    <definedName name="_5535__FDSAUDITLINK__" localSheetId="34">{"fdsup://Directions/FactSet Auditing Viewer?action=AUDIT_VALUE&amp;DB=129&amp;ID1=06050510&amp;VALUEID=02999&amp;SDATE=2007&amp;PERIODTYPE=ANNR_STD&amp;SCFT=3&amp;window=popup_no_bar&amp;width=385&amp;height=120&amp;START_MAXIMIZED=FALSE&amp;creator=factset&amp;display_string=Audit"}</definedName>
    <definedName name="_5535__FDSAUDITLINK__" localSheetId="27">{"fdsup://Directions/FactSet Auditing Viewer?action=AUDIT_VALUE&amp;DB=129&amp;ID1=06050510&amp;VALUEID=02999&amp;SDATE=2007&amp;PERIODTYPE=ANNR_STD&amp;SCFT=3&amp;window=popup_no_bar&amp;width=385&amp;height=120&amp;START_MAXIMIZED=FALSE&amp;creator=factset&amp;display_string=Audit"}</definedName>
    <definedName name="_5536__FDSAUDITLINK__" localSheetId="34">{"fdsup://Directions/FactSet Auditing Viewer?action=AUDIT_VALUE&amp;DB=129&amp;ID1=690064&amp;VALUEID=02999&amp;SDATE=2007&amp;PERIODTYPE=ANNR_STD&amp;SCFT=3&amp;window=popup_no_bar&amp;width=385&amp;height=120&amp;START_MAXIMIZED=FALSE&amp;creator=factset&amp;display_string=Audit"}</definedName>
    <definedName name="_5536__FDSAUDITLINK__" localSheetId="27">{"fdsup://Directions/FactSet Auditing Viewer?action=AUDIT_VALUE&amp;DB=129&amp;ID1=690064&amp;VALUEID=02999&amp;SDATE=2007&amp;PERIODTYPE=ANNR_STD&amp;SCFT=3&amp;window=popup_no_bar&amp;width=385&amp;height=120&amp;START_MAXIMIZED=FALSE&amp;creator=factset&amp;display_string=Audit"}</definedName>
    <definedName name="_5537__FDSAUDITLINK__" localSheetId="34">{"fdsup://Directions/FactSet Auditing Viewer?action=AUDIT_VALUE&amp;DB=129&amp;ID1=93114210&amp;VALUEID=02999&amp;SDATE=2007&amp;PERIODTYPE=ANNR_STD&amp;SCFT=3&amp;window=popup_no_bar&amp;width=385&amp;height=120&amp;START_MAXIMIZED=FALSE&amp;creator=factset&amp;display_string=Audit"}</definedName>
    <definedName name="_5537__FDSAUDITLINK__" localSheetId="27">{"fdsup://Directions/FactSet Auditing Viewer?action=AUDIT_VALUE&amp;DB=129&amp;ID1=93114210&amp;VALUEID=02999&amp;SDATE=2007&amp;PERIODTYPE=ANNR_STD&amp;SCFT=3&amp;window=popup_no_bar&amp;width=385&amp;height=120&amp;START_MAXIMIZED=FALSE&amp;creator=factset&amp;display_string=Audit"}</definedName>
    <definedName name="_5538__FDSAUDITLINK__" localSheetId="34">{"fdsup://Directions/FactSet Auditing Viewer?action=AUDIT_VALUE&amp;DB=129&amp;ID1=309272&amp;VALUEID=02999&amp;SDATE=2007&amp;PERIODTYPE=ANNR_STD&amp;SCFT=3&amp;window=popup_no_bar&amp;width=385&amp;height=120&amp;START_MAXIMIZED=FALSE&amp;creator=factset&amp;display_string=Audit"}</definedName>
    <definedName name="_5538__FDSAUDITLINK__" localSheetId="27">{"fdsup://Directions/FactSet Auditing Viewer?action=AUDIT_VALUE&amp;DB=129&amp;ID1=309272&amp;VALUEID=02999&amp;SDATE=2007&amp;PERIODTYPE=ANNR_STD&amp;SCFT=3&amp;window=popup_no_bar&amp;width=385&amp;height=120&amp;START_MAXIMIZED=FALSE&amp;creator=factset&amp;display_string=Audit"}</definedName>
    <definedName name="_5539__FDSAUDITLINK__" localSheetId="34">{"fdsup://Directions/FactSet Auditing Viewer?action=AUDIT_VALUE&amp;DB=129&amp;ID1=054052&amp;VALUEID=02999&amp;SDATE=2007&amp;PERIODTYPE=ANNR_STD&amp;SCFT=3&amp;window=popup_no_bar&amp;width=385&amp;height=120&amp;START_MAXIMIZED=FALSE&amp;creator=factset&amp;display_string=Audit"}</definedName>
    <definedName name="_5539__FDSAUDITLINK__" localSheetId="27">{"fdsup://Directions/FactSet Auditing Viewer?action=AUDIT_VALUE&amp;DB=129&amp;ID1=054052&amp;VALUEID=02999&amp;SDATE=2007&amp;PERIODTYPE=ANNR_STD&amp;SCFT=3&amp;window=popup_no_bar&amp;width=385&amp;height=120&amp;START_MAXIMIZED=FALSE&amp;creator=factset&amp;display_string=Audit"}</definedName>
    <definedName name="_554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54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540__FDSAUDITLINK__" localSheetId="34">{"fdsup://Directions/FactSet Auditing Viewer?action=AUDIT_VALUE&amp;DB=129&amp;ID1=B16GWD&amp;VALUEID=02999&amp;SDATE=2008&amp;PERIODTYPE=ANNR_STD&amp;SCFT=3&amp;window=popup_no_bar&amp;width=385&amp;height=120&amp;START_MAXIMIZED=FALSE&amp;creator=factset&amp;display_string=Audit"}</definedName>
    <definedName name="_5540__FDSAUDITLINK__" localSheetId="27">{"fdsup://Directions/FactSet Auditing Viewer?action=AUDIT_VALUE&amp;DB=129&amp;ID1=B16GWD&amp;VALUEID=02999&amp;SDATE=2008&amp;PERIODTYPE=ANNR_STD&amp;SCFT=3&amp;window=popup_no_bar&amp;width=385&amp;height=120&amp;START_MAXIMIZED=FALSE&amp;creator=factset&amp;display_string=Audit"}</definedName>
    <definedName name="_5542__FDSAUDITLINK__" localSheetId="34">{"fdsup://Directions/FactSet Auditing Viewer?action=AUDIT_VALUE&amp;DB=129&amp;ID1=671402&amp;VALUEID=02999&amp;SDATE=2008&amp;PERIODTYPE=ANNR_STD&amp;SCFT=3&amp;window=popup_no_bar&amp;width=385&amp;height=120&amp;START_MAXIMIZED=FALSE&amp;creator=factset&amp;display_string=Audit"}</definedName>
    <definedName name="_5542__FDSAUDITLINK__" localSheetId="27">{"fdsup://Directions/FactSet Auditing Viewer?action=AUDIT_VALUE&amp;DB=129&amp;ID1=671402&amp;VALUEID=02999&amp;SDATE=2008&amp;PERIODTYPE=ANNR_STD&amp;SCFT=3&amp;window=popup_no_bar&amp;width=385&amp;height=120&amp;START_MAXIMIZED=FALSE&amp;creator=factset&amp;display_string=Audit"}</definedName>
    <definedName name="_5543__FDSAUDITLINK__" localSheetId="34">{"fdsup://Directions/FactSet Auditing Viewer?action=AUDIT_VALUE&amp;DB=129&amp;ID1=06050510&amp;VALUEID=02999&amp;SDATE=2008&amp;PERIODTYPE=ANNR_STD&amp;SCFT=3&amp;window=popup_no_bar&amp;width=385&amp;height=120&amp;START_MAXIMIZED=FALSE&amp;creator=factset&amp;display_string=Audit"}</definedName>
    <definedName name="_5543__FDSAUDITLINK__" localSheetId="27">{"fdsup://Directions/FactSet Auditing Viewer?action=AUDIT_VALUE&amp;DB=129&amp;ID1=06050510&amp;VALUEID=02999&amp;SDATE=2008&amp;PERIODTYPE=ANNR_STD&amp;SCFT=3&amp;window=popup_no_bar&amp;width=385&amp;height=120&amp;START_MAXIMIZED=FALSE&amp;creator=factset&amp;display_string=Audit"}</definedName>
    <definedName name="_5544__FDSAUDITLINK__" localSheetId="34">{"fdsup://Directions/FactSet Auditing Viewer?action=AUDIT_VALUE&amp;DB=129&amp;ID1=690064&amp;VALUEID=02999&amp;SDATE=2008&amp;PERIODTYPE=ANNR_STD&amp;SCFT=3&amp;window=popup_no_bar&amp;width=385&amp;height=120&amp;START_MAXIMIZED=FALSE&amp;creator=factset&amp;display_string=Audit"}</definedName>
    <definedName name="_5544__FDSAUDITLINK__" localSheetId="27">{"fdsup://Directions/FactSet Auditing Viewer?action=AUDIT_VALUE&amp;DB=129&amp;ID1=690064&amp;VALUEID=02999&amp;SDATE=2008&amp;PERIODTYPE=ANNR_STD&amp;SCFT=3&amp;window=popup_no_bar&amp;width=385&amp;height=120&amp;START_MAXIMIZED=FALSE&amp;creator=factset&amp;display_string=Audit"}</definedName>
    <definedName name="_5545__FDSAUDITLINK__" localSheetId="34">{"fdsup://Directions/FactSet Auditing Viewer?action=AUDIT_VALUE&amp;DB=129&amp;ID1=016419&amp;VALUEID=02999&amp;SDATE=2008&amp;PERIODTYPE=ANNR_STD&amp;SCFT=3&amp;window=popup_no_bar&amp;width=385&amp;height=120&amp;START_MAXIMIZED=FALSE&amp;creator=factset&amp;display_string=Audit"}</definedName>
    <definedName name="_5545__FDSAUDITLINK__" localSheetId="27">{"fdsup://Directions/FactSet Auditing Viewer?action=AUDIT_VALUE&amp;DB=129&amp;ID1=016419&amp;VALUEID=02999&amp;SDATE=2008&amp;PERIODTYPE=ANNR_STD&amp;SCFT=3&amp;window=popup_no_bar&amp;width=385&amp;height=120&amp;START_MAXIMIZED=FALSE&amp;creator=factset&amp;display_string=Audit"}</definedName>
    <definedName name="_5546__FDSAUDITLINK__" localSheetId="34">{"fdsup://Directions/FactSet Auditing Viewer?action=AUDIT_VALUE&amp;DB=129&amp;ID1=010486&amp;VALUEID=02999&amp;SDATE=2008&amp;PERIODTYPE=ANNR_STD&amp;SCFT=3&amp;window=popup_no_bar&amp;width=385&amp;height=120&amp;START_MAXIMIZED=FALSE&amp;creator=factset&amp;display_string=Audit"}</definedName>
    <definedName name="_5546__FDSAUDITLINK__" localSheetId="27">{"fdsup://Directions/FactSet Auditing Viewer?action=AUDIT_VALUE&amp;DB=129&amp;ID1=010486&amp;VALUEID=02999&amp;SDATE=2008&amp;PERIODTYPE=ANNR_STD&amp;SCFT=3&amp;window=popup_no_bar&amp;width=385&amp;height=120&amp;START_MAXIMIZED=FALSE&amp;creator=factset&amp;display_string=Audit"}</definedName>
    <definedName name="_5547__FDSAUDITLINK__" localSheetId="34">{"fdsup://Directions/FactSet Auditing Viewer?action=AUDIT_VALUE&amp;DB=129&amp;ID1=309272&amp;VALUEID=02999&amp;SDATE=2008&amp;PERIODTYPE=ANNR_STD&amp;SCFT=3&amp;window=popup_no_bar&amp;width=385&amp;height=120&amp;START_MAXIMIZED=FALSE&amp;creator=factset&amp;display_string=Audit"}</definedName>
    <definedName name="_5547__FDSAUDITLINK__" localSheetId="27">{"fdsup://Directions/FactSet Auditing Viewer?action=AUDIT_VALUE&amp;DB=129&amp;ID1=309272&amp;VALUEID=02999&amp;SDATE=2008&amp;PERIODTYPE=ANNR_STD&amp;SCFT=3&amp;window=popup_no_bar&amp;width=385&amp;height=120&amp;START_MAXIMIZED=FALSE&amp;creator=factset&amp;display_string=Audit"}</definedName>
    <definedName name="_5548__FDSAUDITLINK__" localSheetId="34">{"fdsup://Directions/FactSet Auditing Viewer?action=AUDIT_VALUE&amp;DB=129&amp;ID1=090674&amp;VALUEID=02999&amp;SDATE=2008&amp;PERIODTYPE=ANNR_STD&amp;SCFT=3&amp;window=popup_no_bar&amp;width=385&amp;height=120&amp;START_MAXIMIZED=FALSE&amp;creator=factset&amp;display_string=Audit"}</definedName>
    <definedName name="_5548__FDSAUDITLINK__" localSheetId="27">{"fdsup://Directions/FactSet Auditing Viewer?action=AUDIT_VALUE&amp;DB=129&amp;ID1=090674&amp;VALUEID=02999&amp;SDATE=2008&amp;PERIODTYPE=ANNR_STD&amp;SCFT=3&amp;window=popup_no_bar&amp;width=385&amp;height=120&amp;START_MAXIMIZED=FALSE&amp;creator=factset&amp;display_string=Audit"}</definedName>
    <definedName name="_5549__FDSAUDITLINK__" localSheetId="34">{"fdsup://Directions/FactSet Auditing Viewer?action=AUDIT_VALUE&amp;DB=129&amp;ID1=B16GWD&amp;VALUEID=02999&amp;SDATE=2008&amp;PERIODTYPE=ANNR_STD&amp;SCFT=3&amp;window=popup_no_bar&amp;width=385&amp;height=120&amp;START_MAXIMIZED=FALSE&amp;creator=factset&amp;display_string=Audit"}</definedName>
    <definedName name="_5549__FDSAUDITLINK__" localSheetId="27">{"fdsup://Directions/FactSet Auditing Viewer?action=AUDIT_VALUE&amp;DB=129&amp;ID1=B16GWD&amp;VALUEID=02999&amp;SDATE=2008&amp;PERIODTYPE=ANNR_STD&amp;SCFT=3&amp;window=popup_no_bar&amp;width=385&amp;height=120&amp;START_MAXIMIZED=FALSE&amp;creator=factset&amp;display_string=Audit"}</definedName>
    <definedName name="_555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55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551__FDSAUDITLINK__" localSheetId="34">{"fdsup://Directions/FactSet Auditing Viewer?action=AUDIT_VALUE&amp;DB=129&amp;ID1=671402&amp;VALUEID=02999&amp;SDATE=2009&amp;PERIODTYPE=ANNR_STD&amp;SCFT=3&amp;window=popup_no_bar&amp;width=385&amp;height=120&amp;START_MAXIMIZED=FALSE&amp;creator=factset&amp;display_string=Audit"}</definedName>
    <definedName name="_5551__FDSAUDITLINK__" localSheetId="27">{"fdsup://Directions/FactSet Auditing Viewer?action=AUDIT_VALUE&amp;DB=129&amp;ID1=671402&amp;VALUEID=02999&amp;SDATE=2009&amp;PERIODTYPE=ANNR_STD&amp;SCFT=3&amp;window=popup_no_bar&amp;width=385&amp;height=120&amp;START_MAXIMIZED=FALSE&amp;creator=factset&amp;display_string=Audit"}</definedName>
    <definedName name="_5552__FDSAUDITLINK__" localSheetId="34">{"fdsup://Directions/FactSet Auditing Viewer?action=AUDIT_VALUE&amp;DB=129&amp;ID1=06050510&amp;VALUEID=02999&amp;SDATE=2009&amp;PERIODTYPE=ANNR_STD&amp;SCFT=3&amp;window=popup_no_bar&amp;width=385&amp;height=120&amp;START_MAXIMIZED=FALSE&amp;creator=factset&amp;display_string=Audit"}</definedName>
    <definedName name="_5552__FDSAUDITLINK__" localSheetId="27">{"fdsup://Directions/FactSet Auditing Viewer?action=AUDIT_VALUE&amp;DB=129&amp;ID1=06050510&amp;VALUEID=02999&amp;SDATE=2009&amp;PERIODTYPE=ANNR_STD&amp;SCFT=3&amp;window=popup_no_bar&amp;width=385&amp;height=120&amp;START_MAXIMIZED=FALSE&amp;creator=factset&amp;display_string=Audit"}</definedName>
    <definedName name="_5553__FDSAUDITLINK__" localSheetId="34">{"fdsup://Directions/FactSet Auditing Viewer?action=AUDIT_VALUE&amp;DB=129&amp;ID1=016419&amp;VALUEID=02999&amp;SDATE=2009&amp;PERIODTYPE=ANNR_STD&amp;SCFT=3&amp;window=popup_no_bar&amp;width=385&amp;height=120&amp;START_MAXIMIZED=FALSE&amp;creator=factset&amp;display_string=Audit"}</definedName>
    <definedName name="_5553__FDSAUDITLINK__" localSheetId="27">{"fdsup://Directions/FactSet Auditing Viewer?action=AUDIT_VALUE&amp;DB=129&amp;ID1=016419&amp;VALUEID=02999&amp;SDATE=2009&amp;PERIODTYPE=ANNR_STD&amp;SCFT=3&amp;window=popup_no_bar&amp;width=385&amp;height=120&amp;START_MAXIMIZED=FALSE&amp;creator=factset&amp;display_string=Audit"}</definedName>
    <definedName name="_5554__FDSAUDITLINK__" localSheetId="34">{"fdsup://Directions/FactSet Auditing Viewer?action=AUDIT_VALUE&amp;DB=129&amp;ID1=93114210&amp;VALUEID=02999&amp;SDATE=2009&amp;PERIODTYPE=ANNR_STD&amp;SCFT=3&amp;window=popup_no_bar&amp;width=385&amp;height=120&amp;START_MAXIMIZED=FALSE&amp;creator=factset&amp;display_string=Audit"}</definedName>
    <definedName name="_5554__FDSAUDITLINK__" localSheetId="27">{"fdsup://Directions/FactSet Auditing Viewer?action=AUDIT_VALUE&amp;DB=129&amp;ID1=93114210&amp;VALUEID=02999&amp;SDATE=2009&amp;PERIODTYPE=ANNR_STD&amp;SCFT=3&amp;window=popup_no_bar&amp;width=385&amp;height=120&amp;START_MAXIMIZED=FALSE&amp;creator=factset&amp;display_string=Audit"}</definedName>
    <definedName name="_5555__FDSAUDITLINK__" localSheetId="34">{"fdsup://Directions/FactSet Auditing Viewer?action=AUDIT_VALUE&amp;DB=129&amp;ID1=010486&amp;VALUEID=02999&amp;SDATE=2009&amp;PERIODTYPE=ANNR_STD&amp;SCFT=3&amp;window=popup_no_bar&amp;width=385&amp;height=120&amp;START_MAXIMIZED=FALSE&amp;creator=factset&amp;display_string=Audit"}</definedName>
    <definedName name="_5555__FDSAUDITLINK__" localSheetId="27">{"fdsup://Directions/FactSet Auditing Viewer?action=AUDIT_VALUE&amp;DB=129&amp;ID1=010486&amp;VALUEID=02999&amp;SDATE=2009&amp;PERIODTYPE=ANNR_STD&amp;SCFT=3&amp;window=popup_no_bar&amp;width=385&amp;height=120&amp;START_MAXIMIZED=FALSE&amp;creator=factset&amp;display_string=Audit"}</definedName>
    <definedName name="_5556__FDSAUDITLINK__" localSheetId="34">{"fdsup://Directions/FactSet Auditing Viewer?action=AUDIT_VALUE&amp;DB=129&amp;ID1=309272&amp;VALUEID=02999&amp;SDATE=2009&amp;PERIODTYPE=ANNR_STD&amp;SCFT=3&amp;window=popup_no_bar&amp;width=385&amp;height=120&amp;START_MAXIMIZED=FALSE&amp;creator=factset&amp;display_string=Audit"}</definedName>
    <definedName name="_5556__FDSAUDITLINK__" localSheetId="27">{"fdsup://Directions/FactSet Auditing Viewer?action=AUDIT_VALUE&amp;DB=129&amp;ID1=309272&amp;VALUEID=02999&amp;SDATE=2009&amp;PERIODTYPE=ANNR_STD&amp;SCFT=3&amp;window=popup_no_bar&amp;width=385&amp;height=120&amp;START_MAXIMIZED=FALSE&amp;creator=factset&amp;display_string=Audit"}</definedName>
    <definedName name="_5557__FDSAUDITLINK__" localSheetId="34">{"fdsup://Directions/FactSet Auditing Viewer?action=AUDIT_VALUE&amp;DB=129&amp;ID1=054052&amp;VALUEID=02999&amp;SDATE=2009&amp;PERIODTYPE=ANNR_STD&amp;SCFT=3&amp;window=popup_no_bar&amp;width=385&amp;height=120&amp;START_MAXIMIZED=FALSE&amp;creator=factset&amp;display_string=Audit"}</definedName>
    <definedName name="_5557__FDSAUDITLINK__" localSheetId="27">{"fdsup://Directions/FactSet Auditing Viewer?action=AUDIT_VALUE&amp;DB=129&amp;ID1=054052&amp;VALUEID=02999&amp;SDATE=2009&amp;PERIODTYPE=ANNR_STD&amp;SCFT=3&amp;window=popup_no_bar&amp;width=385&amp;height=120&amp;START_MAXIMIZED=FALSE&amp;creator=factset&amp;display_string=Audit"}</definedName>
    <definedName name="_5558__FDSAUDITLINK__" localSheetId="34">{"fdsup://Directions/FactSet Auditing Viewer?action=AUDIT_VALUE&amp;DB=129&amp;ID1=090674&amp;VALUEID=02999&amp;SDATE=2009&amp;PERIODTYPE=ANNR_STD&amp;SCFT=3&amp;window=popup_no_bar&amp;width=385&amp;height=120&amp;START_MAXIMIZED=FALSE&amp;creator=factset&amp;display_string=Audit"}</definedName>
    <definedName name="_5558__FDSAUDITLINK__" localSheetId="27">{"fdsup://Directions/FactSet Auditing Viewer?action=AUDIT_VALUE&amp;DB=129&amp;ID1=090674&amp;VALUEID=02999&amp;SDATE=2009&amp;PERIODTYPE=ANNR_STD&amp;SCFT=3&amp;window=popup_no_bar&amp;width=385&amp;height=120&amp;START_MAXIMIZED=FALSE&amp;creator=factset&amp;display_string=Audit"}</definedName>
    <definedName name="_5559__FDSAUDITLINK__" localSheetId="34">{"fdsup://Directions/FactSet Auditing Viewer?action=AUDIT_VALUE&amp;DB=129&amp;ID1=B16GWD&amp;VALUEID=02999&amp;SDATE=2009&amp;PERIODTYPE=ANNR_STD&amp;SCFT=3&amp;window=popup_no_bar&amp;width=385&amp;height=120&amp;START_MAXIMIZED=FALSE&amp;creator=factset&amp;display_string=Audit"}</definedName>
    <definedName name="_5559__FDSAUDITLINK__" localSheetId="27">{"fdsup://Directions/FactSet Auditing Viewer?action=AUDIT_VALUE&amp;DB=129&amp;ID1=B16GWD&amp;VALUEID=02999&amp;SDATE=2009&amp;PERIODTYPE=ANNR_STD&amp;SCFT=3&amp;window=popup_no_bar&amp;width=385&amp;height=120&amp;START_MAXIMIZED=FALSE&amp;creator=factset&amp;display_string=Audit"}</definedName>
    <definedName name="_556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56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561__FDSAUDITLINK__" localSheetId="34">{"fdsup://Directions/FactSet Auditing Viewer?action=AUDIT_VALUE&amp;DB=129&amp;ID1=671402&amp;VALUEID=02999&amp;SDATE=2010&amp;PERIODTYPE=ANNR_STD&amp;SCFT=3&amp;window=popup_no_bar&amp;width=385&amp;height=120&amp;START_MAXIMIZED=FALSE&amp;creator=factset&amp;display_string=Audit"}</definedName>
    <definedName name="_5561__FDSAUDITLINK__" localSheetId="27">{"fdsup://Directions/FactSet Auditing Viewer?action=AUDIT_VALUE&amp;DB=129&amp;ID1=671402&amp;VALUEID=02999&amp;SDATE=2010&amp;PERIODTYPE=ANNR_STD&amp;SCFT=3&amp;window=popup_no_bar&amp;width=385&amp;height=120&amp;START_MAXIMIZED=FALSE&amp;creator=factset&amp;display_string=Audit"}</definedName>
    <definedName name="_5562__FDSAUDITLINK__" localSheetId="34">{"fdsup://Directions/FactSet Auditing Viewer?action=AUDIT_VALUE&amp;DB=129&amp;ID1=06050510&amp;VALUEID=02999&amp;SDATE=2010&amp;PERIODTYPE=ANNR_STD&amp;SCFT=3&amp;window=popup_no_bar&amp;width=385&amp;height=120&amp;START_MAXIMIZED=FALSE&amp;creator=factset&amp;display_string=Audit"}</definedName>
    <definedName name="_5562__FDSAUDITLINK__" localSheetId="27">{"fdsup://Directions/FactSet Auditing Viewer?action=AUDIT_VALUE&amp;DB=129&amp;ID1=06050510&amp;VALUEID=02999&amp;SDATE=2010&amp;PERIODTYPE=ANNR_STD&amp;SCFT=3&amp;window=popup_no_bar&amp;width=385&amp;height=120&amp;START_MAXIMIZED=FALSE&amp;creator=factset&amp;display_string=Audit"}</definedName>
    <definedName name="_5563__FDSAUDITLINK__" localSheetId="34">{"fdsup://Directions/FactSet Auditing Viewer?action=AUDIT_VALUE&amp;DB=129&amp;ID1=016419&amp;VALUEID=02999&amp;SDATE=2010&amp;PERIODTYPE=ANNR_STD&amp;SCFT=3&amp;window=popup_no_bar&amp;width=385&amp;height=120&amp;START_MAXIMIZED=FALSE&amp;creator=factset&amp;display_string=Audit"}</definedName>
    <definedName name="_5563__FDSAUDITLINK__" localSheetId="27">{"fdsup://Directions/FactSet Auditing Viewer?action=AUDIT_VALUE&amp;DB=129&amp;ID1=016419&amp;VALUEID=02999&amp;SDATE=2010&amp;PERIODTYPE=ANNR_STD&amp;SCFT=3&amp;window=popup_no_bar&amp;width=385&amp;height=120&amp;START_MAXIMIZED=FALSE&amp;creator=factset&amp;display_string=Audit"}</definedName>
    <definedName name="_5564__FDSAUDITLINK__" localSheetId="34">{"fdsup://Directions/FactSet Auditing Viewer?action=AUDIT_VALUE&amp;DB=129&amp;ID1=93114210&amp;VALUEID=02999&amp;SDATE=2010&amp;PERIODTYPE=ANNR_STD&amp;SCFT=3&amp;window=popup_no_bar&amp;width=385&amp;height=120&amp;START_MAXIMIZED=FALSE&amp;creator=factset&amp;display_string=Audit"}</definedName>
    <definedName name="_5564__FDSAUDITLINK__" localSheetId="27">{"fdsup://Directions/FactSet Auditing Viewer?action=AUDIT_VALUE&amp;DB=129&amp;ID1=93114210&amp;VALUEID=02999&amp;SDATE=2010&amp;PERIODTYPE=ANNR_STD&amp;SCFT=3&amp;window=popup_no_bar&amp;width=385&amp;height=120&amp;START_MAXIMIZED=FALSE&amp;creator=factset&amp;display_string=Audit"}</definedName>
    <definedName name="_5565__FDSAUDITLINK__" localSheetId="34">{"fdsup://Directions/FactSet Auditing Viewer?action=AUDIT_VALUE&amp;DB=129&amp;ID1=010486&amp;VALUEID=02999&amp;SDATE=2010&amp;PERIODTYPE=ANNR_STD&amp;SCFT=3&amp;window=popup_no_bar&amp;width=385&amp;height=120&amp;START_MAXIMIZED=FALSE&amp;creator=factset&amp;display_string=Audit"}</definedName>
    <definedName name="_5565__FDSAUDITLINK__" localSheetId="27">{"fdsup://Directions/FactSet Auditing Viewer?action=AUDIT_VALUE&amp;DB=129&amp;ID1=010486&amp;VALUEID=02999&amp;SDATE=2010&amp;PERIODTYPE=ANNR_STD&amp;SCFT=3&amp;window=popup_no_bar&amp;width=385&amp;height=120&amp;START_MAXIMIZED=FALSE&amp;creator=factset&amp;display_string=Audit"}</definedName>
    <definedName name="_5566__FDSAUDITLINK__" localSheetId="34">{"fdsup://Directions/FactSet Auditing Viewer?action=AUDIT_VALUE&amp;DB=129&amp;ID1=309272&amp;VALUEID=02999&amp;SDATE=2010&amp;PERIODTYPE=ANNR_STD&amp;SCFT=3&amp;window=popup_no_bar&amp;width=385&amp;height=120&amp;START_MAXIMIZED=FALSE&amp;creator=factset&amp;display_string=Audit"}</definedName>
    <definedName name="_5566__FDSAUDITLINK__" localSheetId="27">{"fdsup://Directions/FactSet Auditing Viewer?action=AUDIT_VALUE&amp;DB=129&amp;ID1=309272&amp;VALUEID=02999&amp;SDATE=2010&amp;PERIODTYPE=ANNR_STD&amp;SCFT=3&amp;window=popup_no_bar&amp;width=385&amp;height=120&amp;START_MAXIMIZED=FALSE&amp;creator=factset&amp;display_string=Audit"}</definedName>
    <definedName name="_5567__FDSAUDITLINK__" localSheetId="34">{"fdsup://Directions/FactSet Auditing Viewer?action=AUDIT_VALUE&amp;DB=129&amp;ID1=054052&amp;VALUEID=02999&amp;SDATE=2010&amp;PERIODTYPE=ANNR_STD&amp;SCFT=3&amp;window=popup_no_bar&amp;width=385&amp;height=120&amp;START_MAXIMIZED=FALSE&amp;creator=factset&amp;display_string=Audit"}</definedName>
    <definedName name="_5567__FDSAUDITLINK__" localSheetId="27">{"fdsup://Directions/FactSet Auditing Viewer?action=AUDIT_VALUE&amp;DB=129&amp;ID1=054052&amp;VALUEID=02999&amp;SDATE=2010&amp;PERIODTYPE=ANNR_STD&amp;SCFT=3&amp;window=popup_no_bar&amp;width=385&amp;height=120&amp;START_MAXIMIZED=FALSE&amp;creator=factset&amp;display_string=Audit"}</definedName>
    <definedName name="_5568__FDSAUDITLINK__" localSheetId="34">{"fdsup://Directions/FactSet Auditing Viewer?action=AUDIT_VALUE&amp;DB=129&amp;ID1=090674&amp;VALUEID=02999&amp;SDATE=2010&amp;PERIODTYPE=ANNR_STD&amp;SCFT=3&amp;window=popup_no_bar&amp;width=385&amp;height=120&amp;START_MAXIMIZED=FALSE&amp;creator=factset&amp;display_string=Audit"}</definedName>
    <definedName name="_5568__FDSAUDITLINK__" localSheetId="27">{"fdsup://Directions/FactSet Auditing Viewer?action=AUDIT_VALUE&amp;DB=129&amp;ID1=090674&amp;VALUEID=02999&amp;SDATE=2010&amp;PERIODTYPE=ANNR_STD&amp;SCFT=3&amp;window=popup_no_bar&amp;width=385&amp;height=120&amp;START_MAXIMIZED=FALSE&amp;creator=factset&amp;display_string=Audit"}</definedName>
    <definedName name="_5569__FDSAUDITLINK__" localSheetId="34">{"fdsup://Directions/FactSet Auditing Viewer?action=AUDIT_VALUE&amp;DB=129&amp;ID1=B16GWD&amp;VALUEID=02999&amp;SDATE=2010&amp;PERIODTYPE=ANNR_STD&amp;SCFT=3&amp;window=popup_no_bar&amp;width=385&amp;height=120&amp;START_MAXIMIZED=FALSE&amp;creator=factset&amp;display_string=Audit"}</definedName>
    <definedName name="_5569__FDSAUDITLINK__" localSheetId="27">{"fdsup://Directions/FactSet Auditing Viewer?action=AUDIT_VALUE&amp;DB=129&amp;ID1=B16GWD&amp;VALUEID=02999&amp;SDATE=2010&amp;PERIODTYPE=ANNR_STD&amp;SCFT=3&amp;window=popup_no_bar&amp;width=385&amp;height=120&amp;START_MAXIMIZED=FALSE&amp;creator=factset&amp;display_string=Audit"}</definedName>
    <definedName name="_557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57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58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58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59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59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60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0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1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1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2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62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63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63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64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4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5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5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6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66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67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67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68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8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5684__FDSAUDITLINK__" localSheetId="34">{"fdsup://Directions/FactSet Auditing Viewer?action=AUDIT_VALUE&amp;DB=129&amp;ID1=B23VYZ&amp;VALUEID=04601&amp;SDATE=2008&amp;PERIODTYPE=ANNR_STD&amp;SCFT=3&amp;window=popup_no_bar&amp;width=385&amp;height=120&amp;START_MAXIMIZED=FALSE&amp;creator=factset&amp;display_string=Audit"}</definedName>
    <definedName name="_5684__FDSAUDITLINK__" localSheetId="27">{"fdsup://Directions/FactSet Auditing Viewer?action=AUDIT_VALUE&amp;DB=129&amp;ID1=B23VYZ&amp;VALUEID=04601&amp;SDATE=2008&amp;PERIODTYPE=ANNR_STD&amp;SCFT=3&amp;window=popup_no_bar&amp;width=385&amp;height=120&amp;START_MAXIMIZED=FALSE&amp;creator=factset&amp;display_string=Audit"}</definedName>
    <definedName name="_569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9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5697__FDSAUDITLINK__" localSheetId="34">{"fdsup://Directions/FactSet Auditing Viewer?action=AUDIT_VALUE&amp;DB=129&amp;ID1=671402&amp;VALUEID=04601&amp;SDATE=2006&amp;PERIODTYPE=ANNR_STD&amp;SCFT=3&amp;window=popup_no_bar&amp;width=385&amp;height=120&amp;START_MAXIMIZED=FALSE&amp;creator=factset&amp;display_string=Audit"}</definedName>
    <definedName name="_5697__FDSAUDITLINK__" localSheetId="27">{"fdsup://Directions/FactSet Auditing Viewer?action=AUDIT_VALUE&amp;DB=129&amp;ID1=671402&amp;VALUEID=04601&amp;SDATE=2006&amp;PERIODTYPE=ANNR_STD&amp;SCFT=3&amp;window=popup_no_bar&amp;width=385&amp;height=120&amp;START_MAXIMIZED=FALSE&amp;creator=factset&amp;display_string=Audit"}</definedName>
    <definedName name="_5698__FDSAUDITLINK__" localSheetId="34">{"fdsup://Directions/FactSet Auditing Viewer?action=AUDIT_VALUE&amp;DB=129&amp;ID1=06050510&amp;VALUEID=04601&amp;SDATE=2006&amp;PERIODTYPE=ANNR_STD&amp;SCFT=3&amp;window=popup_no_bar&amp;width=385&amp;height=120&amp;START_MAXIMIZED=FALSE&amp;creator=factset&amp;display_string=Audit"}</definedName>
    <definedName name="_5698__FDSAUDITLINK__" localSheetId="27">{"fdsup://Directions/FactSet Auditing Viewer?action=AUDIT_VALUE&amp;DB=129&amp;ID1=06050510&amp;VALUEID=04601&amp;SDATE=2006&amp;PERIODTYPE=ANNR_STD&amp;SCFT=3&amp;window=popup_no_bar&amp;width=385&amp;height=120&amp;START_MAXIMIZED=FALSE&amp;creator=factset&amp;display_string=Audit"}</definedName>
    <definedName name="_5699__FDSAUDITLINK__" localSheetId="34">{"fdsup://Directions/FactSet Auditing Viewer?action=AUDIT_VALUE&amp;DB=129&amp;ID1=690064&amp;VALUEID=04601&amp;SDATE=2006&amp;PERIODTYPE=ANNR_STD&amp;SCFT=3&amp;window=popup_no_bar&amp;width=385&amp;height=120&amp;START_MAXIMIZED=FALSE&amp;creator=factset&amp;display_string=Audit"}</definedName>
    <definedName name="_5699__FDSAUDITLINK__" localSheetId="27">{"fdsup://Directions/FactSet Auditing Viewer?action=AUDIT_VALUE&amp;DB=129&amp;ID1=690064&amp;VALUEID=04601&amp;SDATE=2006&amp;PERIODTYPE=ANNR_STD&amp;SCFT=3&amp;window=popup_no_bar&amp;width=385&amp;height=120&amp;START_MAXIMIZED=FALSE&amp;creator=factset&amp;display_string=Audit"}</definedName>
    <definedName name="_570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70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5700__FDSAUDITLINK__" localSheetId="34">{"fdsup://Directions/FactSet Auditing Viewer?action=AUDIT_VALUE&amp;DB=129&amp;ID1=93114210&amp;VALUEID=04601&amp;SDATE=2006&amp;PERIODTYPE=ANNR_STD&amp;SCFT=3&amp;window=popup_no_bar&amp;width=385&amp;height=120&amp;START_MAXIMIZED=FALSE&amp;creator=factset&amp;display_string=Audit"}</definedName>
    <definedName name="_5700__FDSAUDITLINK__" localSheetId="27">{"fdsup://Directions/FactSet Auditing Viewer?action=AUDIT_VALUE&amp;DB=129&amp;ID1=93114210&amp;VALUEID=04601&amp;SDATE=2006&amp;PERIODTYPE=ANNR_STD&amp;SCFT=3&amp;window=popup_no_bar&amp;width=385&amp;height=120&amp;START_MAXIMIZED=FALSE&amp;creator=factset&amp;display_string=Audit"}</definedName>
    <definedName name="_5702__FDSAUDITLINK__" localSheetId="34">{"fdsup://Directions/FactSet Auditing Viewer?action=AUDIT_VALUE&amp;DB=129&amp;ID1=B16GWD&amp;VALUEID=04601&amp;SDATE=2006&amp;PERIODTYPE=ANNR_STD&amp;SCFT=3&amp;window=popup_no_bar&amp;width=385&amp;height=120&amp;START_MAXIMIZED=FALSE&amp;creator=factset&amp;display_string=Audit"}</definedName>
    <definedName name="_5702__FDSAUDITLINK__" localSheetId="27">{"fdsup://Directions/FactSet Auditing Viewer?action=AUDIT_VALUE&amp;DB=129&amp;ID1=B16GWD&amp;VALUEID=04601&amp;SDATE=2006&amp;PERIODTYPE=ANNR_STD&amp;SCFT=3&amp;window=popup_no_bar&amp;width=385&amp;height=120&amp;START_MAXIMIZED=FALSE&amp;creator=factset&amp;display_string=Audit"}</definedName>
    <definedName name="_5703__FDSAUDITLINK__" localSheetId="34">{"fdsup://Directions/FactSet Auditing Viewer?action=AUDIT_VALUE&amp;DB=129&amp;ID1=671402&amp;VALUEID=04601&amp;SDATE=2007&amp;PERIODTYPE=ANNR_STD&amp;SCFT=3&amp;window=popup_no_bar&amp;width=385&amp;height=120&amp;START_MAXIMIZED=FALSE&amp;creator=factset&amp;display_string=Audit"}</definedName>
    <definedName name="_5703__FDSAUDITLINK__" localSheetId="27">{"fdsup://Directions/FactSet Auditing Viewer?action=AUDIT_VALUE&amp;DB=129&amp;ID1=671402&amp;VALUEID=04601&amp;SDATE=2007&amp;PERIODTYPE=ANNR_STD&amp;SCFT=3&amp;window=popup_no_bar&amp;width=385&amp;height=120&amp;START_MAXIMIZED=FALSE&amp;creator=factset&amp;display_string=Audit"}</definedName>
    <definedName name="_5704__FDSAUDITLINK__" localSheetId="34">{"fdsup://Directions/FactSet Auditing Viewer?action=AUDIT_VALUE&amp;DB=129&amp;ID1=06050510&amp;VALUEID=04601&amp;SDATE=2007&amp;PERIODTYPE=ANNR_STD&amp;SCFT=3&amp;window=popup_no_bar&amp;width=385&amp;height=120&amp;START_MAXIMIZED=FALSE&amp;creator=factset&amp;display_string=Audit"}</definedName>
    <definedName name="_5704__FDSAUDITLINK__" localSheetId="27">{"fdsup://Directions/FactSet Auditing Viewer?action=AUDIT_VALUE&amp;DB=129&amp;ID1=06050510&amp;VALUEID=04601&amp;SDATE=2007&amp;PERIODTYPE=ANNR_STD&amp;SCFT=3&amp;window=popup_no_bar&amp;width=385&amp;height=120&amp;START_MAXIMIZED=FALSE&amp;creator=factset&amp;display_string=Audit"}</definedName>
    <definedName name="_5705__FDSAUDITLINK__" localSheetId="34">{"fdsup://Directions/FactSet Auditing Viewer?action=AUDIT_VALUE&amp;DB=129&amp;ID1=690064&amp;VALUEID=04601&amp;SDATE=2007&amp;PERIODTYPE=ANNR_STD&amp;SCFT=3&amp;window=popup_no_bar&amp;width=385&amp;height=120&amp;START_MAXIMIZED=FALSE&amp;creator=factset&amp;display_string=Audit"}</definedName>
    <definedName name="_5705__FDSAUDITLINK__" localSheetId="27">{"fdsup://Directions/FactSet Auditing Viewer?action=AUDIT_VALUE&amp;DB=129&amp;ID1=690064&amp;VALUEID=04601&amp;SDATE=2007&amp;PERIODTYPE=ANNR_STD&amp;SCFT=3&amp;window=popup_no_bar&amp;width=385&amp;height=120&amp;START_MAXIMIZED=FALSE&amp;creator=factset&amp;display_string=Audit"}</definedName>
    <definedName name="_5706__FDSAUDITLINK__" localSheetId="34">{"fdsup://Directions/FactSet Auditing Viewer?action=AUDIT_VALUE&amp;DB=129&amp;ID1=93114210&amp;VALUEID=04601&amp;SDATE=2007&amp;PERIODTYPE=ANNR_STD&amp;SCFT=3&amp;window=popup_no_bar&amp;width=385&amp;height=120&amp;START_MAXIMIZED=FALSE&amp;creator=factset&amp;display_string=Audit"}</definedName>
    <definedName name="_5706__FDSAUDITLINK__" localSheetId="27">{"fdsup://Directions/FactSet Auditing Viewer?action=AUDIT_VALUE&amp;DB=129&amp;ID1=93114210&amp;VALUEID=04601&amp;SDATE=2007&amp;PERIODTYPE=ANNR_STD&amp;SCFT=3&amp;window=popup_no_bar&amp;width=385&amp;height=120&amp;START_MAXIMIZED=FALSE&amp;creator=factset&amp;display_string=Audit"}</definedName>
    <definedName name="_5707__FDSAUDITLINK__" localSheetId="34">{"fdsup://Directions/FactSet Auditing Viewer?action=AUDIT_VALUE&amp;DB=129&amp;ID1=309272&amp;VALUEID=04601&amp;SDATE=2007&amp;PERIODTYPE=ANNR_STD&amp;SCFT=3&amp;window=popup_no_bar&amp;width=385&amp;height=120&amp;START_MAXIMIZED=FALSE&amp;creator=factset&amp;display_string=Audit"}</definedName>
    <definedName name="_5707__FDSAUDITLINK__" localSheetId="27">{"fdsup://Directions/FactSet Auditing Viewer?action=AUDIT_VALUE&amp;DB=129&amp;ID1=309272&amp;VALUEID=04601&amp;SDATE=2007&amp;PERIODTYPE=ANNR_STD&amp;SCFT=3&amp;window=popup_no_bar&amp;width=385&amp;height=120&amp;START_MAXIMIZED=FALSE&amp;creator=factset&amp;display_string=Audit"}</definedName>
    <definedName name="_5709__FDSAUDITLINK__" localSheetId="34">{"fdsup://Directions/FactSet Auditing Viewer?action=AUDIT_VALUE&amp;DB=129&amp;ID1=B16GWD&amp;VALUEID=04601&amp;SDATE=2007&amp;PERIODTYPE=ANNR_STD&amp;SCFT=3&amp;window=popup_no_bar&amp;width=385&amp;height=120&amp;START_MAXIMIZED=FALSE&amp;creator=factset&amp;display_string=Audit"}</definedName>
    <definedName name="_5709__FDSAUDITLINK__" localSheetId="27">{"fdsup://Directions/FactSet Auditing Viewer?action=AUDIT_VALUE&amp;DB=129&amp;ID1=B16GWD&amp;VALUEID=04601&amp;SDATE=2007&amp;PERIODTYPE=ANNR_STD&amp;SCFT=3&amp;window=popup_no_bar&amp;width=385&amp;height=120&amp;START_MAXIMIZED=FALSE&amp;creator=factset&amp;display_string=Audit"}</definedName>
    <definedName name="_571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71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5711__FDSAUDITLINK__" localSheetId="34">{"fdsup://Directions/FactSet Auditing Viewer?action=AUDIT_VALUE&amp;DB=129&amp;ID1=671402&amp;VALUEID=04601&amp;SDATE=2008&amp;PERIODTYPE=ANNR_STD&amp;SCFT=3&amp;window=popup_no_bar&amp;width=385&amp;height=120&amp;START_MAXIMIZED=FALSE&amp;creator=factset&amp;display_string=Audit"}</definedName>
    <definedName name="_5711__FDSAUDITLINK__" localSheetId="27">{"fdsup://Directions/FactSet Auditing Viewer?action=AUDIT_VALUE&amp;DB=129&amp;ID1=671402&amp;VALUEID=04601&amp;SDATE=2008&amp;PERIODTYPE=ANNR_STD&amp;SCFT=3&amp;window=popup_no_bar&amp;width=385&amp;height=120&amp;START_MAXIMIZED=FALSE&amp;creator=factset&amp;display_string=Audit"}</definedName>
    <definedName name="_5712__FDSAUDITLINK__" localSheetId="34">{"fdsup://Directions/FactSet Auditing Viewer?action=AUDIT_VALUE&amp;DB=129&amp;ID1=06050510&amp;VALUEID=04601&amp;SDATE=2008&amp;PERIODTYPE=ANNR_STD&amp;SCFT=3&amp;window=popup_no_bar&amp;width=385&amp;height=120&amp;START_MAXIMIZED=FALSE&amp;creator=factset&amp;display_string=Audit"}</definedName>
    <definedName name="_5712__FDSAUDITLINK__" localSheetId="27">{"fdsup://Directions/FactSet Auditing Viewer?action=AUDIT_VALUE&amp;DB=129&amp;ID1=06050510&amp;VALUEID=04601&amp;SDATE=2008&amp;PERIODTYPE=ANNR_STD&amp;SCFT=3&amp;window=popup_no_bar&amp;width=385&amp;height=120&amp;START_MAXIMIZED=FALSE&amp;creator=factset&amp;display_string=Audit"}</definedName>
    <definedName name="_5713__FDSAUDITLINK__" localSheetId="34">{"fdsup://Directions/FactSet Auditing Viewer?action=AUDIT_VALUE&amp;DB=129&amp;ID1=690064&amp;VALUEID=04601&amp;SDATE=2008&amp;PERIODTYPE=ANNR_STD&amp;SCFT=3&amp;window=popup_no_bar&amp;width=385&amp;height=120&amp;START_MAXIMIZED=FALSE&amp;creator=factset&amp;display_string=Audit"}</definedName>
    <definedName name="_5713__FDSAUDITLINK__" localSheetId="27">{"fdsup://Directions/FactSet Auditing Viewer?action=AUDIT_VALUE&amp;DB=129&amp;ID1=690064&amp;VALUEID=04601&amp;SDATE=2008&amp;PERIODTYPE=ANNR_STD&amp;SCFT=3&amp;window=popup_no_bar&amp;width=385&amp;height=120&amp;START_MAXIMIZED=FALSE&amp;creator=factset&amp;display_string=Audit"}</definedName>
    <definedName name="_5714__FDSAUDITLINK__" localSheetId="34">{"fdsup://Directions/FactSet Auditing Viewer?action=AUDIT_VALUE&amp;DB=129&amp;ID1=016419&amp;VALUEID=04601&amp;SDATE=2008&amp;PERIODTYPE=ANNR_STD&amp;SCFT=3&amp;window=popup_no_bar&amp;width=385&amp;height=120&amp;START_MAXIMIZED=FALSE&amp;creator=factset&amp;display_string=Audit"}</definedName>
    <definedName name="_5714__FDSAUDITLINK__" localSheetId="27">{"fdsup://Directions/FactSet Auditing Viewer?action=AUDIT_VALUE&amp;DB=129&amp;ID1=016419&amp;VALUEID=04601&amp;SDATE=2008&amp;PERIODTYPE=ANNR_STD&amp;SCFT=3&amp;window=popup_no_bar&amp;width=385&amp;height=120&amp;START_MAXIMIZED=FALSE&amp;creator=factset&amp;display_string=Audit"}</definedName>
    <definedName name="_5715__FDSAUDITLINK__" localSheetId="34">{"fdsup://Directions/FactSet Auditing Viewer?action=AUDIT_VALUE&amp;DB=129&amp;ID1=B23VYZ&amp;VALUEID=04601&amp;SDATE=2009&amp;PERIODTYPE=ANNR_STD&amp;SCFT=3&amp;window=popup_no_bar&amp;width=385&amp;height=120&amp;START_MAXIMIZED=FALSE&amp;creator=factset&amp;display_string=Audit"}</definedName>
    <definedName name="_5715__FDSAUDITLINK__" localSheetId="27">{"fdsup://Directions/FactSet Auditing Viewer?action=AUDIT_VALUE&amp;DB=129&amp;ID1=B23VYZ&amp;VALUEID=04601&amp;SDATE=2009&amp;PERIODTYPE=ANNR_STD&amp;SCFT=3&amp;window=popup_no_bar&amp;width=385&amp;height=120&amp;START_MAXIMIZED=FALSE&amp;creator=factset&amp;display_string=Audit"}</definedName>
    <definedName name="_5716__FDSAUDITLINK__" localSheetId="34">{"fdsup://Directions/FactSet Auditing Viewer?action=AUDIT_VALUE&amp;DB=129&amp;ID1=309272&amp;VALUEID=04601&amp;SDATE=2008&amp;PERIODTYPE=ANNR_STD&amp;SCFT=3&amp;window=popup_no_bar&amp;width=385&amp;height=120&amp;START_MAXIMIZED=FALSE&amp;creator=factset&amp;display_string=Audit"}</definedName>
    <definedName name="_5716__FDSAUDITLINK__" localSheetId="27">{"fdsup://Directions/FactSet Auditing Viewer?action=AUDIT_VALUE&amp;DB=129&amp;ID1=309272&amp;VALUEID=04601&amp;SDATE=2008&amp;PERIODTYPE=ANNR_STD&amp;SCFT=3&amp;window=popup_no_bar&amp;width=385&amp;height=120&amp;START_MAXIMIZED=FALSE&amp;creator=factset&amp;display_string=Audit"}</definedName>
    <definedName name="_5717__FDSAUDITLINK__" localSheetId="34">{"fdsup://Directions/FactSet Auditing Viewer?action=AUDIT_VALUE&amp;DB=129&amp;ID1=090674&amp;VALUEID=04601&amp;SDATE=2008&amp;PERIODTYPE=ANNR_STD&amp;SCFT=3&amp;window=popup_no_bar&amp;width=385&amp;height=120&amp;START_MAXIMIZED=FALSE&amp;creator=factset&amp;display_string=Audit"}</definedName>
    <definedName name="_5717__FDSAUDITLINK__" localSheetId="27">{"fdsup://Directions/FactSet Auditing Viewer?action=AUDIT_VALUE&amp;DB=129&amp;ID1=090674&amp;VALUEID=04601&amp;SDATE=2008&amp;PERIODTYPE=ANNR_STD&amp;SCFT=3&amp;window=popup_no_bar&amp;width=385&amp;height=120&amp;START_MAXIMIZED=FALSE&amp;creator=factset&amp;display_string=Audit"}</definedName>
    <definedName name="_5718__FDSAUDITLINK__" localSheetId="34">{"fdsup://Directions/FactSet Auditing Viewer?action=AUDIT_VALUE&amp;DB=129&amp;ID1=B16GWD&amp;VALUEID=04601&amp;SDATE=2008&amp;PERIODTYPE=ANNR_STD&amp;SCFT=3&amp;window=popup_no_bar&amp;width=385&amp;height=120&amp;START_MAXIMIZED=FALSE&amp;creator=factset&amp;display_string=Audit"}</definedName>
    <definedName name="_5718__FDSAUDITLINK__" localSheetId="27">{"fdsup://Directions/FactSet Auditing Viewer?action=AUDIT_VALUE&amp;DB=129&amp;ID1=B16GWD&amp;VALUEID=04601&amp;SDATE=2008&amp;PERIODTYPE=ANNR_STD&amp;SCFT=3&amp;window=popup_no_bar&amp;width=385&amp;height=120&amp;START_MAXIMIZED=FALSE&amp;creator=factset&amp;display_string=Audit"}</definedName>
    <definedName name="_5720__FDSAUDITLINK__" localSheetId="34">{"fdsup://Directions/FactSet Auditing Viewer?action=AUDIT_VALUE&amp;DB=129&amp;ID1=671402&amp;VALUEID=04601&amp;SDATE=2009&amp;PERIODTYPE=ANNR_STD&amp;SCFT=3&amp;window=popup_no_bar&amp;width=385&amp;height=120&amp;START_MAXIMIZED=FALSE&amp;creator=factset&amp;display_string=Audit"}</definedName>
    <definedName name="_5720__FDSAUDITLINK__" localSheetId="27">{"fdsup://Directions/FactSet Auditing Viewer?action=AUDIT_VALUE&amp;DB=129&amp;ID1=671402&amp;VALUEID=04601&amp;SDATE=2009&amp;PERIODTYPE=ANNR_STD&amp;SCFT=3&amp;window=popup_no_bar&amp;width=385&amp;height=120&amp;START_MAXIMIZED=FALSE&amp;creator=factset&amp;display_string=Audit"}</definedName>
    <definedName name="_5721__FDSAUDITLINK__" localSheetId="34">{"fdsup://Directions/FactSet Auditing Viewer?action=AUDIT_VALUE&amp;DB=129&amp;ID1=06050510&amp;VALUEID=04601&amp;SDATE=2009&amp;PERIODTYPE=ANNR_STD&amp;SCFT=3&amp;window=popup_no_bar&amp;width=385&amp;height=120&amp;START_MAXIMIZED=FALSE&amp;creator=factset&amp;display_string=Audit"}</definedName>
    <definedName name="_5721__FDSAUDITLINK__" localSheetId="27">{"fdsup://Directions/FactSet Auditing Viewer?action=AUDIT_VALUE&amp;DB=129&amp;ID1=06050510&amp;VALUEID=04601&amp;SDATE=2009&amp;PERIODTYPE=ANNR_STD&amp;SCFT=3&amp;window=popup_no_bar&amp;width=385&amp;height=120&amp;START_MAXIMIZED=FALSE&amp;creator=factset&amp;display_string=Audit"}</definedName>
    <definedName name="_5722__FDSAUDITLINK__" localSheetId="34">{"fdsup://Directions/FactSet Auditing Viewer?action=AUDIT_VALUE&amp;DB=129&amp;ID1=016419&amp;VALUEID=04601&amp;SDATE=2009&amp;PERIODTYPE=ANNR_STD&amp;SCFT=3&amp;window=popup_no_bar&amp;width=385&amp;height=120&amp;START_MAXIMIZED=FALSE&amp;creator=factset&amp;display_string=Audit"}</definedName>
    <definedName name="_5722__FDSAUDITLINK__" localSheetId="27">{"fdsup://Directions/FactSet Auditing Viewer?action=AUDIT_VALUE&amp;DB=129&amp;ID1=016419&amp;VALUEID=04601&amp;SDATE=2009&amp;PERIODTYPE=ANNR_STD&amp;SCFT=3&amp;window=popup_no_bar&amp;width=385&amp;height=120&amp;START_MAXIMIZED=FALSE&amp;creator=factset&amp;display_string=Audit"}</definedName>
    <definedName name="_5723__FDSAUDITLINK__" localSheetId="34">{"fdsup://Directions/FactSet Auditing Viewer?action=AUDIT_VALUE&amp;DB=129&amp;ID1=93114210&amp;VALUEID=04601&amp;SDATE=2009&amp;PERIODTYPE=ANNR_STD&amp;SCFT=3&amp;window=popup_no_bar&amp;width=385&amp;height=120&amp;START_MAXIMIZED=FALSE&amp;creator=factset&amp;display_string=Audit"}</definedName>
    <definedName name="_5723__FDSAUDITLINK__" localSheetId="27">{"fdsup://Directions/FactSet Auditing Viewer?action=AUDIT_VALUE&amp;DB=129&amp;ID1=93114210&amp;VALUEID=04601&amp;SDATE=2009&amp;PERIODTYPE=ANNR_STD&amp;SCFT=3&amp;window=popup_no_bar&amp;width=385&amp;height=120&amp;START_MAXIMIZED=FALSE&amp;creator=factset&amp;display_string=Audit"}</definedName>
    <definedName name="_5725__FDSAUDITLINK__" localSheetId="34">{"fdsup://Directions/FactSet Auditing Viewer?action=AUDIT_VALUE&amp;DB=129&amp;ID1=309272&amp;VALUEID=04601&amp;SDATE=2009&amp;PERIODTYPE=ANNR_STD&amp;SCFT=3&amp;window=popup_no_bar&amp;width=385&amp;height=120&amp;START_MAXIMIZED=FALSE&amp;creator=factset&amp;display_string=Audit"}</definedName>
    <definedName name="_5725__FDSAUDITLINK__" localSheetId="27">{"fdsup://Directions/FactSet Auditing Viewer?action=AUDIT_VALUE&amp;DB=129&amp;ID1=309272&amp;VALUEID=04601&amp;SDATE=2009&amp;PERIODTYPE=ANNR_STD&amp;SCFT=3&amp;window=popup_no_bar&amp;width=385&amp;height=120&amp;START_MAXIMIZED=FALSE&amp;creator=factset&amp;display_string=Audit"}</definedName>
    <definedName name="_5727__FDSAUDITLINK__" localSheetId="34">{"fdsup://Directions/FactSet Auditing Viewer?action=AUDIT_VALUE&amp;DB=129&amp;ID1=090674&amp;VALUEID=04601&amp;SDATE=2009&amp;PERIODTYPE=ANNR_STD&amp;SCFT=3&amp;window=popup_no_bar&amp;width=385&amp;height=120&amp;START_MAXIMIZED=FALSE&amp;creator=factset&amp;display_string=Audit"}</definedName>
    <definedName name="_5727__FDSAUDITLINK__" localSheetId="27">{"fdsup://Directions/FactSet Auditing Viewer?action=AUDIT_VALUE&amp;DB=129&amp;ID1=090674&amp;VALUEID=04601&amp;SDATE=2009&amp;PERIODTYPE=ANNR_STD&amp;SCFT=3&amp;window=popup_no_bar&amp;width=385&amp;height=120&amp;START_MAXIMIZED=FALSE&amp;creator=factset&amp;display_string=Audit"}</definedName>
    <definedName name="_5728__FDSAUDITLINK__" localSheetId="34">{"fdsup://Directions/FactSet Auditing Viewer?action=AUDIT_VALUE&amp;DB=129&amp;ID1=B16GWD&amp;VALUEID=04601&amp;SDATE=2009&amp;PERIODTYPE=ANNR_STD&amp;SCFT=3&amp;window=popup_no_bar&amp;width=385&amp;height=120&amp;START_MAXIMIZED=FALSE&amp;creator=factset&amp;display_string=Audit"}</definedName>
    <definedName name="_5728__FDSAUDITLINK__" localSheetId="27">{"fdsup://Directions/FactSet Auditing Viewer?action=AUDIT_VALUE&amp;DB=129&amp;ID1=B16GWD&amp;VALUEID=04601&amp;SDATE=2009&amp;PERIODTYPE=ANNR_STD&amp;SCFT=3&amp;window=popup_no_bar&amp;width=385&amp;height=120&amp;START_MAXIMIZED=FALSE&amp;creator=factset&amp;display_string=Audit"}</definedName>
    <definedName name="_5729__FDSAUDITLINK__" localSheetId="34">{"fdsup://Directions/FactSet Auditing Viewer?action=AUDIT_VALUE&amp;DB=129&amp;ID1=671402&amp;VALUEID=04601&amp;SDATE=2010&amp;PERIODTYPE=ANNR_STD&amp;SCFT=3&amp;window=popup_no_bar&amp;width=385&amp;height=120&amp;START_MAXIMIZED=FALSE&amp;creator=factset&amp;display_string=Audit"}</definedName>
    <definedName name="_5729__FDSAUDITLINK__" localSheetId="27">{"fdsup://Directions/FactSet Auditing Viewer?action=AUDIT_VALUE&amp;DB=129&amp;ID1=671402&amp;VALUEID=04601&amp;SDATE=2010&amp;PERIODTYPE=ANNR_STD&amp;SCFT=3&amp;window=popup_no_bar&amp;width=385&amp;height=120&amp;START_MAXIMIZED=FALSE&amp;creator=factset&amp;display_string=Audit"}</definedName>
    <definedName name="_5730__FDSAUDITLINK__" localSheetId="34">{"fdsup://Directions/FactSet Auditing Viewer?action=AUDIT_VALUE&amp;DB=129&amp;ID1=06050510&amp;VALUEID=04601&amp;SDATE=2010&amp;PERIODTYPE=ANNR_STD&amp;SCFT=3&amp;window=popup_no_bar&amp;width=385&amp;height=120&amp;START_MAXIMIZED=FALSE&amp;creator=factset&amp;display_string=Audit"}</definedName>
    <definedName name="_5730__FDSAUDITLINK__" localSheetId="27">{"fdsup://Directions/FactSet Auditing Viewer?action=AUDIT_VALUE&amp;DB=129&amp;ID1=06050510&amp;VALUEID=04601&amp;SDATE=2010&amp;PERIODTYPE=ANNR_STD&amp;SCFT=3&amp;window=popup_no_bar&amp;width=385&amp;height=120&amp;START_MAXIMIZED=FALSE&amp;creator=factset&amp;display_string=Audit"}</definedName>
    <definedName name="_5731__FDSAUDITLINK__" localSheetId="34">{"fdsup://Directions/FactSet Auditing Viewer?action=AUDIT_VALUE&amp;DB=129&amp;ID1=016419&amp;VALUEID=04601&amp;SDATE=2010&amp;PERIODTYPE=ANNR_STD&amp;SCFT=3&amp;window=popup_no_bar&amp;width=385&amp;height=120&amp;START_MAXIMIZED=FALSE&amp;creator=factset&amp;display_string=Audit"}</definedName>
    <definedName name="_5731__FDSAUDITLINK__" localSheetId="27">{"fdsup://Directions/FactSet Auditing Viewer?action=AUDIT_VALUE&amp;DB=129&amp;ID1=016419&amp;VALUEID=04601&amp;SDATE=2010&amp;PERIODTYPE=ANNR_STD&amp;SCFT=3&amp;window=popup_no_bar&amp;width=385&amp;height=120&amp;START_MAXIMIZED=FALSE&amp;creator=factset&amp;display_string=Audit"}</definedName>
    <definedName name="_5732__FDSAUDITLINK__" localSheetId="34">{"fdsup://Directions/FactSet Auditing Viewer?action=AUDIT_VALUE&amp;DB=129&amp;ID1=93114210&amp;VALUEID=04601&amp;SDATE=2010&amp;PERIODTYPE=ANNR_STD&amp;SCFT=3&amp;window=popup_no_bar&amp;width=385&amp;height=120&amp;START_MAXIMIZED=FALSE&amp;creator=factset&amp;display_string=Audit"}</definedName>
    <definedName name="_5732__FDSAUDITLINK__" localSheetId="27">{"fdsup://Directions/FactSet Auditing Viewer?action=AUDIT_VALUE&amp;DB=129&amp;ID1=93114210&amp;VALUEID=04601&amp;SDATE=2010&amp;PERIODTYPE=ANNR_STD&amp;SCFT=3&amp;window=popup_no_bar&amp;width=385&amp;height=120&amp;START_MAXIMIZED=FALSE&amp;creator=factset&amp;display_string=Audit"}</definedName>
    <definedName name="_5734__FDSAUDITLINK__" localSheetId="34">{"fdsup://Directions/FactSet Auditing Viewer?action=AUDIT_VALUE&amp;DB=129&amp;ID1=309272&amp;VALUEID=04601&amp;SDATE=2010&amp;PERIODTYPE=ANNR_STD&amp;SCFT=3&amp;window=popup_no_bar&amp;width=385&amp;height=120&amp;START_MAXIMIZED=FALSE&amp;creator=factset&amp;display_string=Audit"}</definedName>
    <definedName name="_5734__FDSAUDITLINK__" localSheetId="27">{"fdsup://Directions/FactSet Auditing Viewer?action=AUDIT_VALUE&amp;DB=129&amp;ID1=309272&amp;VALUEID=04601&amp;SDATE=2010&amp;PERIODTYPE=ANNR_STD&amp;SCFT=3&amp;window=popup_no_bar&amp;width=385&amp;height=120&amp;START_MAXIMIZED=FALSE&amp;creator=factset&amp;display_string=Audit"}</definedName>
    <definedName name="_5736__FDSAUDITLINK__" localSheetId="34">{"fdsup://Directions/FactSet Auditing Viewer?action=AUDIT_VALUE&amp;DB=129&amp;ID1=090674&amp;VALUEID=04601&amp;SDATE=2010&amp;PERIODTYPE=ANNR_STD&amp;SCFT=3&amp;window=popup_no_bar&amp;width=385&amp;height=120&amp;START_MAXIMIZED=FALSE&amp;creator=factset&amp;display_string=Audit"}</definedName>
    <definedName name="_5736__FDSAUDITLINK__" localSheetId="27">{"fdsup://Directions/FactSet Auditing Viewer?action=AUDIT_VALUE&amp;DB=129&amp;ID1=090674&amp;VALUEID=04601&amp;SDATE=2010&amp;PERIODTYPE=ANNR_STD&amp;SCFT=3&amp;window=popup_no_bar&amp;width=385&amp;height=120&amp;START_MAXIMIZED=FALSE&amp;creator=factset&amp;display_string=Audit"}</definedName>
    <definedName name="_5737__FDSAUDITLINK__" localSheetId="34">{"fdsup://Directions/FactSet Auditing Viewer?action=AUDIT_VALUE&amp;DB=129&amp;ID1=B16GWD&amp;VALUEID=04601&amp;SDATE=2010&amp;PERIODTYPE=ANNR_STD&amp;SCFT=3&amp;window=popup_no_bar&amp;width=385&amp;height=120&amp;START_MAXIMIZED=FALSE&amp;creator=factset&amp;display_string=Audit"}</definedName>
    <definedName name="_5737__FDSAUDITLINK__" localSheetId="27">{"fdsup://Directions/FactSet Auditing Viewer?action=AUDIT_VALUE&amp;DB=129&amp;ID1=B16GWD&amp;VALUEID=04601&amp;SDATE=2010&amp;PERIODTYPE=ANNR_STD&amp;SCFT=3&amp;window=popup_no_bar&amp;width=385&amp;height=120&amp;START_MAXIMIZED=FALSE&amp;creator=factset&amp;display_string=Audit"}</definedName>
    <definedName name="_5826__FDSAUDITLINK__" localSheetId="34">{"fdsup://Directions/FactSet Auditing Viewer?action=AUDIT_VALUE&amp;DB=129&amp;ID1=671402&amp;VALUEID=01151&amp;SDATE=2010&amp;PERIODTYPE=ANNR_STD&amp;SCFT=3&amp;window=popup_no_bar&amp;width=385&amp;height=120&amp;START_MAXIMIZED=FALSE&amp;creator=factset&amp;display_string=Audit"}</definedName>
    <definedName name="_5826__FDSAUDITLINK__" localSheetId="27">{"fdsup://Directions/FactSet Auditing Viewer?action=AUDIT_VALUE&amp;DB=129&amp;ID1=671402&amp;VALUEID=01151&amp;SDATE=2010&amp;PERIODTYPE=ANNR_STD&amp;SCFT=3&amp;window=popup_no_bar&amp;width=385&amp;height=120&amp;START_MAXIMIZED=FALSE&amp;creator=factset&amp;display_string=Audit"}</definedName>
    <definedName name="_5936__FDSAUDITLINK__" localSheetId="34">{"fdsup://Directions/FactSet Auditing Viewer?action=AUDIT_VALUE&amp;DB=129&amp;ID1=671402&amp;VALUEID=02999&amp;SDATE=2006&amp;PERIODTYPE=ANNR_STD&amp;SCFT=3&amp;window=popup_no_bar&amp;width=385&amp;height=120&amp;START_MAXIMIZED=FALSE&amp;creator=factset&amp;display_string=Audit"}</definedName>
    <definedName name="_5936__FDSAUDITLINK__" localSheetId="27">{"fdsup://Directions/FactSet Auditing Viewer?action=AUDIT_VALUE&amp;DB=129&amp;ID1=671402&amp;VALUEID=02999&amp;SDATE=2006&amp;PERIODTYPE=ANNR_STD&amp;SCFT=3&amp;window=popup_no_bar&amp;width=385&amp;height=120&amp;START_MAXIMIZED=FALSE&amp;creator=factset&amp;display_string=Audit"}</definedName>
    <definedName name="_5937__FDSAUDITLINK__" localSheetId="34">{"fdsup://Directions/FactSet Auditing Viewer?action=AUDIT_VALUE&amp;DB=129&amp;ID1=93114210&amp;VALUEID=02999&amp;SDATE=2006&amp;PERIODTYPE=ANNR_STD&amp;SCFT=3&amp;window=popup_no_bar&amp;width=385&amp;height=120&amp;START_MAXIMIZED=FALSE&amp;creator=factset&amp;display_string=Audit"}</definedName>
    <definedName name="_5937__FDSAUDITLINK__" localSheetId="27">{"fdsup://Directions/FactSet Auditing Viewer?action=AUDIT_VALUE&amp;DB=129&amp;ID1=93114210&amp;VALUEID=02999&amp;SDATE=2006&amp;PERIODTYPE=ANNR_STD&amp;SCFT=3&amp;window=popup_no_bar&amp;width=385&amp;height=120&amp;START_MAXIMIZED=FALSE&amp;creator=factset&amp;display_string=Audit"}</definedName>
    <definedName name="_5939__FDSAUDITLINK__" localSheetId="34">{"fdsup://Directions/FactSet Auditing Viewer?action=AUDIT_VALUE&amp;DB=129&amp;ID1=06050510&amp;VALUEID=02999&amp;SDATE=2006&amp;PERIODTYPE=ANNR_STD&amp;SCFT=3&amp;window=popup_no_bar&amp;width=385&amp;height=120&amp;START_MAXIMIZED=FALSE&amp;creator=factset&amp;display_string=Audit"}</definedName>
    <definedName name="_5939__FDSAUDITLINK__" localSheetId="27">{"fdsup://Directions/FactSet Auditing Viewer?action=AUDIT_VALUE&amp;DB=129&amp;ID1=06050510&amp;VALUEID=02999&amp;SDATE=2006&amp;PERIODTYPE=ANNR_STD&amp;SCFT=3&amp;window=popup_no_bar&amp;width=385&amp;height=120&amp;START_MAXIMIZED=FALSE&amp;creator=factset&amp;display_string=Audit"}</definedName>
    <definedName name="_5940__FDSAUDITLINK__" localSheetId="34">{"fdsup://Directions/FactSet Auditing Viewer?action=AUDIT_VALUE&amp;DB=129&amp;ID1=690064&amp;VALUEID=02999&amp;SDATE=2006&amp;PERIODTYPE=ANNR_STD&amp;SCFT=3&amp;window=popup_no_bar&amp;width=385&amp;height=120&amp;START_MAXIMIZED=FALSE&amp;creator=factset&amp;display_string=Audit"}</definedName>
    <definedName name="_5940__FDSAUDITLINK__" localSheetId="27">{"fdsup://Directions/FactSet Auditing Viewer?action=AUDIT_VALUE&amp;DB=129&amp;ID1=690064&amp;VALUEID=02999&amp;SDATE=2006&amp;PERIODTYPE=ANNR_STD&amp;SCFT=3&amp;window=popup_no_bar&amp;width=385&amp;height=120&amp;START_MAXIMIZED=FALSE&amp;creator=factset&amp;display_string=Audit"}</definedName>
    <definedName name="_5941__FDSAUDITLINK__" localSheetId="34">{"fdsup://Directions/FactSet Auditing Viewer?action=AUDIT_VALUE&amp;DB=129&amp;ID1=B16GWD&amp;VALUEID=02999&amp;SDATE=2006&amp;PERIODTYPE=ANNR_STD&amp;SCFT=3&amp;window=popup_no_bar&amp;width=385&amp;height=120&amp;START_MAXIMIZED=FALSE&amp;creator=factset&amp;display_string=Audit"}</definedName>
    <definedName name="_5941__FDSAUDITLINK__" localSheetId="27">{"fdsup://Directions/FactSet Auditing Viewer?action=AUDIT_VALUE&amp;DB=129&amp;ID1=B16GWD&amp;VALUEID=02999&amp;SDATE=2006&amp;PERIODTYPE=ANNR_STD&amp;SCFT=3&amp;window=popup_no_bar&amp;width=385&amp;height=120&amp;START_MAXIMIZED=FALSE&amp;creator=factset&amp;display_string=Audit"}</definedName>
    <definedName name="_5942__FDSAUDITLINK__" localSheetId="34">{"fdsup://Directions/FactSet Auditing Viewer?action=AUDIT_VALUE&amp;DB=129&amp;ID1=312748&amp;VALUEID=05194&amp;SDATE=2010&amp;PERIODTYPE=ANN_STD&amp;SCFT=3&amp;window=popup_no_bar&amp;width=385&amp;height=120&amp;START_MAXIMIZED=FALSE&amp;creator=factset&amp;display_string=Audit"}</definedName>
    <definedName name="_5942__FDSAUDITLINK__" localSheetId="27">{"fdsup://Directions/FactSet Auditing Viewer?action=AUDIT_VALUE&amp;DB=129&amp;ID1=312748&amp;VALUEID=05194&amp;SDATE=2010&amp;PERIODTYPE=ANN_STD&amp;SCFT=3&amp;window=popup_no_bar&amp;width=385&amp;height=120&amp;START_MAXIMIZED=FALSE&amp;creator=factset&amp;display_string=Audit"}</definedName>
    <definedName name="_597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597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598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598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01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1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10__FDSAUDITLINK__" localSheetId="34">{"fdsup://directions/FAT Viewer?action=UPDATE&amp;creator=factset&amp;DYN_ARGS=TRUE&amp;DOC_NAME=FAT:FQL_AUDITING_CLIENT_TEMPLATE.FAT&amp;display_string=Audit&amp;VAR:KEY=EFUXIJIVKD&amp;VAR:QUERY=RkZfTkVUX0lOQ19ESUwoQU5OLDQwNjM1KQ==&amp;WINDOW=FIRST_POPUP&amp;HEIGHT=450&amp;WIDTH=450&amp;START_MA","XIMIZED=FALSE&amp;VAR:CALENDAR=FIVEDAY&amp;VAR:SYMBOL=312748&amp;VAR:INDEX=0"}</definedName>
    <definedName name="_6010__FDSAUDITLINK__" localSheetId="27">{"fdsup://directions/FAT Viewer?action=UPDATE&amp;creator=factset&amp;DYN_ARGS=TRUE&amp;DOC_NAME=FAT:FQL_AUDITING_CLIENT_TEMPLATE.FAT&amp;display_string=Audit&amp;VAR:KEY=EFUXIJIVKD&amp;VAR:QUERY=RkZfTkVUX0lOQ19ESUwoQU5OLDQwNjM1KQ==&amp;WINDOW=FIRST_POPUP&amp;HEIGHT=450&amp;WIDTH=450&amp;START_MA","XIMIZED=FALSE&amp;VAR:CALENDAR=FIVEDAY&amp;VAR:SYMBOL=312748&amp;VAR:INDEX=0"}</definedName>
    <definedName name="_601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7__FDSAUDITLINK__" localSheetId="34">{"fdsup://directions/FAT Viewer?action=UPDATE&amp;creator=factset&amp;DYN_ARGS=TRUE&amp;DOC_NAME=FAT:FQL_AUDITING_CLIENT_TEMPLATE.FAT&amp;display_string=Audit&amp;VAR:KEY=NANCJYXKZO&amp;VAR:QUERY=RkZfTkVUX0lOQyhBTk4sMzg5OTAp&amp;WINDOW=FIRST_POPUP&amp;HEIGHT=450&amp;WIDTH=450&amp;START_MAXIMIZED=","FALSE&amp;VAR:CALENDAR=FIVEDAY&amp;VAR:SYMBOL=016419&amp;VAR:INDEX=0"}</definedName>
    <definedName name="_6017__FDSAUDITLINK__" localSheetId="27">{"fdsup://directions/FAT Viewer?action=UPDATE&amp;creator=factset&amp;DYN_ARGS=TRUE&amp;DOC_NAME=FAT:FQL_AUDITING_CLIENT_TEMPLATE.FAT&amp;display_string=Audit&amp;VAR:KEY=NANCJYXKZO&amp;VAR:QUERY=RkZfTkVUX0lOQyhBTk4sMzg5OTAp&amp;WINDOW=FIRST_POPUP&amp;HEIGHT=450&amp;WIDTH=450&amp;START_MAXIMIZED=","FALSE&amp;VAR:CALENDAR=FIVEDAY&amp;VAR:SYMBOL=016419&amp;VAR:INDEX=0"}</definedName>
    <definedName name="_6018__FDSAUDITLINK__" localSheetId="34">{"fdsup://directions/FAT Viewer?action=UPDATE&amp;creator=factset&amp;DYN_ARGS=TRUE&amp;DOC_NAME=FAT:FQL_AUDITING_CLIENT_TEMPLATE.FAT&amp;display_string=Audit&amp;VAR:KEY=TMZURGBAFO&amp;VAR:QUERY=RkZfTkVUX0lOQyhBTk4sMzkxNzIp&amp;WINDOW=FIRST_POPUP&amp;HEIGHT=450&amp;WIDTH=450&amp;START_MAXIMIZED=","FALSE&amp;VAR:CALENDAR=FIVEDAY&amp;VAR:SYMBOL=309272&amp;VAR:INDEX=0"}</definedName>
    <definedName name="_6018__FDSAUDITLINK__" localSheetId="27">{"fdsup://directions/FAT Viewer?action=UPDATE&amp;creator=factset&amp;DYN_ARGS=TRUE&amp;DOC_NAME=FAT:FQL_AUDITING_CLIENT_TEMPLATE.FAT&amp;display_string=Audit&amp;VAR:KEY=TMZURGBAFO&amp;VAR:QUERY=RkZfTkVUX0lOQyhBTk4sMzkxNzIp&amp;WINDOW=FIRST_POPUP&amp;HEIGHT=450&amp;WIDTH=450&amp;START_MAXIMIZED=","FALSE&amp;VAR:CALENDAR=FIVEDAY&amp;VAR:SYMBOL=309272&amp;VAR:INDEX=0"}</definedName>
    <definedName name="_601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1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02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02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4__FDSAUDITLINK__" localSheetId="34">{"fdsup://directions/FAT Viewer?action=UPDATE&amp;creator=factset&amp;DYN_ARGS=TRUE&amp;DOC_NAME=FAT:FQL_AUDITING_CLIENT_TEMPLATE.FAT&amp;display_string=Audit&amp;VAR:KEY=ZGZOBSTCZS&amp;VAR:QUERY=RkZfTkVUX0lOQyhBTk4sMzk1Mzgp&amp;WINDOW=FIRST_POPUP&amp;HEIGHT=450&amp;WIDTH=450&amp;START_MAXIMIZED=","FALSE&amp;VAR:CALENDAR=FIVEDAY&amp;VAR:SYMBOL=690064&amp;VAR:INDEX=0"}</definedName>
    <definedName name="_6024__FDSAUDITLINK__" localSheetId="27">{"fdsup://directions/FAT Viewer?action=UPDATE&amp;creator=factset&amp;DYN_ARGS=TRUE&amp;DOC_NAME=FAT:FQL_AUDITING_CLIENT_TEMPLATE.FAT&amp;display_string=Audit&amp;VAR:KEY=ZGZOBSTCZS&amp;VAR:QUERY=RkZfTkVUX0lOQyhBTk4sMzk1Mzgp&amp;WINDOW=FIRST_POPUP&amp;HEIGHT=450&amp;WIDTH=450&amp;START_MAXIMIZED=","FALSE&amp;VAR:CALENDAR=FIVEDAY&amp;VAR:SYMBOL=690064&amp;VAR:INDEX=0"}</definedName>
    <definedName name="_6025__FDSAUDITLINK__" localSheetId="34">{"fdsup://directions/FAT Viewer?action=UPDATE&amp;creator=factset&amp;DYN_ARGS=TRUE&amp;DOC_NAME=FAT:FQL_AUDITING_CLIENT_TEMPLATE.FAT&amp;display_string=Audit&amp;VAR:KEY=RINODCVCXW&amp;VAR:QUERY=RkZfTkVUX0lOQyhBTk4sMzk0NzMp&amp;WINDOW=FIRST_POPUP&amp;HEIGHT=450&amp;WIDTH=450&amp;START_MAXIMIZED=","FALSE&amp;VAR:CALENDAR=FIVEDAY&amp;VAR:SYMBOL=010486&amp;VAR:INDEX=0"}</definedName>
    <definedName name="_6025__FDSAUDITLINK__" localSheetId="27">{"fdsup://directions/FAT Viewer?action=UPDATE&amp;creator=factset&amp;DYN_ARGS=TRUE&amp;DOC_NAME=FAT:FQL_AUDITING_CLIENT_TEMPLATE.FAT&amp;display_string=Audit&amp;VAR:KEY=RINODCVCXW&amp;VAR:QUERY=RkZfTkVUX0lOQyhBTk4sMzk0NzMp&amp;WINDOW=FIRST_POPUP&amp;HEIGHT=450&amp;WIDTH=450&amp;START_MAXIMIZED=","FALSE&amp;VAR:CALENDAR=FIVEDAY&amp;VAR:SYMBOL=010486&amp;VAR:INDEX=0"}</definedName>
    <definedName name="_6026__FDSAUDITLINK__" localSheetId="34">{"fdsup://directions/FAT Viewer?action=UPDATE&amp;creator=factset&amp;DYN_ARGS=TRUE&amp;DOC_NAME=FAT:FQL_AUDITING_CLIENT_TEMPLATE.FAT&amp;display_string=Audit&amp;VAR:KEY=RAHCLSPUNY&amp;VAR:QUERY=RkZfTkVUX0lOQyhBTk4sMzk1Mzgp&amp;WINDOW=FIRST_POPUP&amp;HEIGHT=450&amp;WIDTH=450&amp;START_MAXIMIZED=","FALSE&amp;VAR:CALENDAR=FIVEDAY&amp;VAR:SYMBOL=B16GWD&amp;VAR:INDEX=0"}</definedName>
    <definedName name="_6026__FDSAUDITLINK__" localSheetId="27">{"fdsup://directions/FAT Viewer?action=UPDATE&amp;creator=factset&amp;DYN_ARGS=TRUE&amp;DOC_NAME=FAT:FQL_AUDITING_CLIENT_TEMPLATE.FAT&amp;display_string=Audit&amp;VAR:KEY=RAHCLSPUNY&amp;VAR:QUERY=RkZfTkVUX0lOQyhBTk4sMzk1Mzgp&amp;WINDOW=FIRST_POPUP&amp;HEIGHT=450&amp;WIDTH=450&amp;START_MAXIMIZED=","FALSE&amp;VAR:CALENDAR=FIVEDAY&amp;VAR:SYMBOL=B16GWD&amp;VAR:INDEX=0"}</definedName>
    <definedName name="_602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2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03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03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1__FDSAUDITLINK__" localSheetId="34">{"fdsup://directions/FAT Viewer?action=UPDATE&amp;creator=factset&amp;DYN_ARGS=TRUE&amp;DOC_NAME=FAT:FQL_AUDITING_CLIENT_TEMPLATE.FAT&amp;display_string=Audit&amp;VAR:KEY=DYNOHYNSVQ&amp;VAR:QUERY=RkZfTkVUX0lOQyhBTk4sMzk4MTMp&amp;WINDOW=FIRST_POPUP&amp;HEIGHT=450&amp;WIDTH=450&amp;START_MAXIMIZED=","FALSE&amp;VAR:CALENDAR=FIVEDAY&amp;VAR:SYMBOL=06050510&amp;VAR:INDEX=0"}</definedName>
    <definedName name="_6031__FDSAUDITLINK__" localSheetId="27">{"fdsup://directions/FAT Viewer?action=UPDATE&amp;creator=factset&amp;DYN_ARGS=TRUE&amp;DOC_NAME=FAT:FQL_AUDITING_CLIENT_TEMPLATE.FAT&amp;display_string=Audit&amp;VAR:KEY=DYNOHYNSVQ&amp;VAR:QUERY=RkZfTkVUX0lOQyhBTk4sMzk4MTMp&amp;WINDOW=FIRST_POPUP&amp;HEIGHT=450&amp;WIDTH=450&amp;START_MAXIMIZED=","FALSE&amp;VAR:CALENDAR=FIVEDAY&amp;VAR:SYMBOL=06050510&amp;VAR:INDEX=0"}</definedName>
    <definedName name="_6032__FDSAUDITLINK__" localSheetId="34">{"fdsup://directions/FAT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32__FDSAUDITLINK__" localSheetId="27">{"fdsup://directions/FAT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33__FDSAUDITLINK__" localSheetId="34">{"fdsup://directions/FAT Viewer?action=UPDATE&amp;creator=factset&amp;DYN_ARGS=TRUE&amp;DOC_NAME=FAT:FQL_AUDITING_CLIENT_TEMPLATE.FAT&amp;display_string=Audit&amp;VAR:KEY=TGZKVYPWLA&amp;VAR:QUERY=RkZfTkVUX0lOQyhBTk4sMzk5MDAp&amp;WINDOW=FIRST_POPUP&amp;HEIGHT=450&amp;WIDTH=450&amp;START_MAXIMIZED=","FALSE&amp;VAR:CALENDAR=FIVEDAY&amp;VAR:SYMBOL=090674&amp;VAR:INDEX=0"}</definedName>
    <definedName name="_6033__FDSAUDITLINK__" localSheetId="27">{"fdsup://directions/FAT Viewer?action=UPDATE&amp;creator=factset&amp;DYN_ARGS=TRUE&amp;DOC_NAME=FAT:FQL_AUDITING_CLIENT_TEMPLATE.FAT&amp;display_string=Audit&amp;VAR:KEY=TGZKVYPWLA&amp;VAR:QUERY=RkZfTkVUX0lOQyhBTk4sMzk5MDAp&amp;WINDOW=FIRST_POPUP&amp;HEIGHT=450&amp;WIDTH=450&amp;START_MAXIMIZED=","FALSE&amp;VAR:CALENDAR=FIVEDAY&amp;VAR:SYMBOL=090674&amp;VAR:INDEX=0"}</definedName>
    <definedName name="_603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38__FDSAUDITLINK__" localSheetId="34">{"fdsup://directions/FAT Viewer?action=UPDATE&amp;creator=factset&amp;DYN_ARGS=TRUE&amp;DOC_NAME=FAT:FQL_AUDITING_CLIENT_TEMPLATE.FAT&amp;display_string=Audit&amp;VAR:KEY=XCPUPEJKBQ&amp;VAR:QUERY=RkZfTkVUX0lOQyhBTk4sNDAyNjgp&amp;WINDOW=FIRST_POPUP&amp;HEIGHT=450&amp;WIDTH=450&amp;START_MAXIMIZED=","FALSE&amp;VAR:CALENDAR=FIVEDAY&amp;VAR:SYMBOL=671402&amp;VAR:INDEX=0"}</definedName>
    <definedName name="_6038__FDSAUDITLINK__" localSheetId="27">{"fdsup://directions/FAT Viewer?action=UPDATE&amp;creator=factset&amp;DYN_ARGS=TRUE&amp;DOC_NAME=FAT:FQL_AUDITING_CLIENT_TEMPLATE.FAT&amp;display_string=Audit&amp;VAR:KEY=XCPUPEJKBQ&amp;VAR:QUERY=RkZfTkVUX0lOQyhBTk4sNDAyNjgp&amp;WINDOW=FIRST_POPUP&amp;HEIGHT=450&amp;WIDTH=450&amp;START_MAXIMIZED=","FALSE&amp;VAR:CALENDAR=FIVEDAY&amp;VAR:SYMBOL=671402&amp;VAR:INDEX=0"}</definedName>
    <definedName name="_6039__FDSAUDITLINK__" localSheetId="34">{"fdsup://directions/FAT Viewer?action=UPDATE&amp;creator=factset&amp;DYN_ARGS=TRUE&amp;DOC_NAME=FAT:FQL_AUDITING_CLIENT_TEMPLATE.FAT&amp;display_string=Audit&amp;VAR:KEY=BWXITSNIRW&amp;VAR:QUERY=RkZfTkVUX0lOQyhBTk4sNDAyMDkp&amp;WINDOW=FIRST_POPUP&amp;HEIGHT=450&amp;WIDTH=450&amp;START_MAXIMIZED=","FALSE&amp;VAR:CALENDAR=FIVEDAY&amp;VAR:SYMBOL=93114210&amp;VAR:INDEX=0"}</definedName>
    <definedName name="_6039__FDSAUDITLINK__" localSheetId="27">{"fdsup://directions/FAT Viewer?action=UPDATE&amp;creator=factset&amp;DYN_ARGS=TRUE&amp;DOC_NAME=FAT:FQL_AUDITING_CLIENT_TEMPLATE.FAT&amp;display_string=Audit&amp;VAR:KEY=BWXITSNIRW&amp;VAR:QUERY=RkZfTkVUX0lOQyhBTk4sNDAyMDkp&amp;WINDOW=FIRST_POPUP&amp;HEIGHT=450&amp;WIDTH=450&amp;START_MAXIMIZED=","FALSE&amp;VAR:CALENDAR=FIVEDAY&amp;VAR:SYMBOL=93114210&amp;VAR:INDEX=0"}</definedName>
    <definedName name="_604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04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040__FDSAUDITLINK__" localSheetId="34">{"fdsup://directions/FAT Viewer?action=UPDATE&amp;creator=factset&amp;DYN_ARGS=TRUE&amp;DOC_NAME=FAT:FQL_AUDITING_CLIENT_TEMPLATE.FAT&amp;display_string=Audit&amp;VAR:KEY=ZMZQDCNGHS&amp;VAR:QUERY=RkZfTkVUX0lOQyhBTk4sNDAxNzgp&amp;WINDOW=FIRST_POPUP&amp;HEIGHT=450&amp;WIDTH=450&amp;START_MAXIMIZED=","FALSE&amp;VAR:CALENDAR=FIVEDAY&amp;VAR:SYMBOL=054052&amp;VAR:INDEX=0"}</definedName>
    <definedName name="_6040__FDSAUDITLINK__" localSheetId="27">{"fdsup://directions/FAT Viewer?action=UPDATE&amp;creator=factset&amp;DYN_ARGS=TRUE&amp;DOC_NAME=FAT:FQL_AUDITING_CLIENT_TEMPLATE.FAT&amp;display_string=Audit&amp;VAR:KEY=ZMZQDCNGHS&amp;VAR:QUERY=RkZfTkVUX0lOQyhBTk4sNDAxNzgp&amp;WINDOW=FIRST_POPUP&amp;HEIGHT=450&amp;WIDTH=450&amp;START_MAXIMIZED=","FALSE&amp;VAR:CALENDAR=FIVEDAY&amp;VAR:SYMBOL=054052&amp;VAR:INDEX=0"}</definedName>
    <definedName name="_6041__FDSAUDITLINK__" localSheetId="34">{"fdsup://directions/FAT Viewer?action=UPDATE&amp;creator=factset&amp;DYN_ARGS=TRUE&amp;DOC_NAME=FAT:FQL_AUDITING_CLIENT_TEMPLATE.FAT&amp;display_string=Audit&amp;VAR:KEY=DCBEXUDSBY&amp;VAR:QUERY=RkZfTkVUX0lOQyhBTk4sNDA0NTEp&amp;WINDOW=FIRST_POPUP&amp;HEIGHT=450&amp;WIDTH=450&amp;START_MAXIMIZED=","FALSE&amp;VAR:CALENDAR=FIVEDAY&amp;VAR:SYMBOL=016419&amp;VAR:INDEX=0"}</definedName>
    <definedName name="_6041__FDSAUDITLINK__" localSheetId="27">{"fdsup://directions/FAT Viewer?action=UPDATE&amp;creator=factset&amp;DYN_ARGS=TRUE&amp;DOC_NAME=FAT:FQL_AUDITING_CLIENT_TEMPLATE.FAT&amp;display_string=Audit&amp;VAR:KEY=DCBEXUDSBY&amp;VAR:QUERY=RkZfTkVUX0lOQyhBTk4sNDA0NTEp&amp;WINDOW=FIRST_POPUP&amp;HEIGHT=450&amp;WIDTH=450&amp;START_MAXIMIZED=","FALSE&amp;VAR:CALENDAR=FIVEDAY&amp;VAR:SYMBOL=016419&amp;VAR:INDEX=0"}</definedName>
    <definedName name="_6042__FDSAUDITLINK__" localSheetId="34">{"fdsup://directions/FAT Viewer?action=UPDATE&amp;creator=factset&amp;DYN_ARGS=TRUE&amp;DOC_NAME=FAT:FQL_AUDITING_CLIENT_TEMPLATE.FAT&amp;display_string=Audit&amp;VAR:KEY=TCHIHOTYPG&amp;VAR:QUERY=RkZfTkVUX0lOQyhBTk4sNDA2MzMp&amp;WINDOW=FIRST_POPUP&amp;HEIGHT=450&amp;WIDTH=450&amp;START_MAXIMIZED=","FALSE&amp;VAR:CALENDAR=FIVEDAY&amp;VAR:SYMBOL=309272&amp;VAR:INDEX=0"}</definedName>
    <definedName name="_6042__FDSAUDITLINK__" localSheetId="27">{"fdsup://directions/FAT Viewer?action=UPDATE&amp;creator=factset&amp;DYN_ARGS=TRUE&amp;DOC_NAME=FAT:FQL_AUDITING_CLIENT_TEMPLATE.FAT&amp;display_string=Audit&amp;VAR:KEY=TCHIHOTYPG&amp;VAR:QUERY=RkZfTkVUX0lOQyhBTk4sNDA2MzMp&amp;WINDOW=FIRST_POPUP&amp;HEIGHT=450&amp;WIDTH=450&amp;START_MAXIMIZED=","FALSE&amp;VAR:CALENDAR=FIVEDAY&amp;VAR:SYMBOL=309272&amp;VAR:INDEX=0"}</definedName>
    <definedName name="_604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48__FDSAUDITLINK__" localSheetId="34">{"fdsup://directions/FAT Viewer?action=UPDATE&amp;creator=factset&amp;DYN_ARGS=TRUE&amp;DOC_NAME=FAT:FQL_AUDITING_CLIENT_TEMPLATE.FAT&amp;display_string=Audit&amp;VAR:KEY=DGNANGLILK&amp;VAR:QUERY=RkZfTkVUX0lOQyhBTk4sMzkwODIp&amp;WINDOW=FIRST_POPUP&amp;HEIGHT=450&amp;WIDTH=450&amp;START_MAXIMIZED=","FALSE&amp;VAR:CALENDAR=FIVEDAY&amp;VAR:SYMBOL=671402&amp;VAR:INDEX=0"}</definedName>
    <definedName name="_6048__FDSAUDITLINK__" localSheetId="27">{"fdsup://directions/FAT Viewer?action=UPDATE&amp;creator=factset&amp;DYN_ARGS=TRUE&amp;DOC_NAME=FAT:FQL_AUDITING_CLIENT_TEMPLATE.FAT&amp;display_string=Audit&amp;VAR:KEY=DGNANGLILK&amp;VAR:QUERY=RkZfTkVUX0lOQyhBTk4sMzkwODIp&amp;WINDOW=FIRST_POPUP&amp;HEIGHT=450&amp;WIDTH=450&amp;START_MAXIMIZED=","FALSE&amp;VAR:CALENDAR=FIVEDAY&amp;VAR:SYMBOL=671402&amp;VAR:INDEX=0"}</definedName>
    <definedName name="_6049__FDSAUDITLINK__" localSheetId="34">{"fdsup://directions/FAT Viewer?action=UPDATE&amp;creator=factset&amp;DYN_ARGS=TRUE&amp;DOC_NAME=FAT:FQL_AUDITING_CLIENT_TEMPLATE.FAT&amp;display_string=Audit&amp;VAR:KEY=DSDEBEZQTO&amp;VAR:QUERY=RkZfTkVUX0lOQyhBTk4sMzkxMTMp&amp;WINDOW=FIRST_POPUP&amp;HEIGHT=450&amp;WIDTH=450&amp;START_MAXIMIZED=","FALSE&amp;VAR:CALENDAR=FIVEDAY&amp;VAR:SYMBOL=93114210&amp;VAR:INDEX=0"}</definedName>
    <definedName name="_6049__FDSAUDITLINK__" localSheetId="27">{"fdsup://directions/FAT Viewer?action=UPDATE&amp;creator=factset&amp;DYN_ARGS=TRUE&amp;DOC_NAME=FAT:FQL_AUDITING_CLIENT_TEMPLATE.FAT&amp;display_string=Audit&amp;VAR:KEY=DSDEBEZQTO&amp;VAR:QUERY=RkZfTkVUX0lOQyhBTk4sMzkxMTMp&amp;WINDOW=FIRST_POPUP&amp;HEIGHT=450&amp;WIDTH=450&amp;START_MAXIMIZED=","FALSE&amp;VAR:CALENDAR=FIVEDAY&amp;VAR:SYMBOL=93114210&amp;VAR:INDEX=0"}</definedName>
    <definedName name="_605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5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50__FDSAUDITLINK__" localSheetId="34">{"fdsup://directions/FAT Viewer?action=UPDATE&amp;creator=factset&amp;DYN_ARGS=TRUE&amp;DOC_NAME=FAT:FQL_AUDITING_CLIENT_TEMPLATE.FAT&amp;display_string=Audit&amp;VAR:KEY=TCLGRUXCRE&amp;VAR:QUERY=RkZfTkVUX0lOQyhBTk4sMzkwODIp&amp;WINDOW=FIRST_POPUP&amp;HEIGHT=450&amp;WIDTH=450&amp;START_MAXIMIZED=","FALSE&amp;VAR:CALENDAR=FIVEDAY&amp;VAR:SYMBOL=054052&amp;VAR:INDEX=0"}</definedName>
    <definedName name="_6050__FDSAUDITLINK__" localSheetId="27">{"fdsup://directions/FAT Viewer?action=UPDATE&amp;creator=factset&amp;DYN_ARGS=TRUE&amp;DOC_NAME=FAT:FQL_AUDITING_CLIENT_TEMPLATE.FAT&amp;display_string=Audit&amp;VAR:KEY=TCLGRUXCRE&amp;VAR:QUERY=RkZfTkVUX0lOQyhBTk4sMzkwODIp&amp;WINDOW=FIRST_POPUP&amp;HEIGHT=450&amp;WIDTH=450&amp;START_MAXIMIZED=","FALSE&amp;VAR:CALENDAR=FIVEDAY&amp;VAR:SYMBOL=054052&amp;VAR:INDEX=0"}</definedName>
    <definedName name="_605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6__FDSAUDITLINK__" localSheetId="34">{"fdsup://directions/FAT Viewer?action=UPDATE&amp;creator=factset&amp;DYN_ARGS=TRUE&amp;DOC_NAME=FAT:FQL_AUDITING_CLIENT_TEMPLATE.FAT&amp;display_string=Audit&amp;VAR:KEY=XUTOFKFGZK&amp;VAR:QUERY=RkZfTkVUX0lOQyhBTk4sMzkzNTUp&amp;WINDOW=FIRST_POPUP&amp;HEIGHT=450&amp;WIDTH=450&amp;START_MAXIMIZED=","FALSE&amp;VAR:CALENDAR=FIVEDAY&amp;VAR:SYMBOL=016419&amp;VAR:INDEX=0"}</definedName>
    <definedName name="_6056__FDSAUDITLINK__" localSheetId="27">{"fdsup://directions/FAT Viewer?action=UPDATE&amp;creator=factset&amp;DYN_ARGS=TRUE&amp;DOC_NAME=FAT:FQL_AUDITING_CLIENT_TEMPLATE.FAT&amp;display_string=Audit&amp;VAR:KEY=XUTOFKFGZK&amp;VAR:QUERY=RkZfTkVUX0lOQyhBTk4sMzkzNTUp&amp;WINDOW=FIRST_POPUP&amp;HEIGHT=450&amp;WIDTH=450&amp;START_MAXIMIZED=","FALSE&amp;VAR:CALENDAR=FIVEDAY&amp;VAR:SYMBOL=016419&amp;VAR:INDEX=0"}</definedName>
    <definedName name="_6057__FDSAUDITLINK__" localSheetId="34">{"fdsup://directions/FAT Viewer?action=UPDATE&amp;creator=factset&amp;DYN_ARGS=TRUE&amp;DOC_NAME=FAT:FQL_AUDITING_CLIENT_TEMPLATE.FAT&amp;display_string=Audit&amp;VAR:KEY=JCLYVQRIXO&amp;VAR:QUERY=RkZfTkVUX0lOQyhBTk4sMzk1Mzgp&amp;WINDOW=FIRST_POPUP&amp;HEIGHT=450&amp;WIDTH=450&amp;START_MAXIMIZED=","FALSE&amp;VAR:CALENDAR=FIVEDAY&amp;VAR:SYMBOL=309272&amp;VAR:INDEX=0"}</definedName>
    <definedName name="_6057__FDSAUDITLINK__" localSheetId="27">{"fdsup://directions/FAT Viewer?action=UPDATE&amp;creator=factset&amp;DYN_ARGS=TRUE&amp;DOC_NAME=FAT:FQL_AUDITING_CLIENT_TEMPLATE.FAT&amp;display_string=Audit&amp;VAR:KEY=JCLYVQRIXO&amp;VAR:QUERY=RkZfTkVUX0lOQyhBTk4sMzk1Mzgp&amp;WINDOW=FIRST_POPUP&amp;HEIGHT=450&amp;WIDTH=450&amp;START_MAXIMIZED=","FALSE&amp;VAR:CALENDAR=FIVEDAY&amp;VAR:SYMBOL=309272&amp;VAR:INDEX=0"}</definedName>
    <definedName name="_605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5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06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06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3__FDSAUDITLINK__" localSheetId="34">{"fdsup://directions/FAT Viewer?action=UPDATE&amp;creator=factset&amp;DYN_ARGS=TRUE&amp;DOC_NAME=FAT:FQL_AUDITING_CLIENT_TEMPLATE.FAT&amp;display_string=Audit&amp;VAR:KEY=PKBAVSBUFE&amp;VAR:QUERY=RkZfTkVUX0lOQyhBTk4sMzk5MDMp&amp;WINDOW=FIRST_POPUP&amp;HEIGHT=450&amp;WIDTH=450&amp;START_MAXIMIZED=","FALSE&amp;VAR:CALENDAR=FIVEDAY&amp;VAR:SYMBOL=690064&amp;VAR:INDEX=0"}</definedName>
    <definedName name="_6063__FDSAUDITLINK__" localSheetId="27">{"fdsup://directions/FAT Viewer?action=UPDATE&amp;creator=factset&amp;DYN_ARGS=TRUE&amp;DOC_NAME=FAT:FQL_AUDITING_CLIENT_TEMPLATE.FAT&amp;display_string=Audit&amp;VAR:KEY=PKBAVSBUFE&amp;VAR:QUERY=RkZfTkVUX0lOQyhBTk4sMzk5MDMp&amp;WINDOW=FIRST_POPUP&amp;HEIGHT=450&amp;WIDTH=450&amp;START_MAXIMIZED=","FALSE&amp;VAR:CALENDAR=FIVEDAY&amp;VAR:SYMBOL=690064&amp;VAR:INDEX=0"}</definedName>
    <definedName name="_6064__FDSAUDITLINK__" localSheetId="34">{"fdsup://directions/FAT Viewer?action=UPDATE&amp;creator=factset&amp;DYN_ARGS=TRUE&amp;DOC_NAME=FAT:FQL_AUDITING_CLIENT_TEMPLATE.FAT&amp;display_string=Audit&amp;VAR:KEY=BALCNIVGXW&amp;VAR:QUERY=RkZfTkVUX0lOQyhBTk4sMzk4NDQp&amp;WINDOW=FIRST_POPUP&amp;HEIGHT=450&amp;WIDTH=450&amp;START_MAXIMIZED=","FALSE&amp;VAR:CALENDAR=FIVEDAY&amp;VAR:SYMBOL=010486&amp;VAR:INDEX=0"}</definedName>
    <definedName name="_6064__FDSAUDITLINK__" localSheetId="27">{"fdsup://directions/FAT Viewer?action=UPDATE&amp;creator=factset&amp;DYN_ARGS=TRUE&amp;DOC_NAME=FAT:FQL_AUDITING_CLIENT_TEMPLATE.FAT&amp;display_string=Audit&amp;VAR:KEY=BALCNIVGXW&amp;VAR:QUERY=RkZfTkVUX0lOQyhBTk4sMzk4NDQp&amp;WINDOW=FIRST_POPUP&amp;HEIGHT=450&amp;WIDTH=450&amp;START_MAXIMIZED=","FALSE&amp;VAR:CALENDAR=FIVEDAY&amp;VAR:SYMBOL=010486&amp;VAR:INDEX=0"}</definedName>
    <definedName name="_6065__FDSAUDITLINK__" localSheetId="34">{"fdsup://directions/FAT Viewer?action=UPDATE&amp;creator=factset&amp;DYN_ARGS=TRUE&amp;DOC_NAME=FAT:FQL_AUDITING_CLIENT_TEMPLATE.FAT&amp;display_string=Audit&amp;VAR:KEY=NYZOZCBIJM&amp;VAR:QUERY=RkZfTkVUX0lOQyhBTk4sMzk5MDMp&amp;WINDOW=FIRST_POPUP&amp;HEIGHT=450&amp;WIDTH=450&amp;START_MAXIMIZED=","FALSE&amp;VAR:CALENDAR=FIVEDAY&amp;VAR:SYMBOL=B16GWD&amp;VAR:INDEX=0"}</definedName>
    <definedName name="_6065__FDSAUDITLINK__" localSheetId="27">{"fdsup://directions/FAT Viewer?action=UPDATE&amp;creator=factset&amp;DYN_ARGS=TRUE&amp;DOC_NAME=FAT:FQL_AUDITING_CLIENT_TEMPLATE.FAT&amp;display_string=Audit&amp;VAR:KEY=NYZOZCBIJM&amp;VAR:QUERY=RkZfTkVUX0lOQyhBTk4sMzk5MDMp&amp;WINDOW=FIRST_POPUP&amp;HEIGHT=450&amp;WIDTH=450&amp;START_MAXIMIZED=","FALSE&amp;VAR:CALENDAR=FIVEDAY&amp;VAR:SYMBOL=B16GWD&amp;VAR:INDEX=0"}</definedName>
    <definedName name="_606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6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07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070__FDSAUDITLINK__" localSheetId="34">{"fdsup://directions/FAT Viewer?action=UPDATE&amp;creator=factset&amp;DYN_ARGS=TRUE&amp;DOC_NAME=FAT:FQL_AUDITING_CLIENT_TEMPLATE.FAT&amp;display_string=Audit&amp;VAR:KEY=FGFQLENAXI&amp;VAR:QUERY=RkZfTkVUX0lOQyhBTk4sNDAxNzgp&amp;WINDOW=FIRST_POPUP&amp;HEIGHT=450&amp;WIDTH=450&amp;START_MAXIMIZED=","FALSE&amp;VAR:CALENDAR=FIVEDAY&amp;VAR:SYMBOL=06050510&amp;VAR:INDEX=0"}</definedName>
    <definedName name="_6070__FDSAUDITLINK__" localSheetId="27">{"fdsup://directions/FAT Viewer?action=UPDATE&amp;creator=factset&amp;DYN_ARGS=TRUE&amp;DOC_NAME=FAT:FQL_AUDITING_CLIENT_TEMPLATE.FAT&amp;display_string=Audit&amp;VAR:KEY=FGFQLENAXI&amp;VAR:QUERY=RkZfTkVUX0lOQyhBTk4sNDAxNzgp&amp;WINDOW=FIRST_POPUP&amp;HEIGHT=450&amp;WIDTH=450&amp;START_MAXIMIZED=","FALSE&amp;VAR:CALENDAR=FIVEDAY&amp;VAR:SYMBOL=06050510&amp;VAR:INDEX=0"}</definedName>
    <definedName name="_6071__FDSAUDITLINK__" localSheetId="34">{"fdsup://directions/FAT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71__FDSAUDITLINK__" localSheetId="27">{"fdsup://directions/FAT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72__FDSAUDITLINK__" localSheetId="34">{"fdsup://directions/FAT Viewer?action=UPDATE&amp;creator=factset&amp;DYN_ARGS=TRUE&amp;DOC_NAME=FAT:FQL_AUDITING_CLIENT_TEMPLATE.FAT&amp;display_string=Audit&amp;VAR:KEY=TUXELKXGHU&amp;VAR:QUERY=RkZfTkVUX0lOQyhBTk4sNDAyNjQp&amp;WINDOW=FIRST_POPUP&amp;HEIGHT=450&amp;WIDTH=450&amp;START_MAXIMIZED=","FALSE&amp;VAR:CALENDAR=FIVEDAY&amp;VAR:SYMBOL=090674&amp;VAR:INDEX=0"}</definedName>
    <definedName name="_6072__FDSAUDITLINK__" localSheetId="27">{"fdsup://directions/FAT Viewer?action=UPDATE&amp;creator=factset&amp;DYN_ARGS=TRUE&amp;DOC_NAME=FAT:FQL_AUDITING_CLIENT_TEMPLATE.FAT&amp;display_string=Audit&amp;VAR:KEY=TUXELKXGHU&amp;VAR:QUERY=RkZfTkVUX0lOQyhBTk4sNDAyNjQp&amp;WINDOW=FIRST_POPUP&amp;HEIGHT=450&amp;WIDTH=450&amp;START_MAXIMIZED=","FALSE&amp;VAR:CALENDAR=FIVEDAY&amp;VAR:SYMBOL=090674&amp;VAR:INDEX=0"}</definedName>
    <definedName name="_6073__FDSAUDITLINK__" localSheetId="34">{"fdsup://directions/FAT Viewer?action=UPDATE&amp;creator=factset&amp;DYN_ARGS=TRUE&amp;DOC_NAME=FAT:FQL_AUDITING_CLIENT_TEMPLATE.FAT&amp;display_string=Audit&amp;VAR:KEY=RIJAHCXSFU&amp;VAR:QUERY=RkZfTkVUX0lOQyhBTk4sNDA2MzMp&amp;WINDOW=FIRST_POPUP&amp;HEIGHT=450&amp;WIDTH=450&amp;START_MAXIMIZED=","FALSE&amp;VAR:CALENDAR=FIVEDAY&amp;VAR:SYMBOL=671402&amp;VAR:INDEX=0"}</definedName>
    <definedName name="_6073__FDSAUDITLINK__" localSheetId="27">{"fdsup://directions/FAT Viewer?action=UPDATE&amp;creator=factset&amp;DYN_ARGS=TRUE&amp;DOC_NAME=FAT:FQL_AUDITING_CLIENT_TEMPLATE.FAT&amp;display_string=Audit&amp;VAR:KEY=RIJAHCXSFU&amp;VAR:QUERY=RkZfTkVUX0lOQyhBTk4sNDA2MzMp&amp;WINDOW=FIRST_POPUP&amp;HEIGHT=450&amp;WIDTH=450&amp;START_MAXIMIZED=","FALSE&amp;VAR:CALENDAR=FIVEDAY&amp;VAR:SYMBOL=671402&amp;VAR:INDEX=0"}</definedName>
    <definedName name="_6074__FDSAUDITLINK__" localSheetId="34">{"fdsup://directions/FAT Viewer?action=UPDATE&amp;creator=factset&amp;DYN_ARGS=TRUE&amp;DOC_NAME=FAT:FQL_AUDITING_CLIENT_TEMPLATE.FAT&amp;display_string=Audit&amp;VAR:KEY=TSNIZCBKVS&amp;VAR:QUERY=RkZfTkVUX0lOQyhBTk4sNDA1NzQp&amp;WINDOW=FIRST_POPUP&amp;HEIGHT=450&amp;WIDTH=450&amp;START_MAXIMIZED=","FALSE&amp;VAR:CALENDAR=FIVEDAY&amp;VAR:SYMBOL=93114210&amp;VAR:INDEX=0"}</definedName>
    <definedName name="_6074__FDSAUDITLINK__" localSheetId="27">{"fdsup://directions/FAT Viewer?action=UPDATE&amp;creator=factset&amp;DYN_ARGS=TRUE&amp;DOC_NAME=FAT:FQL_AUDITING_CLIENT_TEMPLATE.FAT&amp;display_string=Audit&amp;VAR:KEY=TSNIZCBKVS&amp;VAR:QUERY=RkZfTkVUX0lOQyhBTk4sNDA1NzQp&amp;WINDOW=FIRST_POPUP&amp;HEIGHT=450&amp;WIDTH=450&amp;START_MAXIMIZED=","FALSE&amp;VAR:CALENDAR=FIVEDAY&amp;VAR:SYMBOL=93114210&amp;VAR:INDEX=0"}</definedName>
    <definedName name="_6075__FDSAUDITLINK__" localSheetId="34">{"fdsup://directions/FAT Viewer?action=UPDATE&amp;creator=factset&amp;DYN_ARGS=TRUE&amp;DOC_NAME=FAT:FQL_AUDITING_CLIENT_TEMPLATE.FAT&amp;display_string=Audit&amp;VAR:KEY=JUTKLQFANO&amp;VAR:QUERY=RkZfTkVUX0lOQyhBTk4sNDA1NDMp&amp;WINDOW=FIRST_POPUP&amp;HEIGHT=450&amp;WIDTH=450&amp;START_MAXIMIZED=","FALSE&amp;VAR:CALENDAR=FIVEDAY&amp;VAR:SYMBOL=054052&amp;VAR:INDEX=0"}</definedName>
    <definedName name="_6075__FDSAUDITLINK__" localSheetId="27">{"fdsup://directions/FAT Viewer?action=UPDATE&amp;creator=factset&amp;DYN_ARGS=TRUE&amp;DOC_NAME=FAT:FQL_AUDITING_CLIENT_TEMPLATE.FAT&amp;display_string=Audit&amp;VAR:KEY=JUTKLQFANO&amp;VAR:QUERY=RkZfTkVUX0lOQyhBTk4sNDA1NDMp&amp;WINDOW=FIRST_POPUP&amp;HEIGHT=450&amp;WIDTH=450&amp;START_MAXIMIZED=","FALSE&amp;VAR:CALENDAR=FIVEDAY&amp;VAR:SYMBOL=054052&amp;VAR:INDEX=0"}</definedName>
    <definedName name="_607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7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08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08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1__FDSAUDITLINK__" localSheetId="34">{"fdsup://directions/FAT Viewer?action=UPDATE&amp;creator=factset&amp;DYN_ARGS=TRUE&amp;DOC_NAME=FAT:FQL_AUDITING_CLIENT_TEMPLATE.FAT&amp;display_string=Audit&amp;VAR:KEY=TCDWHEVAVK&amp;VAR:QUERY=RkZfTkVUX0lOQyhBTk4sMzkwODIp&amp;WINDOW=FIRST_POPUP&amp;HEIGHT=450&amp;WIDTH=450&amp;START_MAXIMIZED=","FALSE&amp;VAR:CALENDAR=FIVEDAY&amp;VAR:SYMBOL=06050510&amp;VAR:INDEX=0"}</definedName>
    <definedName name="_6081__FDSAUDITLINK__" localSheetId="27">{"fdsup://directions/FAT Viewer?action=UPDATE&amp;creator=factset&amp;DYN_ARGS=TRUE&amp;DOC_NAME=FAT:FQL_AUDITING_CLIENT_TEMPLATE.FAT&amp;display_string=Audit&amp;VAR:KEY=TCDWHEVAVK&amp;VAR:QUERY=RkZfTkVUX0lOQyhBTk4sMzkwODIp&amp;WINDOW=FIRST_POPUP&amp;HEIGHT=450&amp;WIDTH=450&amp;START_MAXIMIZED=","FALSE&amp;VAR:CALENDAR=FIVEDAY&amp;VAR:SYMBOL=06050510&amp;VAR:INDEX=0"}</definedName>
    <definedName name="_6082__FDSAUDITLINK__" localSheetId="34">{"fdsup://directions/FAT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82__FDSAUDITLINK__" localSheetId="27">{"fdsup://directions/FAT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083__FDSAUDITLINK__" localSheetId="34">{"fdsup://directions/FAT Viewer?action=UPDATE&amp;creator=factset&amp;DYN_ARGS=TRUE&amp;DOC_NAME=FAT:FQL_AUDITING_CLIENT_TEMPLATE.FAT&amp;display_string=Audit&amp;VAR:KEY=PCBUFMXQDS&amp;VAR:QUERY=RkZfTkVUX0lOQyhBTk4sMzkxNzIp&amp;WINDOW=FIRST_POPUP&amp;HEIGHT=450&amp;WIDTH=450&amp;START_MAXIMIZED=","FALSE&amp;VAR:CALENDAR=FIVEDAY&amp;VAR:SYMBOL=090674&amp;VAR:INDEX=0"}</definedName>
    <definedName name="_6083__FDSAUDITLINK__" localSheetId="27">{"fdsup://directions/FAT Viewer?action=UPDATE&amp;creator=factset&amp;DYN_ARGS=TRUE&amp;DOC_NAME=FAT:FQL_AUDITING_CLIENT_TEMPLATE.FAT&amp;display_string=Audit&amp;VAR:KEY=PCBUFMXQDS&amp;VAR:QUERY=RkZfTkVUX0lOQyhBTk4sMzkxNzIp&amp;WINDOW=FIRST_POPUP&amp;HEIGHT=450&amp;WIDTH=450&amp;START_MAXIMIZED=","FALSE&amp;VAR:CALENDAR=FIVEDAY&amp;VAR:SYMBOL=090674&amp;VAR:INDEX=0"}</definedName>
    <definedName name="_608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88__FDSAUDITLINK__" localSheetId="34">{"fdsup://directions/FAT Viewer?action=UPDATE&amp;creator=factset&amp;DYN_ARGS=TRUE&amp;DOC_NAME=FAT:FQL_AUDITING_CLIENT_TEMPLATE.FAT&amp;display_string=Audit&amp;VAR:KEY=TUPKJCHWBS&amp;VAR:QUERY=RkZfTkVUX0lOQyhBTk4sMzk1Mzgp&amp;WINDOW=FIRST_POPUP&amp;HEIGHT=450&amp;WIDTH=450&amp;START_MAXIMIZED=","FALSE&amp;VAR:CALENDAR=FIVEDAY&amp;VAR:SYMBOL=671402&amp;VAR:INDEX=0"}</definedName>
    <definedName name="_6088__FDSAUDITLINK__" localSheetId="27">{"fdsup://directions/FAT Viewer?action=UPDATE&amp;creator=factset&amp;DYN_ARGS=TRUE&amp;DOC_NAME=FAT:FQL_AUDITING_CLIENT_TEMPLATE.FAT&amp;display_string=Audit&amp;VAR:KEY=TUPKJCHWBS&amp;VAR:QUERY=RkZfTkVUX0lOQyhBTk4sMzk1Mzgp&amp;WINDOW=FIRST_POPUP&amp;HEIGHT=450&amp;WIDTH=450&amp;START_MAXIMIZED=","FALSE&amp;VAR:CALENDAR=FIVEDAY&amp;VAR:SYMBOL=671402&amp;VAR:INDEX=0"}</definedName>
    <definedName name="_6089__FDSAUDITLINK__" localSheetId="34">{"fdsup://directions/FAT Viewer?action=UPDATE&amp;creator=factset&amp;DYN_ARGS=TRUE&amp;DOC_NAME=FAT:FQL_AUDITING_CLIENT_TEMPLATE.FAT&amp;display_string=Audit&amp;VAR:KEY=DELGVEVIFO&amp;VAR:QUERY=RkZfTkVUX0lOQyhBTk4sMzk0Nzgp&amp;WINDOW=FIRST_POPUP&amp;HEIGHT=450&amp;WIDTH=450&amp;START_MAXIMIZED=","FALSE&amp;VAR:CALENDAR=FIVEDAY&amp;VAR:SYMBOL=93114210&amp;VAR:INDEX=0"}</definedName>
    <definedName name="_6089__FDSAUDITLINK__" localSheetId="27">{"fdsup://directions/FAT Viewer?action=UPDATE&amp;creator=factset&amp;DYN_ARGS=TRUE&amp;DOC_NAME=FAT:FQL_AUDITING_CLIENT_TEMPLATE.FAT&amp;display_string=Audit&amp;VAR:KEY=DELGVEVIFO&amp;VAR:QUERY=RkZfTkVUX0lOQyhBTk4sMzk0Nzgp&amp;WINDOW=FIRST_POPUP&amp;HEIGHT=450&amp;WIDTH=450&amp;START_MAXIMIZED=","FALSE&amp;VAR:CALENDAR=FIVEDAY&amp;VAR:SYMBOL=93114210&amp;VAR:INDEX=0"}</definedName>
    <definedName name="_609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9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090__FDSAUDITLINK__" localSheetId="34">{"fdsup://directions/FAT Viewer?action=UPDATE&amp;creator=factset&amp;DYN_ARGS=TRUE&amp;DOC_NAME=FAT:FQL_AUDITING_CLIENT_TEMPLATE.FAT&amp;display_string=Audit&amp;VAR:KEY=POJGHQFOVE&amp;VAR:QUERY=RkZfTkVUX0lOQyhBTk4sMzk0NDcp&amp;WINDOW=FIRST_POPUP&amp;HEIGHT=450&amp;WIDTH=450&amp;START_MAXIMIZED=","FALSE&amp;VAR:CALENDAR=FIVEDAY&amp;VAR:SYMBOL=054052&amp;VAR:INDEX=0"}</definedName>
    <definedName name="_6090__FDSAUDITLINK__" localSheetId="27">{"fdsup://directions/FAT Viewer?action=UPDATE&amp;creator=factset&amp;DYN_ARGS=TRUE&amp;DOC_NAME=FAT:FQL_AUDITING_CLIENT_TEMPLATE.FAT&amp;display_string=Audit&amp;VAR:KEY=POJGHQFOVE&amp;VAR:QUERY=RkZfTkVUX0lOQyhBTk4sMzk0NDcp&amp;WINDOW=FIRST_POPUP&amp;HEIGHT=450&amp;WIDTH=450&amp;START_MAXIMIZED=","FALSE&amp;VAR:CALENDAR=FIVEDAY&amp;VAR:SYMBOL=054052&amp;VAR:INDEX=0"}</definedName>
    <definedName name="_609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6__FDSAUDITLINK__" localSheetId="34">{"fdsup://directions/FAT Viewer?action=UPDATE&amp;creator=factset&amp;DYN_ARGS=TRUE&amp;DOC_NAME=FAT:FQL_AUDITING_CLIENT_TEMPLATE.FAT&amp;display_string=Audit&amp;VAR:KEY=NMTEVGZQBW&amp;VAR:QUERY=RkZfTkVUX0lOQyhBTk4sMzk3MjEp&amp;WINDOW=FIRST_POPUP&amp;HEIGHT=450&amp;WIDTH=450&amp;START_MAXIMIZED=","FALSE&amp;VAR:CALENDAR=FIVEDAY&amp;VAR:SYMBOL=016419&amp;VAR:INDEX=0"}</definedName>
    <definedName name="_6096__FDSAUDITLINK__" localSheetId="27">{"fdsup://directions/FAT Viewer?action=UPDATE&amp;creator=factset&amp;DYN_ARGS=TRUE&amp;DOC_NAME=FAT:FQL_AUDITING_CLIENT_TEMPLATE.FAT&amp;display_string=Audit&amp;VAR:KEY=NMTEVGZQBW&amp;VAR:QUERY=RkZfTkVUX0lOQyhBTk4sMzk3MjEp&amp;WINDOW=FIRST_POPUP&amp;HEIGHT=450&amp;WIDTH=450&amp;START_MAXIMIZED=","FALSE&amp;VAR:CALENDAR=FIVEDAY&amp;VAR:SYMBOL=016419&amp;VAR:INDEX=0"}</definedName>
    <definedName name="_6097__FDSAUDITLINK__" localSheetId="34">{"fdsup://directions/FAT Viewer?action=UPDATE&amp;creator=factset&amp;DYN_ARGS=TRUE&amp;DOC_NAME=FAT:FQL_AUDITING_CLIENT_TEMPLATE.FAT&amp;display_string=Audit&amp;VAR:KEY=PAREHGTIBU&amp;VAR:QUERY=RkZfTkVUX0lOQyhBTk4sMzk5MDMp&amp;WINDOW=FIRST_POPUP&amp;HEIGHT=450&amp;WIDTH=450&amp;START_MAXIMIZED=","FALSE&amp;VAR:CALENDAR=FIVEDAY&amp;VAR:SYMBOL=309272&amp;VAR:INDEX=0"}</definedName>
    <definedName name="_6097__FDSAUDITLINK__" localSheetId="27">{"fdsup://directions/FAT Viewer?action=UPDATE&amp;creator=factset&amp;DYN_ARGS=TRUE&amp;DOC_NAME=FAT:FQL_AUDITING_CLIENT_TEMPLATE.FAT&amp;display_string=Audit&amp;VAR:KEY=PAREHGTIBU&amp;VAR:QUERY=RkZfTkVUX0lOQyhBTk4sMzk5MDMp&amp;WINDOW=FIRST_POPUP&amp;HEIGHT=450&amp;WIDTH=450&amp;START_MAXIMIZED=","FALSE&amp;VAR:CALENDAR=FIVEDAY&amp;VAR:SYMBOL=309272&amp;VAR:INDEX=0"}</definedName>
    <definedName name="_609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09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0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0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3__FDSAUDITLINK__" localSheetId="34">{"fdsup://directions/FAT Viewer?action=UPDATE&amp;creator=factset&amp;DYN_ARGS=TRUE&amp;DOC_NAME=FAT:FQL_AUDITING_CLIENT_TEMPLATE.FAT&amp;display_string=Audit&amp;VAR:KEY=TWBUXEBYBA&amp;VAR:QUERY=RkZfTkVUX0lOQyhBTk4sNDAyNjgp&amp;WINDOW=FIRST_POPUP&amp;HEIGHT=450&amp;WIDTH=450&amp;START_MAXIMIZED=","FALSE&amp;VAR:CALENDAR=FIVEDAY&amp;VAR:SYMBOL=690064&amp;VAR:INDEX=0"}</definedName>
    <definedName name="_6103__FDSAUDITLINK__" localSheetId="27">{"fdsup://directions/FAT Viewer?action=UPDATE&amp;creator=factset&amp;DYN_ARGS=TRUE&amp;DOC_NAME=FAT:FQL_AUDITING_CLIENT_TEMPLATE.FAT&amp;display_string=Audit&amp;VAR:KEY=TWBUXEBYBA&amp;VAR:QUERY=RkZfTkVUX0lOQyhBTk4sNDAyNjgp&amp;WINDOW=FIRST_POPUP&amp;HEIGHT=450&amp;WIDTH=450&amp;START_MAXIMIZED=","FALSE&amp;VAR:CALENDAR=FIVEDAY&amp;VAR:SYMBOL=690064&amp;VAR:INDEX=0"}</definedName>
    <definedName name="_6104__FDSAUDITLINK__" localSheetId="34">{"fdsup://directions/FAT Viewer?action=UPDATE&amp;creator=factset&amp;DYN_ARGS=TRUE&amp;DOC_NAME=FAT:FQL_AUDITING_CLIENT_TEMPLATE.FAT&amp;display_string=Audit&amp;VAR:KEY=FKZKZMNEHE&amp;VAR:QUERY=RkZfTkVUX0lOQyhBTk4sNDAyMDgp&amp;WINDOW=FIRST_POPUP&amp;HEIGHT=450&amp;WIDTH=450&amp;START_MAXIMIZED=","FALSE&amp;VAR:CALENDAR=FIVEDAY&amp;VAR:SYMBOL=010486&amp;VAR:INDEX=0"}</definedName>
    <definedName name="_6104__FDSAUDITLINK__" localSheetId="27">{"fdsup://directions/FAT Viewer?action=UPDATE&amp;creator=factset&amp;DYN_ARGS=TRUE&amp;DOC_NAME=FAT:FQL_AUDITING_CLIENT_TEMPLATE.FAT&amp;display_string=Audit&amp;VAR:KEY=FKZKZMNEHE&amp;VAR:QUERY=RkZfTkVUX0lOQyhBTk4sNDAyMDgp&amp;WINDOW=FIRST_POPUP&amp;HEIGHT=450&amp;WIDTH=450&amp;START_MAXIMIZED=","FALSE&amp;VAR:CALENDAR=FIVEDAY&amp;VAR:SYMBOL=010486&amp;VAR:INDEX=0"}</definedName>
    <definedName name="_6105__FDSAUDITLINK__" localSheetId="34">{"fdsup://directions/FAT Viewer?action=UPDATE&amp;creator=factset&amp;DYN_ARGS=TRUE&amp;DOC_NAME=FAT:FQL_AUDITING_CLIENT_TEMPLATE.FAT&amp;display_string=Audit&amp;VAR:KEY=VMBGPGJCJS&amp;VAR:QUERY=RkZfTkVUX0lOQyhBTk4sNDAyNjgp&amp;WINDOW=FIRST_POPUP&amp;HEIGHT=450&amp;WIDTH=450&amp;START_MAXIMIZED=","FALSE&amp;VAR:CALENDAR=FIVEDAY&amp;VAR:SYMBOL=B16GWD&amp;VAR:INDEX=0"}</definedName>
    <definedName name="_6105__FDSAUDITLINK__" localSheetId="27">{"fdsup://directions/FAT Viewer?action=UPDATE&amp;creator=factset&amp;DYN_ARGS=TRUE&amp;DOC_NAME=FAT:FQL_AUDITING_CLIENT_TEMPLATE.FAT&amp;display_string=Audit&amp;VAR:KEY=VMBGPGJCJS&amp;VAR:QUERY=RkZfTkVUX0lOQyhBTk4sNDAyNjgp&amp;WINDOW=FIRST_POPUP&amp;HEIGHT=450&amp;WIDTH=450&amp;START_MAXIMIZED=","FALSE&amp;VAR:CALENDAR=FIVEDAY&amp;VAR:SYMBOL=B16GWD&amp;VAR:INDEX=0"}</definedName>
    <definedName name="_6106__FDSAUDITLINK__" localSheetId="34">{"fdsup://directions/FAT Viewer?action=UPDATE&amp;creator=factset&amp;DYN_ARGS=TRUE&amp;DOC_NAME=FAT:FQL_AUDITING_CLIENT_TEMPLATE.FAT&amp;display_string=Audit&amp;VAR:KEY=DEPMVWTSVM&amp;VAR:QUERY=RkZfTkVUX0lOQyhBTk4sNDA1NDMp&amp;WINDOW=FIRST_POPUP&amp;HEIGHT=450&amp;WIDTH=450&amp;START_MAXIMIZED=","FALSE&amp;VAR:CALENDAR=FIVEDAY&amp;VAR:SYMBOL=06050510&amp;VAR:INDEX=0"}</definedName>
    <definedName name="_6106__FDSAUDITLINK__" localSheetId="27">{"fdsup://directions/FAT Viewer?action=UPDATE&amp;creator=factset&amp;DYN_ARGS=TRUE&amp;DOC_NAME=FAT:FQL_AUDITING_CLIENT_TEMPLATE.FAT&amp;display_string=Audit&amp;VAR:KEY=DEPMVWTSVM&amp;VAR:QUERY=RkZfTkVUX0lOQyhBTk4sNDA1NDMp&amp;WINDOW=FIRST_POPUP&amp;HEIGHT=450&amp;WIDTH=450&amp;START_MAXIMIZED=","FALSE&amp;VAR:CALENDAR=FIVEDAY&amp;VAR:SYMBOL=06050510&amp;VAR:INDEX=0"}</definedName>
    <definedName name="_6107__FDSAUDITLINK__" localSheetId="34">{"fdsup://directions/FAT Viewer?action=UPDATE&amp;creator=factset&amp;DYN_ARGS=TRUE&amp;DOC_NAME=FAT:FQL_AUDITING_CLIENT_TEMPLATE.FAT&amp;display_string=Audit&amp;VAR:KEY=HQDKJIPYFA&amp;VAR:QUERY=RkZfTkVUX0lOQyhBTk4sNDA2Mjgp&amp;WINDOW=FIRST_POPUP&amp;HEIGHT=450&amp;WIDTH=450&amp;START_MAXIMIZED=","FALSE&amp;VAR:CALENDAR=FIVEDAY&amp;VAR:SYMBOL=090674&amp;VAR:INDEX=0"}</definedName>
    <definedName name="_6107__FDSAUDITLINK__" localSheetId="27">{"fdsup://directions/FAT Viewer?action=UPDATE&amp;creator=factset&amp;DYN_ARGS=TRUE&amp;DOC_NAME=FAT:FQL_AUDITING_CLIENT_TEMPLATE.FAT&amp;display_string=Audit&amp;VAR:KEY=HQDKJIPYFA&amp;VAR:QUERY=RkZfTkVUX0lOQyhBTk4sNDA2Mjgp&amp;WINDOW=FIRST_POPUP&amp;HEIGHT=450&amp;WIDTH=450&amp;START_MAXIMIZED=","FALSE&amp;VAR:CALENDAR=FIVEDAY&amp;VAR:SYMBOL=090674&amp;VAR:INDEX=0"}</definedName>
    <definedName name="_610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0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1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1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4__FDSAUDITLINK__" localSheetId="34">{"fdsup://directions/FAT Viewer?action=UPDATE&amp;creator=factset&amp;DYN_ARGS=TRUE&amp;DOC_NAME=FAT:FQL_AUDITING_CLIENT_TEMPLATE.FAT&amp;display_string=Audit&amp;VAR:KEY=ZATKXSNKVK&amp;VAR:QUERY=RkZfTkVUX0lOQyhBTk4sMzkxNzIp&amp;WINDOW=FIRST_POPUP&amp;HEIGHT=450&amp;WIDTH=450&amp;START_MAXIMIZED=","FALSE&amp;VAR:CALENDAR=FIVEDAY&amp;VAR:SYMBOL=690064&amp;VAR:INDEX=0"}</definedName>
    <definedName name="_6114__FDSAUDITLINK__" localSheetId="27">{"fdsup://directions/FAT Viewer?action=UPDATE&amp;creator=factset&amp;DYN_ARGS=TRUE&amp;DOC_NAME=FAT:FQL_AUDITING_CLIENT_TEMPLATE.FAT&amp;display_string=Audit&amp;VAR:KEY=ZATKXSNKVK&amp;VAR:QUERY=RkZfTkVUX0lOQyhBTk4sMzkxNzIp&amp;WINDOW=FIRST_POPUP&amp;HEIGHT=450&amp;WIDTH=450&amp;START_MAXIMIZED=","FALSE&amp;VAR:CALENDAR=FIVEDAY&amp;VAR:SYMBOL=690064&amp;VAR:INDEX=0"}</definedName>
    <definedName name="_6115__FDSAUDITLINK__" localSheetId="34">{"fdsup://directions/FAT Viewer?action=UPDATE&amp;creator=factset&amp;DYN_ARGS=TRUE&amp;DOC_NAME=FAT:FQL_AUDITING_CLIENT_TEMPLATE.FAT&amp;display_string=Audit&amp;VAR:KEY=FEFEVKNCXY&amp;VAR:QUERY=RkZfTkVUX0lOQyhBTk4sMzkxMDkp&amp;WINDOW=FIRST_POPUP&amp;HEIGHT=450&amp;WIDTH=450&amp;START_MAXIMIZED=","FALSE&amp;VAR:CALENDAR=FIVEDAY&amp;VAR:SYMBOL=010486&amp;VAR:INDEX=0"}</definedName>
    <definedName name="_6115__FDSAUDITLINK__" localSheetId="27">{"fdsup://directions/FAT Viewer?action=UPDATE&amp;creator=factset&amp;DYN_ARGS=TRUE&amp;DOC_NAME=FAT:FQL_AUDITING_CLIENT_TEMPLATE.FAT&amp;display_string=Audit&amp;VAR:KEY=FEFEVKNCXY&amp;VAR:QUERY=RkZfTkVUX0lOQyhBTk4sMzkxMDkp&amp;WINDOW=FIRST_POPUP&amp;HEIGHT=450&amp;WIDTH=450&amp;START_MAXIMIZED=","FALSE&amp;VAR:CALENDAR=FIVEDAY&amp;VAR:SYMBOL=010486&amp;VAR:INDEX=0"}</definedName>
    <definedName name="_6116__FDSAUDITLINK__" localSheetId="34">{"fdsup://directions/FAT Viewer?action=UPDATE&amp;creator=factset&amp;DYN_ARGS=TRUE&amp;DOC_NAME=FAT:FQL_AUDITING_CLIENT_TEMPLATE.FAT&amp;display_string=Audit&amp;VAR:KEY=VMZAPKNODG&amp;VAR:QUERY=RkZfTkVUX0lOQyhBTk4sMzkxNzIp&amp;WINDOW=FIRST_POPUP&amp;HEIGHT=450&amp;WIDTH=450&amp;START_MAXIMIZED=","FALSE&amp;VAR:CALENDAR=FIVEDAY&amp;VAR:SYMBOL=B16GWD&amp;VAR:INDEX=0"}</definedName>
    <definedName name="_6116__FDSAUDITLINK__" localSheetId="27">{"fdsup://directions/FAT Viewer?action=UPDATE&amp;creator=factset&amp;DYN_ARGS=TRUE&amp;DOC_NAME=FAT:FQL_AUDITING_CLIENT_TEMPLATE.FAT&amp;display_string=Audit&amp;VAR:KEY=VMZAPKNODG&amp;VAR:QUERY=RkZfTkVUX0lOQyhBTk4sMzkxNzIp&amp;WINDOW=FIRST_POPUP&amp;HEIGHT=450&amp;WIDTH=450&amp;START_MAXIMIZED=","FALSE&amp;VAR:CALENDAR=FIVEDAY&amp;VAR:SYMBOL=B16GWD&amp;VAR:INDEX=0"}</definedName>
    <definedName name="_611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8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8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9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19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12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120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0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1__FDSAUDITLINK__" localSheetId="34">{"fdsup://directions/FAT Viewer?action=UPDATE&amp;creator=factset&amp;DYN_ARGS=TRUE&amp;DOC_NAME=FAT:FQL_AUDITING_CLIENT_TEMPLATE.FAT&amp;display_string=Audit&amp;VAR:KEY=LATUPUJMRK&amp;VAR:QUERY=RkZfTkVUX0lOQyhBTk4sMzk0NDcp&amp;WINDOW=FIRST_POPUP&amp;HEIGHT=450&amp;WIDTH=450&amp;START_MAXIMIZED=","FALSE&amp;VAR:CALENDAR=FIVEDAY&amp;VAR:SYMBOL=06050510&amp;VAR:INDEX=0"}</definedName>
    <definedName name="_6121__FDSAUDITLINK__" localSheetId="27">{"fdsup://directions/FAT Viewer?action=UPDATE&amp;creator=factset&amp;DYN_ARGS=TRUE&amp;DOC_NAME=FAT:FQL_AUDITING_CLIENT_TEMPLATE.FAT&amp;display_string=Audit&amp;VAR:KEY=LATUPUJMRK&amp;VAR:QUERY=RkZfTkVUX0lOQyhBTk4sMzk0NDcp&amp;WINDOW=FIRST_POPUP&amp;HEIGHT=450&amp;WIDTH=450&amp;START_MAXIMIZED=","FALSE&amp;VAR:CALENDAR=FIVEDAY&amp;VAR:SYMBOL=06050510&amp;VAR:INDEX=0"}</definedName>
    <definedName name="_6122__FDSAUDITLINK__" localSheetId="34">{"fdsup://directions/FAT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122__FDSAUDITLINK__" localSheetId="27">{"fdsup://directions/FAT Viewer?action=UPDATE&amp;creator=factset&amp;DYN_ARGS=TRUE&amp;DOC_NAME=FAT:FQL_AUDITING_CLIENT_TEMPLATE.FAT&amp;display_string=Audit&amp;VAR:KEY=DMZSHWJSLS&amp;VAR:QUERY=RkZfTkVUX0lOQyhBTk4sKQ==&amp;WINDOW=FIRST_POPUP&amp;HEIGHT=450&amp;WIDTH=450&amp;START_MAXIMIZED=FALS","E&amp;VAR:CALENDAR=FIVEDAY&amp;VAR:SYMBOL=673230&amp;VAR:INDEX=0"}</definedName>
    <definedName name="_6123__FDSAUDITLINK__" localSheetId="34">{"fdsup://directions/FAT Viewer?action=UPDATE&amp;creator=factset&amp;DYN_ARGS=TRUE&amp;DOC_NAME=FAT:FQL_AUDITING_CLIENT_TEMPLATE.FAT&amp;display_string=Audit&amp;VAR:KEY=PGDUTIZEBE&amp;VAR:QUERY=RkZfTkVUX0lOQyhBTk4sMzk1MzYp&amp;WINDOW=FIRST_POPUP&amp;HEIGHT=450&amp;WIDTH=450&amp;START_MAXIMIZED=","FALSE&amp;VAR:CALENDAR=FIVEDAY&amp;VAR:SYMBOL=090674&amp;VAR:INDEX=0"}</definedName>
    <definedName name="_6123__FDSAUDITLINK__" localSheetId="27">{"fdsup://directions/FAT Viewer?action=UPDATE&amp;creator=factset&amp;DYN_ARGS=TRUE&amp;DOC_NAME=FAT:FQL_AUDITING_CLIENT_TEMPLATE.FAT&amp;display_string=Audit&amp;VAR:KEY=PGDUTIZEBE&amp;VAR:QUERY=RkZfTkVUX0lOQyhBTk4sMzk1MzYp&amp;WINDOW=FIRST_POPUP&amp;HEIGHT=450&amp;WIDTH=450&amp;START_MAXIMIZED=","FALSE&amp;VAR:CALENDAR=FIVEDAY&amp;VAR:SYMBOL=090674&amp;VAR:INDEX=0"}</definedName>
    <definedName name="_612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6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6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7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7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28__FDSAUDITLINK__" localSheetId="34">{"fdsup://directions/FAT Viewer?action=UPDATE&amp;creator=factset&amp;DYN_ARGS=TRUE&amp;DOC_NAME=FAT:FQL_AUDITING_CLIENT_TEMPLATE.FAT&amp;display_string=Audit&amp;VAR:KEY=FEHITWNETW&amp;VAR:QUERY=RkZfTkVUX0lOQyhBTk4sMzk5MDMp&amp;WINDOW=FIRST_POPUP&amp;HEIGHT=450&amp;WIDTH=450&amp;START_MAXIMIZED=","FALSE&amp;VAR:CALENDAR=FIVEDAY&amp;VAR:SYMBOL=671402&amp;VAR:INDEX=0"}</definedName>
    <definedName name="_6128__FDSAUDITLINK__" localSheetId="27">{"fdsup://directions/FAT Viewer?action=UPDATE&amp;creator=factset&amp;DYN_ARGS=TRUE&amp;DOC_NAME=FAT:FQL_AUDITING_CLIENT_TEMPLATE.FAT&amp;display_string=Audit&amp;VAR:KEY=FEHITWNETW&amp;VAR:QUERY=RkZfTkVUX0lOQyhBTk4sMzk5MDMp&amp;WINDOW=FIRST_POPUP&amp;HEIGHT=450&amp;WIDTH=450&amp;START_MAXIMIZED=","FALSE&amp;VAR:CALENDAR=FIVEDAY&amp;VAR:SYMBOL=671402&amp;VAR:INDEX=0"}</definedName>
    <definedName name="_6129__FDSAUDITLINK__" localSheetId="34">{"fdsup://directions/FAT Viewer?action=UPDATE&amp;creator=factset&amp;DYN_ARGS=TRUE&amp;DOC_NAME=FAT:FQL_AUDITING_CLIENT_TEMPLATE.FAT&amp;display_string=Audit&amp;VAR:KEY=RSXQRUHWVO&amp;VAR:QUERY=RkZfTkVUX0lOQyhBTk4sMzk4NDQp&amp;WINDOW=FIRST_POPUP&amp;HEIGHT=450&amp;WIDTH=450&amp;START_MAXIMIZED=","FALSE&amp;VAR:CALENDAR=FIVEDAY&amp;VAR:SYMBOL=93114210&amp;VAR:INDEX=0"}</definedName>
    <definedName name="_6129__FDSAUDITLINK__" localSheetId="27">{"fdsup://directions/FAT Viewer?action=UPDATE&amp;creator=factset&amp;DYN_ARGS=TRUE&amp;DOC_NAME=FAT:FQL_AUDITING_CLIENT_TEMPLATE.FAT&amp;display_string=Audit&amp;VAR:KEY=RSXQRUHWVO&amp;VAR:QUERY=RkZfTkVUX0lOQyhBTk4sMzk4NDQp&amp;WINDOW=FIRST_POPUP&amp;HEIGHT=450&amp;WIDTH=450&amp;START_MAXIMIZED=","FALSE&amp;VAR:CALENDAR=FIVEDAY&amp;VAR:SYMBOL=93114210&amp;VAR:INDEX=0"}</definedName>
    <definedName name="_613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13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130__FDSAUDITLINK__" localSheetId="34">{"fdsup://directions/FAT Viewer?action=UPDATE&amp;creator=factset&amp;DYN_ARGS=TRUE&amp;DOC_NAME=FAT:FQL_AUDITING_CLIENT_TEMPLATE.FAT&amp;display_string=Audit&amp;VAR:KEY=XEJSLSNEVC&amp;VAR:QUERY=RkZfTkVUX0lOQyhBTk4sMzk4MTMp&amp;WINDOW=FIRST_POPUP&amp;HEIGHT=450&amp;WIDTH=450&amp;START_MAXIMIZED=","FALSE&amp;VAR:CALENDAR=FIVEDAY&amp;VAR:SYMBOL=054052&amp;VAR:INDEX=0"}</definedName>
    <definedName name="_6130__FDSAUDITLINK__" localSheetId="27">{"fdsup://directions/FAT Viewer?action=UPDATE&amp;creator=factset&amp;DYN_ARGS=TRUE&amp;DOC_NAME=FAT:FQL_AUDITING_CLIENT_TEMPLATE.FAT&amp;display_string=Audit&amp;VAR:KEY=XEJSLSNEVC&amp;VAR:QUERY=RkZfTkVUX0lOQyhBTk4sMzk4MTMp&amp;WINDOW=FIRST_POPUP&amp;HEIGHT=450&amp;WIDTH=450&amp;START_MAXIMIZED=","FALSE&amp;VAR:CALENDAR=FIVEDAY&amp;VAR:SYMBOL=054052&amp;VAR:INDEX=0"}</definedName>
    <definedName name="_6131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1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2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2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3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3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4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4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5__FDSAUDITLINK__" localSheetId="34">{"fdsup://directions/FAT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5__FDSAUDITLINK__" localSheetId="27">{"fdsup://directions/FAT Viewer?action=UPDATE&amp;creator=factset&amp;DYN_ARGS=TRUE&amp;DOC_NAME=FAT:FQL_AUDITING_CLIENT_TEMPLATE.FAT&amp;display_string=Audit&amp;VAR:KEY=NWJEDSDWRY&amp;VAR:QUERY=RkZfTkVUX0lOQyhBTk4sKQ==&amp;WINDOW=FIRST_POPUP&amp;HEIGHT=450&amp;WIDTH=450&amp;START_MAXIMIZED=FALS","E&amp;VAR:CALENDAR=FIVEDAY&amp;VAR:SYMBOL=0&amp;VAR:INDEX=0"}</definedName>
    <definedName name="_6136__FDSAUDITLINK__" localSheetId="34">{"fdsup://directions/FAT Viewer?action=UPDATE&amp;creator=factset&amp;DYN_ARGS=TRUE&amp;DOC_NAME=FAT:FQL_AUDITING_CLIENT_TEMPLATE.FAT&amp;display_string=Audit&amp;VAR:KEY=NWNSZCFEPO&amp;VAR:QUERY=RkZfTkVUX0lOQyhBTk4sNDAwODYp&amp;WINDOW=FIRST_POPUP&amp;HEIGHT=450&amp;WIDTH=450&amp;START_MAXIMIZED=","FALSE&amp;VAR:CALENDAR=FIVEDAY&amp;VAR:SYMBOL=016419&amp;VAR:INDEX=0"}</definedName>
    <definedName name="_6136__FDSAUDITLINK__" localSheetId="27">{"fdsup://directions/FAT Viewer?action=UPDATE&amp;creator=factset&amp;DYN_ARGS=TRUE&amp;DOC_NAME=FAT:FQL_AUDITING_CLIENT_TEMPLATE.FAT&amp;display_string=Audit&amp;VAR:KEY=NWNSZCFEPO&amp;VAR:QUERY=RkZfTkVUX0lOQyhBTk4sNDAwODYp&amp;WINDOW=FIRST_POPUP&amp;HEIGHT=450&amp;WIDTH=450&amp;START_MAXIMIZED=","FALSE&amp;VAR:CALENDAR=FIVEDAY&amp;VAR:SYMBOL=016419&amp;VAR:INDEX=0"}</definedName>
    <definedName name="_6137__FDSAUDITLINK__" localSheetId="34">{"fdsup://directions/FAT Viewer?action=UPDATE&amp;creator=factset&amp;DYN_ARGS=TRUE&amp;DOC_NAME=FAT:FQL_AUDITING_CLIENT_TEMPLATE.FAT&amp;display_string=Audit&amp;VAR:KEY=FUROJCNKTY&amp;VAR:QUERY=RkZfTkVUX0lOQyhBTk4sNDAyNjgp&amp;WINDOW=FIRST_POPUP&amp;HEIGHT=450&amp;WIDTH=450&amp;START_MAXIMIZED=","FALSE&amp;VAR:CALENDAR=FIVEDAY&amp;VAR:SYMBOL=309272&amp;VAR:INDEX=0"}</definedName>
    <definedName name="_6137__FDSAUDITLINK__" localSheetId="27">{"fdsup://directions/FAT Viewer?action=UPDATE&amp;creator=factset&amp;DYN_ARGS=TRUE&amp;DOC_NAME=FAT:FQL_AUDITING_CLIENT_TEMPLATE.FAT&amp;display_string=Audit&amp;VAR:KEY=FUROJCNKTY&amp;VAR:QUERY=RkZfTkVUX0lOQyhBTk4sNDAyNjgp&amp;WINDOW=FIRST_POPUP&amp;HEIGHT=450&amp;WIDTH=450&amp;START_MAXIMIZED=","FALSE&amp;VAR:CALENDAR=FIVEDAY&amp;VAR:SYMBOL=309272&amp;VAR:INDEX=0"}</definedName>
    <definedName name="_6138__FDSAUDITLINK__" localSheetId="34">{"fdsup://directions/FAT Viewer?action=UPDATE&amp;creator=factset&amp;DYN_ARGS=TRUE&amp;DOC_NAME=FAT:FQL_AUDITING_CLIENT_TEMPLATE.FAT&amp;display_string=Audit&amp;VAR:KEY=HANWJCXKBK&amp;VAR:QUERY=RkZfTkVUX0lOQyhBTk4sNDA2MzMp&amp;WINDOW=FIRST_POPUP&amp;HEIGHT=450&amp;WIDTH=450&amp;START_MAXIMIZED=","FALSE&amp;VAR:CALENDAR=FIVEDAY&amp;VAR:SYMBOL=690064&amp;VAR:INDEX=0"}</definedName>
    <definedName name="_6138__FDSAUDITLINK__" localSheetId="27">{"fdsup://directions/FAT Viewer?action=UPDATE&amp;creator=factset&amp;DYN_ARGS=TRUE&amp;DOC_NAME=FAT:FQL_AUDITING_CLIENT_TEMPLATE.FAT&amp;display_string=Audit&amp;VAR:KEY=HANWJCXKBK&amp;VAR:QUERY=RkZfTkVUX0lOQyhBTk4sNDA2MzMp&amp;WINDOW=FIRST_POPUP&amp;HEIGHT=450&amp;WIDTH=450&amp;START_MAXIMIZED=","FALSE&amp;VAR:CALENDAR=FIVEDAY&amp;VAR:SYMBOL=690064&amp;VAR:INDEX=0"}</definedName>
    <definedName name="_6139__FDSAUDITLINK__" localSheetId="34">{"fdsup://directions/FAT Viewer?action=UPDATE&amp;creator=factset&amp;DYN_ARGS=TRUE&amp;DOC_NAME=FAT:FQL_AUDITING_CLIENT_TEMPLATE.FAT&amp;display_string=Audit&amp;VAR:KEY=TUHWHQDWNQ&amp;VAR:QUERY=RkZfTkVUX0lOQyhBTk4sNDA1NzIp&amp;WINDOW=FIRST_POPUP&amp;HEIGHT=450&amp;WIDTH=450&amp;START_MAXIMIZED=","FALSE&amp;VAR:CALENDAR=FIVEDAY&amp;VAR:SYMBOL=010486&amp;VAR:INDEX=0"}</definedName>
    <definedName name="_6139__FDSAUDITLINK__" localSheetId="27">{"fdsup://directions/FAT Viewer?action=UPDATE&amp;creator=factset&amp;DYN_ARGS=TRUE&amp;DOC_NAME=FAT:FQL_AUDITING_CLIENT_TEMPLATE.FAT&amp;display_string=Audit&amp;VAR:KEY=TUHWHQDWNQ&amp;VAR:QUERY=RkZfTkVUX0lOQyhBTk4sNDA1NzIp&amp;WINDOW=FIRST_POPUP&amp;HEIGHT=450&amp;WIDTH=450&amp;START_MAXIMIZED=","FALSE&amp;VAR:CALENDAR=FIVEDAY&amp;VAR:SYMBOL=010486&amp;VAR:INDEX=0"}</definedName>
    <definedName name="_614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4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40__FDSAUDITLINK__" localSheetId="34">{"fdsup://directions/FAT Viewer?action=UPDATE&amp;creator=factset&amp;DYN_ARGS=TRUE&amp;DOC_NAME=FAT:FQL_AUDITING_CLIENT_TEMPLATE.FAT&amp;display_string=Audit&amp;VAR:KEY=NIFAFUBSPA&amp;VAR:QUERY=RkZfTkVUX0lOQyhBTk4sNDA2MzMp&amp;WINDOW=FIRST_POPUP&amp;HEIGHT=450&amp;WIDTH=450&amp;START_MAXIMIZED=","FALSE&amp;VAR:CALENDAR=FIVEDAY&amp;VAR:SYMBOL=B16GWD&amp;VAR:INDEX=0"}</definedName>
    <definedName name="_6140__FDSAUDITLINK__" localSheetId="27">{"fdsup://directions/FAT Viewer?action=UPDATE&amp;creator=factset&amp;DYN_ARGS=TRUE&amp;DOC_NAME=FAT:FQL_AUDITING_CLIENT_TEMPLATE.FAT&amp;display_string=Audit&amp;VAR:KEY=NIFAFUBSPA&amp;VAR:QUERY=RkZfTkVUX0lOQyhBTk4sNDA2MzMp&amp;WINDOW=FIRST_POPUP&amp;HEIGHT=450&amp;WIDTH=450&amp;START_MAXIMIZED=","FALSE&amp;VAR:CALENDAR=FIVEDAY&amp;VAR:SYMBOL=B16GWD&amp;VAR:INDEX=0"}</definedName>
    <definedName name="_6143__FDSAUDITLINK__" localSheetId="34">{"fdsup://directions/FAT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6143__FDSAUDITLINK__" localSheetId="27">{"fdsup://directions/FAT Viewer?action=UPDATE&amp;creator=factset&amp;DYN_ARGS=TRUE&amp;DOC_NAME=FAT:FQL_AUDITING_CLIENT_TEMPLATE.FAT&amp;display_string=Audit&amp;VAR:KEY=LERKJOTENC&amp;VAR:QUERY=RkZfUEUoQU5OLDQwNzg3LTNZLCwsUkYp&amp;WINDOW=FIRST_POPUP&amp;HEIGHT=450&amp;WIDTH=450&amp;START_MAXIMI","ZED=FALSE&amp;VAR:CALENDAR=FIVEDAY&amp;VAR:SYMBOL=0&amp;VAR:INDEX=0"}</definedName>
    <definedName name="_6144__FDSAUDITLINK__" localSheetId="34">{"fdsup://directions/FAT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6144__FDSAUDITLINK__" localSheetId="27">{"fdsup://directions/FAT Viewer?action=UPDATE&amp;creator=factset&amp;DYN_ARGS=TRUE&amp;DOC_NAME=FAT:FQL_AUDITING_CLIENT_TEMPLATE.FAT&amp;display_string=Audit&amp;VAR:KEY=ZWZSDYFWXW&amp;VAR:QUERY=RkZfUEUoQU5OLDQwNzg3LCwsUkYp&amp;WINDOW=FIRST_POPUP&amp;HEIGHT=450&amp;WIDTH=450&amp;START_MAXIMIZED=","FALSE&amp;VAR:CALENDAR=FIVEDAY&amp;VAR:SYMBOL=0&amp;VAR:INDEX=0"}</definedName>
    <definedName name="_6145__FDSAUDITLINK__" localSheetId="34">{"fdsup://directions/FAT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6145__FDSAUDITLINK__" localSheetId="27">{"fdsup://directions/FAT Viewer?action=UPDATE&amp;creator=factset&amp;DYN_ARGS=TRUE&amp;DOC_NAME=FAT:FQL_AUDITING_CLIENT_TEMPLATE.FAT&amp;display_string=Audit&amp;VAR:KEY=VCLKVIVEFS&amp;VAR:QUERY=RkZfUEUoQU5OLDQwNzg3LTJZLCwsUkYp&amp;WINDOW=FIRST_POPUP&amp;HEIGHT=450&amp;WIDTH=450&amp;START_MAXIMI","ZED=FALSE&amp;VAR:CALENDAR=FIVEDAY&amp;VAR:SYMBOL=0&amp;VAR:INDEX=0"}</definedName>
    <definedName name="_6146__FDSAUDITLINK__" localSheetId="34">{"fdsup://directions/FAT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6146__FDSAUDITLINK__" localSheetId="27">{"fdsup://directions/FAT Viewer?action=UPDATE&amp;creator=factset&amp;DYN_ARGS=TRUE&amp;DOC_NAME=FAT:FQL_AUDITING_CLIENT_TEMPLATE.FAT&amp;display_string=Audit&amp;VAR:KEY=XYRMTCTGPU&amp;VAR:QUERY=RkZfUEUoQU5OLDQwNzg3LTFZLCwsUkYp&amp;WINDOW=FIRST_POPUP&amp;HEIGHT=450&amp;WIDTH=450&amp;START_MAXIMI","ZED=FALSE&amp;VAR:CALENDAR=FIVEDAY&amp;VAR:SYMBOL=0&amp;VAR:INDEX=0"}</definedName>
    <definedName name="_6148__FDSAUDITLINK__" localSheetId="34">{"fdsup://Directions/FactSet Auditing Viewer?action=AUDIT_VALUE&amp;DB=129&amp;ID1=93114210&amp;VALUEID=02999&amp;SDATE=2007&amp;PERIODTYPE=ANNR_STD&amp;SCFT=3&amp;window=popup_no_bar&amp;width=385&amp;height=120&amp;START_MAXIMIZED=FALSE&amp;creator=factset&amp;display_string=Audit"}</definedName>
    <definedName name="_6148__FDSAUDITLINK__" localSheetId="27">{"fdsup://Directions/FactSet Auditing Viewer?action=AUDIT_VALUE&amp;DB=129&amp;ID1=93114210&amp;VALUEID=02999&amp;SDATE=2007&amp;PERIODTYPE=ANNR_STD&amp;SCFT=3&amp;window=popup_no_bar&amp;width=385&amp;height=120&amp;START_MAXIMIZED=FALSE&amp;creator=factset&amp;display_string=Audit"}</definedName>
    <definedName name="_6149__FDSAUDITLINK__" localSheetId="34">{"fdsup://Directions/FactSet Auditing Viewer?action=AUDIT_VALUE&amp;DB=129&amp;ID1=016419&amp;VALUEID=02999&amp;SDATE=2010&amp;PERIODTYPE=ANNR_STD&amp;SCFT=3&amp;window=popup_no_bar&amp;width=385&amp;height=120&amp;START_MAXIMIZED=FALSE&amp;creator=factset&amp;display_string=Audit"}</definedName>
    <definedName name="_6149__FDSAUDITLINK__" localSheetId="27">{"fdsup://Directions/FactSet Auditing Viewer?action=AUDIT_VALUE&amp;DB=129&amp;ID1=016419&amp;VALUEID=02999&amp;SDATE=2010&amp;PERIODTYPE=ANNR_STD&amp;SCFT=3&amp;window=popup_no_bar&amp;width=385&amp;height=120&amp;START_MAXIMIZED=FALSE&amp;creator=factset&amp;display_string=Audit"}</definedName>
    <definedName name="_615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5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50__FDSAUDITLINK__" localSheetId="34">{"fdsup://Directions/FactSet Auditing Viewer?action=AUDIT_VALUE&amp;DB=129&amp;ID1=016419&amp;VALUEID=02999&amp;SDATE=2010&amp;PERIODTYPE=ANNR_STD&amp;SCFT=3&amp;window=popup_no_bar&amp;width=385&amp;height=120&amp;START_MAXIMIZED=FALSE&amp;creator=factset&amp;display_string=Audit"}</definedName>
    <definedName name="_6150__FDSAUDITLINK__" localSheetId="27">{"fdsup://Directions/FactSet Auditing Viewer?action=AUDIT_VALUE&amp;DB=129&amp;ID1=016419&amp;VALUEID=02999&amp;SDATE=2010&amp;PERIODTYPE=ANNR_STD&amp;SCFT=3&amp;window=popup_no_bar&amp;width=385&amp;height=120&amp;START_MAXIMIZED=FALSE&amp;creator=factset&amp;display_string=Audit"}</definedName>
    <definedName name="_6151__FDSAUDITLINK__" localSheetId="34">{"fdsup://Directions/FactSet Auditing Viewer?action=AUDIT_VALUE&amp;DB=129&amp;ID1=090674&amp;VALUEID=02999&amp;SDATE=2008&amp;PERIODTYPE=ANNR_STD&amp;SCFT=3&amp;window=popup_no_bar&amp;width=385&amp;height=120&amp;START_MAXIMIZED=FALSE&amp;creator=factset&amp;display_string=Audit"}</definedName>
    <definedName name="_6151__FDSAUDITLINK__" localSheetId="27">{"fdsup://Directions/FactSet Auditing Viewer?action=AUDIT_VALUE&amp;DB=129&amp;ID1=090674&amp;VALUEID=02999&amp;SDATE=2008&amp;PERIODTYPE=ANNR_STD&amp;SCFT=3&amp;window=popup_no_bar&amp;width=385&amp;height=120&amp;START_MAXIMIZED=FALSE&amp;creator=factset&amp;display_string=Audit"}</definedName>
    <definedName name="_6152__FDSAUDITLINK__" localSheetId="34">{"fdsup://Directions/FactSet Auditing Viewer?action=AUDIT_VALUE&amp;DB=129&amp;ID1=309272&amp;VALUEID=02999&amp;SDATE=2009&amp;PERIODTYPE=ANNR_STD&amp;SCFT=3&amp;window=popup_no_bar&amp;width=385&amp;height=120&amp;START_MAXIMIZED=FALSE&amp;creator=factset&amp;display_string=Audit"}</definedName>
    <definedName name="_6152__FDSAUDITLINK__" localSheetId="27">{"fdsup://Directions/FactSet Auditing Viewer?action=AUDIT_VALUE&amp;DB=129&amp;ID1=309272&amp;VALUEID=02999&amp;SDATE=2009&amp;PERIODTYPE=ANNR_STD&amp;SCFT=3&amp;window=popup_no_bar&amp;width=385&amp;height=120&amp;START_MAXIMIZED=FALSE&amp;creator=factset&amp;display_string=Audit"}</definedName>
    <definedName name="_6154__FDSAUDITLINK__" localSheetId="34">{"fdsup://Directions/FactSet Auditing Viewer?action=AUDIT_VALUE&amp;DB=129&amp;ID1=06050510&amp;VALUEID=02999&amp;SDATE=2010&amp;PERIODTYPE=ANNR_STD&amp;SCFT=3&amp;window=popup_no_bar&amp;width=385&amp;height=120&amp;START_MAXIMIZED=FALSE&amp;creator=factset&amp;display_string=Audit"}</definedName>
    <definedName name="_6154__FDSAUDITLINK__" localSheetId="27">{"fdsup://Directions/FactSet Auditing Viewer?action=AUDIT_VALUE&amp;DB=129&amp;ID1=06050510&amp;VALUEID=02999&amp;SDATE=2010&amp;PERIODTYPE=ANNR_STD&amp;SCFT=3&amp;window=popup_no_bar&amp;width=385&amp;height=120&amp;START_MAXIMIZED=FALSE&amp;creator=factset&amp;display_string=Audit"}</definedName>
    <definedName name="_6155__FDSAUDITLINK__" localSheetId="34">{"fdsup://Directions/FactSet Auditing Viewer?action=AUDIT_VALUE&amp;DB=129&amp;ID1=671402&amp;VALUEID=02999&amp;SDATE=2008&amp;PERIODTYPE=ANNR_STD&amp;SCFT=3&amp;window=popup_no_bar&amp;width=385&amp;height=120&amp;START_MAXIMIZED=FALSE&amp;creator=factset&amp;display_string=Audit"}</definedName>
    <definedName name="_6155__FDSAUDITLINK__" localSheetId="27">{"fdsup://Directions/FactSet Auditing Viewer?action=AUDIT_VALUE&amp;DB=129&amp;ID1=671402&amp;VALUEID=02999&amp;SDATE=2008&amp;PERIODTYPE=ANNR_STD&amp;SCFT=3&amp;window=popup_no_bar&amp;width=385&amp;height=120&amp;START_MAXIMIZED=FALSE&amp;creator=factset&amp;display_string=Audit"}</definedName>
    <definedName name="_6156__FDSAUDITLINK__" localSheetId="34">{"fdsup://Directions/FactSet Auditing Viewer?action=AUDIT_VALUE&amp;DB=129&amp;ID1=309272&amp;VALUEID=02999&amp;SDATE=2010&amp;PERIODTYPE=ANNR_STD&amp;SCFT=3&amp;window=popup_no_bar&amp;width=385&amp;height=120&amp;START_MAXIMIZED=FALSE&amp;creator=factset&amp;display_string=Audit"}</definedName>
    <definedName name="_6156__FDSAUDITLINK__" localSheetId="27">{"fdsup://Directions/FactSet Auditing Viewer?action=AUDIT_VALUE&amp;DB=129&amp;ID1=309272&amp;VALUEID=02999&amp;SDATE=2010&amp;PERIODTYPE=ANNR_STD&amp;SCFT=3&amp;window=popup_no_bar&amp;width=385&amp;height=120&amp;START_MAXIMIZED=FALSE&amp;creator=factset&amp;display_string=Audit"}</definedName>
    <definedName name="_6157__FDSAUDITLINK__" localSheetId="34">{"fdsup://Directions/FactSet Auditing Viewer?action=AUDIT_VALUE&amp;DB=129&amp;ID1=06050510&amp;VALUEID=02999&amp;SDATE=2008&amp;PERIODTYPE=ANNR_STD&amp;SCFT=3&amp;window=popup_no_bar&amp;width=385&amp;height=120&amp;START_MAXIMIZED=FALSE&amp;creator=factset&amp;display_string=Audit"}</definedName>
    <definedName name="_6157__FDSAUDITLINK__" localSheetId="27">{"fdsup://Directions/FactSet Auditing Viewer?action=AUDIT_VALUE&amp;DB=129&amp;ID1=06050510&amp;VALUEID=02999&amp;SDATE=2008&amp;PERIODTYPE=ANNR_STD&amp;SCFT=3&amp;window=popup_no_bar&amp;width=385&amp;height=120&amp;START_MAXIMIZED=FALSE&amp;creator=factset&amp;display_string=Audit"}</definedName>
    <definedName name="_6159__FDSAUDITLINK__" localSheetId="34">{"fdsup://Directions/FactSet Auditing Viewer?action=AUDIT_VALUE&amp;DB=129&amp;ID1=B126KH&amp;VALUEID=04601&amp;SDATE=2010&amp;PERIODTYPE=ANNR_STD&amp;SCFT=3&amp;window=popup_no_bar&amp;width=385&amp;height=120&amp;START_MAXIMIZED=FALSE&amp;creator=factset&amp;display_string=Audit"}</definedName>
    <definedName name="_6159__FDSAUDITLINK__" localSheetId="27">{"fdsup://Directions/FactSet Auditing Viewer?action=AUDIT_VALUE&amp;DB=129&amp;ID1=B126KH&amp;VALUEID=04601&amp;SDATE=2010&amp;PERIODTYPE=ANNR_STD&amp;SCFT=3&amp;window=popup_no_bar&amp;width=385&amp;height=120&amp;START_MAXIMIZED=FALSE&amp;creator=factset&amp;display_string=Audit"}</definedName>
    <definedName name="_616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16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160__FDSAUDITLINK__" localSheetId="34">{"fdsup://Directions/FactSet Auditing Viewer?action=AUDIT_VALUE&amp;DB=129&amp;ID1=93114210&amp;VALUEID=02999&amp;SDATE=2009&amp;PERIODTYPE=ANNR_STD&amp;SCFT=3&amp;window=popup_no_bar&amp;width=385&amp;height=120&amp;START_MAXIMIZED=FALSE&amp;creator=factset&amp;display_string=Audit"}</definedName>
    <definedName name="_6160__FDSAUDITLINK__" localSheetId="27">{"fdsup://Directions/FactSet Auditing Viewer?action=AUDIT_VALUE&amp;DB=129&amp;ID1=93114210&amp;VALUEID=02999&amp;SDATE=2009&amp;PERIODTYPE=ANNR_STD&amp;SCFT=3&amp;window=popup_no_bar&amp;width=385&amp;height=120&amp;START_MAXIMIZED=FALSE&amp;creator=factset&amp;display_string=Audit"}</definedName>
    <definedName name="_6161__FDSAUDITLINK__" localSheetId="34">{"fdsup://Directions/FactSet Auditing Viewer?action=AUDIT_VALUE&amp;DB=129&amp;ID1=309272&amp;VALUEID=02999&amp;SDATE=2008&amp;PERIODTYPE=ANNR_STD&amp;SCFT=3&amp;window=popup_no_bar&amp;width=385&amp;height=120&amp;START_MAXIMIZED=FALSE&amp;creator=factset&amp;display_string=Audit"}</definedName>
    <definedName name="_6161__FDSAUDITLINK__" localSheetId="27">{"fdsup://Directions/FactSet Auditing Viewer?action=AUDIT_VALUE&amp;DB=129&amp;ID1=309272&amp;VALUEID=02999&amp;SDATE=2008&amp;PERIODTYPE=ANNR_STD&amp;SCFT=3&amp;window=popup_no_bar&amp;width=385&amp;height=120&amp;START_MAXIMIZED=FALSE&amp;creator=factset&amp;display_string=Audit"}</definedName>
    <definedName name="_6163__FDSAUDITLINK__" localSheetId="34">{"fdsup://Directions/FactSet Auditing Viewer?action=AUDIT_VALUE&amp;DB=129&amp;ID1=671402&amp;VALUEID=02999&amp;SDATE=2007&amp;PERIODTYPE=ANNR_STD&amp;SCFT=3&amp;window=popup_no_bar&amp;width=385&amp;height=120&amp;START_MAXIMIZED=FALSE&amp;creator=factset&amp;display_string=Audit"}</definedName>
    <definedName name="_6163__FDSAUDITLINK__" localSheetId="27">{"fdsup://Directions/FactSet Auditing Viewer?action=AUDIT_VALUE&amp;DB=129&amp;ID1=671402&amp;VALUEID=02999&amp;SDATE=2007&amp;PERIODTYPE=ANNR_STD&amp;SCFT=3&amp;window=popup_no_bar&amp;width=385&amp;height=120&amp;START_MAXIMIZED=FALSE&amp;creator=factset&amp;display_string=Audit"}</definedName>
    <definedName name="_6164__FDSAUDITLINK__" localSheetId="34">{"fdsup://Directions/FactSet Auditing Viewer?action=AUDIT_VALUE&amp;DB=129&amp;ID1=B16GWD&amp;VALUEID=02999&amp;SDATE=2008&amp;PERIODTYPE=ANNR_STD&amp;SCFT=3&amp;window=popup_no_bar&amp;width=385&amp;height=120&amp;START_MAXIMIZED=FALSE&amp;creator=factset&amp;display_string=Audit"}</definedName>
    <definedName name="_6164__FDSAUDITLINK__" localSheetId="27">{"fdsup://Directions/FactSet Auditing Viewer?action=AUDIT_VALUE&amp;DB=129&amp;ID1=B16GWD&amp;VALUEID=02999&amp;SDATE=2008&amp;PERIODTYPE=ANNR_STD&amp;SCFT=3&amp;window=popup_no_bar&amp;width=385&amp;height=120&amp;START_MAXIMIZED=FALSE&amp;creator=factset&amp;display_string=Audit"}</definedName>
    <definedName name="_6165__FDSAUDITLINK__" localSheetId="34">{"fdsup://Directions/FactSet Auditing Viewer?action=AUDIT_VALUE&amp;DB=129&amp;ID1=016419&amp;VALUEID=02999&amp;SDATE=2008&amp;PERIODTYPE=ANNR_STD&amp;SCFT=3&amp;window=popup_no_bar&amp;width=385&amp;height=120&amp;START_MAXIMIZED=FALSE&amp;creator=factset&amp;display_string=Audit"}</definedName>
    <definedName name="_6165__FDSAUDITLINK__" localSheetId="27">{"fdsup://Directions/FactSet Auditing Viewer?action=AUDIT_VALUE&amp;DB=129&amp;ID1=016419&amp;VALUEID=02999&amp;SDATE=2008&amp;PERIODTYPE=ANNR_STD&amp;SCFT=3&amp;window=popup_no_bar&amp;width=385&amp;height=120&amp;START_MAXIMIZED=FALSE&amp;creator=factset&amp;display_string=Audit"}</definedName>
    <definedName name="_6166__FDSAUDITLINK__" localSheetId="34">{"fdsup://Directions/FactSet Auditing Viewer?action=AUDIT_VALUE&amp;DB=129&amp;ID1=06050510&amp;VALUEID=02999&amp;SDATE=2007&amp;PERIODTYPE=ANNR_STD&amp;SCFT=3&amp;window=popup_no_bar&amp;width=385&amp;height=120&amp;START_MAXIMIZED=FALSE&amp;creator=factset&amp;display_string=Audit"}</definedName>
    <definedName name="_6166__FDSAUDITLINK__" localSheetId="27">{"fdsup://Directions/FactSet Auditing Viewer?action=AUDIT_VALUE&amp;DB=129&amp;ID1=06050510&amp;VALUEID=02999&amp;SDATE=2007&amp;PERIODTYPE=ANNR_STD&amp;SCFT=3&amp;window=popup_no_bar&amp;width=385&amp;height=120&amp;START_MAXIMIZED=FALSE&amp;creator=factset&amp;display_string=Audit"}</definedName>
    <definedName name="_6168__FDSAUDITLINK__" localSheetId="34">{"fdsup://Directions/FactSet Auditing Viewer?action=AUDIT_VALUE&amp;DB=129&amp;ID1=B16GWD&amp;VALUEID=02999&amp;SDATE=2007&amp;PERIODTYPE=ANNR_STD&amp;SCFT=3&amp;window=popup_no_bar&amp;width=385&amp;height=120&amp;START_MAXIMIZED=FALSE&amp;creator=factset&amp;display_string=Audit"}</definedName>
    <definedName name="_6168__FDSAUDITLINK__" localSheetId="27">{"fdsup://Directions/FactSet Auditing Viewer?action=AUDIT_VALUE&amp;DB=129&amp;ID1=B16GWD&amp;VALUEID=02999&amp;SDATE=2007&amp;PERIODTYPE=ANNR_STD&amp;SCFT=3&amp;window=popup_no_bar&amp;width=385&amp;height=120&amp;START_MAXIMIZED=FALSE&amp;creator=factset&amp;display_string=Audit"}</definedName>
    <definedName name="_6169__FDSAUDITLINK__" localSheetId="34">{"fdsup://Directions/FactSet Auditing Viewer?action=AUDIT_VALUE&amp;DB=129&amp;ID1=93114210&amp;VALUEID=02999&amp;SDATE=2010&amp;PERIODTYPE=ANNR_STD&amp;SCFT=3&amp;window=popup_no_bar&amp;width=385&amp;height=120&amp;START_MAXIMIZED=FALSE&amp;creator=factset&amp;display_string=Audit"}</definedName>
    <definedName name="_6169__FDSAUDITLINK__" localSheetId="27">{"fdsup://Directions/FactSet Auditing Viewer?action=AUDIT_VALUE&amp;DB=129&amp;ID1=93114210&amp;VALUEID=02999&amp;SDATE=2010&amp;PERIODTYPE=ANNR_STD&amp;SCFT=3&amp;window=popup_no_bar&amp;width=385&amp;height=120&amp;START_MAXIMIZED=FALSE&amp;creator=factset&amp;display_string=Audit"}</definedName>
    <definedName name="_617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17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170__FDSAUDITLINK__" localSheetId="34">{"fdsup://Directions/FactSet Auditing Viewer?action=AUDIT_VALUE&amp;DB=129&amp;ID1=B16GWD&amp;VALUEID=02999&amp;SDATE=2009&amp;PERIODTYPE=ANNR_STD&amp;SCFT=3&amp;window=popup_no_bar&amp;width=385&amp;height=120&amp;START_MAXIMIZED=FALSE&amp;creator=factset&amp;display_string=Audit"}</definedName>
    <definedName name="_6170__FDSAUDITLINK__" localSheetId="27">{"fdsup://Directions/FactSet Auditing Viewer?action=AUDIT_VALUE&amp;DB=129&amp;ID1=B16GWD&amp;VALUEID=02999&amp;SDATE=2009&amp;PERIODTYPE=ANNR_STD&amp;SCFT=3&amp;window=popup_no_bar&amp;width=385&amp;height=120&amp;START_MAXIMIZED=FALSE&amp;creator=factset&amp;display_string=Audit"}</definedName>
    <definedName name="_6171__FDSAUDITLINK__" localSheetId="34">{"fdsup://Directions/FactSet Auditing Viewer?action=AUDIT_VALUE&amp;DB=129&amp;ID1=016419&amp;VALUEID=02999&amp;SDATE=2009&amp;PERIODTYPE=ANNR_STD&amp;SCFT=3&amp;window=popup_no_bar&amp;width=385&amp;height=120&amp;START_MAXIMIZED=FALSE&amp;creator=factset&amp;display_string=Audit"}</definedName>
    <definedName name="_6171__FDSAUDITLINK__" localSheetId="27">{"fdsup://Directions/FactSet Auditing Viewer?action=AUDIT_VALUE&amp;DB=129&amp;ID1=016419&amp;VALUEID=02999&amp;SDATE=2009&amp;PERIODTYPE=ANNR_STD&amp;SCFT=3&amp;window=popup_no_bar&amp;width=385&amp;height=120&amp;START_MAXIMIZED=FALSE&amp;creator=factset&amp;display_string=Audit"}</definedName>
    <definedName name="_6172__FDSAUDITLINK__" localSheetId="34">{"fdsup://Directions/FactSet Auditing Viewer?action=AUDIT_VALUE&amp;DB=129&amp;ID1=309272&amp;VALUEID=02999&amp;SDATE=2007&amp;PERIODTYPE=ANNR_STD&amp;SCFT=3&amp;window=popup_no_bar&amp;width=385&amp;height=120&amp;START_MAXIMIZED=FALSE&amp;creator=factset&amp;display_string=Audit"}</definedName>
    <definedName name="_6172__FDSAUDITLINK__" localSheetId="27">{"fdsup://Directions/FactSet Auditing Viewer?action=AUDIT_VALUE&amp;DB=129&amp;ID1=309272&amp;VALUEID=02999&amp;SDATE=2007&amp;PERIODTYPE=ANNR_STD&amp;SCFT=3&amp;window=popup_no_bar&amp;width=385&amp;height=120&amp;START_MAXIMIZED=FALSE&amp;creator=factset&amp;display_string=Audit"}</definedName>
    <definedName name="_6174__FDSAUDITLINK__" localSheetId="34">{"fdsup://Directions/FactSet Auditing Viewer?action=AUDIT_VALUE&amp;DB=129&amp;ID1=06050510&amp;VALUEID=02999&amp;SDATE=2009&amp;PERIODTYPE=ANNR_STD&amp;SCFT=3&amp;window=popup_no_bar&amp;width=385&amp;height=120&amp;START_MAXIMIZED=FALSE&amp;creator=factset&amp;display_string=Audit"}</definedName>
    <definedName name="_6174__FDSAUDITLINK__" localSheetId="27">{"fdsup://Directions/FactSet Auditing Viewer?action=AUDIT_VALUE&amp;DB=129&amp;ID1=06050510&amp;VALUEID=02999&amp;SDATE=2009&amp;PERIODTYPE=ANNR_STD&amp;SCFT=3&amp;window=popup_no_bar&amp;width=385&amp;height=120&amp;START_MAXIMIZED=FALSE&amp;creator=factset&amp;display_string=Audit"}</definedName>
    <definedName name="_6175__FDSAUDITLINK__" localSheetId="34">{"fdsup://Directions/FactSet Auditing Viewer?action=AUDIT_VALUE&amp;DB=129&amp;ID1=671402&amp;VALUEID=02999&amp;SDATE=2010&amp;PERIODTYPE=ANNR_STD&amp;SCFT=3&amp;window=popup_no_bar&amp;width=385&amp;height=120&amp;START_MAXIMIZED=FALSE&amp;creator=factset&amp;display_string=Audit"}</definedName>
    <definedName name="_6175__FDSAUDITLINK__" localSheetId="27">{"fdsup://Directions/FactSet Auditing Viewer?action=AUDIT_VALUE&amp;DB=129&amp;ID1=671402&amp;VALUEID=02999&amp;SDATE=2010&amp;PERIODTYPE=ANNR_STD&amp;SCFT=3&amp;window=popup_no_bar&amp;width=385&amp;height=120&amp;START_MAXIMIZED=FALSE&amp;creator=factset&amp;display_string=Audit"}</definedName>
    <definedName name="_6176__FDSAUDITLINK__" localSheetId="34">{"fdsup://Directions/FactSet Auditing Viewer?action=AUDIT_VALUE&amp;DB=129&amp;ID1=090674&amp;VALUEID=02999&amp;SDATE=2010&amp;PERIODTYPE=ANNR_STD&amp;SCFT=3&amp;window=popup_no_bar&amp;width=385&amp;height=120&amp;START_MAXIMIZED=FALSE&amp;creator=factset&amp;display_string=Audit"}</definedName>
    <definedName name="_6176__FDSAUDITLINK__" localSheetId="27">{"fdsup://Directions/FactSet Auditing Viewer?action=AUDIT_VALUE&amp;DB=129&amp;ID1=090674&amp;VALUEID=02999&amp;SDATE=2010&amp;PERIODTYPE=ANNR_STD&amp;SCFT=3&amp;window=popup_no_bar&amp;width=385&amp;height=120&amp;START_MAXIMIZED=FALSE&amp;creator=factset&amp;display_string=Audit"}</definedName>
    <definedName name="_6177__FDSAUDITLINK__" localSheetId="34">{"fdsup://Directions/FactSet Auditing Viewer?action=AUDIT_VALUE&amp;DB=129&amp;ID1=B16GWD&amp;VALUEID=02999&amp;SDATE=2010&amp;PERIODTYPE=ANNR_STD&amp;SCFT=3&amp;window=popup_no_bar&amp;width=385&amp;height=120&amp;START_MAXIMIZED=FALSE&amp;creator=factset&amp;display_string=Audit"}</definedName>
    <definedName name="_6177__FDSAUDITLINK__" localSheetId="27">{"fdsup://Directions/FactSet Auditing Viewer?action=AUDIT_VALUE&amp;DB=129&amp;ID1=B16GWD&amp;VALUEID=02999&amp;SDATE=2010&amp;PERIODTYPE=ANNR_STD&amp;SCFT=3&amp;window=popup_no_bar&amp;width=385&amp;height=120&amp;START_MAXIMIZED=FALSE&amp;creator=factset&amp;display_string=Audit"}</definedName>
    <definedName name="_6178__FDSAUDITLINK__" localSheetId="34">{"fdsup://Directions/FactSet Auditing Viewer?action=AUDIT_VALUE&amp;DB=129&amp;ID1=671402&amp;VALUEID=02999&amp;SDATE=2009&amp;PERIODTYPE=ANNR_STD&amp;SCFT=3&amp;window=popup_no_bar&amp;width=385&amp;height=120&amp;START_MAXIMIZED=FALSE&amp;creator=factset&amp;display_string=Audit"}</definedName>
    <definedName name="_6178__FDSAUDITLINK__" localSheetId="27">{"fdsup://Directions/FactSet Auditing Viewer?action=AUDIT_VALUE&amp;DB=129&amp;ID1=671402&amp;VALUEID=02999&amp;SDATE=2009&amp;PERIODTYPE=ANNR_STD&amp;SCFT=3&amp;window=popup_no_bar&amp;width=385&amp;height=120&amp;START_MAXIMIZED=FALSE&amp;creator=factset&amp;display_string=Audit"}</definedName>
    <definedName name="_6179__FDSAUDITLINK__" localSheetId="34">{"fdsup://Directions/FactSet Auditing Viewer?action=AUDIT_VALUE&amp;DB=129&amp;ID1=090674&amp;VALUEID=02999&amp;SDATE=2009&amp;PERIODTYPE=ANNR_STD&amp;SCFT=3&amp;window=popup_no_bar&amp;width=385&amp;height=120&amp;START_MAXIMIZED=FALSE&amp;creator=factset&amp;display_string=Audit"}</definedName>
    <definedName name="_6179__FDSAUDITLINK__" localSheetId="27">{"fdsup://Directions/FactSet Auditing Viewer?action=AUDIT_VALUE&amp;DB=129&amp;ID1=090674&amp;VALUEID=02999&amp;SDATE=2009&amp;PERIODTYPE=ANNR_STD&amp;SCFT=3&amp;window=popup_no_bar&amp;width=385&amp;height=120&amp;START_MAXIMIZED=FALSE&amp;creator=factset&amp;display_string=Audit"}</definedName>
    <definedName name="_618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8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19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9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190__FDSAUDITLINK__" localSheetId="34">{"fdsup://Directions/FactSet Auditing Viewer?action=AUDIT_VALUE&amp;DB=129&amp;ID1=690064&amp;VALUEID=01451&amp;SDATE=2010&amp;PERIODTYPE=ANN_STD&amp;SCFT=3&amp;window=popup_no_bar&amp;width=385&amp;height=120&amp;START_MAXIMIZED=FALSE&amp;creator=factset&amp;display_string=Audit"}</definedName>
    <definedName name="_6190__FDSAUDITLINK__" localSheetId="27">{"fdsup://Directions/FactSet Auditing Viewer?action=AUDIT_VALUE&amp;DB=129&amp;ID1=690064&amp;VALUEID=01451&amp;SDATE=2010&amp;PERIODTYPE=ANN_STD&amp;SCFT=3&amp;window=popup_no_bar&amp;width=385&amp;height=120&amp;START_MAXIMIZED=FALSE&amp;creator=factset&amp;display_string=Audit"}</definedName>
    <definedName name="_6191__FDSAUDITLINK__" localSheetId="34">{"fdsup://Directions/FactSet Auditing Viewer?action=AUDIT_VALUE&amp;DB=129&amp;ID1=309272&amp;VALUEID=01451&amp;SDATE=2009&amp;PERIODTYPE=ANN_STD&amp;SCFT=3&amp;window=popup_no_bar&amp;width=385&amp;height=120&amp;START_MAXIMIZED=FALSE&amp;creator=factset&amp;display_string=Audit"}</definedName>
    <definedName name="_6191__FDSAUDITLINK__" localSheetId="27">{"fdsup://Directions/FactSet Auditing Viewer?action=AUDIT_VALUE&amp;DB=129&amp;ID1=309272&amp;VALUEID=01451&amp;SDATE=2009&amp;PERIODTYPE=ANN_STD&amp;SCFT=3&amp;window=popup_no_bar&amp;width=385&amp;height=120&amp;START_MAXIMIZED=FALSE&amp;creator=factset&amp;display_string=Audit"}</definedName>
    <definedName name="_6192__FDSAUDITLINK__" localSheetId="34">{"fdsup://Directions/FactSet Auditing Viewer?action=AUDIT_VALUE&amp;DB=129&amp;ID1=B16GWD&amp;VALUEID=01451&amp;SDATE=2009&amp;PERIODTYPE=ANN_STD&amp;SCFT=3&amp;window=popup_no_bar&amp;width=385&amp;height=120&amp;START_MAXIMIZED=FALSE&amp;creator=factset&amp;display_string=Audit"}</definedName>
    <definedName name="_6192__FDSAUDITLINK__" localSheetId="27">{"fdsup://Directions/FactSet Auditing Viewer?action=AUDIT_VALUE&amp;DB=129&amp;ID1=B16GWD&amp;VALUEID=01451&amp;SDATE=2009&amp;PERIODTYPE=ANN_STD&amp;SCFT=3&amp;window=popup_no_bar&amp;width=385&amp;height=120&amp;START_MAXIMIZED=FALSE&amp;creator=factset&amp;display_string=Audit"}</definedName>
    <definedName name="_620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0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04__FDSAUDITLINK__" localSheetId="34">{"fdsup://Directions/FactSet Auditing Viewer?action=AUDIT_VALUE&amp;DB=129&amp;ID1=076680&amp;VALUEID=02999&amp;SDATE=2007&amp;PERIODTYPE=ANNR_STD&amp;SCFT=3&amp;window=popup_no_bar&amp;width=385&amp;height=120&amp;START_MAXIMIZED=FALSE&amp;creator=factset&amp;display_string=Audit"}</definedName>
    <definedName name="_6204__FDSAUDITLINK__" localSheetId="27">{"fdsup://Directions/FactSet Auditing Viewer?action=AUDIT_VALUE&amp;DB=129&amp;ID1=076680&amp;VALUEID=02999&amp;SDATE=2007&amp;PERIODTYPE=ANNR_STD&amp;SCFT=3&amp;window=popup_no_bar&amp;width=385&amp;height=120&amp;START_MAXIMIZED=FALSE&amp;creator=factset&amp;display_string=Audit"}</definedName>
    <definedName name="_6205__FDSAUDITLINK__" localSheetId="34">{"fdsup://Directions/FactSet Auditing Viewer?action=AUDIT_VALUE&amp;DB=129&amp;ID1=076680&amp;VALUEID=02999&amp;SDATE=2009&amp;PERIODTYPE=ANNR_STD&amp;SCFT=3&amp;window=popup_no_bar&amp;width=385&amp;height=120&amp;START_MAXIMIZED=FALSE&amp;creator=factset&amp;display_string=Audit"}</definedName>
    <definedName name="_6205__FDSAUDITLINK__" localSheetId="27">{"fdsup://Directions/FactSet Auditing Viewer?action=AUDIT_VALUE&amp;DB=129&amp;ID1=076680&amp;VALUEID=02999&amp;SDATE=2009&amp;PERIODTYPE=ANNR_STD&amp;SCFT=3&amp;window=popup_no_bar&amp;width=385&amp;height=120&amp;START_MAXIMIZED=FALSE&amp;creator=factset&amp;display_string=Audit"}</definedName>
    <definedName name="_6206__FDSAUDITLINK__" localSheetId="34">{"fdsup://Directions/FactSet Auditing Viewer?action=AUDIT_VALUE&amp;DB=129&amp;ID1=076680&amp;VALUEID=02999&amp;SDATE=2010&amp;PERIODTYPE=ANNR_STD&amp;SCFT=3&amp;window=popup_no_bar&amp;width=385&amp;height=120&amp;START_MAXIMIZED=FALSE&amp;creator=factset&amp;display_string=Audit"}</definedName>
    <definedName name="_6206__FDSAUDITLINK__" localSheetId="27">{"fdsup://Directions/FactSet Auditing Viewer?action=AUDIT_VALUE&amp;DB=129&amp;ID1=076680&amp;VALUEID=02999&amp;SDATE=2010&amp;PERIODTYPE=ANNR_STD&amp;SCFT=3&amp;window=popup_no_bar&amp;width=385&amp;height=120&amp;START_MAXIMIZED=FALSE&amp;creator=factset&amp;display_string=Audit"}</definedName>
    <definedName name="_6207__FDSAUDITLINK__" localSheetId="34">{"fdsup://Directions/FactSet Auditing Viewer?action=AUDIT_VALUE&amp;DB=129&amp;ID1=076680&amp;VALUEID=04601&amp;SDATE=2007&amp;PERIODTYPE=ANNR_STD&amp;SCFT=3&amp;window=popup_no_bar&amp;width=385&amp;height=120&amp;START_MAXIMIZED=FALSE&amp;creator=factset&amp;display_string=Audit"}</definedName>
    <definedName name="_6207__FDSAUDITLINK__" localSheetId="27">{"fdsup://Directions/FactSet Auditing Viewer?action=AUDIT_VALUE&amp;DB=129&amp;ID1=076680&amp;VALUEID=04601&amp;SDATE=2007&amp;PERIODTYPE=ANNR_STD&amp;SCFT=3&amp;window=popup_no_bar&amp;width=385&amp;height=120&amp;START_MAXIMIZED=FALSE&amp;creator=factset&amp;display_string=Audit"}</definedName>
    <definedName name="_6208__FDSAUDITLINK__" localSheetId="34">{"fdsup://Directions/FactSet Auditing Viewer?action=AUDIT_VALUE&amp;DB=129&amp;ID1=076680&amp;VALUEID=04601&amp;SDATE=2009&amp;PERIODTYPE=ANNR_STD&amp;SCFT=3&amp;window=popup_no_bar&amp;width=385&amp;height=120&amp;START_MAXIMIZED=FALSE&amp;creator=factset&amp;display_string=Audit"}</definedName>
    <definedName name="_6208__FDSAUDITLINK__" localSheetId="27">{"fdsup://Directions/FactSet Auditing Viewer?action=AUDIT_VALUE&amp;DB=129&amp;ID1=076680&amp;VALUEID=04601&amp;SDATE=2009&amp;PERIODTYPE=ANNR_STD&amp;SCFT=3&amp;window=popup_no_bar&amp;width=385&amp;height=120&amp;START_MAXIMIZED=FALSE&amp;creator=factset&amp;display_string=Audit"}</definedName>
    <definedName name="_6209__FDSAUDITLINK__" localSheetId="34">{"fdsup://Directions/FactSet Auditing Viewer?action=AUDIT_VALUE&amp;DB=129&amp;ID1=076680&amp;VALUEID=04601&amp;SDATE=2010&amp;PERIODTYPE=ANNR_STD&amp;SCFT=3&amp;window=popup_no_bar&amp;width=385&amp;height=120&amp;START_MAXIMIZED=FALSE&amp;creator=factset&amp;display_string=Audit"}</definedName>
    <definedName name="_6209__FDSAUDITLINK__" localSheetId="27">{"fdsup://Directions/FactSet Auditing Viewer?action=AUDIT_VALUE&amp;DB=129&amp;ID1=076680&amp;VALUEID=04601&amp;SDATE=2010&amp;PERIODTYPE=ANNR_STD&amp;SCFT=3&amp;window=popup_no_bar&amp;width=385&amp;height=120&amp;START_MAXIMIZED=FALSE&amp;creator=factset&amp;display_string=Audit"}</definedName>
    <definedName name="_621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21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22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22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221__FDSAUDITLINK__" localSheetId="34">{"fdsup://Directions/FactSet Auditing Viewer?action=AUDIT_VALUE&amp;DB=129&amp;ID1=93114210&amp;VALUEID=01451&amp;SDATE=2010&amp;PERIODTYPE=ANN_STD&amp;SCFT=3&amp;window=popup_no_bar&amp;width=385&amp;height=120&amp;START_MAXIMIZED=FALSE&amp;creator=factset&amp;display_string=Audit"}</definedName>
    <definedName name="_6221__FDSAUDITLINK__" localSheetId="27">{"fdsup://Directions/FactSet Auditing Viewer?action=AUDIT_VALUE&amp;DB=129&amp;ID1=93114210&amp;VALUEID=01451&amp;SDATE=2010&amp;PERIODTYPE=ANN_STD&amp;SCFT=3&amp;window=popup_no_bar&amp;width=385&amp;height=120&amp;START_MAXIMIZED=FALSE&amp;creator=factset&amp;display_string=Audit"}</definedName>
    <definedName name="_6222__FDSAUDITLINK__" localSheetId="34">{"fdsup://Directions/FactSet Auditing Viewer?action=AUDIT_VALUE&amp;DB=129&amp;ID1=B23VYZ&amp;VALUEID=01451&amp;SDATE=2008&amp;PERIODTYPE=ANN_STD&amp;SCFT=3&amp;window=popup_no_bar&amp;width=385&amp;height=120&amp;START_MAXIMIZED=FALSE&amp;creator=factset&amp;display_string=Audit"}</definedName>
    <definedName name="_6222__FDSAUDITLINK__" localSheetId="27">{"fdsup://Directions/FactSet Auditing Viewer?action=AUDIT_VALUE&amp;DB=129&amp;ID1=B23VYZ&amp;VALUEID=01451&amp;SDATE=2008&amp;PERIODTYPE=ANN_STD&amp;SCFT=3&amp;window=popup_no_bar&amp;width=385&amp;height=120&amp;START_MAXIMIZED=FALSE&amp;creator=factset&amp;display_string=Audit"}</definedName>
    <definedName name="_6223__FDSAUDITLINK__" localSheetId="34">{"fdsup://Directions/FactSet Auditing Viewer?action=AUDIT_VALUE&amp;DB=129&amp;ID1=671402&amp;VALUEID=01401&amp;SDATE=2010&amp;PERIODTYPE=ANNR_STD&amp;SCFT=3&amp;window=popup_no_bar&amp;width=385&amp;height=120&amp;START_MAXIMIZED=FALSE&amp;creator=factset&amp;display_string=Audit"}</definedName>
    <definedName name="_6223__FDSAUDITLINK__" localSheetId="27">{"fdsup://Directions/FactSet Auditing Viewer?action=AUDIT_VALUE&amp;DB=129&amp;ID1=671402&amp;VALUEID=01401&amp;SDATE=2010&amp;PERIODTYPE=ANNR_STD&amp;SCFT=3&amp;window=popup_no_bar&amp;width=385&amp;height=120&amp;START_MAXIMIZED=FALSE&amp;creator=factset&amp;display_string=Audit"}</definedName>
    <definedName name="_6224__FDSAUDITLINK__" localSheetId="34">{"fdsup://Directions/FactSet Auditing Viewer?action=AUDIT_VALUE&amp;DB=129&amp;ID1=016419&amp;VALUEID=01401&amp;SDATE=2010&amp;PERIODTYPE=ANNR_STD&amp;SCFT=3&amp;window=popup_no_bar&amp;width=385&amp;height=120&amp;START_MAXIMIZED=FALSE&amp;creator=factset&amp;display_string=Audit"}</definedName>
    <definedName name="_6224__FDSAUDITLINK__" localSheetId="27">{"fdsup://Directions/FactSet Auditing Viewer?action=AUDIT_VALUE&amp;DB=129&amp;ID1=016419&amp;VALUEID=01401&amp;SDATE=2010&amp;PERIODTYPE=ANNR_STD&amp;SCFT=3&amp;window=popup_no_bar&amp;width=385&amp;height=120&amp;START_MAXIMIZED=FALSE&amp;creator=factset&amp;display_string=Audit"}</definedName>
    <definedName name="_6225__FDSAUDITLINK__" localSheetId="34">{"fdsup://Directions/FactSet Auditing Viewer?action=AUDIT_VALUE&amp;DB=129&amp;ID1=93114210&amp;VALUEID=01401&amp;SDATE=2010&amp;PERIODTYPE=ANNR_STD&amp;SCFT=3&amp;window=popup_no_bar&amp;width=385&amp;height=120&amp;START_MAXIMIZED=FALSE&amp;creator=factset&amp;display_string=Audit"}</definedName>
    <definedName name="_6225__FDSAUDITLINK__" localSheetId="27">{"fdsup://Directions/FactSet Auditing Viewer?action=AUDIT_VALUE&amp;DB=129&amp;ID1=93114210&amp;VALUEID=01401&amp;SDATE=2010&amp;PERIODTYPE=ANNR_STD&amp;SCFT=3&amp;window=popup_no_bar&amp;width=385&amp;height=120&amp;START_MAXIMIZED=FALSE&amp;creator=factset&amp;display_string=Audit"}</definedName>
    <definedName name="_6226__FDSAUDITLINK__" localSheetId="34">{"fdsup://Directions/FactSet Auditing Viewer?action=AUDIT_VALUE&amp;DB=129&amp;ID1=B23VYZ&amp;VALUEID=01401&amp;SDATE=2009&amp;PERIODTYPE=ANNR_STD&amp;SCFT=3&amp;window=popup_no_bar&amp;width=385&amp;height=120&amp;START_MAXIMIZED=FALSE&amp;creator=factset&amp;display_string=Audit"}</definedName>
    <definedName name="_6226__FDSAUDITLINK__" localSheetId="27">{"fdsup://Directions/FactSet Auditing Viewer?action=AUDIT_VALUE&amp;DB=129&amp;ID1=B23VYZ&amp;VALUEID=01401&amp;SDATE=2009&amp;PERIODTYPE=ANNR_STD&amp;SCFT=3&amp;window=popup_no_bar&amp;width=385&amp;height=120&amp;START_MAXIMIZED=FALSE&amp;creator=factset&amp;display_string=Audit"}</definedName>
    <definedName name="_6227__FDSAUDITLINK__" localSheetId="34">{"fdsup://Directions/FactSet Auditing Viewer?action=AUDIT_VALUE&amp;DB=129&amp;ID1=309272&amp;VALUEID=01401&amp;SDATE=2010&amp;PERIODTYPE=ANNR_STD&amp;SCFT=3&amp;window=popup_no_bar&amp;width=385&amp;height=120&amp;START_MAXIMIZED=FALSE&amp;creator=factset&amp;display_string=Audit"}</definedName>
    <definedName name="_6227__FDSAUDITLINK__" localSheetId="27">{"fdsup://Directions/FactSet Auditing Viewer?action=AUDIT_VALUE&amp;DB=129&amp;ID1=309272&amp;VALUEID=01401&amp;SDATE=2010&amp;PERIODTYPE=ANNR_STD&amp;SCFT=3&amp;window=popup_no_bar&amp;width=385&amp;height=120&amp;START_MAXIMIZED=FALSE&amp;creator=factset&amp;display_string=Audit"}</definedName>
    <definedName name="_6228__FDSAUDITLINK__" localSheetId="34">{"fdsup://Directions/FactSet Auditing Viewer?action=AUDIT_VALUE&amp;DB=129&amp;ID1=B126KH&amp;VALUEID=01401&amp;SDATE=2009&amp;PERIODTYPE=ANNR_STD&amp;SCFT=3&amp;window=popup_no_bar&amp;width=385&amp;height=120&amp;START_MAXIMIZED=FALSE&amp;creator=factset&amp;display_string=Audit"}</definedName>
    <definedName name="_6228__FDSAUDITLINK__" localSheetId="27">{"fdsup://Directions/FactSet Auditing Viewer?action=AUDIT_VALUE&amp;DB=129&amp;ID1=B126KH&amp;VALUEID=01401&amp;SDATE=2009&amp;PERIODTYPE=ANNR_STD&amp;SCFT=3&amp;window=popup_no_bar&amp;width=385&amp;height=120&amp;START_MAXIMIZED=FALSE&amp;creator=factset&amp;display_string=Audit"}</definedName>
    <definedName name="_623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23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230__FDSAUDITLINK__" localSheetId="34">{"fdsup://Directions/FactSet Auditing Viewer?action=AUDIT_VALUE&amp;DB=129&amp;ID1=B16GWD&amp;VALUEID=01401&amp;SDATE=2010&amp;PERIODTYPE=ANNR_STD&amp;SCFT=3&amp;window=popup_no_bar&amp;width=385&amp;height=120&amp;START_MAXIMIZED=FALSE&amp;creator=factset&amp;display_string=Audit"}</definedName>
    <definedName name="_6230__FDSAUDITLINK__" localSheetId="27">{"fdsup://Directions/FactSet Auditing Viewer?action=AUDIT_VALUE&amp;DB=129&amp;ID1=B16GWD&amp;VALUEID=01401&amp;SDATE=2010&amp;PERIODTYPE=ANNR_STD&amp;SCFT=3&amp;window=popup_no_bar&amp;width=385&amp;height=120&amp;START_MAXIMIZED=FALSE&amp;creator=factset&amp;display_string=Audit"}</definedName>
    <definedName name="_6231__FDSAUDITLINK__" localSheetId="34">{"fdsup://Directions/FactSet Auditing Viewer?action=AUDIT_VALUE&amp;DB=129&amp;ID1=312748&amp;VALUEID=01401&amp;SDATE=2010&amp;PERIODTYPE=ANNR_STD&amp;SCFT=3&amp;window=popup_no_bar&amp;width=385&amp;height=120&amp;START_MAXIMIZED=FALSE&amp;creator=factset&amp;display_string=Audit"}</definedName>
    <definedName name="_6231__FDSAUDITLINK__" localSheetId="27">{"fdsup://Directions/FactSet Auditing Viewer?action=AUDIT_VALUE&amp;DB=129&amp;ID1=312748&amp;VALUEID=01401&amp;SDATE=2010&amp;PERIODTYPE=ANNR_STD&amp;SCFT=3&amp;window=popup_no_bar&amp;width=385&amp;height=120&amp;START_MAXIMIZED=FALSE&amp;creator=factset&amp;display_string=Audit"}</definedName>
    <definedName name="_6232__FDSAUDITLINK__" localSheetId="34">{"fdsup://directions/FAT Viewer?action=UPDATE&amp;creator=factset&amp;DYN_ARGS=TRUE&amp;DOC_NAME=FAT:FQL_AUDITING_CLIENT_TEMPLATE.FAT&amp;display_string=Audit&amp;VAR:KEY=LARMFIPCHG&amp;VAR:QUERY=RkZfUEUoQU5OLDQwNzg3LCxBWSxSRik=&amp;WINDOW=FIRST_POPUP&amp;HEIGHT=450&amp;WIDTH=450&amp;START_MAXIMI","ZED=FALSE&amp;VAR:CALENDAR=FIVEDAY&amp;VAR:SYMBOL=B126KH&amp;VAR:INDEX=0"}</definedName>
    <definedName name="_6232__FDSAUDITLINK__" localSheetId="27">{"fdsup://directions/FAT Viewer?action=UPDATE&amp;creator=factset&amp;DYN_ARGS=TRUE&amp;DOC_NAME=FAT:FQL_AUDITING_CLIENT_TEMPLATE.FAT&amp;display_string=Audit&amp;VAR:KEY=LARMFIPCHG&amp;VAR:QUERY=RkZfUEUoQU5OLDQwNzg3LCxBWSxSRik=&amp;WINDOW=FIRST_POPUP&amp;HEIGHT=450&amp;WIDTH=450&amp;START_MAXIMI","ZED=FALSE&amp;VAR:CALENDAR=FIVEDAY&amp;VAR:SYMBOL=B126KH&amp;VAR:INDEX=0"}</definedName>
    <definedName name="_624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4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5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25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26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26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27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27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28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8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29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29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30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0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1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31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32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32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33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33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34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4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45__FDSAUDITLINK__" localSheetId="34">{"fdsup://directions/FAT Viewer?action=UPDATE&amp;creator=factset&amp;DYN_ARGS=TRUE&amp;DOC_NAME=FAT:FQL_AUDITING_CLIENT_TEMPLATE.FAT&amp;display_string=Audit&amp;VAR:KEY=RYHQTMLQXQ&amp;VAR:QUERY=RkZfRVBTX0RJTF9CRUZfVU5VU1VBTChBTk4sMzk1NDEp&amp;WINDOW=FIRST_POPUP&amp;HEIGHT=450&amp;WIDTH=450&amp;","START_MAXIMIZED=FALSE&amp;VAR:CALENDAR=FIVEDAY&amp;VAR:SYMBOL=312748&amp;VAR:INDEX=0"}</definedName>
    <definedName name="_6345__FDSAUDITLINK__" localSheetId="27">{"fdsup://directions/FAT Viewer?action=UPDATE&amp;creator=factset&amp;DYN_ARGS=TRUE&amp;DOC_NAME=FAT:FQL_AUDITING_CLIENT_TEMPLATE.FAT&amp;display_string=Audit&amp;VAR:KEY=RYHQTMLQXQ&amp;VAR:QUERY=RkZfRVBTX0RJTF9CRUZfVU5VU1VBTChBTk4sMzk1NDEp&amp;WINDOW=FIRST_POPUP&amp;HEIGHT=450&amp;WIDTH=450&amp;","START_MAXIMIZED=FALSE&amp;VAR:CALENDAR=FIVEDAY&amp;VAR:SYMBOL=312748&amp;VAR:INDEX=0"}</definedName>
    <definedName name="_635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35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350__FDSAUDITLINK__" localSheetId="34">{"fdsup://Directions/FactSet Auditing Viewer?action=AUDIT_VALUE&amp;DB=129&amp;ID1=671402&amp;VALUEID=05194&amp;SDATE=2010&amp;PERIODTYPE=ANNR_STD&amp;SCFT=3&amp;window=popup_no_bar&amp;width=385&amp;height=120&amp;START_MAXIMIZED=FALSE&amp;creator=factset&amp;display_string=Audit"}</definedName>
    <definedName name="_6350__FDSAUDITLINK__" localSheetId="27">{"fdsup://Directions/FactSet Auditing Viewer?action=AUDIT_VALUE&amp;DB=129&amp;ID1=671402&amp;VALUEID=05194&amp;SDATE=2010&amp;PERIODTYPE=ANNR_STD&amp;SCFT=3&amp;window=popup_no_bar&amp;width=385&amp;height=120&amp;START_MAXIMIZED=FALSE&amp;creator=factset&amp;display_string=Audit"}</definedName>
    <definedName name="_6351__FDSAUDITLINK__" localSheetId="34">{"fdsup://Directions/FactSet Auditing Viewer?action=AUDIT_VALUE&amp;DB=129&amp;ID1=06050510&amp;VALUEID=05194&amp;SDATE=2010&amp;PERIODTYPE=ANNR_STD&amp;SCFT=3&amp;window=popup_no_bar&amp;width=385&amp;height=120&amp;START_MAXIMIZED=FALSE&amp;creator=factset&amp;display_string=Audit"}</definedName>
    <definedName name="_6351__FDSAUDITLINK__" localSheetId="27">{"fdsup://Directions/FactSet Auditing Viewer?action=AUDIT_VALUE&amp;DB=129&amp;ID1=06050510&amp;VALUEID=05194&amp;SDATE=2010&amp;PERIODTYPE=ANNR_STD&amp;SCFT=3&amp;window=popup_no_bar&amp;width=385&amp;height=120&amp;START_MAXIMIZED=FALSE&amp;creator=factset&amp;display_string=Audit"}</definedName>
    <definedName name="_6352__FDSAUDITLINK__" localSheetId="34">{"fdsup://Directions/FactSet Auditing Viewer?action=AUDIT_VALUE&amp;DB=129&amp;ID1=016419&amp;VALUEID=05194&amp;SDATE=2010&amp;PERIODTYPE=ANNR_STD&amp;SCFT=3&amp;window=popup_no_bar&amp;width=385&amp;height=120&amp;START_MAXIMIZED=FALSE&amp;creator=factset&amp;display_string=Audit"}</definedName>
    <definedName name="_6352__FDSAUDITLINK__" localSheetId="27">{"fdsup://Directions/FactSet Auditing Viewer?action=AUDIT_VALUE&amp;DB=129&amp;ID1=016419&amp;VALUEID=05194&amp;SDATE=2010&amp;PERIODTYPE=ANNR_STD&amp;SCFT=3&amp;window=popup_no_bar&amp;width=385&amp;height=120&amp;START_MAXIMIZED=FALSE&amp;creator=factset&amp;display_string=Audit"}</definedName>
    <definedName name="_6353__FDSAUDITLINK__" localSheetId="34">{"fdsup://Directions/FactSet Auditing Viewer?action=AUDIT_VALUE&amp;DB=129&amp;ID1=93114210&amp;VALUEID=05194&amp;SDATE=2010&amp;PERIODTYPE=ANNR_STD&amp;SCFT=3&amp;window=popup_no_bar&amp;width=385&amp;height=120&amp;START_MAXIMIZED=FALSE&amp;creator=factset&amp;display_string=Audit"}</definedName>
    <definedName name="_6353__FDSAUDITLINK__" localSheetId="27">{"fdsup://Directions/FactSet Auditing Viewer?action=AUDIT_VALUE&amp;DB=129&amp;ID1=93114210&amp;VALUEID=05194&amp;SDATE=2010&amp;PERIODTYPE=ANNR_STD&amp;SCFT=3&amp;window=popup_no_bar&amp;width=385&amp;height=120&amp;START_MAXIMIZED=FALSE&amp;creator=factset&amp;display_string=Audit"}</definedName>
    <definedName name="_6354__FDSAUDITLINK__" localSheetId="34">{"fdsup://Directions/FactSet Auditing Viewer?action=AUDIT_VALUE&amp;DB=129&amp;ID1=076680&amp;VALUEID=05194&amp;SDATE=2011&amp;PERIODTYPE=ANNR_STD&amp;SCFT=3&amp;window=popup_no_bar&amp;width=385&amp;height=120&amp;START_MAXIMIZED=FALSE&amp;creator=factset&amp;display_string=Audit"}</definedName>
    <definedName name="_6354__FDSAUDITLINK__" localSheetId="27">{"fdsup://Directions/FactSet Auditing Viewer?action=AUDIT_VALUE&amp;DB=129&amp;ID1=076680&amp;VALUEID=05194&amp;SDATE=2011&amp;PERIODTYPE=ANNR_STD&amp;SCFT=3&amp;window=popup_no_bar&amp;width=385&amp;height=120&amp;START_MAXIMIZED=FALSE&amp;creator=factset&amp;display_string=Audit"}</definedName>
    <definedName name="_6355__FDSAUDITLINK__" localSheetId="34">{"fdsup://Directions/FactSet Auditing Viewer?action=AUDIT_VALUE&amp;DB=129&amp;ID1=B23VYZ&amp;VALUEID=05194&amp;SDATE=2010&amp;PERIODTYPE=ANNR_STD&amp;SCFT=3&amp;window=popup_no_bar&amp;width=385&amp;height=120&amp;START_MAXIMIZED=FALSE&amp;creator=factset&amp;display_string=Audit"}</definedName>
    <definedName name="_6355__FDSAUDITLINK__" localSheetId="27">{"fdsup://Directions/FactSet Auditing Viewer?action=AUDIT_VALUE&amp;DB=129&amp;ID1=B23VYZ&amp;VALUEID=05194&amp;SDATE=2010&amp;PERIODTYPE=ANNR_STD&amp;SCFT=3&amp;window=popup_no_bar&amp;width=385&amp;height=120&amp;START_MAXIMIZED=FALSE&amp;creator=factset&amp;display_string=Audit"}</definedName>
    <definedName name="_6356__FDSAUDITLINK__" localSheetId="34">{"fdsup://Directions/FactSet Auditing Viewer?action=AUDIT_VALUE&amp;DB=129&amp;ID1=309272&amp;VALUEID=05194&amp;SDATE=2010&amp;PERIODTYPE=ANNR_STD&amp;SCFT=3&amp;window=popup_no_bar&amp;width=385&amp;height=120&amp;START_MAXIMIZED=FALSE&amp;creator=factset&amp;display_string=Audit"}</definedName>
    <definedName name="_6356__FDSAUDITLINK__" localSheetId="27">{"fdsup://Directions/FactSet Auditing Viewer?action=AUDIT_VALUE&amp;DB=129&amp;ID1=309272&amp;VALUEID=05194&amp;SDATE=2010&amp;PERIODTYPE=ANNR_STD&amp;SCFT=3&amp;window=popup_no_bar&amp;width=385&amp;height=120&amp;START_MAXIMIZED=FALSE&amp;creator=factset&amp;display_string=Audit"}</definedName>
    <definedName name="_6357__FDSAUDITLINK__" localSheetId="34">{"fdsup://Directions/FactSet Auditing Viewer?action=AUDIT_VALUE&amp;DB=129&amp;ID1=090674&amp;VALUEID=05194&amp;SDATE=2010&amp;PERIODTYPE=ANNR_STD&amp;SCFT=3&amp;window=popup_no_bar&amp;width=385&amp;height=120&amp;START_MAXIMIZED=FALSE&amp;creator=factset&amp;display_string=Audit"}</definedName>
    <definedName name="_6357__FDSAUDITLINK__" localSheetId="27">{"fdsup://Directions/FactSet Auditing Viewer?action=AUDIT_VALUE&amp;DB=129&amp;ID1=090674&amp;VALUEID=05194&amp;SDATE=2010&amp;PERIODTYPE=ANNR_STD&amp;SCFT=3&amp;window=popup_no_bar&amp;width=385&amp;height=120&amp;START_MAXIMIZED=FALSE&amp;creator=factset&amp;display_string=Audit"}</definedName>
    <definedName name="_6358__FDSAUDITLINK__" localSheetId="34">{"fdsup://Directions/FactSet Auditing Viewer?action=AUDIT_VALUE&amp;DB=129&amp;ID1=B16GWD&amp;VALUEID=05194&amp;SDATE=2010&amp;PERIODTYPE=ANNR_STD&amp;SCFT=3&amp;window=popup_no_bar&amp;width=385&amp;height=120&amp;START_MAXIMIZED=FALSE&amp;creator=factset&amp;display_string=Audit"}</definedName>
    <definedName name="_6358__FDSAUDITLINK__" localSheetId="27">{"fdsup://Directions/FactSet Auditing Viewer?action=AUDIT_VALUE&amp;DB=129&amp;ID1=B16GWD&amp;VALUEID=05194&amp;SDATE=2010&amp;PERIODTYPE=ANNR_STD&amp;SCFT=3&amp;window=popup_no_bar&amp;width=385&amp;height=120&amp;START_MAXIMIZED=FALSE&amp;creator=factset&amp;display_string=Audit"}</definedName>
    <definedName name="_636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36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360__FDSAUDITLINK__" localSheetId="34">{"fdsup://Directions/FactSet Auditing Viewer?action=AUDIT_VALUE&amp;DB=129&amp;ID1=B16GWD&amp;VALUEID=18821&amp;SDATE=2007&amp;PERIODTYPE=ANNR_STD&amp;SCFT=3&amp;window=popup_no_bar&amp;width=385&amp;height=120&amp;START_MAXIMIZED=FALSE&amp;creator=factset&amp;display_string=Audit"}</definedName>
    <definedName name="_6360__FDSAUDITLINK__" localSheetId="27">{"fdsup://Directions/FactSet Auditing Viewer?action=AUDIT_VALUE&amp;DB=129&amp;ID1=B16GWD&amp;VALUEID=18821&amp;SDATE=2007&amp;PERIODTYPE=ANNR_STD&amp;SCFT=3&amp;window=popup_no_bar&amp;width=385&amp;height=120&amp;START_MAXIMIZED=FALSE&amp;creator=factset&amp;display_string=Audit"}</definedName>
    <definedName name="_6361__FDSAUDITLINK__" localSheetId="34">{"fdsup://Directions/FactSet Auditing Viewer?action=AUDIT_VALUE&amp;DB=129&amp;ID1=090674&amp;VALUEID=18821&amp;SDATE=2009&amp;PERIODTYPE=ANNR_STD&amp;SCFT=3&amp;window=popup_no_bar&amp;width=385&amp;height=120&amp;START_MAXIMIZED=FALSE&amp;creator=factset&amp;display_string=Audit"}</definedName>
    <definedName name="_6361__FDSAUDITLINK__" localSheetId="27">{"fdsup://Directions/FactSet Auditing Viewer?action=AUDIT_VALUE&amp;DB=129&amp;ID1=090674&amp;VALUEID=18821&amp;SDATE=2009&amp;PERIODTYPE=ANNR_STD&amp;SCFT=3&amp;window=popup_no_bar&amp;width=385&amp;height=120&amp;START_MAXIMIZED=FALSE&amp;creator=factset&amp;display_string=Audit"}</definedName>
    <definedName name="_6362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6362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6363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6363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6364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6364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6365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6365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6366__FDSAUDITLINK__" localSheetId="34">{"fdsup://Directions/FactSet Auditing Viewer?action=AUDIT_VALUE&amp;DB=129&amp;ID1=312748&amp;VALUEID=01451&amp;SDATE=2010&amp;PERIODTYPE=ANNR_STD&amp;SCFT=3&amp;window=popup_no_bar&amp;width=385&amp;height=120&amp;START_MAXIMIZED=FALSE&amp;creator=factset&amp;display_string=Audit"}</definedName>
    <definedName name="_6366__FDSAUDITLINK__" localSheetId="27">{"fdsup://Directions/FactSet Auditing Viewer?action=AUDIT_VALUE&amp;DB=129&amp;ID1=312748&amp;VALUEID=01451&amp;SDATE=2010&amp;PERIODTYPE=ANNR_STD&amp;SCFT=3&amp;window=popup_no_bar&amp;width=385&amp;height=120&amp;START_MAXIMIZED=FALSE&amp;creator=factset&amp;display_string=Audit"}</definedName>
    <definedName name="_6369__FDSAUDITLINK__" localSheetId="34">{"fdsup://Directions/FactSet Auditing Viewer?action=AUDIT_VALUE&amp;DB=129&amp;ID1=B16GWD&amp;VALUEID=18821&amp;SDATE=2009&amp;PERIODTYPE=ANNR_STD&amp;SCFT=3&amp;window=popup_no_bar&amp;width=385&amp;height=120&amp;START_MAXIMIZED=FALSE&amp;creator=factset&amp;display_string=Audit"}</definedName>
    <definedName name="_6369__FDSAUDITLINK__" localSheetId="27">{"fdsup://Directions/FactSet Auditing Viewer?action=AUDIT_VALUE&amp;DB=129&amp;ID1=B16GWD&amp;VALUEID=18821&amp;SDATE=2009&amp;PERIODTYPE=ANNR_STD&amp;SCFT=3&amp;window=popup_no_bar&amp;width=385&amp;height=120&amp;START_MAXIMIZED=FALSE&amp;creator=factset&amp;display_string=Audit"}</definedName>
    <definedName name="_637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37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370__FDSAUDITLINK__" localSheetId="34">{"fdsup://Directions/FactSet Auditing Viewer?action=AUDIT_VALUE&amp;DB=129&amp;ID1=076680&amp;VALUEID=18821&amp;SDATE=2007&amp;PERIODTYPE=ANNR_STD&amp;SCFT=3&amp;window=popup_no_bar&amp;width=385&amp;height=120&amp;START_MAXIMIZED=FALSE&amp;creator=factset&amp;display_string=Audit"}</definedName>
    <definedName name="_6370__FDSAUDITLINK__" localSheetId="27">{"fdsup://Directions/FactSet Auditing Viewer?action=AUDIT_VALUE&amp;DB=129&amp;ID1=076680&amp;VALUEID=18821&amp;SDATE=2007&amp;PERIODTYPE=ANNR_STD&amp;SCFT=3&amp;window=popup_no_bar&amp;width=385&amp;height=120&amp;START_MAXIMIZED=FALSE&amp;creator=factset&amp;display_string=Audit"}</definedName>
    <definedName name="_6371__FDSAUDITLINK__" localSheetId="34">{"fdsup://Directions/FactSet Auditing Viewer?action=AUDIT_VALUE&amp;DB=129&amp;ID1=B126KH&amp;VALUEID=18821&amp;SDATE=2010&amp;PERIODTYPE=ANNR_STD&amp;SCFT=3&amp;window=popup_no_bar&amp;width=385&amp;height=120&amp;START_MAXIMIZED=FALSE&amp;creator=factset&amp;display_string=Audit"}</definedName>
    <definedName name="_6371__FDSAUDITLINK__" localSheetId="27">{"fdsup://Directions/FactSet Auditing Viewer?action=AUDIT_VALUE&amp;DB=129&amp;ID1=B126KH&amp;VALUEID=18821&amp;SDATE=2010&amp;PERIODTYPE=ANNR_STD&amp;SCFT=3&amp;window=popup_no_bar&amp;width=385&amp;height=120&amp;START_MAXIMIZED=FALSE&amp;creator=factset&amp;display_string=Audit"}</definedName>
    <definedName name="_6372__FDSAUDITLINK__" localSheetId="34">{"fdsup://Directions/FactSet Auditing Viewer?action=AUDIT_VALUE&amp;DB=129&amp;ID1=690064&amp;VALUEID=18821&amp;SDATE=2006&amp;PERIODTYPE=ANNR_STD&amp;SCFT=3&amp;window=popup_no_bar&amp;width=385&amp;height=120&amp;START_MAXIMIZED=FALSE&amp;creator=factset&amp;display_string=Audit"}</definedName>
    <definedName name="_6372__FDSAUDITLINK__" localSheetId="27">{"fdsup://Directions/FactSet Auditing Viewer?action=AUDIT_VALUE&amp;DB=129&amp;ID1=690064&amp;VALUEID=18821&amp;SDATE=2006&amp;PERIODTYPE=ANNR_STD&amp;SCFT=3&amp;window=popup_no_bar&amp;width=385&amp;height=120&amp;START_MAXIMIZED=FALSE&amp;creator=factset&amp;display_string=Audit"}</definedName>
    <definedName name="_6373__FDSAUDITLINK__" localSheetId="34">{"fdsup://Directions/FactSet Auditing Viewer?action=AUDIT_VALUE&amp;DB=129&amp;ID1=B16GWD&amp;VALUEID=18821&amp;SDATE=2006&amp;PERIODTYPE=ANNR_STD&amp;SCFT=3&amp;window=popup_no_bar&amp;width=385&amp;height=120&amp;START_MAXIMIZED=FALSE&amp;creator=factset&amp;display_string=Audit"}</definedName>
    <definedName name="_6373__FDSAUDITLINK__" localSheetId="27">{"fdsup://Directions/FactSet Auditing Viewer?action=AUDIT_VALUE&amp;DB=129&amp;ID1=B16GWD&amp;VALUEID=18821&amp;SDATE=2006&amp;PERIODTYPE=ANNR_STD&amp;SCFT=3&amp;window=popup_no_bar&amp;width=385&amp;height=120&amp;START_MAXIMIZED=FALSE&amp;creator=factset&amp;display_string=Audit"}</definedName>
    <definedName name="_6374__FDSAUDITLINK__" localSheetId="34">{"fdsup://Directions/FactSet Auditing Viewer?action=AUDIT_VALUE&amp;DB=129&amp;ID1=076680&amp;VALUEID=18821&amp;SDATE=2010&amp;PERIODTYPE=ANNR_STD&amp;SCFT=3&amp;window=popup_no_bar&amp;width=385&amp;height=120&amp;START_MAXIMIZED=FALSE&amp;creator=factset&amp;display_string=Audit"}</definedName>
    <definedName name="_6374__FDSAUDITLINK__" localSheetId="27">{"fdsup://Directions/FactSet Auditing Viewer?action=AUDIT_VALUE&amp;DB=129&amp;ID1=076680&amp;VALUEID=18821&amp;SDATE=2010&amp;PERIODTYPE=ANNR_STD&amp;SCFT=3&amp;window=popup_no_bar&amp;width=385&amp;height=120&amp;START_MAXIMIZED=FALSE&amp;creator=factset&amp;display_string=Audit"}</definedName>
    <definedName name="_6375__FDSAUDITLINK__" localSheetId="34">{"fdsup://Directions/FactSet Auditing Viewer?action=AUDIT_VALUE&amp;DB=129&amp;ID1=090674&amp;VALUEID=18821&amp;SDATE=2009&amp;PERIODTYPE=ANNR_STD&amp;SCFT=3&amp;window=popup_no_bar&amp;width=385&amp;height=120&amp;START_MAXIMIZED=FALSE&amp;creator=factset&amp;display_string=Audit"}</definedName>
    <definedName name="_6375__FDSAUDITLINK__" localSheetId="27">{"fdsup://Directions/FactSet Auditing Viewer?action=AUDIT_VALUE&amp;DB=129&amp;ID1=090674&amp;VALUEID=18821&amp;SDATE=2009&amp;PERIODTYPE=ANNR_STD&amp;SCFT=3&amp;window=popup_no_bar&amp;width=385&amp;height=120&amp;START_MAXIMIZED=FALSE&amp;creator=factset&amp;display_string=Audit"}</definedName>
    <definedName name="_638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8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39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39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40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40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41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41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42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42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43__FDSAUDITLINK__" localSheetId="34">{"fdsup://directions/FAT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43__FDSAUDITLINK__" localSheetId="27">{"fdsup://directions/FAT Viewer?action=UPDATE&amp;creator=factset&amp;DYN_ARGS=TRUE&amp;DOC_NAME=FAT:FQL_AUDITING_CLIENT_TEMPLATE.FAT&amp;display_string=Audit&amp;VAR:KEY=CLKXATQFIP&amp;VAR:QUERY=RkZfSU1QQUlSX1BQRShBTk5fUiw0MDQyOCwsLFJGLEdCUCk=&amp;WINDOW=FIRST_POPUP&amp;HEIGHT=450&amp;WIDTH=","450&amp;START_MAXIMIZED=FALSE&amp;VAR:CALENDAR=FIVEDAY&amp;VAR:SYMBOL=0&amp;VAR:INDEX=0"}</definedName>
    <definedName name="_644__FDSAUDITLINK__" localSheetId="34">{"fdsup://directions/FAT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44__FDSAUDITLINK__" localSheetId="27">{"fdsup://directions/FAT Viewer?action=UPDATE&amp;creator=factset&amp;DYN_ARGS=TRUE&amp;DOC_NAME=FAT:FQL_AUDITING_CLIENT_TEMPLATE.FAT&amp;display_string=Audit&amp;VAR:KEY=KNOZMVUPQN&amp;VAR:QUERY=RkZfSU1QQUlSX1BQRShBTk5fUiw0MDQyOC0xWSwsLFJGLEdCUCk=&amp;WINDOW=FIRST_POPUP&amp;HEIGHT=450&amp;WI","DTH=450&amp;START_MAXIMIZED=FALSE&amp;VAR:CALENDAR=FIVEDAY&amp;VAR:SYMBOL=0&amp;VAR:INDEX=0"}</definedName>
    <definedName name="_645__FDSAUDITLINK__" localSheetId="34">{"fdsup://directions/FAT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45__FDSAUDITLINK__" localSheetId="27">{"fdsup://directions/FAT Viewer?action=UPDATE&amp;creator=factset&amp;DYN_ARGS=TRUE&amp;DOC_NAME=FAT:FQL_AUDITING_CLIENT_TEMPLATE.FAT&amp;display_string=Audit&amp;VAR:KEY=UJSZAXKTOR&amp;VAR:QUERY=RkZfRklOX0FTU0VUU19JTVBBSVIoQU5OX1IsNDA0MjgsLCxSRixHQlAp&amp;WINDOW=FIRST_POPUP&amp;HEIGHT=45","0&amp;WIDTH=450&amp;START_MAXIMIZED=FALSE&amp;VAR:CALENDAR=FIVEDAY&amp;VAR:SYMBOL=0&amp;VAR:INDEX=0"}</definedName>
    <definedName name="_646__FDSAUDITLINK__" localSheetId="34">{"fdsup://directions/FAT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46__FDSAUDITLINK__" localSheetId="27">{"fdsup://directions/FAT Viewer?action=UPDATE&amp;creator=factset&amp;DYN_ARGS=TRUE&amp;DOC_NAME=FAT:FQL_AUDITING_CLIENT_TEMPLATE.FAT&amp;display_string=Audit&amp;VAR:KEY=SNUFYDSPUH&amp;VAR:QUERY=RkZfRklOX0FTU0VUU19JTVBBSVIoQU5OX1IsNDA0MjgtMVksLCxSRixHQlAp&amp;WINDOW=FIRST_POPUP&amp;HEIGH","T=450&amp;WIDTH=450&amp;START_MAXIMIZED=FALSE&amp;VAR:CALENDAR=FIVEDAY&amp;VAR:SYMBOL=0&amp;VAR:INDEX=0"}</definedName>
    <definedName name="_647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47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48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48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49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49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50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0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1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51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52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52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53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53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54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4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48__FDSAUDITLINK__" localSheetId="34">{"fdsup://Directions/FactSet Auditing Viewer?action=AUDIT_VALUE&amp;DB=129&amp;ID1=312748&amp;VALUEID=03263&amp;SDATE=2010&amp;PERIODTYPE=ANNR_STD&amp;SCFT=3&amp;window=popup_no_bar&amp;width=385&amp;height=120&amp;START_MAXIMIZED=FALSE&amp;creator=factset&amp;display_string=Audit"}</definedName>
    <definedName name="_6548__FDSAUDITLINK__" localSheetId="27">{"fdsup://Directions/FactSet Auditing Viewer?action=AUDIT_VALUE&amp;DB=129&amp;ID1=312748&amp;VALUEID=03263&amp;SDATE=2010&amp;PERIODTYPE=ANNR_STD&amp;SCFT=3&amp;window=popup_no_bar&amp;width=385&amp;height=120&amp;START_MAXIMIZED=FALSE&amp;creator=factset&amp;display_string=Audit"}</definedName>
    <definedName name="_6549__FDSAUDITLINK__" localSheetId="34">{"fdsup://Directions/FactSet Auditing Viewer?action=AUDIT_VALUE&amp;DB=129&amp;ID1=312748&amp;VALUEID=03263&amp;SDATE=2010&amp;PERIODTYPE=ANNR_STD&amp;SCFT=3&amp;window=popup_no_bar&amp;width=385&amp;height=120&amp;START_MAXIMIZED=FALSE&amp;creator=factset&amp;display_string=Audit"}</definedName>
    <definedName name="_6549__FDSAUDITLINK__" localSheetId="27">{"fdsup://Directions/FactSet Auditing Viewer?action=AUDIT_VALUE&amp;DB=129&amp;ID1=312748&amp;VALUEID=03263&amp;SDATE=2010&amp;PERIODTYPE=ANNR_STD&amp;SCFT=3&amp;window=popup_no_bar&amp;width=385&amp;height=120&amp;START_MAXIMIZED=FALSE&amp;creator=factset&amp;display_string=Audit"}</definedName>
    <definedName name="_655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55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550__FDSAUDITLINK__" localSheetId="34">{"fdsup://Directions/FactSet Auditing Viewer?action=AUDIT_VALUE&amp;DB=129&amp;ID1=312748&amp;VALUEID=03263&amp;SDATE=2010&amp;PERIODTYPE=ANNR_STD&amp;SCFT=3&amp;window=popup_no_bar&amp;width=385&amp;height=120&amp;START_MAXIMIZED=FALSE&amp;creator=factset&amp;display_string=Audit"}</definedName>
    <definedName name="_6550__FDSAUDITLINK__" localSheetId="27">{"fdsup://Directions/FactSet Auditing Viewer?action=AUDIT_VALUE&amp;DB=129&amp;ID1=312748&amp;VALUEID=03263&amp;SDATE=2010&amp;PERIODTYPE=ANNR_STD&amp;SCFT=3&amp;window=popup_no_bar&amp;width=385&amp;height=120&amp;START_MAXIMIZED=FALSE&amp;creator=factset&amp;display_string=Audit"}</definedName>
    <definedName name="_656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56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565__FDSAUDITLINK__" localSheetId="34">{"fdsup://Directions/FactSet Auditing Viewer?action=AUDIT_VALUE&amp;DB=129&amp;ID1=671402&amp;VALUEID=02999&amp;SDATE=2006&amp;PERIODTYPE=ANNR_STD&amp;SCFT=3&amp;window=popup_no_bar&amp;width=385&amp;height=120&amp;START_MAXIMIZED=FALSE&amp;creator=factset&amp;display_string=Audit"}</definedName>
    <definedName name="_6565__FDSAUDITLINK__" localSheetId="27">{"fdsup://Directions/FactSet Auditing Viewer?action=AUDIT_VALUE&amp;DB=129&amp;ID1=671402&amp;VALUEID=02999&amp;SDATE=2006&amp;PERIODTYPE=ANNR_STD&amp;SCFT=3&amp;window=popup_no_bar&amp;width=385&amp;height=120&amp;START_MAXIMIZED=FALSE&amp;creator=factset&amp;display_string=Audit"}</definedName>
    <definedName name="_6566__FDSAUDITLINK__" localSheetId="34">{"fdsup://Directions/FactSet Auditing Viewer?action=AUDIT_VALUE&amp;DB=129&amp;ID1=93114210&amp;VALUEID=02999&amp;SDATE=2006&amp;PERIODTYPE=ANNR_STD&amp;SCFT=3&amp;window=popup_no_bar&amp;width=385&amp;height=120&amp;START_MAXIMIZED=FALSE&amp;creator=factset&amp;display_string=Audit"}</definedName>
    <definedName name="_6566__FDSAUDITLINK__" localSheetId="27">{"fdsup://Directions/FactSet Auditing Viewer?action=AUDIT_VALUE&amp;DB=129&amp;ID1=93114210&amp;VALUEID=02999&amp;SDATE=2006&amp;PERIODTYPE=ANNR_STD&amp;SCFT=3&amp;window=popup_no_bar&amp;width=385&amp;height=120&amp;START_MAXIMIZED=FALSE&amp;creator=factset&amp;display_string=Audit"}</definedName>
    <definedName name="_6567__FDSAUDITLINK__" localSheetId="34">{"fdsup://Directions/FactSet Auditing Viewer?action=AUDIT_VALUE&amp;DB=129&amp;ID1=06050510&amp;VALUEID=02999&amp;SDATE=2006&amp;PERIODTYPE=ANNR_STD&amp;SCFT=3&amp;window=popup_no_bar&amp;width=385&amp;height=120&amp;START_MAXIMIZED=FALSE&amp;creator=factset&amp;display_string=Audit"}</definedName>
    <definedName name="_6567__FDSAUDITLINK__" localSheetId="27">{"fdsup://Directions/FactSet Auditing Viewer?action=AUDIT_VALUE&amp;DB=129&amp;ID1=06050510&amp;VALUEID=02999&amp;SDATE=2006&amp;PERIODTYPE=ANNR_STD&amp;SCFT=3&amp;window=popup_no_bar&amp;width=385&amp;height=120&amp;START_MAXIMIZED=FALSE&amp;creator=factset&amp;display_string=Audit"}</definedName>
    <definedName name="_6568__FDSAUDITLINK__" localSheetId="34">{"fdsup://Directions/FactSet Auditing Viewer?action=AUDIT_VALUE&amp;DB=129&amp;ID1=076680&amp;VALUEID=02999&amp;SDATE=2007&amp;PERIODTYPE=ANNR_STD&amp;SCFT=3&amp;window=popup_no_bar&amp;width=385&amp;height=120&amp;START_MAXIMIZED=FALSE&amp;creator=factset&amp;display_string=Audit"}</definedName>
    <definedName name="_6568__FDSAUDITLINK__" localSheetId="27">{"fdsup://Directions/FactSet Auditing Viewer?action=AUDIT_VALUE&amp;DB=129&amp;ID1=076680&amp;VALUEID=02999&amp;SDATE=2007&amp;PERIODTYPE=ANNR_STD&amp;SCFT=3&amp;window=popup_no_bar&amp;width=385&amp;height=120&amp;START_MAXIMIZED=FALSE&amp;creator=factset&amp;display_string=Audit"}</definedName>
    <definedName name="_6569__FDSAUDITLINK__" localSheetId="34">{"fdsup://Directions/FactSet Auditing Viewer?action=AUDIT_VALUE&amp;DB=129&amp;ID1=690064&amp;VALUEID=02999&amp;SDATE=2006&amp;PERIODTYPE=ANNR_STD&amp;SCFT=3&amp;window=popup_no_bar&amp;width=385&amp;height=120&amp;START_MAXIMIZED=FALSE&amp;creator=factset&amp;display_string=Audit"}</definedName>
    <definedName name="_6569__FDSAUDITLINK__" localSheetId="27">{"fdsup://Directions/FactSet Auditing Viewer?action=AUDIT_VALUE&amp;DB=129&amp;ID1=690064&amp;VALUEID=02999&amp;SDATE=2006&amp;PERIODTYPE=ANNR_STD&amp;SCFT=3&amp;window=popup_no_bar&amp;width=385&amp;height=120&amp;START_MAXIMIZED=FALSE&amp;creator=factset&amp;display_string=Audit"}</definedName>
    <definedName name="_657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57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570__FDSAUDITLINK__" localSheetId="34">{"fdsup://Directions/FactSet Auditing Viewer?action=AUDIT_VALUE&amp;DB=129&amp;ID1=B16GWD&amp;VALUEID=02999&amp;SDATE=2006&amp;PERIODTYPE=ANNR_STD&amp;SCFT=3&amp;window=popup_no_bar&amp;width=385&amp;height=120&amp;START_MAXIMIZED=FALSE&amp;creator=factset&amp;display_string=Audit"}</definedName>
    <definedName name="_6570__FDSAUDITLINK__" localSheetId="27">{"fdsup://Directions/FactSet Auditing Viewer?action=AUDIT_VALUE&amp;DB=129&amp;ID1=B16GWD&amp;VALUEID=02999&amp;SDATE=2006&amp;PERIODTYPE=ANNR_STD&amp;SCFT=3&amp;window=popup_no_bar&amp;width=385&amp;height=120&amp;START_MAXIMIZED=FALSE&amp;creator=factset&amp;display_string=Audit"}</definedName>
    <definedName name="_658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8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59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59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60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0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1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61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62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62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63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63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64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4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5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65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66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66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67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67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68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8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69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69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70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0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1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71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72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72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73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73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74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4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5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75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76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76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77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77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78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8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79__FDSAUDITLINK__" localSheetId="34">{"fdsup://directions/FAT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79__FDSAUDITLINK__" localSheetId="27">{"fdsup://directions/FAT Viewer?action=UPDATE&amp;creator=factset&amp;DYN_ARGS=TRUE&amp;DOC_NAME=FAT:FQL_AUDITING_CLIENT_TEMPLATE.FAT&amp;display_string=Audit&amp;VAR:KEY=OJMXCVYHCF&amp;VAR:QUERY=RkZfRklOX0FTU0VUU19JTVBBSVIoQU5OX1IsNDA0MjgsLCxSRiwp&amp;WINDOW=FIRST_POPUP&amp;HEIGHT=450&amp;WI","DTH=450&amp;START_MAXIMIZED=FALSE&amp;VAR:CALENDAR=FIVEDAY&amp;VAR:SYMBOL=0&amp;VAR:INDEX=0"}</definedName>
    <definedName name="_680__FDSAUDITLINK__" localSheetId="34">{"fdsup://directions/FAT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80__FDSAUDITLINK__" localSheetId="27">{"fdsup://directions/FAT Viewer?action=UPDATE&amp;creator=factset&amp;DYN_ARGS=TRUE&amp;DOC_NAME=FAT:FQL_AUDITING_CLIENT_TEMPLATE.FAT&amp;display_string=Audit&amp;VAR:KEY=KXGXWTWFYN&amp;VAR:QUERY=RkZfRklOX0FTU0VUU19JTVBBSVIoQU5OX1IsNDA0MjgtMVksLCxSRiwp&amp;WINDOW=FIRST_POPUP&amp;HEIGHT=45","0&amp;WIDTH=450&amp;START_MAXIMIZED=FALSE&amp;VAR:CALENDAR=FIVEDAY&amp;VAR:SYMBOL=0&amp;VAR:INDEX=0"}</definedName>
    <definedName name="_681__FDSAUDITLINK__" localSheetId="34">{"fdsup://directions/FAT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81__FDSAUDITLINK__" localSheetId="27">{"fdsup://directions/FAT Viewer?action=UPDATE&amp;creator=factset&amp;DYN_ARGS=TRUE&amp;DOC_NAME=FAT:FQL_AUDITING_CLIENT_TEMPLATE.FAT&amp;display_string=Audit&amp;VAR:KEY=ADYLWDMXWN&amp;VAR:QUERY=RkZfSU1QQUlSX1BQRShBTk5fUiw0MDQyOCwsLFJGLCk=&amp;WINDOW=FIRST_POPUP&amp;HEIGHT=450&amp;WIDTH=450&amp;","START_MAXIMIZED=FALSE&amp;VAR:CALENDAR=FIVEDAY&amp;VAR:SYMBOL=0&amp;VAR:INDEX=0"}</definedName>
    <definedName name="_682__FDSAUDITLINK__" localSheetId="34">{"fdsup://directions/FAT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682__FDSAUDITLINK__" localSheetId="27">{"fdsup://directions/FAT Viewer?action=UPDATE&amp;creator=factset&amp;DYN_ARGS=TRUE&amp;DOC_NAME=FAT:FQL_AUDITING_CLIENT_TEMPLATE.FAT&amp;display_string=Audit&amp;VAR:KEY=KTWXAFKRKF&amp;VAR:QUERY=RkZfSU1QQUlSX1BQRShBTk5fUiw0MDQyOC0xWSwsLFJGLCk=&amp;WINDOW=FIRST_POPUP&amp;HEIGHT=450&amp;WIDTH=","450&amp;START_MAXIMIZED=FALSE&amp;VAR:CALENDAR=FIVEDAY&amp;VAR:SYMBOL=0&amp;VAR:INDEX=0"}</definedName>
    <definedName name="_dcf2" localSheetId="34">{#N/A,#N/A,FALSE,"DCF";#N/A,#N/A,FALSE,"WACC";#N/A,#N/A,FALSE,"Preferred Transactions (2)"}</definedName>
    <definedName name="_dcf2" localSheetId="27">{#N/A,#N/A,FALSE,"DCF";#N/A,#N/A,FALSE,"WACC";#N/A,#N/A,FALSE,"Preferred Transactions (2)"}</definedName>
    <definedName name="_Dist_Values" localSheetId="34">#REF!</definedName>
    <definedName name="_Dist_Values" localSheetId="27">#REF!</definedName>
    <definedName name="_Fill" localSheetId="34">#REF!</definedName>
    <definedName name="_Fill" localSheetId="27">#REF!</definedName>
    <definedName name="_Fill_Tambu" localSheetId="34">#REF!</definedName>
    <definedName name="_Fill_Tambu" localSheetId="27">#REF!</definedName>
    <definedName name="_mp2" localSheetId="34">{#N/A,#N/A,FALSE,"Restructure";#N/A,#N/A,FALSE,"IS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_mp2" localSheetId="27">{#N/A,#N/A,FALSE,"Restructure";#N/A,#N/A,FALSE,"IS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_Parse_Out" localSheetId="34">#REF!</definedName>
    <definedName name="_Parse_Out" localSheetId="27">#REF!</definedName>
    <definedName name="_PL2"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2"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3"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3"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4" localSheetId="34">{#N/A,#N/A,FALSE,"Report Data";#N/A,#N/A,FALSE,"COMP POOL";#N/A,#N/A,FALSE,"COMP POOL NB95";#N/A,#N/A,FALSE,"COMP POOL NB94"}</definedName>
    <definedName name="_PL4" localSheetId="27">{#N/A,#N/A,FALSE,"Report Data";#N/A,#N/A,FALSE,"COMP POOL";#N/A,#N/A,FALSE,"COMP POOL NB95";#N/A,#N/A,FALSE,"COMP POOL NB94"}</definedName>
    <definedName name="_PL5"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5"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Regression_Out" localSheetId="34">#REF!</definedName>
    <definedName name="_Regression_Out" localSheetId="27">#REF!</definedName>
    <definedName name="_Regression_X" localSheetId="34">#REF!</definedName>
    <definedName name="_Regression_X" localSheetId="27">#REF!</definedName>
    <definedName name="_Regression_Y" localSheetId="34">#REF!</definedName>
    <definedName name="_Regression_Y" localSheetId="27">#REF!</definedName>
    <definedName name="_UNDO_UPS_" localSheetId="15" hidden="1">#REF!</definedName>
    <definedName name="_UNDO_UPS_" localSheetId="2" hidden="1">#REF!</definedName>
    <definedName name="_UNDO_UPS_" localSheetId="14" hidden="1">#REF!</definedName>
    <definedName name="_UNDO_UPS_" hidden="1">#REF!</definedName>
    <definedName name="_UNDO_UPS_SEL_" localSheetId="15" hidden="1">#REF!</definedName>
    <definedName name="_UNDO_UPS_SEL_" localSheetId="14" hidden="1">#REF!</definedName>
    <definedName name="_UNDO_UPS_SEL_" hidden="1">#REF!</definedName>
    <definedName name="_UNDO31X31X_" localSheetId="14" hidden="1">#REF!</definedName>
    <definedName name="_UNDO31X31X_" hidden="1">#REF!</definedName>
    <definedName name="_ver1"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ver1"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a" localSheetId="34">{#N/A,#N/A,FALSE,"Status of Projects";#N/A,#N/A,FALSE,"CEA-TEC";#N/A,#N/A,FALSE,"U-Constr.";#N/A,#N/A,FALSE,"summary";#N/A,#N/A,FALSE,"PPP-3 yrs"}</definedName>
    <definedName name="a" localSheetId="27">{#N/A,#N/A,FALSE,"Status of Projects";#N/A,#N/A,FALSE,"CEA-TEC";#N/A,#N/A,FALSE,"U-Constr.";#N/A,#N/A,FALSE,"summary";#N/A,#N/A,FALSE,"PPP-3 yrs"}</definedName>
    <definedName name="a." localSheetId="34">{#N/A,#N/A,TRUE,"KEY DATA";#N/A,#N/A,TRUE,"KEY DATA Base Case";#N/A,#N/A,TRUE,"JULY";#N/A,#N/A,TRUE,"AUG";#N/A,#N/A,TRUE,"SEPT";#N/A,#N/A,TRUE,"3Q"}</definedName>
    <definedName name="a." localSheetId="27">{#N/A,#N/A,TRUE,"KEY DATA";#N/A,#N/A,TRUE,"KEY DATA Base Case";#N/A,#N/A,TRUE,"JULY";#N/A,#N/A,TRUE,"AUG";#N/A,#N/A,TRUE,"SEPT";#N/A,#N/A,TRUE,"3Q"}</definedName>
    <definedName name="A.." localSheetId="34">{#N/A,#N/A,TRUE,"KEY DATA";#N/A,#N/A,TRUE,"KEY DATA Base Case";#N/A,#N/A,TRUE,"JULY";#N/A,#N/A,TRUE,"AUG";#N/A,#N/A,TRUE,"SEPT";#N/A,#N/A,TRUE,"3Q"}</definedName>
    <definedName name="A.." localSheetId="27">{#N/A,#N/A,TRUE,"KEY DATA";#N/A,#N/A,TRUE,"KEY DATA Base Case";#N/A,#N/A,TRUE,"JULY";#N/A,#N/A,TRUE,"AUG";#N/A,#N/A,TRUE,"SEPT";#N/A,#N/A,TRUE,"3Q"}</definedName>
    <definedName name="aaa" localSheetId="34">{#N/A,#N/A,TRUE,"Falcons_Standalone";#N/A,#N/A,TRUE,"Target_Input";#N/A,#N/A,TRUE,"Target_Calendarized"}</definedName>
    <definedName name="aaa" localSheetId="27">{#N/A,#N/A,TRUE,"Falcons_Standalone";#N/A,#N/A,TRUE,"Target_Input";#N/A,#N/A,TRUE,"Target_Calendarized"}</definedName>
    <definedName name="aaa." localSheetId="34">{#N/A,#N/A,TRUE,"KEY DATA";#N/A,#N/A,TRUE,"KEY DATA Base Case";#N/A,#N/A,TRUE,"JULY";#N/A,#N/A,TRUE,"AUG";#N/A,#N/A,TRUE,"SEPT";#N/A,#N/A,TRUE,"3Q"}</definedName>
    <definedName name="aaa." localSheetId="27">{#N/A,#N/A,TRUE,"KEY DATA";#N/A,#N/A,TRUE,"KEY DATA Base Case";#N/A,#N/A,TRUE,"JULY";#N/A,#N/A,TRUE,"AUG";#N/A,#N/A,TRUE,"SEPT";#N/A,#N/A,TRUE,"3Q"}</definedName>
    <definedName name="aaaa"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aaaa"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aaaaa" localSheetId="34">{#N/A,#N/A,FALSE,"Title Page";#N/A,#N/A,FALSE,"Conclusions";#N/A,#N/A,FALSE,"Assum.";#N/A,#N/A,FALSE,"Sun  DCF-WC-Dep";#N/A,#N/A,FALSE,"MarketValue";#N/A,#N/A,FALSE,"BalSheet";#N/A,#N/A,FALSE,"WACC";#N/A,#N/A,FALSE,"PC+ Info.";#N/A,#N/A,FALSE,"PC+Info_2"}</definedName>
    <definedName name="aaaaa" localSheetId="27">{#N/A,#N/A,FALSE,"Title Page";#N/A,#N/A,FALSE,"Conclusions";#N/A,#N/A,FALSE,"Assum.";#N/A,#N/A,FALSE,"Sun  DCF-WC-Dep";#N/A,#N/A,FALSE,"MarketValue";#N/A,#N/A,FALSE,"BalSheet";#N/A,#N/A,FALSE,"WACC";#N/A,#N/A,FALSE,"PC+ Info.";#N/A,#N/A,FALSE,"PC+Info_2"}</definedName>
    <definedName name="aaaaaa" localSheetId="34">{#N/A,#N/A,FALSE,"Title Page";#N/A,#N/A,FALSE,"Conclusions";#N/A,#N/A,FALSE,"Assum.";#N/A,#N/A,FALSE,"Sun  DCF-WC-Dep";#N/A,#N/A,FALSE,"MarketValue";#N/A,#N/A,FALSE,"BalSheet";#N/A,#N/A,FALSE,"WACC";#N/A,#N/A,FALSE,"PC+ Info.";#N/A,#N/A,FALSE,"PC+Info_2"}</definedName>
    <definedName name="aaaaaa" localSheetId="27">{#N/A,#N/A,FALSE,"Title Page";#N/A,#N/A,FALSE,"Conclusions";#N/A,#N/A,FALSE,"Assum.";#N/A,#N/A,FALSE,"Sun  DCF-WC-Dep";#N/A,#N/A,FALSE,"MarketValue";#N/A,#N/A,FALSE,"BalSheet";#N/A,#N/A,FALSE,"WACC";#N/A,#N/A,FALSE,"PC+ Info.";#N/A,#N/A,FALSE,"PC+Info_2"}</definedName>
    <definedName name="aaaasdf" localSheetId="34">{#N/A,#N/A,TRUE,"GEM Total";#N/A,#N/A,TRUE,"Final Assembly";#N/A,#N/A,TRUE,"Cleaning";#N/A,#N/A,TRUE,"Schooping,Clearing";#N/A,#N/A,TRUE,"Winding"}</definedName>
    <definedName name="aaaasdf" localSheetId="27">{#N/A,#N/A,TRUE,"GEM Total";#N/A,#N/A,TRUE,"Final Assembly";#N/A,#N/A,TRUE,"Cleaning";#N/A,#N/A,TRUE,"Schooping,Clearing";#N/A,#N/A,TRUE,"Winding"}</definedName>
    <definedName name="aabb" localSheetId="34">{#N/A,#N/A,FALSE,"Projections";#N/A,#N/A,FALSE,"Multiples Valuation";#N/A,#N/A,FALSE,"LBO";#N/A,#N/A,FALSE,"Multiples_Sensitivity";#N/A,#N/A,FALSE,"Summary"}</definedName>
    <definedName name="aabb" localSheetId="27">{#N/A,#N/A,FALSE,"Projections";#N/A,#N/A,FALSE,"Multiples Valuation";#N/A,#N/A,FALSE,"LBO";#N/A,#N/A,FALSE,"Multiples_Sensitivity";#N/A,#N/A,FALSE,"Summary"}</definedName>
    <definedName name="abc" localSheetId="34">{"histincome",#N/A,FALSE,"hyfins";"closing balance",#N/A,FALSE,"hyfins"}</definedName>
    <definedName name="abc" localSheetId="27">{"histincome",#N/A,FALSE,"hyfins";"closing balance",#N/A,FALSE,"hyfins"}</definedName>
    <definedName name="abcd" localSheetId="34">{"histincome",#N/A,FALSE,"hyfins";"closing balance",#N/A,FALSE,"hyfins"}</definedName>
    <definedName name="abcd" localSheetId="27">{"histincome",#N/A,FALSE,"hyfins";"closing balance",#N/A,FALSE,"hyfins"}</definedName>
    <definedName name="abcde" localSheetId="34">{#N/A,#N/A,FALSE,"Title Page";#N/A,#N/A,FALSE,"Conclusions";#N/A,#N/A,FALSE,"Assum.";#N/A,#N/A,FALSE,"Sun  DCF-WC-Dep";#N/A,#N/A,FALSE,"MarketValue";#N/A,#N/A,FALSE,"BalSheet";#N/A,#N/A,FALSE,"WACC";#N/A,#N/A,FALSE,"PC+ Info.";#N/A,#N/A,FALSE,"PC+Info_2"}</definedName>
    <definedName name="abcde" localSheetId="27">{#N/A,#N/A,FALSE,"Title Page";#N/A,#N/A,FALSE,"Conclusions";#N/A,#N/A,FALSE,"Assum.";#N/A,#N/A,FALSE,"Sun  DCF-WC-Dep";#N/A,#N/A,FALSE,"MarketValue";#N/A,#N/A,FALSE,"BalSheet";#N/A,#N/A,FALSE,"WACC";#N/A,#N/A,FALSE,"PC+ Info.";#N/A,#N/A,FALSE,"PC+Info_2"}</definedName>
    <definedName name="ad" localSheetId="34">{#N/A,#N/A,FALSE,"Status of Projects";#N/A,#N/A,FALSE,"CEA-TEC";#N/A,#N/A,FALSE,"U-Constr.";#N/A,#N/A,FALSE,"summary";#N/A,#N/A,FALSE,"PPP-3 yrs"}</definedName>
    <definedName name="ad" localSheetId="27">{#N/A,#N/A,FALSE,"Status of Projects";#N/A,#N/A,FALSE,"CEA-TEC";#N/A,#N/A,FALSE,"U-Constr.";#N/A,#N/A,FALSE,"summary";#N/A,#N/A,FALSE,"PPP-3 yrs"}</definedName>
    <definedName name="AS2StaticLS" localSheetId="34">#REF!</definedName>
    <definedName name="AS2StaticLS" localSheetId="27">#REF!</definedName>
    <definedName name="asdasd" localSheetId="34">{#N/A,#N/A,TRUE,"Acquirer_Cases_Input";#N/A,#N/A,TRUE,"Acquirer_Input";#N/A,#N/A,TRUE,"Acquirer"}</definedName>
    <definedName name="asdasd" localSheetId="27">{#N/A,#N/A,TRUE,"Acquirer_Cases_Input";#N/A,#N/A,TRUE,"Acquirer_Input";#N/A,#N/A,TRUE,"Acquirer"}</definedName>
    <definedName name="asdf" localSheetId="34">{#N/A,#N/A,TRUE,"KEY DATA";#N/A,#N/A,TRUE,"KEY DATA Base Case";#N/A,#N/A,TRUE,"JULY";#N/A,#N/A,TRUE,"AUG";#N/A,#N/A,TRUE,"SEPT";#N/A,#N/A,TRUE,"3Q"}</definedName>
    <definedName name="asdf" localSheetId="27">{#N/A,#N/A,TRUE,"KEY DATA";#N/A,#N/A,TRUE,"KEY DATA Base Case";#N/A,#N/A,TRUE,"JULY";#N/A,#N/A,TRUE,"AUG";#N/A,#N/A,TRUE,"SEPT";#N/A,#N/A,TRUE,"3Q"}</definedName>
    <definedName name="asdfasdf" localSheetId="34">{#N/A,#N/A,FALSE,"TS";#N/A,#N/A,FALSE,"Combo";#N/A,#N/A,FALSE,"FAIR";#N/A,#N/A,FALSE,"RBC";#N/A,#N/A,FALSE,"xxxx";#N/A,#N/A,FALSE,"A_D";#N/A,#N/A,FALSE,"WACC";#N/A,#N/A,FALSE,"DCF";#N/A,#N/A,FALSE,"LBO";#N/A,#N/A,FALSE,"AcqMults";#N/A,#N/A,FALSE,"CompMults"}</definedName>
    <definedName name="asdfasdf" localSheetId="27">{#N/A,#N/A,FALSE,"TS";#N/A,#N/A,FALSE,"Combo";#N/A,#N/A,FALSE,"FAIR";#N/A,#N/A,FALSE,"RBC";#N/A,#N/A,FALSE,"xxxx";#N/A,#N/A,FALSE,"A_D";#N/A,#N/A,FALSE,"WACC";#N/A,#N/A,FALSE,"DCF";#N/A,#N/A,FALSE,"LBO";#N/A,#N/A,FALSE,"AcqMults";#N/A,#N/A,FALSE,"CompMults"}</definedName>
    <definedName name="asdfdfdjf" localSheetId="34">{#N/A,#N/A,FALSE,"Budget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asdfdfdjf" localSheetId="27">{#N/A,#N/A,FALSE,"Budget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b" localSheetId="34">{#N/A,#N/A,FALSE,"Status of Projects";#N/A,#N/A,FALSE,"CEA-TEC";#N/A,#N/A,FALSE,"U-Constr.";#N/A,#N/A,FALSE,"summary";#N/A,#N/A,FALSE,"PPP-3 yrs"}</definedName>
    <definedName name="b" localSheetId="27">{#N/A,#N/A,FALSE,"Status of Projects";#N/A,#N/A,FALSE,"CEA-TEC";#N/A,#N/A,FALSE,"U-Constr.";#N/A,#N/A,FALSE,"summary";#N/A,#N/A,FALSE,"PPP-3 yrs"}</definedName>
    <definedName name="backup." localSheetId="34">{#N/A,#N/A,TRUE,"KEY DATA";#N/A,#N/A,TRUE,"KEY DATA Base Case";#N/A,#N/A,TRUE,"JULY";#N/A,#N/A,TRUE,"AUG";#N/A,#N/A,TRUE,"SEPT";#N/A,#N/A,TRUE,"3Q"}</definedName>
    <definedName name="backup." localSheetId="27">{#N/A,#N/A,TRUE,"KEY DATA";#N/A,#N/A,TRUE,"KEY DATA Base Case";#N/A,#N/A,TRUE,"JULY";#N/A,#N/A,TRUE,"AUG";#N/A,#N/A,TRUE,"SEPT";#N/A,#N/A,TRUE,"3Q"}</definedName>
    <definedName name="bb" localSheetId="34">{#N/A,#N/A,FALSE,"Consolidated Shipley";#N/A,#N/A,FALSE,"Consolidated PWB";#N/A,#N/A,FALSE,"Consolidated Micro"}</definedName>
    <definedName name="bb" localSheetId="27">{#N/A,#N/A,FALSE,"Consolidated Shipley";#N/A,#N/A,FALSE,"Consolidated PWB";#N/A,#N/A,FALSE,"Consolidated Micro"}</definedName>
    <definedName name="bbb" localSheetId="34">{#N/A,#N/A,FALSE,"Consolidated Shipley";#N/A,#N/A,FALSE,"Consolidated PWB";#N/A,#N/A,FALSE,"Consolidated Micro"}</definedName>
    <definedName name="bbb" localSheetId="27">{#N/A,#N/A,FALSE,"Consolidated Shipley";#N/A,#N/A,FALSE,"Consolidated PWB";#N/A,#N/A,FALSE,"Consolidated Micro"}</definedName>
    <definedName name="bbbb" localSheetId="34">{"gross_margin1",#N/A,FALSE,"Gross Margin Detail";"gross_margin2",#N/A,FALSE,"Gross Margin Detail"}</definedName>
    <definedName name="bbbb" localSheetId="27">{"gross_margin1",#N/A,FALSE,"Gross Margin Detail";"gross_margin2",#N/A,FALSE,"Gross Margin Detail"}</definedName>
    <definedName name="bbbbb" localSheetId="34">{"historical acquirer",#N/A,FALSE,"Historical Performance";"historical target",#N/A,FALSE,"Historical Performance"}</definedName>
    <definedName name="bbbbb" localSheetId="27">{"historical acquirer",#N/A,FALSE,"Historical Performance";"historical target",#N/A,FALSE,"Historical Performance"}</definedName>
    <definedName name="bbbbbb" localSheetId="34">{#N/A,#N/A,TRUE,"Acquirer_Cases_Input";#N/A,#N/A,TRUE,"Acquirer_Input";#N/A,#N/A,TRUE,"Acquirer"}</definedName>
    <definedName name="bbbbbb" localSheetId="27">{#N/A,#N/A,TRUE,"Acquirer_Cases_Input";#N/A,#N/A,TRUE,"Acquirer_Input";#N/A,#N/A,TRUE,"Acquirer"}</definedName>
    <definedName name="bbbbbbb" localSheetId="34">{"graph",#N/A,FALSE,"WWJU";"graph",#N/A,FALSE,"WWSEM";"graph",#N/A,FALSE,"GOMJU";"graph",#N/A,FALSE,"GOMSEM";"graph",#N/A,FALSE,"NSJU";"graph",#N/A,FALSE,"NSSEM";"graph",#N/A,FALSE,"WAJU";"graph",#N/A,FALSE,"STOCKPRI";"graph",#N/A,FALSE,"CFTEV";"graph",#N/A,FALSE,"NAV-RCV";"graph",#N/A,FALSE,"CRUDEWW"}</definedName>
    <definedName name="bbbbbbb" localSheetId="27">{"graph",#N/A,FALSE,"WWJU";"graph",#N/A,FALSE,"WWSEM";"graph",#N/A,FALSE,"GOMJU";"graph",#N/A,FALSE,"GOMSEM";"graph",#N/A,FALSE,"NSJU";"graph",#N/A,FALSE,"NSSEM";"graph",#N/A,FALSE,"WAJU";"graph",#N/A,FALSE,"STOCKPRI";"graph",#N/A,FALSE,"CFTEV";"graph",#N/A,FALSE,"NAV-RCV";"graph",#N/A,FALSE,"CRUDEWW"}</definedName>
    <definedName name="Bear" localSheetId="34">{#N/A,#N/A,FALSE,"TS";#N/A,#N/A,FALSE,"Combo";#N/A,#N/A,FALSE,"FAIR";#N/A,#N/A,FALSE,"RBC";#N/A,#N/A,FALSE,"xxxx";#N/A,#N/A,FALSE,"A_D";#N/A,#N/A,FALSE,"WACC";#N/A,#N/A,FALSE,"DCF";#N/A,#N/A,FALSE,"LBO";#N/A,#N/A,FALSE,"AcqMults";#N/A,#N/A,FALSE,"CompMults"}</definedName>
    <definedName name="Bear" localSheetId="27">{#N/A,#N/A,FALSE,"TS";#N/A,#N/A,FALSE,"Combo";#N/A,#N/A,FALSE,"FAIR";#N/A,#N/A,FALSE,"RBC";#N/A,#N/A,FALSE,"xxxx";#N/A,#N/A,FALSE,"A_D";#N/A,#N/A,FALSE,"WACC";#N/A,#N/A,FALSE,"DCF";#N/A,#N/A,FALSE,"LBO";#N/A,#N/A,FALSE,"AcqMults";#N/A,#N/A,FALSE,"CompMults"}</definedName>
    <definedName name="bearr" localSheetId="34">{#N/A,#N/A,FALSE,"TS";#N/A,#N/A,FALSE,"Combo";#N/A,#N/A,FALSE,"FAIR";#N/A,#N/A,FALSE,"RBC";#N/A,#N/A,FALSE,"xxxx";#N/A,#N/A,FALSE,"A_D";#N/A,#N/A,FALSE,"WACC";#N/A,#N/A,FALSE,"DCF";#N/A,#N/A,FALSE,"LBO";#N/A,#N/A,FALSE,"AcqMults";#N/A,#N/A,FALSE,"CompMults"}</definedName>
    <definedName name="bearr" localSheetId="27">{#N/A,#N/A,FALSE,"TS";#N/A,#N/A,FALSE,"Combo";#N/A,#N/A,FALSE,"FAIR";#N/A,#N/A,FALSE,"RBC";#N/A,#N/A,FALSE,"xxxx";#N/A,#N/A,FALSE,"A_D";#N/A,#N/A,FALSE,"WACC";#N/A,#N/A,FALSE,"DCF";#N/A,#N/A,FALSE,"LBO";#N/A,#N/A,FALSE,"AcqMults";#N/A,#N/A,FALSE,"CompMults"}</definedName>
    <definedName name="BILL"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BILL"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BLPB10" localSheetId="34">#REF!</definedName>
    <definedName name="BLPB10" localSheetId="27">#REF!</definedName>
    <definedName name="BLPB11" localSheetId="34">#REF!</definedName>
    <definedName name="BLPB11" localSheetId="27">#REF!</definedName>
    <definedName name="BLPB6" localSheetId="34">#REF!</definedName>
    <definedName name="BLPB6" localSheetId="27">#REF!</definedName>
    <definedName name="BLPH200001" localSheetId="34">'[2]Stock Chart'!$B$5</definedName>
    <definedName name="BLPH200001" localSheetId="27">'[2]Stock Chart'!$B$5</definedName>
    <definedName name="BLPH3" localSheetId="34">#REF!</definedName>
    <definedName name="BLPH3" localSheetId="27">#REF!</definedName>
    <definedName name="BLPH4" localSheetId="34">#REF!</definedName>
    <definedName name="BLPH4" localSheetId="27">#REF!</definedName>
    <definedName name="BLPH5" localSheetId="34">#REF!</definedName>
    <definedName name="BLPH5" localSheetId="27">#REF!</definedName>
    <definedName name="BLPH7" localSheetId="34">'[3]Stock Analysis'!#REF!</definedName>
    <definedName name="BLPH7" localSheetId="27">'[3]Stock Analysis'!#REF!</definedName>
    <definedName name="BLPH8" localSheetId="34">'[3]Stock Analysis'!#REF!</definedName>
    <definedName name="BLPH8" localSheetId="27">'[3]Stock Analysis'!#REF!</definedName>
    <definedName name="BLPH9" localSheetId="34">'[3]Stock Analysis'!#REF!</definedName>
    <definedName name="BLPH9" localSheetId="27">'[3]Stock Analysis'!#REF!</definedName>
    <definedName name="caattach2" localSheetId="34">{#N/A,#N/A,FALSE,"letter";#N/A,#N/A,FALSE,"PP_0895";#N/A,#N/A,FALSE,"PP_0995"}</definedName>
    <definedName name="caattach2" localSheetId="27">{#N/A,#N/A,FALSE,"letter";#N/A,#N/A,FALSE,"PP_0895";#N/A,#N/A,FALSE,"PP_0995"}</definedName>
    <definedName name="capitalized" localSheetId="34">{#N/A,#N/A,FALSE,"Title Page";#N/A,#N/A,FALSE,"Conclusions";#N/A,#N/A,FALSE,"Assum.";#N/A,#N/A,FALSE,"Sun  DCF-WC-Dep";#N/A,#N/A,FALSE,"MarketValue";#N/A,#N/A,FALSE,"BalSheet";#N/A,#N/A,FALSE,"WACC";#N/A,#N/A,FALSE,"PC+ Info.";#N/A,#N/A,FALSE,"PC+Info_2"}</definedName>
    <definedName name="capitalized" localSheetId="27">{#N/A,#N/A,FALSE,"Title Page";#N/A,#N/A,FALSE,"Conclusions";#N/A,#N/A,FALSE,"Assum.";#N/A,#N/A,FALSE,"Sun  DCF-WC-Dep";#N/A,#N/A,FALSE,"MarketValue";#N/A,#N/A,FALSE,"BalSheet";#N/A,#N/A,FALSE,"WACC";#N/A,#N/A,FALSE,"PC+ Info.";#N/A,#N/A,FALSE,"PC+Info_2"}</definedName>
    <definedName name="CBIGROSSA" localSheetId="34">{"Page2",#N/A,FALSE,"CBICOMM"}</definedName>
    <definedName name="CBIGROSSA" localSheetId="27">{"Page2",#N/A,FALSE,"CBICOMM"}</definedName>
    <definedName name="CBIGROSSA2" localSheetId="34">{"Page2",#N/A,FALSE,"CBICOMM"}</definedName>
    <definedName name="CBIGROSSA2" localSheetId="27">{"Page2",#N/A,FALSE,"CBICOMM"}</definedName>
    <definedName name="cc" localSheetId="34">{"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cc" localSheetId="27">{"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ccc" localSheetId="34">{"cred comp",#N/A,FALSE,"Comparable Credit Analysis";"IS",#N/A,FALSE,"IS";"Sensitivity",#N/A,FALSE,"Sensitivity";"BS",#N/A,FALSE,"BS";"Bond Summary",#N/A,FALSE,"B Summary";"AD",#N/A,FALSE,"Accretion";"NAV",#N/A,FALSE,"NAV";"SU",#N/A,FALSE,"S&amp;U";"acq. study",#N/A,FALSE,"Acq. Study";"F Charges",#N/A,FALSE,"Fixed Charges"}</definedName>
    <definedName name="ccc" localSheetId="27">{"cred comp",#N/A,FALSE,"Comparable Credit Analysis";"IS",#N/A,FALSE,"IS";"Sensitivity",#N/A,FALSE,"Sensitivity";"BS",#N/A,FALSE,"BS";"Bond Summary",#N/A,FALSE,"B Summary";"AD",#N/A,FALSE,"Accretion";"NAV",#N/A,FALSE,"NAV";"SU",#N/A,FALSE,"S&amp;U";"acq. study",#N/A,FALSE,"Acq. Study";"F Charges",#N/A,FALSE,"Fixed Charges"}</definedName>
    <definedName name="cccc" localSheetId="34">{#N/A,#N/A,FALSE,"SUM";#N/A,#N/A,FALSE,"Holding Cost ";#N/A,#N/A,FALSE,"2000 &amp; C3D";#N/A,#N/A,FALSE,"Disposal Costs";#N/A,#N/A,FALSE,"WIP";#N/A,#N/A,FALSE,"Fin Goods"}</definedName>
    <definedName name="cccc" localSheetId="27">{#N/A,#N/A,FALSE,"SUM";#N/A,#N/A,FALSE,"Holding Cost ";#N/A,#N/A,FALSE,"2000 &amp; C3D";#N/A,#N/A,FALSE,"Disposal Costs";#N/A,#N/A,FALSE,"WIP";#N/A,#N/A,FALSE,"Fin Goods"}</definedName>
    <definedName name="ccccc" localSheetId="34">{"revenue detail 1",#N/A,FALSE,"Revenue Detail";"revenue detail 2",#N/A,FALSE,"Revenue Detail";"revenue detail 3",#N/A,FALSE,"Revenue Detail";"revenue detail 4",#N/A,FALSE,"Revenue Detail"}</definedName>
    <definedName name="ccccc" localSheetId="27">{"revenue detail 1",#N/A,FALSE,"Revenue Detail";"revenue detail 2",#N/A,FALSE,"Revenue Detail";"revenue detail 3",#N/A,FALSE,"Revenue Detail";"revenue detail 4",#N/A,FALSE,"Revenue Detail"}</definedName>
    <definedName name="cccccc" localSheetId="34">{#N/A,#N/A,TRUE,"Falcons_Standalone";#N/A,#N/A,TRUE,"Target_Input";#N/A,#N/A,TRUE,"Target_Calendarized"}</definedName>
    <definedName name="cccccc" localSheetId="27">{#N/A,#N/A,TRUE,"Falcons_Standalone";#N/A,#N/A,TRUE,"Target_Input";#N/A,#N/A,TRUE,"Target_Calendarized"}</definedName>
    <definedName name="ccccccc" localSheetId="34">{"revenue graph",#N/A,FALSE,"Revenue Graph"}</definedName>
    <definedName name="ccccccc" localSheetId="27">{"revenue graph",#N/A,FALSE,"Revenue Graph"}</definedName>
    <definedName name="cccccccc" localSheetId="34">{"Total",#N/A,FALSE,"Six Fields";"PDP",#N/A,FALSE,"Six Fields";"PNP",#N/A,FALSE,"Six Fields";"PUD",#N/A,FALSE,"Six Fields";"Prob",#N/A,FALSE,"Six Fields"}</definedName>
    <definedName name="cccccccc" localSheetId="27">{"Total",#N/A,FALSE,"Six Fields";"PDP",#N/A,FALSE,"Six Fields";"PNP",#N/A,FALSE,"Six Fields";"PUD",#N/A,FALSE,"Six Fields";"Prob",#N/A,FALSE,"Six Fields"}</definedName>
    <definedName name="ccccccccc" localSheetId="34">{"Sum1",#N/A,FALSE,"Reserve Report";"Sum2",#N/A,FALSE,"Reserve Report";"Sum3",#N/A,FALSE,"Reserve Report";"Sum4",#N/A,FALSE,"Reserve Report"}</definedName>
    <definedName name="ccccccccc" localSheetId="27">{"Sum1",#N/A,FALSE,"Reserve Report";"Sum2",#N/A,FALSE,"Reserve Report";"Sum3",#N/A,FALSE,"Reserve Report";"Sum4",#N/A,FALSE,"Reserve Report"}</definedName>
    <definedName name="CIQWBGuid" hidden="1">"20460f3b-72a4-43c0-a07c-443605569f20"</definedName>
    <definedName name="client.company.short">Inputs!$G$19</definedName>
    <definedName name="client.name.long" localSheetId="15">[4]Inputs!$E$7</definedName>
    <definedName name="client.name.long" localSheetId="2">[5]Inputs!$E$7</definedName>
    <definedName name="client.name.long" localSheetId="14">'[6]Val input'!$E$15</definedName>
    <definedName name="client.name.long">Inputs!$E$19</definedName>
    <definedName name="Comp" localSheetId="34">{#N/A,#N/A,FALSE,"Che-Ga";#N/A,#N/A,FALSE,"Iv-Sm";#N/A,#N/A,FALSE,"So-We";#N/A,#N/A,FALSE,"Me-Po";#N/A,#N/A,FALSE,"Be-Bo";#N/A,#N/A,FALSE,"Cha-Ki";#N/A,#N/A,FALSE,"In";#N/A,#N/A,FALSE,"Schedule 23";#N/A,#N/A,FALSE,"Schedule 22";#N/A,#N/A,FALSE,"WACC"}</definedName>
    <definedName name="Comp" localSheetId="27">{#N/A,#N/A,FALSE,"Che-Ga";#N/A,#N/A,FALSE,"Iv-Sm";#N/A,#N/A,FALSE,"So-We";#N/A,#N/A,FALSE,"Me-Po";#N/A,#N/A,FALSE,"Be-Bo";#N/A,#N/A,FALSE,"Cha-Ki";#N/A,#N/A,FALSE,"In";#N/A,#N/A,FALSE,"Schedule 23";#N/A,#N/A,FALSE,"Schedule 22";#N/A,#N/A,FALSE,"WACC"}</definedName>
    <definedName name="currency.denomination" localSheetId="15">[4]Inputs!$E$30</definedName>
    <definedName name="currency.denomination" localSheetId="2">[5]Inputs!$E$30</definedName>
    <definedName name="currency.denomination">Inputs!$E$45</definedName>
    <definedName name="currency.heading1" localSheetId="15">[4]Inputs!$E$31</definedName>
    <definedName name="currency.heading1" localSheetId="2">[5]Inputs!$E$31</definedName>
    <definedName name="currency.heading1" localSheetId="14">#REF!</definedName>
    <definedName name="currency.heading1">Inputs!$E$46</definedName>
    <definedName name="currency.type" localSheetId="15">[4]Inputs!$E$29</definedName>
    <definedName name="currency.type" localSheetId="2">[5]Inputs!$E$29</definedName>
    <definedName name="currency.type">Inputs!$E$43</definedName>
    <definedName name="CurrPeriod">[7]Defaults!$B$19</definedName>
    <definedName name="d" localSheetId="34">{#N/A,#N/A,FALSE,"Budget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d" localSheetId="27">{#N/A,#N/A,FALSE,"Budget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DAvsCA">IF(ISERR(#REF!),#REF!:INDEX(#REF!,COUNT(#REF!)),#REF!:INDEX(#REF!,COUNT(#REF!)))</definedName>
    <definedName name="DAvsCA2">IF(ISERR(#REF!),#REF!:INDEX(#REF!,COUNT(#REF!)),#REF!:INDEX(#REF!,COUNT(#REF!)))</definedName>
    <definedName name="DCF" localSheetId="34">{#N/A,#N/A,FALSE,"DCF";#N/A,#N/A,FALSE,"WACC";#N/A,#N/A,FALSE,"Preferred Transactions (2)"}</definedName>
    <definedName name="DCF" localSheetId="27">{#N/A,#N/A,FALSE,"DCF";#N/A,#N/A,FALSE,"WACC";#N/A,#N/A,FALSE,"Preferred Transactions (2)"}</definedName>
    <definedName name="dd" localSheetId="34">{#N/A,#N/A,FALSE,"AD_Purch";#N/A,#N/A,FALSE,"Projections";#N/A,#N/A,FALSE,"DCF";#N/A,#N/A,FALSE,"Mkt Val"}</definedName>
    <definedName name="dd" localSheetId="27">{#N/A,#N/A,FALSE,"AD_Purch";#N/A,#N/A,FALSE,"Projections";#N/A,#N/A,FALSE,"DCF";#N/A,#N/A,FALSE,"Mkt Val"}</definedName>
    <definedName name="ddd" localSheetId="34">{#N/A,#N/A,FALSE,"TS";#N/A,#N/A,FALSE,"Combo";#N/A,#N/A,FALSE,"FAIR";#N/A,#N/A,FALSE,"RBC";#N/A,#N/A,FALSE,"xxxx";#N/A,#N/A,FALSE,"A_D";#N/A,#N/A,FALSE,"WACC";#N/A,#N/A,FALSE,"DCF";#N/A,#N/A,FALSE,"LBO";#N/A,#N/A,FALSE,"AcqMults";#N/A,#N/A,FALSE,"CompMults"}</definedName>
    <definedName name="ddd" localSheetId="27">{#N/A,#N/A,FALSE,"TS";#N/A,#N/A,FALSE,"Combo";#N/A,#N/A,FALSE,"FAIR";#N/A,#N/A,FALSE,"RBC";#N/A,#N/A,FALSE,"xxxx";#N/A,#N/A,FALSE,"A_D";#N/A,#N/A,FALSE,"WACC";#N/A,#N/A,FALSE,"DCF";#N/A,#N/A,FALSE,"LBO";#N/A,#N/A,FALSE,"AcqMults";#N/A,#N/A,FALSE,"CompMults"}</definedName>
    <definedName name="dddd" localSheetId="34">{#N/A,#N/A,TRUE,"FOC_Product_Assumptions"}</definedName>
    <definedName name="dddd" localSheetId="27">{#N/A,#N/A,TRUE,"FOC_Product_Assumptions"}</definedName>
    <definedName name="Depts">[8]Menu!$B$3:$B$12</definedName>
    <definedName name="dfdfdfd" localSheetId="34">{#N/A,#N/A,FALSE,"AD_Purchase";#N/A,#N/A,FALSE,"Credit";#N/A,#N/A,FALSE,"PF Acquisition";#N/A,#N/A,FALSE,"PF Offering"}</definedName>
    <definedName name="dfdfdfd" localSheetId="27">{#N/A,#N/A,FALSE,"AD_Purchase";#N/A,#N/A,FALSE,"Credit";#N/A,#N/A,FALSE,"PF Acquisition";#N/A,#N/A,FALSE,"PF Offering"}</definedName>
    <definedName name="dfsfa" localSheetId="34">{"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localSheetId="27">{"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oh" localSheetId="34">{#N/A,#N/A,FALSE,"TS";#N/A,#N/A,FALSE,"Combo";#N/A,#N/A,FALSE,"FAIR";#N/A,#N/A,FALSE,"RBC";#N/A,#N/A,FALSE,"xxxx";#N/A,#N/A,FALSE,"A_D";#N/A,#N/A,FALSE,"WACC";#N/A,#N/A,FALSE,"DCF";#N/A,#N/A,FALSE,"LBO";#N/A,#N/A,FALSE,"AcqMults";#N/A,#N/A,FALSE,"CompMults"}</definedName>
    <definedName name="doh" localSheetId="27">{#N/A,#N/A,FALSE,"TS";#N/A,#N/A,FALSE,"Combo";#N/A,#N/A,FALSE,"FAIR";#N/A,#N/A,FALSE,"RBC";#N/A,#N/A,FALSE,"xxxx";#N/A,#N/A,FALSE,"A_D";#N/A,#N/A,FALSE,"WACC";#N/A,#N/A,FALSE,"DCF";#N/A,#N/A,FALSE,"LBO";#N/A,#N/A,FALSE,"AcqMults";#N/A,#N/A,FALSE,"CompMults"}</definedName>
    <definedName name="draft.toggle" localSheetId="14">'[6]Val input'!$E$19</definedName>
    <definedName name="dzfsdf" localSheetId="34">{#N/A,#N/A,TRUE,"FOC_Product_Assumptions"}</definedName>
    <definedName name="dzfsdf" localSheetId="27">{#N/A,#N/A,TRUE,"FOC_Product_Assumptions"}</definedName>
    <definedName name="effective.taxrate">IS_Calcs!$F$181</definedName>
    <definedName name="EssAliasTable">"Default"</definedName>
    <definedName name="EssOptions">"110000000013010_0"</definedName>
    <definedName name="extr" localSheetId="34">{"P&amp;L",#N/A,TRUE,"HC";"P&amp;L Percents",#N/A,TRUE,"P&amp;L";"M&amp;A3 P&amp;L",#N/A,TRUE,"HC";"M&amp;A3 Pipeline",#N/A,TRUE,"HC";"Franchises",#N/A,TRUE,"HC";"CF&amp;BS",#N/A,TRUE,"HC"}</definedName>
    <definedName name="extr" localSheetId="27">{"P&amp;L",#N/A,TRUE,"HC";"P&amp;L Percents",#N/A,TRUE,"P&amp;L";"M&amp;A3 P&amp;L",#N/A,TRUE,"HC";"M&amp;A3 Pipeline",#N/A,TRUE,"HC";"Franchises",#N/A,TRUE,"HC";"CF&amp;BS",#N/A,TRUE,"HC"}</definedName>
    <definedName name="extr1" localSheetId="34">{"P&amp;L",#N/A,TRUE,"HC";"P&amp;L Percents",#N/A,TRUE,"P&amp;L";"M&amp;A3 P&amp;L",#N/A,TRUE,"HC";"M&amp;A3 Pipeline",#N/A,TRUE,"HC";"Franchises",#N/A,TRUE,"HC";"CF&amp;BS",#N/A,TRUE,"HC"}</definedName>
    <definedName name="extr1" localSheetId="27">{"P&amp;L",#N/A,TRUE,"HC";"P&amp;L Percents",#N/A,TRUE,"P&amp;L";"M&amp;A3 P&amp;L",#N/A,TRUE,"HC";"M&amp;A3 Pipeline",#N/A,TRUE,"HC";"Franchises",#N/A,TRUE,"HC";"CF&amp;BS",#N/A,TRUE,"HC"}</definedName>
    <definedName name="f"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f"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FA">[9]DEPR98!$A$643:$G$974</definedName>
    <definedName name="fkasjdfkjasdfkasdf">4</definedName>
    <definedName name="FormatFile">"WEB.HEAD.959.FMT"</definedName>
    <definedName name="fsdsfafd" localSheetId="34">{"CSheet",#N/A,FALSE,"C";"SmCap",#N/A,FALSE,"VAL1";"GulfCoast",#N/A,FALSE,"VAL1";"nav",#N/A,FALSE,"NAV";"Summary",#N/A,FALSE,"NAV"}</definedName>
    <definedName name="fsdsfafd" localSheetId="27">{"CSheet",#N/A,FALSE,"C";"SmCap",#N/A,FALSE,"VAL1";"GulfCoast",#N/A,FALSE,"VAL1";"nav",#N/A,FALSE,"NAV";"Summary",#N/A,FALSE,"NAV"}</definedName>
    <definedName name="galleria_3">NA()</definedName>
    <definedName name="gooch" localSheetId="34">{#N/A,#N/A,FALSE,"Projections";#N/A,#N/A,FALSE,"Multiples Valuation";#N/A,#N/A,FALSE,"LBO";#N/A,#N/A,FALSE,"Multiples_Sensitivity";#N/A,#N/A,FALSE,"Summary"}</definedName>
    <definedName name="gooch" localSheetId="27">{#N/A,#N/A,FALSE,"Projections";#N/A,#N/A,FALSE,"Multiples Valuation";#N/A,#N/A,FALSE,"LBO";#N/A,#N/A,FALSE,"Multiples_Sensitivity";#N/A,#N/A,FALSE,"Summary"}</definedName>
    <definedName name="GPCEBITDAFYE" localSheetId="32">IF(ISERR(Margins!$T$58),Margins!$T$59:INDEX(Margins!$T$59:$T$88,COUNT(Margins!$T$59:$T$88)),Margins!$T$58:INDEX(Margins!$T$58:$T$88,COUNT(Margins!$T$58:$T$88)))</definedName>
    <definedName name="GPCEBITDAFYE1" localSheetId="32">IF(ISERR(Margins!$U$58),Margins!$U$59:INDEX(Margins!$U$59:$U$88,COUNT(Margins!$U$59:$U$88)),Margins!$U$58:INDEX(Margins!$U$58:$U$88,COUNT(Margins!$U$58:$U$88)))</definedName>
    <definedName name="GPCEBITDALABEL" localSheetId="32">IF(ISERR(Margins!$T$58),Margins!$S$59:INDEX(Margins!$S$59:$S$88,COUNTA(Margins!$S$59:$S$88)-COUNTBLANK(Margins!$S$59:$S$88)),Margins!$S$58:INDEX(Margins!$S$58:$S$88,COUNTA(Margins!$S$58:$S$88)-COUNTBLANK(Margins!$S$58:$S$88)))</definedName>
    <definedName name="GPCREV" localSheetId="31">IF(ISERR(Growth!$AD$9),Growth!$AD$10:INDEX(Growth!$AD$10:$AD$39,COUNT(Growth!$AD$10:$AD$39)),Growth!$AD$9:INDEX(Growth!$AD$9:$AD$39,COUNT(Growth!$AD$9:$AD$39)))</definedName>
    <definedName name="GPCREVLABEL" localSheetId="31">IF(ISERR(Growth!$AD$9),Growth!$AC$10:INDEX(Growth!$AC$10:$AC$39,COUNTA(Growth!$AC$10:$AC$39)-COUNTBLANK(Growth!$AC$10:$AC$39)),Growth!$AC$9:INDEX(Growth!$AC$40:$AC$48,COUNTA(Growth!$AC$9:$AC$39)-COUNTBLANK(Growth!$AC$9:$AC$39)))</definedName>
    <definedName name="growth.assumption">Inputs!$E$240</definedName>
    <definedName name="help" localSheetId="34">{#N/A,#N/A,FALSE,"DCF";#N/A,#N/A,FALSE,"WACC";#N/A,#N/A,FALSE,"Preferred Transactions (2)"}</definedName>
    <definedName name="help" localSheetId="27">{#N/A,#N/A,FALSE,"DCF";#N/A,#N/A,FALSE,"WACC";#N/A,#N/A,FALSE,"Preferred Transactions (2)"}</definedName>
    <definedName name="help2" localSheetId="34">{#N/A,#N/A,FALSE,"DCF";#N/A,#N/A,FALSE,"WACC";#N/A,#N/A,FALSE,"Preferred Transactions (2)"}</definedName>
    <definedName name="help2" localSheetId="27">{#N/A,#N/A,FALSE,"DCF";#N/A,#N/A,FALSE,"WACC";#N/A,#N/A,FALSE,"Preferred Transactions (2)"}</definedName>
    <definedName name="hhhh"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hhhh"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hod" localSheetId="34">{#N/A,#N/A,FALSE,"TS";#N/A,#N/A,FALSE,"Combo";#N/A,#N/A,FALSE,"FAIR";#N/A,#N/A,FALSE,"RBC";#N/A,#N/A,FALSE,"xxxx";#N/A,#N/A,FALSE,"A_D";#N/A,#N/A,FALSE,"WACC";#N/A,#N/A,FALSE,"DCF";#N/A,#N/A,FALSE,"LBO";#N/A,#N/A,FALSE,"AcqMults";#N/A,#N/A,FALSE,"CompMults"}</definedName>
    <definedName name="hod" localSheetId="27">{#N/A,#N/A,FALSE,"TS";#N/A,#N/A,FALSE,"Combo";#N/A,#N/A,FALSE,"FAIR";#N/A,#N/A,FALSE,"RBC";#N/A,#N/A,FALSE,"xxxx";#N/A,#N/A,FALSE,"A_D";#N/A,#N/A,FALSE,"WACC";#N/A,#N/A,FALSE,"DCF";#N/A,#N/A,FALSE,"LBO";#N/A,#N/A,FALSE,"AcqMults";#N/A,#N/A,FALSE,"CompMults"}</definedName>
    <definedName name="houy" localSheetId="34">{#N/A,#N/A,FALSE,"AD_Purchase";#N/A,#N/A,FALSE,"Credit";#N/A,#N/A,FALSE,"PF Acquisition";#N/A,#N/A,FALSE,"PF Offering"}</definedName>
    <definedName name="houy" localSheetId="27">{#N/A,#N/A,FALSE,"AD_Purchase";#N/A,#N/A,FALSE,"Credit";#N/A,#N/A,FALSE,"PF Acquisition";#N/A,#N/A,FALSE,"PF Offering"}</definedName>
    <definedName name="hrrf" localSheetId="34">{#N/A,#N/A,FALSE,"DCF";#N/A,#N/A,FALSE,"WACC";#N/A,#N/A,FALSE,"Preferred Transactions (2)"}</definedName>
    <definedName name="hrrf" localSheetId="27">{#N/A,#N/A,FALSE,"DCF";#N/A,#N/A,FALSE,"WACC";#N/A,#N/A,FALSE,"Preferred Transactions (2)"}</definedName>
    <definedName name="HTML_CodePage" hidden="1">1252</definedName>
    <definedName name="HTML_Control" localSheetId="34">{"'Sheet1'!$A$1:$H$145"}</definedName>
    <definedName name="HTML_Control" localSheetId="15" hidden="1">{"'Sheet1'!$A$1:$H$145"}</definedName>
    <definedName name="HTML_Control" localSheetId="2" hidden="1">{"'Sheet1'!$A$1:$H$145"}</definedName>
    <definedName name="HTML_Control" localSheetId="27">{"'Sheet1'!$A$1:$H$145"}</definedName>
    <definedName name="HTML_Control" hidden="1">{"'Sheet1'!$A$1:$H$145"}</definedName>
    <definedName name="HTML_Description" hidden="1">""</definedName>
    <definedName name="HTML_Email" hidden="1">""</definedName>
    <definedName name="HTML_Header" hidden="1">"Country Risk Premiums"</definedName>
    <definedName name="HTML_LastUpdate" hidden="1">"2/19/99"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HD:HomePageStuff:New_Home_Page:datafile:ctryprem.html"</definedName>
    <definedName name="HTML_Title" hidden="1">"Country Risk Premiums"</definedName>
    <definedName name="io" localSheetId="34">{"summary1",#N/A,FALSE,"Summary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io" localSheetId="27">{"summary1",#N/A,FALSE,"Summary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"04/27/2020 11:36:22"</definedName>
    <definedName name="IQ_QTD" hidden="1">750000</definedName>
    <definedName name="IQ_TODAY" hidden="1">0</definedName>
    <definedName name="IQ_YTDMONTH" hidden="1">130000</definedName>
    <definedName name="j" localSheetId="34">{"summary1",#N/A,FALSE,"Summary of Values";"summary2",#N/A,FALSE,"Summary of Values"}</definedName>
    <definedName name="j" localSheetId="27">{"summary1",#N/A,FALSE,"Summary of Values";"summary2",#N/A,FALSE,"Summary of Values"}</definedName>
    <definedName name="jj" localSheetId="34">{"developed valuation",#N/A,FALSE,"Valuation Analysis";"developed income statement",#N/A,FALSE,"Abbreviated Income Statement";"inprocess valuation",#N/A,FALSE,"Valuation Analysis";"inprocess income statement",#N/A,FALSE,"Abbreviated Income Statement"}</definedName>
    <definedName name="jj" localSheetId="27">{"developed valuation",#N/A,FALSE,"Valuation Analysis";"developed income statement",#N/A,FALSE,"Abbreviated Income Statement";"inprocess valuation",#N/A,FALSE,"Valuation Analysis";"inprocess income statement",#N/A,FALSE,"Abbreviated Income Statement"}</definedName>
    <definedName name="jjj" localSheetId="34">{"CSheet",#N/A,FALSE,"C";"SmCap",#N/A,FALSE,"VAL1";"GulfCoast",#N/A,FALSE,"VAL1";"nav",#N/A,FALSE,"NAV";"Summary",#N/A,FALSE,"NAV"}</definedName>
    <definedName name="jjj" localSheetId="27">{"CSheet",#N/A,FALSE,"C";"SmCap",#N/A,FALSE,"VAL1";"GulfCoast",#N/A,FALSE,"VAL1";"nav",#N/A,FALSE,"NAV";"Summary",#N/A,FALSE,"NAV"}</definedName>
    <definedName name="jjjj" localSheetId="34">{"Total",#N/A,FALSE,"Total Proved";"PDP",#N/A,FALSE,"Total Proved";"PNP",#N/A,FALSE,"Total Proved";"PUD",#N/A,FALSE,"Total Proved"}</definedName>
    <definedName name="jjjj" localSheetId="27">{"Total",#N/A,FALSE,"Total Proved";"PDP",#N/A,FALSE,"Total Proved";"PNP",#N/A,FALSE,"Total Proved";"PUD",#N/A,FALSE,"Total Proved"}</definedName>
    <definedName name="jjjjj" localSheetId="34">{"Total",#N/A,FALSE,"Total Proved + Probable";"PDP",#N/A,FALSE,"Total Proved + Probable";"PNP",#N/A,FALSE,"Total Proved + Probable";"PUD",#N/A,FALSE,"Total Proved + Probable";"Prob",#N/A,FALSE,"Total Proved + Probable"}</definedName>
    <definedName name="jjjjj" localSheetId="27">{"Total",#N/A,FALSE,"Total Proved + Probable";"PDP",#N/A,FALSE,"Total Proved + Probable";"PNP",#N/A,FALSE,"Total Proved + Probable";"PUD",#N/A,FALSE,"Total Proved + Probable";"Prob",#N/A,FALSE,"Total Proved + Probable"}</definedName>
    <definedName name="jjjjjj" localSheetId="34">{"trademark1",#N/A,FALSE,"Trademark(s) and Trade Name(s)"}</definedName>
    <definedName name="jjjjjj" localSheetId="27">{"trademark1",#N/A,FALSE,"Trademark(s) and Trade Name(s)"}</definedName>
    <definedName name="jjjjjjj" localSheetId="34">{"histincome",#N/A,FALSE,"hyfins";"closing balance",#N/A,FALSE,"hyfins"}</definedName>
    <definedName name="jjjjjjj" localSheetId="27">{"histincome",#N/A,FALSE,"hyfins";"closing balance",#N/A,FALSE,"hyfins"}</definedName>
    <definedName name="jjjokio">255</definedName>
    <definedName name="k" localSheetId="34">{"Total",#N/A,FALSE,"Six Fields";"PDP",#N/A,FALSE,"Six Fields";"PNP",#N/A,FALSE,"Six Fields";"PUD",#N/A,FALSE,"Six Fields";"Prob",#N/A,FALSE,"Six Fields"}</definedName>
    <definedName name="k" localSheetId="27">{"Total",#N/A,FALSE,"Six Fields";"PDP",#N/A,FALSE,"Six Fields";"PNP",#N/A,FALSE,"Six Fields";"PUD",#N/A,FALSE,"Six Fields";"Prob",#N/A,FALSE,"Six Fields"}</definedName>
    <definedName name="kajsdkjfkajsdfjasdfkjasjdkf">3</definedName>
    <definedName name="kdjfkasf">"AS2DocumentBrowse"</definedName>
    <definedName name="kk" localSheetId="34">{"Sum1",#N/A,FALSE,"Reserve Report";"Sum2",#N/A,FALSE,"Reserve Report";"Sum3",#N/A,FALSE,"Reserve Report";"Sum4",#N/A,FALSE,"Reserve Report"}</definedName>
    <definedName name="kk" localSheetId="27">{"Sum1",#N/A,FALSE,"Reserve Report";"Sum2",#N/A,FALSE,"Reserve Report";"Sum3",#N/A,FALSE,"Reserve Report";"Sum4",#N/A,FALSE,"Reserve Report"}</definedName>
    <definedName name="kkkkk" localSheetId="34">{#N/A,#N/A,FALSE,"Report Data";#N/A,#N/A,FALSE,"COMP POOL";#N/A,#N/A,FALSE,"COMP POOL NB95";#N/A,#N/A,FALSE,"COMP POOL NB94"}</definedName>
    <definedName name="kkkkk" localSheetId="27">{#N/A,#N/A,FALSE,"Report Data";#N/A,#N/A,FALSE,"COMP POOL";#N/A,#N/A,FALSE,"COMP POOL NB95";#N/A,#N/A,FALSE,"COMP POOL NB94"}</definedName>
    <definedName name="l" localSheetId="34">{#N/A,#N/A,TRUE,"Acquirer_Cases_Input";#N/A,#N/A,TRUE,"Acquirer_Input";#N/A,#N/A,TRUE,"Acquirer"}</definedName>
    <definedName name="l" localSheetId="27">{#N/A,#N/A,TRUE,"Acquirer_Cases_Input";#N/A,#N/A,TRUE,"Acquirer_Input";#N/A,#N/A,TRUE,"Acquirer"}</definedName>
    <definedName name="Last_Row" localSheetId="2">IF(Values_Entered,Header_Row+Form!Number_of_Payments,Header_Row)</definedName>
    <definedName name="Last_Row">IF(Values_Entered,Header_Row+Number_of_Payments,Header_Row)</definedName>
    <definedName name="ll" localSheetId="34">{"graph",#N/A,FALSE,"WWJU";"graph",#N/A,FALSE,"WWSEM";"graph",#N/A,FALSE,"GOMJU";"graph",#N/A,FALSE,"GOMSEM";"graph",#N/A,FALSE,"NSJU";"graph",#N/A,FALSE,"NSSEM";"graph",#N/A,FALSE,"WAJU";"graph",#N/A,FALSE,"STOCKPRI";"graph",#N/A,FALSE,"CFTEV";"graph",#N/A,FALSE,"NAV-RCV";"graph",#N/A,FALSE,"CRUDEWW"}</definedName>
    <definedName name="ll" localSheetId="27">{"graph",#N/A,FALSE,"WWJU";"graph",#N/A,FALSE,"WWSEM";"graph",#N/A,FALSE,"GOMJU";"graph",#N/A,FALSE,"GOMSEM";"graph",#N/A,FALSE,"NSJU";"graph",#N/A,FALSE,"NSSEM";"graph",#N/A,FALSE,"WAJU";"graph",#N/A,FALSE,"STOCKPRI";"graph",#N/A,FALSE,"CFTEV";"graph",#N/A,FALSE,"NAV-RCV";"graph",#N/A,FALSE,"CRUDEWW"}</definedName>
    <definedName name="lll" localSheetId="34">{"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lll" localSheetId="27">{"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llll" localSheetId="34">{"cred comp",#N/A,FALSE,"Comparable Credit Analysis";"IS",#N/A,FALSE,"IS";"Sensitivity",#N/A,FALSE,"Sensitivity";"BS",#N/A,FALSE,"BS";"Bond Summary",#N/A,FALSE,"B Summary";"AD",#N/A,FALSE,"Accretion";"NAV",#N/A,FALSE,"NAV";"SU",#N/A,FALSE,"S&amp;U";"acq. study",#N/A,FALSE,"Acq. Study";"F Charges",#N/A,FALSE,"Fixed Charges"}</definedName>
    <definedName name="llll" localSheetId="27">{"cred comp",#N/A,FALSE,"Comparable Credit Analysis";"IS",#N/A,FALSE,"IS";"Sensitivity",#N/A,FALSE,"Sensitivity";"BS",#N/A,FALSE,"BS";"Bond Summary",#N/A,FALSE,"B Summary";"AD",#N/A,FALSE,"Accretion";"NAV",#N/A,FALSE,"NAV";"SU",#N/A,FALSE,"S&amp;U";"acq. study",#N/A,FALSE,"Acq. Study";"F Charges",#N/A,FALSE,"Fixed Charges"}</definedName>
    <definedName name="lllll" localSheetId="34">{#N/A,#N/A,FALSE,"SUM";#N/A,#N/A,FALSE,"Holding Cost ";#N/A,#N/A,FALSE,"2000 &amp; C3D";#N/A,#N/A,FALSE,"Disposal Costs";#N/A,#N/A,FALSE,"WIP";#N/A,#N/A,FALSE,"Fin Goods"}</definedName>
    <definedName name="lllll" localSheetId="27">{#N/A,#N/A,FALSE,"SUM";#N/A,#N/A,FALSE,"Holding Cost ";#N/A,#N/A,FALSE,"2000 &amp; C3D";#N/A,#N/A,FALSE,"Disposal Costs";#N/A,#N/A,FALSE,"WIP";#N/A,#N/A,FALSE,"Fin Goods"}</definedName>
    <definedName name="llllll" localSheetId="34">{"revenue detail 1",#N/A,FALSE,"Revenue Detail";"revenue detail 2",#N/A,FALSE,"Revenue Detail";"revenue detail 3",#N/A,FALSE,"Revenue Detail";"revenue detail 4",#N/A,FALSE,"Revenue Detail"}</definedName>
    <definedName name="llllll" localSheetId="27">{"revenue detail 1",#N/A,FALSE,"Revenue Detail";"revenue detail 2",#N/A,FALSE,"Revenue Detail";"revenue detail 3",#N/A,FALSE,"Revenue Detail";"revenue detail 4",#N/A,FALSE,"Revenue Detail"}</definedName>
    <definedName name="lllllll" localSheetId="34">{"revenue graph",#N/A,FALSE,"Revenue Graph"}</definedName>
    <definedName name="lllllll" localSheetId="27">{"revenue graph",#N/A,FALSE,"Revenue Graph"}</definedName>
    <definedName name="long.term.growth">Inputs!$E$241</definedName>
    <definedName name="Managment" localSheetId="34">{#N/A,#N/A,FALSE,"DCF";#N/A,#N/A,FALSE,"WACC";#N/A,#N/A,FALSE,"Preferred Transactions (2)"}</definedName>
    <definedName name="Managment" localSheetId="27">{#N/A,#N/A,FALSE,"DCF";#N/A,#N/A,FALSE,"WACC";#N/A,#N/A,FALSE,"Preferred Transactions (2)"}</definedName>
    <definedName name="March" localSheetId="34">{#N/A,#N/A,FALSE,"Restructure";#N/A,#N/A,FALSE,"IS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rch" localSheetId="27">{#N/A,#N/A,FALSE,"Restructure";#N/A,#N/A,FALSE,"IS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rk" localSheetId="34">{#N/A,#N/A,FALSE,"Restructure";#N/A,#N/A,FALSE,"IS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rk" localSheetId="27">{#N/A,#N/A,FALSE,"Restructure";#N/A,#N/A,FALSE,"IS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m" localSheetId="34">{"ReportTop",#N/A,FALSE,"report top"}</definedName>
    <definedName name="mm" localSheetId="27">{"ReportTop",#N/A,FALSE,"report top"}</definedName>
    <definedName name="mmm" localSheetId="34">{"documentation1",#N/A,FALSE,"Documentation";"documentation2",#N/A,FALSE,"Documentation"}</definedName>
    <definedName name="mmm" localSheetId="27">{"documentation1",#N/A,FALSE,"Documentation";"documentation2",#N/A,FALSE,"Documentation"}</definedName>
    <definedName name="mmmm" localSheetId="34">{"summary1",#N/A,FALSE,"Summary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mmmm" localSheetId="27">{"summary1",#N/A,FALSE,"Summary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mmmmm" localSheetId="34">{#N/A,#N/A,TRUE,"Fiber_Optic_Cable_Input ";#N/A,#N/A,TRUE,"Specialty_Fiber_Devices_Input";#N/A,#N/A,TRUE,"Optical_Fiber_Apparatus_Input"}</definedName>
    <definedName name="mmmmm" localSheetId="27">{#N/A,#N/A,TRUE,"Fiber_Optic_Cable_Input ";#N/A,#N/A,TRUE,"Specialty_Fiber_Devices_Input";#N/A,#N/A,TRUE,"Optical_Fiber_Apparatus_Input"}</definedName>
    <definedName name="mmmmmm" localSheetId="34">{#N/A,#N/A,TRUE,"Falcons_Standalone";#N/A,#N/A,TRUE,"Target_Input";#N/A,#N/A,TRUE,"Target_Calendarized"}</definedName>
    <definedName name="mmmmmm" localSheetId="27">{#N/A,#N/A,TRUE,"Falcons_Standalone";#N/A,#N/A,TRUE,"Target_Input";#N/A,#N/A,TRUE,"Target_Calendarized"}</definedName>
    <definedName name="mmmmmmm" localSheetId="34">{#N/A,#N/A,TRUE,"FOC_Product_Assumptions"}</definedName>
    <definedName name="mmmmmmm" localSheetId="27">{#N/A,#N/A,TRUE,"FOC_Product_Assumptions"}</definedName>
    <definedName name="mmmmmmmm" localSheetId="34">{#N/A,#N/A,FALSE,"Consolidated Shipley";#N/A,#N/A,FALSE,"Consolidated PWB";#N/A,#N/A,FALSE,"Consolidated Micro"}</definedName>
    <definedName name="mmmmmmmm" localSheetId="27">{#N/A,#N/A,FALSE,"Consolidated Shipley";#N/A,#N/A,FALSE,"Consolidated PWB";#N/A,#N/A,FALSE,"Consolidated Micro"}</definedName>
    <definedName name="mo" localSheetId="34">{#N/A,#N/A,TRUE,"KEY DATA";#N/A,#N/A,TRUE,"KEY DATA Base Case";#N/A,#N/A,TRUE,"JULY";#N/A,#N/A,TRUE,"AUG";#N/A,#N/A,TRUE,"SEPT";#N/A,#N/A,TRUE,"3Q"}</definedName>
    <definedName name="mo" localSheetId="27">{#N/A,#N/A,TRUE,"KEY DATA";#N/A,#N/A,TRUE,"KEY DATA Base Case";#N/A,#N/A,TRUE,"JULY";#N/A,#N/A,TRUE,"AUG";#N/A,#N/A,TRUE,"SEPT";#N/A,#N/A,TRUE,"3Q"}</definedName>
    <definedName name="n" localSheetId="34">{#N/A,#N/A,FALSE,"Consolidated Shipley";#N/A,#N/A,FALSE,"Consolidated PWB";#N/A,#N/A,FALSE,"Consolidated Micro"}</definedName>
    <definedName name="n" localSheetId="27">{#N/A,#N/A,FALSE,"Consolidated Shipley";#N/A,#N/A,FALSE,"Consolidated PWB";#N/A,#N/A,FALSE,"Consolidated Micro"}</definedName>
    <definedName name="n\" localSheetId="34">{#N/A,#N/A,FALSE,"Projections";#N/A,#N/A,FALSE,"Multiples Valuation";#N/A,#N/A,FALSE,"LBO";#N/A,#N/A,FALSE,"Multiples_Sensitivity";#N/A,#N/A,FALSE,"Summary"}</definedName>
    <definedName name="n\" localSheetId="27">{#N/A,#N/A,FALSE,"Projections";#N/A,#N/A,FALSE,"Multiples Valuation";#N/A,#N/A,FALSE,"LBO";#N/A,#N/A,FALSE,"Multiples_Sensitivity";#N/A,#N/A,FALSE,"Summary"}</definedName>
    <definedName name="NN" localSheetId="34">{"revenue detail 1",#N/A,FALSE,"Revenue Detail";"revenue detail 2",#N/A,FALSE,"Revenue Detail";"revenue detail 3",#N/A,FALSE,"Revenue Detail";"revenue detail 4",#N/A,FALSE,"Revenue Detail"}</definedName>
    <definedName name="NN" localSheetId="27">{"revenue detail 1",#N/A,FALSE,"Revenue Detail";"revenue detail 2",#N/A,FALSE,"Revenue Detail";"revenue detail 3",#N/A,FALSE,"Revenue Detail";"revenue detail 4",#N/A,FALSE,"Revenue Detail"}</definedName>
    <definedName name="nnn" localSheetId="34">{#N/A,#N/A,FALSE,"Consolidated Shipley";#N/A,#N/A,FALSE,"Consolidated PWB";#N/A,#N/A,FALSE,"Consolidated Micro"}</definedName>
    <definedName name="nnn" localSheetId="27">{#N/A,#N/A,FALSE,"Consolidated Shipley";#N/A,#N/A,FALSE,"Consolidated PWB";#N/A,#N/A,FALSE,"Consolidated Micro"}</definedName>
    <definedName name="nnnn" localSheetId="34">{#N/A,#N/A,FALSE,"Consolidated Shipley";#N/A,#N/A,FALSE,"Consolidated PWB";#N/A,#N/A,FALSE,"Consolidated Micro"}</definedName>
    <definedName name="nnnn" localSheetId="27">{#N/A,#N/A,FALSE,"Consolidated Shipley";#N/A,#N/A,FALSE,"Consolidated PWB";#N/A,#N/A,FALSE,"Consolidated Micro"}</definedName>
    <definedName name="nnnnn" localSheetId="34">{"gross_margin1",#N/A,FALSE,"Gross Margin Detail";"gross_margin2",#N/A,FALSE,"Gross Margin Detail"}</definedName>
    <definedName name="nnnnn" localSheetId="27">{"gross_margin1",#N/A,FALSE,"Gross Margin Detail";"gross_margin2",#N/A,FALSE,"Gross Margin Detail"}</definedName>
    <definedName name="nnnnnn" localSheetId="34">{"historical acquirer",#N/A,FALSE,"Historical Performance";"historical target",#N/A,FALSE,"Historical Performance"}</definedName>
    <definedName name="nnnnnn" localSheetId="27">{"historical acquirer",#N/A,FALSE,"Historical Performance";"historical target",#N/A,FALSE,"Historical Performance"}</definedName>
    <definedName name="nnnnnnnnnn" localSheetId="34">{#N/A,#N/A,FALSE,"Status of Projects";#N/A,#N/A,FALSE,"CEA-TEC";#N/A,#N/A,FALSE,"U-Constr.";#N/A,#N/A,FALSE,"summary";#N/A,#N/A,FALSE,"PPP-3 yrs"}</definedName>
    <definedName name="nnnnnnnnnn" localSheetId="27">{#N/A,#N/A,FALSE,"Status of Projects";#N/A,#N/A,FALSE,"CEA-TEC";#N/A,#N/A,FALSE,"U-Constr.";#N/A,#N/A,FALSE,"summary";#N/A,#N/A,FALSE,"PPP-3 yrs"}</definedName>
    <definedName name="nwc.assumption" localSheetId="14">'[6]Val input'!$E$28</definedName>
    <definedName name="O" localSheetId="34">#REF!</definedName>
    <definedName name="O" localSheetId="27">#REF!</definedName>
    <definedName name="Payment_Date" localSheetId="2">DATE(YEAR(Loan_Start),MONTH(Loan_Start)+Payment_Number,DAY(Loan_Start))</definedName>
    <definedName name="Payment_Date">DATE(YEAR(Loan_Start),MONTH(Loan_Start)+Payment_Number,DAY(Loan_Start))</definedName>
    <definedName name="PL"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PL"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xlnm.Print_Area" localSheetId="33">'Capex, Dep, WC'!$B$2:$N$156</definedName>
    <definedName name="_xlnm.Print_Area" localSheetId="34">CapXDepTax!$B$2:$AH$71</definedName>
    <definedName name="_xlnm.Print_Area" localSheetId="21">DCF!$B$2:$R$57</definedName>
    <definedName name="_xlnm.Print_Area" localSheetId="31">Growth!$B$2:$X$98</definedName>
    <definedName name="_xlnm.Print_Area" localSheetId="8">'Key Outputs'!$B$2:$R$35</definedName>
    <definedName name="_xlnm.Print_Area" localSheetId="32">Margins!$B$2:$N$106</definedName>
    <definedName name="_xlnm.Print_Area" localSheetId="29">Multiples!$B$2:$AT$34</definedName>
    <definedName name="_xlnm.Print_Area" localSheetId="28">NCDFWC!$B$2:$S$36</definedName>
    <definedName name="_xlnm.Print_Area" localSheetId="27">PubCoValue!$B$2:$O$37</definedName>
    <definedName name="_xlnm.Print_Area" localSheetId="11">Report!$B$50:$F$93</definedName>
    <definedName name="_xlnm.Print_Area" localSheetId="43">SizePremia!$B$2:$CD$40</definedName>
    <definedName name="_xlnm.Print_Area" localSheetId="30">Transact!$B$2:$L$50</definedName>
    <definedName name="_xlnm.Print_Area" localSheetId="14">Val_Sum2!$B$2:$H$23</definedName>
    <definedName name="_xlnm.Print_Area" localSheetId="5">WACC!$B$2:$M$92</definedName>
    <definedName name="project.title" localSheetId="15">[4]Inputs!$E$9</definedName>
    <definedName name="project.title" localSheetId="2">[5]Inputs!$E$9</definedName>
    <definedName name="project.title" localSheetId="14">'[6]Val input'!$E$17</definedName>
    <definedName name="project.title">Inputs!$E$26</definedName>
    <definedName name="projected.year1.end" localSheetId="15">[4]Inputs!$E$15</definedName>
    <definedName name="projected.year1.end" localSheetId="2">[5]Inputs!$E$15</definedName>
    <definedName name="projected.year1.end" localSheetId="14">'[6]Val input'!$E$9</definedName>
    <definedName name="projected.year1.end">Inputs!$E$30</definedName>
    <definedName name="qwerty" localSheetId="34">{#N/A,#N/A,TRUE,"FOC_Product_Assumptions"}</definedName>
    <definedName name="qwerty" localSheetId="27">{#N/A,#N/A,TRUE,"FOC_Product_Assumptions"}</definedName>
    <definedName name="RecalcRequired" localSheetId="27">""</definedName>
    <definedName name="redo" localSheetId="34">{#N/A,#N/A,FALSE,"ACQ_GRAPHS";#N/A,#N/A,FALSE,"T_1 GRAPHS";#N/A,#N/A,FALSE,"T_2 GRAPHS";#N/A,#N/A,FALSE,"COMB_GRAPHS"}</definedName>
    <definedName name="redo" localSheetId="27">{#N/A,#N/A,FALSE,"ACQ_GRAPHS";#N/A,#N/A,FALSE,"T_1 GRAPHS";#N/A,#N/A,FALSE,"T_2 GRAPHS";#N/A,#N/A,FALSE,"COMB_GRAPHS"}</definedName>
    <definedName name="rhs" localSheetId="34">{#N/A,#N/A,TRUE,"KEY DATA";#N/A,#N/A,TRUE,"KEY DATA Base Case";#N/A,#N/A,TRUE,"JULY";#N/A,#N/A,TRUE,"AUG";#N/A,#N/A,TRUE,"SEPT";#N/A,#N/A,TRUE,"3Q"}</definedName>
    <definedName name="rhs" localSheetId="27">{#N/A,#N/A,TRUE,"KEY DATA";#N/A,#N/A,TRUE,"KEY DATA Base Case";#N/A,#N/A,TRUE,"JULY";#N/A,#N/A,TRUE,"AUG";#N/A,#N/A,TRUE,"SEPT";#N/A,#N/A,TRUE,"3Q"}</definedName>
    <definedName name="sda" localSheetId="34">{#N/A,#N/A,FALSE,"TS";#N/A,#N/A,FALSE,"Combo";#N/A,#N/A,FALSE,"FAIR";#N/A,#N/A,FALSE,"RBC";#N/A,#N/A,FALSE,"xxxx";#N/A,#N/A,FALSE,"A_D";#N/A,#N/A,FALSE,"WACC";#N/A,#N/A,FALSE,"DCF";#N/A,#N/A,FALSE,"LBO";#N/A,#N/A,FALSE,"AcqMults";#N/A,#N/A,FALSE,"CompMults"}</definedName>
    <definedName name="sda" localSheetId="27">{#N/A,#N/A,FALSE,"TS";#N/A,#N/A,FALSE,"Combo";#N/A,#N/A,FALSE,"FAIR";#N/A,#N/A,FALSE,"RBC";#N/A,#N/A,FALSE,"xxxx";#N/A,#N/A,FALSE,"A_D";#N/A,#N/A,FALSE,"WACC";#N/A,#N/A,FALSE,"DCF";#N/A,#N/A,FALSE,"LBO";#N/A,#N/A,FALSE,"AcqMults";#N/A,#N/A,FALSE,"CompMults"}</definedName>
    <definedName name="sdasdsad" localSheetId="34">{#N/A,#N/A,TRUE,"Falcons_Standalone";#N/A,#N/A,TRUE,"Target_Input";#N/A,#N/A,TRUE,"Target_Calendarized"}</definedName>
    <definedName name="sdasdsad" localSheetId="27">{#N/A,#N/A,TRUE,"Falcons_Standalone";#N/A,#N/A,TRUE,"Target_Input";#N/A,#N/A,TRUE,"Target_Calendarized"}</definedName>
    <definedName name="sdf" localSheetId="34">{#N/A,#N/A,FALSE,"Aging Summary";#N/A,#N/A,FALSE,"Ratio Analysis";#N/A,#N/A,FALSE,"Test 120 Day Accts";#N/A,#N/A,FALSE,"Tickmarks"}</definedName>
    <definedName name="sdf" localSheetId="27">{#N/A,#N/A,FALSE,"Aging Summary";#N/A,#N/A,FALSE,"Ratio Analysis";#N/A,#N/A,FALSE,"Test 120 Day Accts";#N/A,#N/A,FALSE,"Tickmarks"}</definedName>
    <definedName name="sdfsdf" localSheetId="34">{#N/A,#N/A,TRUE,"Acquirer_Cases_Input";#N/A,#N/A,TRUE,"Acquirer_Input";#N/A,#N/A,TRUE,"Acquirer"}</definedName>
    <definedName name="sdfsdf" localSheetId="27">{#N/A,#N/A,TRUE,"Acquirer_Cases_Input";#N/A,#N/A,TRUE,"Acquirer_Input";#N/A,#N/A,TRUE,"Acquirer"}</definedName>
    <definedName name="SheetTicker" localSheetId="27">""</definedName>
    <definedName name="SleepmasterIncome" localSheetId="34">{#N/A,#N/A,FALSE,"TS";#N/A,#N/A,FALSE,"Combo";#N/A,#N/A,FALSE,"FAIR";#N/A,#N/A,FALSE,"RBC";#N/A,#N/A,FALSE,"xxxx";#N/A,#N/A,FALSE,"A_D";#N/A,#N/A,FALSE,"WACC";#N/A,#N/A,FALSE,"DCF";#N/A,#N/A,FALSE,"LBO";#N/A,#N/A,FALSE,"AcqMults";#N/A,#N/A,FALSE,"CompMults"}</definedName>
    <definedName name="SleepmasterIncome" localSheetId="27">{#N/A,#N/A,FALSE,"TS";#N/A,#N/A,FALSE,"Combo";#N/A,#N/A,FALSE,"FAIR";#N/A,#N/A,FALSE,"RBC";#N/A,#N/A,FALSE,"xxxx";#N/A,#N/A,FALSE,"A_D";#N/A,#N/A,FALSE,"WACC";#N/A,#N/A,FALSE,"DCF";#N/A,#N/A,FALSE,"LBO";#N/A,#N/A,FALSE,"AcqMults";#N/A,#N/A,FALSE,"CompMults"}</definedName>
    <definedName name="solver_adj" localSheetId="34">#REF!</definedName>
    <definedName name="solver_adj" localSheetId="27">#REF!</definedName>
    <definedName name="solver_opt" localSheetId="34">#REF!</definedName>
    <definedName name="solver_opt" localSheetId="27">#REF!</definedName>
    <definedName name="SPRI_ShowListBox" localSheetId="34">"-1"</definedName>
    <definedName name="SPRI_ShowListBox" localSheetId="28">"-1"</definedName>
    <definedName name="SPRI_ShowListBox" localSheetId="27">"-1"</definedName>
    <definedName name="SPWS_WSID" localSheetId="34">"E0474F77-440B-40EC-8063-D3608E0AF2E3"</definedName>
    <definedName name="SPWS_WSID" localSheetId="28">"CC4B300A-9903-4DDA-9DA7-3EAC85A7A604"</definedName>
    <definedName name="SPWS_WSID" localSheetId="27">"040AC9D2-95B6-11D5-B0C3-F3CF21164334"</definedName>
    <definedName name="SRN" localSheetId="34">{#N/A,#N/A,FALSE,"letter";#N/A,#N/A,FALSE,"PP_0895";#N/A,#N/A,FALSE,"PP_0995"}</definedName>
    <definedName name="SRN" localSheetId="27">{#N/A,#N/A,FALSE,"letter";#N/A,#N/A,FALSE,"PP_0895";#N/A,#N/A,FALSE,"PP_0995"}</definedName>
    <definedName name="ssss"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ssss"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stub.period" localSheetId="15">[4]Inputs!$E$18</definedName>
    <definedName name="stub.period" localSheetId="2">[5]Inputs!$E$18</definedName>
    <definedName name="stub.period" localSheetId="14">'[6]Val input'!$E$10</definedName>
    <definedName name="stub.period">Inputs!$E$32</definedName>
    <definedName name="stub.toggle">Inputs!$E$31</definedName>
    <definedName name="stud13"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stud13"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subject.name">Inputs!$E$24</definedName>
    <definedName name="SUMMARY_BOOK" localSheetId="34">{"page1",#N/A,FALSE,"GIRLBO";"page2",#N/A,FALSE,"GIRLBO";"page3",#N/A,FALSE,"GIRLBO";"page4",#N/A,FALSE,"GIRLBO";"page5",#N/A,FALSE,"GIRLBO"}</definedName>
    <definedName name="SUMMARY_BOOK" localSheetId="27">{"page1",#N/A,FALSE,"GIRLBO";"page2",#N/A,FALSE,"GIRLBO";"page3",#N/A,FALSE,"GIRLBO";"page4",#N/A,FALSE,"GIRLBO";"page5",#N/A,FALSE,"GIRLBO"}</definedName>
    <definedName name="summaryty" localSheetId="34">{#N/A,#N/A,TRUE,"KEY DATA";#N/A,#N/A,TRUE,"KEY DATA Base Case";#N/A,#N/A,TRUE,"JULY";#N/A,#N/A,TRUE,"AUG";#N/A,#N/A,TRUE,"SEPT";#N/A,#N/A,TRUE,"3Q"}</definedName>
    <definedName name="summaryty" localSheetId="27">{#N/A,#N/A,TRUE,"KEY DATA";#N/A,#N/A,TRUE,"KEY DATA Base Case";#N/A,#N/A,TRUE,"JULY";#N/A,#N/A,TRUE,"AUG";#N/A,#N/A,TRUE,"SEPT";#N/A,#N/A,TRUE,"3Q"}</definedName>
    <definedName name="summaryty." localSheetId="34">{#N/A,#N/A,TRUE,"KEY DATA";#N/A,#N/A,TRUE,"KEY DATA Base Case";#N/A,#N/A,TRUE,"JULY";#N/A,#N/A,TRUE,"AUG";#N/A,#N/A,TRUE,"SEPT";#N/A,#N/A,TRUE,"3Q"}</definedName>
    <definedName name="summaryty." localSheetId="27">{#N/A,#N/A,TRUE,"KEY DATA";#N/A,#N/A,TRUE,"KEY DATA Base Case";#N/A,#N/A,TRUE,"JULY";#N/A,#N/A,TRUE,"AUG";#N/A,#N/A,TRUE,"SEPT";#N/A,#N/A,TRUE,"3Q"}</definedName>
    <definedName name="SUPPLIER" localSheetId="34">{#N/A,#N/A,FALSE,"IS";#N/A,#N/A,FALSE,"BS";#N/A,#N/A,FALSE,"RMA";#N/A,#N/A,FALSE,"INCOME";#N/A,#N/A,FALSE,"DCF";#N/A,#N/A,FALSE,"MARKET"}</definedName>
    <definedName name="SUPPLIER" localSheetId="27">{#N/A,#N/A,FALSE,"IS";#N/A,#N/A,FALSE,"BS";#N/A,#N/A,FALSE,"RMA";#N/A,#N/A,FALSE,"INCOME";#N/A,#N/A,FALSE,"DCF";#N/A,#N/A,FALSE,"MARKET"}</definedName>
    <definedName name="table.of.contents" localSheetId="34">CHOOSE(toggle.TOC,TOC.SAS101,TOC.ASC805,TOC.ASC718)</definedName>
    <definedName name="table.of.contents" localSheetId="27">CHOOSE(toggle.TOC,TOC.SAS101,TOC.ASC805,TOC.ASC718)</definedName>
    <definedName name="TableName">"Dummy"</definedName>
    <definedName name="target.name">Inputs!$E$24</definedName>
    <definedName name="tax.rate" localSheetId="14">'[6]Val input'!$E$26</definedName>
    <definedName name="tax.rate">Inputs!$E$242</definedName>
    <definedName name="temp" localSheetId="34">{#N/A,#N/A,FALSE,"PL MAR";#N/A,#N/A,FALSE,"Trend99";#N/A,#N/A,FALSE,"Bal Sheets ";#N/A,#N/A,FALSE,"YTD"}</definedName>
    <definedName name="temp" localSheetId="27">{#N/A,#N/A,FALSE,"PL MAR";#N/A,#N/A,FALSE,"Trend99";#N/A,#N/A,FALSE,"Bal Sheets ";#N/A,#N/A,FALSE,"YTD"}</definedName>
    <definedName name="temp." localSheetId="34">{#N/A,#N/A,TRUE,"KEY DATA";#N/A,#N/A,TRUE,"KEY DATA Base Case";#N/A,#N/A,TRUE,"JULY";#N/A,#N/A,TRUE,"AUG";#N/A,#N/A,TRUE,"SEPT";#N/A,#N/A,TRUE,"3Q"}</definedName>
    <definedName name="temp." localSheetId="27">{#N/A,#N/A,TRUE,"KEY DATA";#N/A,#N/A,TRUE,"KEY DATA Base Case";#N/A,#N/A,TRUE,"JULY";#N/A,#N/A,TRUE,"AUG";#N/A,#N/A,TRUE,"SEPT";#N/A,#N/A,TRUE,"3Q"}</definedName>
    <definedName name="temp12" localSheetId="34">{#N/A,#N/A,TRUE,"KEY DATA";#N/A,#N/A,TRUE,"KEY DATA Base Case";#N/A,#N/A,TRUE,"JULY";#N/A,#N/A,TRUE,"AUG";#N/A,#N/A,TRUE,"SEPT";#N/A,#N/A,TRUE,"3Q"}</definedName>
    <definedName name="temp12" localSheetId="27">{#N/A,#N/A,TRUE,"KEY DATA";#N/A,#N/A,TRUE,"KEY DATA Base Case";#N/A,#N/A,TRUE,"JULY";#N/A,#N/A,TRUE,"AUG";#N/A,#N/A,TRUE,"SEPT";#N/A,#N/A,TRUE,"3Q"}</definedName>
    <definedName name="temp12." localSheetId="34">{#N/A,#N/A,TRUE,"KEY DATA";#N/A,#N/A,TRUE,"KEY DATA Base Case";#N/A,#N/A,TRUE,"JULY";#N/A,#N/A,TRUE,"AUG";#N/A,#N/A,TRUE,"SEPT";#N/A,#N/A,TRUE,"3Q"}</definedName>
    <definedName name="temp12." localSheetId="27">{#N/A,#N/A,TRUE,"KEY DATA";#N/A,#N/A,TRUE,"KEY DATA Base Case";#N/A,#N/A,TRUE,"JULY";#N/A,#N/A,TRUE,"AUG";#N/A,#N/A,TRUE,"SEPT";#N/A,#N/A,TRUE,"3Q"}</definedName>
    <definedName name="TextRefCopyRangeCount">4</definedName>
    <definedName name="to" localSheetId="34">{#N/A,#N/A,FALSE,"letter";#N/A,#N/A,FALSE,"PP_0895";#N/A,#N/A,FALSE,"PP_0995"}</definedName>
    <definedName name="to" localSheetId="27">{#N/A,#N/A,FALSE,"letter";#N/A,#N/A,FALSE,"PP_0895";#N/A,#N/A,FALSE,"PP_0995"}</definedName>
    <definedName name="Trend" localSheetId="34">{#N/A,#N/A,FALSE,"Aging Summary";#N/A,#N/A,FALSE,"Ratio Analysis";#N/A,#N/A,FALSE,"Test 120 Day Accts";#N/A,#N/A,FALSE,"Tickmarks"}</definedName>
    <definedName name="Trend" localSheetId="27">{#N/A,#N/A,FALSE,"Aging Summary";#N/A,#N/A,FALSE,"Ratio Analysis";#N/A,#N/A,FALSE,"Test 120 Day Accts";#N/A,#N/A,FALSE,"Tickmarks"}</definedName>
    <definedName name="tttt" localSheetId="34">{#N/A,#N/A,FALSE,"Report Data";#N/A,#N/A,FALSE,"COMP POOL";#N/A,#N/A,FALSE,"COMP POOL NB95";#N/A,#N/A,FALSE,"COMP POOL NB94"}</definedName>
    <definedName name="tttt" localSheetId="27">{#N/A,#N/A,FALSE,"Report Data";#N/A,#N/A,FALSE,"COMP POOL";#N/A,#N/A,FALSE,"COMP POOL NB95";#N/A,#N/A,FALSE,"COMP POOL NB94"}</definedName>
    <definedName name="Tulsa" localSheetId="34">{#N/A,#N/A,FALSE,"Report Data";#N/A,#N/A,FALSE,"COMP POOL";#N/A,#N/A,FALSE,"COMP POOL NB95";#N/A,#N/A,FALSE,"COMP POOL NB94"}</definedName>
    <definedName name="Tulsa" localSheetId="27">{#N/A,#N/A,FALSE,"Report Data";#N/A,#N/A,FALSE,"COMP POOL";#N/A,#N/A,FALSE,"COMP POOL NB95";#N/A,#N/A,FALSE,"COMP POOL NB94"}</definedName>
    <definedName name="val.date" localSheetId="2">Form!$N$31</definedName>
    <definedName name="val.date">[4]Form!$H$19</definedName>
    <definedName name="valuation.date" localSheetId="15">[4]Inputs!$E$14</definedName>
    <definedName name="valuation.date" localSheetId="2">[5]Inputs!$E$14</definedName>
    <definedName name="valuation.date" localSheetId="14">'[6]Val input'!$E$8</definedName>
    <definedName name="valuation.date">Inputs!$E$29</definedName>
    <definedName name="valuation.date.header" localSheetId="14">'[6]Val input'!$E$11</definedName>
    <definedName name="valuation.date.header">Inputs!$E$34</definedName>
    <definedName name="value.premise">Inputs!$E$22</definedName>
    <definedName name="vv" localSheetId="34">{"contributory1",#N/A,FALSE,"Contributory Assets Detail";"contributory2",#N/A,FALSE,"Contributory Assets Detail"}</definedName>
    <definedName name="vv" localSheetId="27">{"contributory1",#N/A,FALSE,"Contributory Assets Detail";"contributory2",#N/A,FALSE,"Contributory Assets Detail"}</definedName>
    <definedName name="vvv" localSheetId="34">{"ReportTop",#N/A,FALSE,"report top"}</definedName>
    <definedName name="vvv" localSheetId="27">{"ReportTop",#N/A,FALSE,"report top"}</definedName>
    <definedName name="vvvv" localSheetId="34">{"documentation1",#N/A,FALSE,"Documentation";"documentation2",#N/A,FALSE,"Documentation"}</definedName>
    <definedName name="vvvv" localSheetId="27">{"documentation1",#N/A,FALSE,"Documentation";"documentation2",#N/A,FALSE,"Documentation"}</definedName>
    <definedName name="vvvvv" localSheetId="34">{"summary1",#N/A,FALSE,"Summary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vvvvv" localSheetId="27">{"summary1",#N/A,FALSE,"Summary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vvvvvv" localSheetId="34">{#N/A,#N/A,TRUE,"Fiber_Optic_Cable_Input ";#N/A,#N/A,TRUE,"Specialty_Fiber_Devices_Input";#N/A,#N/A,TRUE,"Optical_Fiber_Apparatus_Input"}</definedName>
    <definedName name="vvvvvv" localSheetId="27">{#N/A,#N/A,TRUE,"Fiber_Optic_Cable_Input ";#N/A,#N/A,TRUE,"Specialty_Fiber_Devices_Input";#N/A,#N/A,TRUE,"Optical_Fiber_Apparatus_Input"}</definedName>
    <definedName name="vvvvvvv" localSheetId="34">{#N/A,#N/A,TRUE,"Falcons_Standalone";#N/A,#N/A,TRUE,"Target_Input";#N/A,#N/A,TRUE,"Target_Calendarized"}</definedName>
    <definedName name="vvvvvvv" localSheetId="27">{#N/A,#N/A,TRUE,"Falcons_Standalone";#N/A,#N/A,TRUE,"Target_Input";#N/A,#N/A,TRUE,"Target_Calendarized"}</definedName>
    <definedName name="vvvvvvvv" localSheetId="34">{#N/A,#N/A,TRUE,"FOC_Product_Assumptions"}</definedName>
    <definedName name="vvvvvvvv" localSheetId="27">{#N/A,#N/A,TRUE,"FOC_Product_Assumptions"}</definedName>
    <definedName name="vvvvvvvvv" localSheetId="34">{#N/A,#N/A,FALSE,"Consolidated Shipley";#N/A,#N/A,FALSE,"Consolidated PWB";#N/A,#N/A,FALSE,"Consolidated Micro"}</definedName>
    <definedName name="vvvvvvvvv" localSheetId="27">{#N/A,#N/A,FALSE,"Consolidated Shipley";#N/A,#N/A,FALSE,"Consolidated PWB";#N/A,#N/A,FALSE,"Consolidated Micro"}</definedName>
    <definedName name="vvvvvvvvvv" localSheetId="34">{#N/A,#N/A,FALSE,"Consolidated Shipley";#N/A,#N/A,FALSE,"Consolidated PWB";#N/A,#N/A,FALSE,"Consolidated Micro"}</definedName>
    <definedName name="vvvvvvvvvv" localSheetId="27">{#N/A,#N/A,FALSE,"Consolidated Shipley";#N/A,#N/A,FALSE,"Consolidated PWB";#N/A,#N/A,FALSE,"Consolidated Micro"}</definedName>
    <definedName name="wc.toggle">NCDFWC!$F$27</definedName>
    <definedName name="wrn." localSheetId="34">{#N/A,#N/A,FALSE,"Japan 2003";#N/A,#N/A,FALSE,"Sheet2"}</definedName>
    <definedName name="wrn." localSheetId="27">{#N/A,#N/A,FALSE,"Japan 2003";#N/A,#N/A,FALSE,"Sheet2"}</definedName>
    <definedName name="wrn.A_VALUATION." localSheetId="34">{#N/A,#N/A,FALSE,"A_D";#N/A,#N/A,FALSE,"WACC";#N/A,#N/A,FALSE,"DCF";#N/A,#N/A,FALSE,"A";#N/A,#N/A,FALSE,"LBO";#N/A,#N/A,FALSE,"C";#N/A,#N/A,FALSE,"impd";#N/A,#N/A,FALSE,"comps"}</definedName>
    <definedName name="wrn.A_VALUATION." localSheetId="27">{#N/A,#N/A,FALSE,"A_D";#N/A,#N/A,FALSE,"WACC";#N/A,#N/A,FALSE,"DCF";#N/A,#N/A,FALSE,"A";#N/A,#N/A,FALSE,"LBO";#N/A,#N/A,FALSE,"C";#N/A,#N/A,FALSE,"impd";#N/A,#N/A,FALSE,"comps"}</definedName>
    <definedName name="wrn.Accounts." localSheetId="34">{#N/A,#N/A,FALSE,"Front page";#N/A,#N/A,FALSE,"Contents";#N/A,#N/A,FALSE,"KF info";#N/A,#N/A,FALSE,"Consol P&amp;L";#N/A,#N/A,FALSE,"Consol BS";#N/A,#N/A,FALSE,"Tempo key info";#N/A,#N/A,FALSE,"Tempo P&amp;L";#N/A,#N/A,FALSE,"Tempo BS";#N/A,#N/A,FALSE,"Tempo CF";#N/A,#N/A,FALSE,"Tempo stock, debtor &amp; creditor";#N/A,#N/A,FALSE,"Tempo fixed asset";#N/A,#N/A,FALSE,"KFIS P&amp;L";#N/A,#N/A,FALSE,"KFIS BS";#N/A,#N/A,FALSE,"Bonsai BS"}</definedName>
    <definedName name="wrn.Accounts." localSheetId="27">{#N/A,#N/A,FALSE,"Front page";#N/A,#N/A,FALSE,"Contents";#N/A,#N/A,FALSE,"KF info";#N/A,#N/A,FALSE,"Consol P&amp;L";#N/A,#N/A,FALSE,"Consol BS";#N/A,#N/A,FALSE,"Tempo key info";#N/A,#N/A,FALSE,"Tempo P&amp;L";#N/A,#N/A,FALSE,"Tempo BS";#N/A,#N/A,FALSE,"Tempo CF";#N/A,#N/A,FALSE,"Tempo stock, debtor &amp; creditor";#N/A,#N/A,FALSE,"Tempo fixed asset";#N/A,#N/A,FALSE,"KFIS P&amp;L";#N/A,#N/A,FALSE,"KFIS BS";#N/A,#N/A,FALSE,"Bonsai BS"}</definedName>
    <definedName name="wrn.Accr_Dil." localSheetId="34">{#N/A,#N/A,FALSE,"Debt Accr";#N/A,#N/A,FALSE,"Stock Accr";#N/A,#N/A,FALSE,"Debt Stock Accr"}</definedName>
    <definedName name="wrn.Accr_Dil." localSheetId="27">{#N/A,#N/A,FALSE,"Debt Accr";#N/A,#N/A,FALSE,"Stock Accr";#N/A,#N/A,FALSE,"Debt Stock Accr"}</definedName>
    <definedName name="wrn.Acquisition_matrix." localSheetId="34">{"Acq_matrix",#N/A,FALSE,"Acquisition Matrix"}</definedName>
    <definedName name="wrn.Acquisition_matrix." localSheetId="27">{"Acq_matrix",#N/A,FALSE,"Acquisition Matrix"}</definedName>
    <definedName name="wrn.adj95." localSheetId="34">{"adj95mult",#N/A,FALSE,"COMPCO";"adj95est",#N/A,FALSE,"COMPCO"}</definedName>
    <definedName name="wrn.adj95." localSheetId="27">{"adj95mult",#N/A,FALSE,"COMPCO";"adj95est",#N/A,FALSE,"COMPCO"}</definedName>
    <definedName name="wrn.Aging._.and._.Trend._.Analysis." localSheetId="34">{#N/A,#N/A,FALSE,"Aging Summary";#N/A,#N/A,FALSE,"Ratio Analysis";#N/A,#N/A,FALSE,"Test 120 Day Accts";#N/A,#N/A,FALSE,"Tickmarks"}</definedName>
    <definedName name="wrn.Aging._.and._.Trend._.Analysis." localSheetId="27">{#N/A,#N/A,FALSE,"Aging Summary";#N/A,#N/A,FALSE,"Ratio Analysis";#N/A,#N/A,FALSE,"Test 120 Day Accts";#N/A,#N/A,FALSE,"Tickmarks"}</definedName>
    <definedName name="wrn.AGN._.MODELS." localSheetId="34">{"QTRINC1",#N/A,FALSE,"QTRINC";"QTRINC2",#N/A,FALSE,"QTRINC";"QTRSALES",#N/A,FALSE,"QTRSALES";"ANNSALES",#N/A,FALSE,"ANNSALES";"CASHFLOW",#N/A,FALSE,"CASHFLOW"}</definedName>
    <definedName name="wrn.AGN._.MODELS." localSheetId="27">{"QTRINC1",#N/A,FALSE,"QTRINC";"QTRINC2",#N/A,FALSE,"QTRINC";"QTRSALES",#N/A,FALSE,"QTRSALES";"ANNSALES",#N/A,FALSE,"ANNSALES";"CASHFLOW",#N/A,FALSE,"CASHFLOW"}</definedName>
    <definedName name="wrn.All." localSheetId="34">{"P&amp;L",#N/A,TRUE,"HC";"P&amp;L Percents",#N/A,TRUE,"P&amp;L";"M&amp;A3 P&amp;L",#N/A,TRUE,"HC";"M&amp;A3 Pipeline",#N/A,TRUE,"HC";"Franchises",#N/A,TRUE,"HC";"CF&amp;BS",#N/A,TRUE,"HC"}</definedName>
    <definedName name="wrn.All." localSheetId="27">{"P&amp;L",#N/A,TRUE,"HC";"P&amp;L Percents",#N/A,TRUE,"P&amp;L";"M&amp;A3 P&amp;L",#N/A,TRUE,"HC";"M&amp;A3 Pipeline",#N/A,TRUE,"HC";"Franchises",#N/A,TRUE,"HC";"CF&amp;BS",#N/A,TRUE,"HC"}</definedName>
    <definedName name="wrn.all._.gulp._.sheets." localSheetId="34">{#N/A,#N/A,FALSE,"units";#N/A,#N/A,FALSE,"projections";#N/A,#N/A,FALSE,"calendar";#N/A,#N/A,FALSE,"gulp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7">{#N/A,#N/A,FALSE,"units";#N/A,#N/A,FALSE,"projections";#N/A,#N/A,FALSE,"calendar";#N/A,#N/A,FALSE,"gulp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4">{#N/A,#N/A,FALSE,"puboff";#N/A,#N/A,FALSE,"financials";#N/A,#N/A,FALSE,"valuation";#N/A,#N/A,FALSE,"split"}</definedName>
    <definedName name="wrn.ALL._.PAGES." localSheetId="27">{#N/A,#N/A,FALSE,"puboff";#N/A,#N/A,FALSE,"financials";#N/A,#N/A,FALSE,"valuation";#N/A,#N/A,FALSE,"split"}</definedName>
    <definedName name="wrn.ALL._.SHEETS." localSheetId="34">{#N/A,#N/A,FALSE,"Adj Proj";#N/A,#N/A,FALSE,"Sheet1";#N/A,#N/A,FALSE,"LBO";#N/A,#N/A,FALSE,"LBOMER";#N/A,#N/A,FALSE,"WACC";#N/A,#N/A,FALSE,"DCF";#N/A,#N/A,FALSE,"DCFMER";#N/A,#N/A,FALSE,"Pooling";#N/A,#N/A,FALSE,"income";#N/A,#N/A,FALSE,"Offer"}</definedName>
    <definedName name="wrn.ALL._.SHEETS." localSheetId="27">{#N/A,#N/A,FALSE,"Adj Proj";#N/A,#N/A,FALSE,"Sheet1";#N/A,#N/A,FALSE,"LBO";#N/A,#N/A,FALSE,"LBOMER";#N/A,#N/A,FALSE,"WACC";#N/A,#N/A,FALSE,"DCF";#N/A,#N/A,FALSE,"DCFMER";#N/A,#N/A,FALSE,"Pooling";#N/A,#N/A,FALSE,"income";#N/A,#N/A,FALSE,"Offer"}</definedName>
    <definedName name="wrn.All_Models." localSheetId="34">{#N/A,#N/A,FALSE,"Summary";#N/A,#N/A,FALSE,"Projections";#N/A,#N/A,FALSE,"Mkt Mults";#N/A,#N/A,FALSE,"DCF";#N/A,#N/A,FALSE,"Accr Dil";#N/A,#N/A,FALSE,"PIC LBO";#N/A,#N/A,FALSE,"MULT10_4";#N/A,#N/A,FALSE,"CBI LBO"}</definedName>
    <definedName name="wrn.All_Models." localSheetId="27">{#N/A,#N/A,FALSE,"Summary";#N/A,#N/A,FALSE,"Projections";#N/A,#N/A,FALSE,"Mkt Mults";#N/A,#N/A,FALSE,"DCF";#N/A,#N/A,FALSE,"Accr Dil";#N/A,#N/A,FALSE,"PIC LBO";#N/A,#N/A,FALSE,"MULT10_4";#N/A,#N/A,FALSE,"CBI LBO"}</definedName>
    <definedName name="wrn.All_Sheets." localSheetId="34">{#N/A,#N/A,FALSE,"Projections";#N/A,#N/A,FALSE,"Contribution_Stock";#N/A,#N/A,FALSE,"PF_Combo_Stock";#N/A,#N/A,FALSE,"Projections";#N/A,#N/A,FALSE,"Contribution_Cash";#N/A,#N/A,FALSE,"PF_Combo_Cash";#N/A,#N/A,FALSE,"IPO_Cash"}</definedName>
    <definedName name="wrn.All_Sheets." localSheetId="27">{#N/A,#N/A,FALSE,"Projections";#N/A,#N/A,FALSE,"Contribution_Stock";#N/A,#N/A,FALSE,"PF_Combo_Stock";#N/A,#N/A,FALSE,"Projections";#N/A,#N/A,FALSE,"Contribution_Cash";#N/A,#N/A,FALSE,"PF_Combo_Cash";#N/A,#N/A,FALSE,"IPO_Cash"}</definedName>
    <definedName name="wrn.all1" localSheetId="34">{"P&amp;L",#N/A,TRUE,"HC";"P&amp;L Percents",#N/A,TRUE,"P&amp;L";"M&amp;A3 P&amp;L",#N/A,TRUE,"HC";"M&amp;A3 Pipeline",#N/A,TRUE,"HC";"Franchises",#N/A,TRUE,"HC";"CF&amp;BS",#N/A,TRUE,"HC"}</definedName>
    <definedName name="wrn.all1" localSheetId="27">{"P&amp;L",#N/A,TRUE,"HC";"P&amp;L Percents",#N/A,TRUE,"P&amp;L";"M&amp;A3 P&amp;L",#N/A,TRUE,"HC";"M&amp;A3 Pipeline",#N/A,TRUE,"HC";"Franchises",#N/A,TRUE,"HC";"CF&amp;BS",#N/A,TRUE,"HC"}</definedName>
    <definedName name="wrn.ALLbutPREMIUM." localSheetId="34">{#N/A,#N/A,FALSE,"Projections";#N/A,#N/A,FALSE,"AccrDil";#N/A,#N/A,FALSE,"PurchPriMult";#N/A,#N/A,FALSE,"Mults7_13";#N/A,#N/A,FALSE,"Mkt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7">{#N/A,#N/A,FALSE,"Projections";#N/A,#N/A,FALSE,"AccrDil";#N/A,#N/A,FALSE,"PurchPriMult";#N/A,#N/A,FALSE,"Mults7_13";#N/A,#N/A,FALSE,"Mkt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4">{#N/A,#N/A,FALSE,"AD_Purchase";#N/A,#N/A,FALSE,"Credit";#N/A,#N/A,FALSE,"PF Acquisition";#N/A,#N/A,FALSE,"PF Offering"}</definedName>
    <definedName name="wrn.AllModels." localSheetId="27">{#N/A,#N/A,FALSE,"AD_Purchase";#N/A,#N/A,FALSE,"Credit";#N/A,#N/A,FALSE,"PF Acquisition";#N/A,#N/A,FALSE,"PF Offering"}</definedName>
    <definedName name="wrn.Annual._.Recap." localSheetId="34">{"Annual Recap",#N/A,FALSE,"Annual Recap"}</definedName>
    <definedName name="wrn.Annual._.Recap." localSheetId="27">{"Annual Recap",#N/A,FALSE,"Annual Recap"}</definedName>
    <definedName name="wrn.app." localSheetId="34">{#N/A,#N/A,FALSE,"Appstream IL";#N/A,#N/A,FALSE,"APP - R&amp;D";#N/A,#N/A,FALSE,"APP - COG";#N/A,#N/A,FALSE,"APP - G&amp;A";#N/A,#N/A,FALSE,"APP - MARKETING"}</definedName>
    <definedName name="wrn.app." localSheetId="27">{#N/A,#N/A,FALSE,"Appstream IL";#N/A,#N/A,FALSE,"APP - R&amp;D";#N/A,#N/A,FALSE,"APP - COG";#N/A,#N/A,FALSE,"APP - G&amp;A";#N/A,#N/A,FALSE,"APP - MARKETING"}</definedName>
    <definedName name="wrn.AQUIROR._.DCF." localSheetId="34">{"AQUIRORDCF",#N/A,FALSE,"Merger consequences";"Acquirorassns",#N/A,FALSE,"Merger consequences"}</definedName>
    <definedName name="wrn.AQUIROR._.DCF." localSheetId="27">{"AQUIRORDCF",#N/A,FALSE,"Merger consequences";"Acquirorassns",#N/A,FALSE,"Merger consequences"}</definedName>
    <definedName name="wrn.AUGUST." localSheetId="34">{"p&amp;lSUM",#N/A,FALSE,"P&amp;L";"DETAIL",#N/A,FALSE,"P&amp;L";"% revenue",#N/A,FALSE,"P&amp;L";"% growth",#N/A,FALSE,"P&amp;L";"summary",#N/A,FALSE,"Summary";"chart",#N/A,FALSE,"Summary"}</definedName>
    <definedName name="wrn.AUGUST." localSheetId="27">{"p&amp;lSUM",#N/A,FALSE,"P&amp;L";"DETAIL",#N/A,FALSE,"P&amp;L";"% revenue",#N/A,FALSE,"P&amp;L";"% growth",#N/A,FALSE,"P&amp;L";"summary",#N/A,FALSE,"Summary";"chart",#N/A,FALSE,"Summary"}</definedName>
    <definedName name="wrn.august1" localSheetId="34">{"p&amp;lSUM",#N/A,FALSE,"P&amp;L";"DETAIL",#N/A,FALSE,"P&amp;L";"% revenue",#N/A,FALSE,"P&amp;L";"% growth",#N/A,FALSE,"P&amp;L";"summary",#N/A,FALSE,"Summary";"chart",#N/A,FALSE,"Summary"}</definedName>
    <definedName name="wrn.august1" localSheetId="27">{"p&amp;lSUM",#N/A,FALSE,"P&amp;L";"DETAIL",#N/A,FALSE,"P&amp;L";"% revenue",#N/A,FALSE,"P&amp;L";"% growth",#N/A,FALSE,"P&amp;L";"summary",#N/A,FALSE,"Summary";"chart",#N/A,FALSE,"Summary"}</definedName>
    <definedName name="wrn.Aventis._.Analysis." localSheetId="34">{"P&amp;Lforaventis",#N/A,FALSE,"Franchises";"aventisP&amp;L",#N/A,FALSE,"Franchises";"inflam franchise",#N/A,FALSE,"Franchises"}</definedName>
    <definedName name="wrn.Aventis._.Analysis." localSheetId="27">{"P&amp;Lforaventis",#N/A,FALSE,"Franchises";"aventisP&amp;L",#N/A,FALSE,"Franchises";"inflam franchise",#N/A,FALSE,"Franchises"}</definedName>
    <definedName name="wrn.aventis._.analysis.1" localSheetId="34">{"P&amp;Lforaventis",#N/A,FALSE,"Franchises";"aventisP&amp;L",#N/A,FALSE,"Franchises";"inflam franchise",#N/A,FALSE,"Franchises"}</definedName>
    <definedName name="wrn.aventis._.analysis.1" localSheetId="27">{"P&amp;Lforaventis",#N/A,FALSE,"Franchises";"aventisP&amp;L",#N/A,FALSE,"Franchises";"inflam franchise",#N/A,FALSE,"Franchises"}</definedName>
    <definedName name="wrn.Basic._.Report." localSheetId="34">{#N/A,#N/A,FALSE,"New Depr Sch-150% DB";#N/A,#N/A,FALSE,"Cash Flows RLP";#N/A,#N/A,FALSE,"IRR";#N/A,#N/A,FALSE,"Proforma IS";#N/A,#N/A,FALSE,"Assumptions"}</definedName>
    <definedName name="wrn.Basic._.Report." localSheetId="27">{#N/A,#N/A,FALSE,"New Depr Sch-150% DB";#N/A,#N/A,FALSE,"Cash Flows RLP";#N/A,#N/A,FALSE,"IRR";#N/A,#N/A,FALSE,"Proforma IS";#N/A,#N/A,FALSE,"Assumptions"}</definedName>
    <definedName name="wrn.basics." localSheetId="34">{#N/A,#N/A,FALSE,"TSUM";#N/A,#N/A,FALSE,"shares";#N/A,#N/A,FALSE,"earnout";#N/A,#N/A,FALSE,"Heaty";#N/A,#N/A,FALSE,"self-tend";#N/A,#N/A,FALSE,"self-sum"}</definedName>
    <definedName name="wrn.basics." localSheetId="27">{#N/A,#N/A,FALSE,"TSUM";#N/A,#N/A,FALSE,"shares";#N/A,#N/A,FALSE,"earnout";#N/A,#N/A,FALSE,"Heaty";#N/A,#N/A,FALSE,"self-tend";#N/A,#N/A,FALSE,"self-sum"}</definedName>
    <definedName name="wrn.BSAnnualModel." localSheetId="34">{"BSAnnualModel",#N/A,FALSE,"BS"}</definedName>
    <definedName name="wrn.BSAnnualModel." localSheetId="27">{"BSAnnualModel",#N/A,FALSE,"BS"}</definedName>
    <definedName name="wrn.bullshit1." localSheetId="34">{#N/A,#N/A,FALSE,"Sheet1";#N/A,#N/A,FALSE,"Summary";#N/A,#N/A,FALSE,"proj1";#N/A,#N/A,FALSE,"proj2"}</definedName>
    <definedName name="wrn.bullshit1." localSheetId="27">{#N/A,#N/A,FALSE,"Sheet1";#N/A,#N/A,FALSE,"Summary";#N/A,#N/A,FALSE,"proj1";#N/A,#N/A,FALSE,"proj2"}</definedName>
    <definedName name="wrn.c" localSheetId="34">{"p&amp;lSUM",#N/A,FALSE,"P&amp;L";"DETAIL",#N/A,FALSE,"P&amp;L";"% revenue",#N/A,FALSE,"P&amp;L";"% growth",#N/A,FALSE,"P&amp;L";"summary",#N/A,FALSE,"Summary";"chart",#N/A,FALSE,"Summary"}</definedName>
    <definedName name="wrn.c" localSheetId="27">{"p&amp;lSUM",#N/A,FALSE,"P&amp;L";"DETAIL",#N/A,FALSE,"P&amp;L";"% revenue",#N/A,FALSE,"P&amp;L";"% growth",#N/A,FALSE,"P&amp;L";"summary",#N/A,FALSE,"Summary";"chart",#N/A,FALSE,"Summary"}</definedName>
    <definedName name="wrn.CFSModel." localSheetId="34">{"CFSModel",#N/A,FALSE,"CFS"}</definedName>
    <definedName name="wrn.CFSModel." localSheetId="27">{"CFSModel",#N/A,FALSE,"CFS"}</definedName>
    <definedName name="wrn.Charts." localSheetId="34">{"Revenue chart",#N/A,FALSE,"Charts";"ExpenseChart",#N/A,FALSE,"Charts";"Netincomechart",#N/A,FALSE,"Charts"}</definedName>
    <definedName name="wrn.Charts." localSheetId="27">{"Revenue chart",#N/A,FALSE,"Charts";"ExpenseChart",#N/A,FALSE,"Charts";"Netincomechart",#N/A,FALSE,"Charts"}</definedName>
    <definedName name="wrn.clientcopy." localSheetId="34">{"Multiples_clientcopy",#N/A,FALSE,"Multiples";"Adjustments_clientcopy",#N/A,FALSE,"Adjustments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27">{"Multiples_clientcopy",#N/A,FALSE,"Multiples";"Adjustments_clientcopy",#N/A,FALSE,"Adjustments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G." localSheetId="34">{#N/A,#N/A,FALSE,"COG-IL";#N/A,#N/A,FALSE,"SWISSRE";#N/A,#N/A,FALSE,"Bank Leumi";#N/A,#N/A,FALSE,"ABN - AMRO";#N/A,#N/A,FALSE,"BROKAT";#N/A,#N/A,FALSE,"US E - CLIENT PROJECT";#N/A,#N/A,FALSE,"US -PROJECTS";#N/A,#N/A,FALSE,"US -CASH MA. DIR.";#N/A,#N/A,FALSE,"US - CASH MA. RLR."}</definedName>
    <definedName name="wrn.COG." localSheetId="27">{#N/A,#N/A,FALSE,"COG-IL";#N/A,#N/A,FALSE,"SWISSRE";#N/A,#N/A,FALSE,"Bank Leumi";#N/A,#N/A,FALSE,"ABN - AMRO";#N/A,#N/A,FALSE,"BROKAT";#N/A,#N/A,FALSE,"US E - CLIENT PROJECT";#N/A,#N/A,FALSE,"US -PROJECTS";#N/A,#N/A,FALSE,"US -CASH MA. DIR.";#N/A,#N/A,FALSE,"US - CASH MA. RLR."}</definedName>
    <definedName name="wrn.COMBINED." localSheetId="34">{#N/A,#N/A,FALSE,"INPUTS";#N/A,#N/A,FALSE,"PROFORMA BSHEET";#N/A,#N/A,FALSE,"COMBINED";#N/A,#N/A,FALSE,"HIGH YIELD";#N/A,#N/A,FALSE,"COMB_GRAPHS"}</definedName>
    <definedName name="wrn.COMBINED." localSheetId="27">{#N/A,#N/A,FALSE,"INPUTS";#N/A,#N/A,FALSE,"PROFORMA BSHEET";#N/A,#N/A,FALSE,"COMBINED";#N/A,#N/A,FALSE,"HIGH YIELD";#N/A,#N/A,FALSE,"COMB_GRAPHS"}</definedName>
    <definedName name="wrn.compco." localSheetId="34">{"mult96",#N/A,FALSE,"PETCOMP";"est96",#N/A,FALSE,"PETCOMP";"mult95",#N/A,FALSE,"PETCOMP";"est95",#N/A,FALSE,"PETCOMP";"multltm",#N/A,FALSE,"PETCOMP";"resultltm",#N/A,FALSE,"PETCOMP"}</definedName>
    <definedName name="wrn.compco." localSheetId="27">{"mult96",#N/A,FALSE,"PETCOMP";"est96",#N/A,FALSE,"PETCOMP";"mult95",#N/A,FALSE,"PETCOMP";"est95",#N/A,FALSE,"PETCOMP";"multltm",#N/A,FALSE,"PETCOMP";"resultltm",#N/A,FALSE,"PETCOMP"}</definedName>
    <definedName name="wrn.Complete._.Report." localSheetId="34">{#N/A,#N/A,FALSE,"Assumptions";#N/A,#N/A,FALSE,"Proforma IS";#N/A,#N/A,FALSE,"Cash Flows RLP";#N/A,#N/A,FALSE,"IRR";#N/A,#N/A,FALSE,"New Depr Sch-150% DB";#N/A,#N/A,FALSE,"Comments"}</definedName>
    <definedName name="wrn.Complete._.Report." localSheetId="27">{#N/A,#N/A,FALSE,"Assumptions";#N/A,#N/A,FALSE,"Proforma IS";#N/A,#N/A,FALSE,"Cash Flows RLP";#N/A,#N/A,FALSE,"IRR";#N/A,#N/A,FALSE,"New Depr Sch-150% DB";#N/A,#N/A,FALSE,"Comments"}</definedName>
    <definedName name="wrn.contributory._.asset._.charges." localSheetId="34">{"contributory1",#N/A,FALSE,"Contributory Assets Detail";"contributory2",#N/A,FALSE,"Contributory Assets Detail"}</definedName>
    <definedName name="wrn.contributory._.asset._.charges." localSheetId="27">{"contributory1",#N/A,FALSE,"Contributory Assets Detail";"contributory2",#N/A,FALSE,"Contributory Assets Detail"}</definedName>
    <definedName name="wrn.cotop." localSheetId="34">{"ReportTop",#N/A,FALSE,"report top"}</definedName>
    <definedName name="wrn.cotop." localSheetId="27">{"ReportTop",#N/A,FALSE,"report top"}</definedName>
    <definedName name="wrn.crom._.4cast." localSheetId="34">{#N/A,#N/A,TRUE,"TOTAL Roll-up";#N/A,#N/A,TRUE,"Launch timing assumptions"}</definedName>
    <definedName name="wrn.crom._.4cast." localSheetId="27">{#N/A,#N/A,TRUE,"TOTAL Roll-up";#N/A,#N/A,TRUE,"Launch timing assumptions"}</definedName>
    <definedName name="wrn.croma._.forecast." localSheetId="34">{#N/A,#N/A,TRUE,"TOTAL Roll-up";#N/A,#N/A,TRUE,"Launch timing assumptions"}</definedName>
    <definedName name="wrn.croma._.forecast." localSheetId="27">{#N/A,#N/A,TRUE,"TOTAL Roll-up";#N/A,#N/A,TRUE,"Launch timing assumptions"}</definedName>
    <definedName name="wrn.CUTS." localSheetId="34">{"REVENUE1",#N/A,FALSE,"REVPIVOT";"EXP1",#N/A,FALSE,"REVPIVOT";"EXP2",#N/A,FALSE,"REVPIVOT";"EXP4",#N/A,FALSE,"REVPIVOT";"EXP5",#N/A,FALSE,"REVPIVOT";"PIPELINE1",#N/A,FALSE,"REVPIVOT";"PIPELINE3",#N/A,FALSE,"REVPIVOT";"PIPELINE4",#N/A,FALSE,"REVPIVOT";"hc1",#N/A,FALSE,"REVPIVOT";"hc2",#N/A,FALSE,"REVPIVOT";"HC3",#N/A,FALSE,"REVPIVOT"}</definedName>
    <definedName name="wrn.CUTS." localSheetId="27">{"REVENUE1",#N/A,FALSE,"REVPIVOT";"EXP1",#N/A,FALSE,"REVPIVOT";"EXP2",#N/A,FALSE,"REVPIVOT";"EXP4",#N/A,FALSE,"REVPIVOT";"EXP5",#N/A,FALSE,"REVPIVOT";"PIPELINE1",#N/A,FALSE,"REVPIVOT";"PIPELINE3",#N/A,FALSE,"REVPIVOT";"PIPELINE4",#N/A,FALSE,"REVPIVOT";"hc1",#N/A,FALSE,"REVPIVOT";"hc2",#N/A,FALSE,"REVPIVOT";"HC3",#N/A,FALSE,"REVPIVOT"}</definedName>
    <definedName name="wrn.datapak." localSheetId="34">{#N/A,#N/A,FALSE,"Status of Projects";#N/A,#N/A,FALSE,"CEA-TEC";#N/A,#N/A,FALSE,"U-Constr.";#N/A,#N/A,FALSE,"summary";#N/A,#N/A,FALSE,"PPP-3 yrs"}</definedName>
    <definedName name="wrn.datapak." localSheetId="27">{#N/A,#N/A,FALSE,"Status of Projects";#N/A,#N/A,FALSE,"CEA-TEC";#N/A,#N/A,FALSE,"U-Constr.";#N/A,#N/A,FALSE,"summary";#N/A,#N/A,FALSE,"PPP-3 yrs"}</definedName>
    <definedName name="wrn.DCF." localSheetId="34">{"DCF1",#N/A,FALSE,"SIERRA DCF";"MATRIX1",#N/A,FALSE,"SIERRA DCF"}</definedName>
    <definedName name="wrn.DCF." localSheetId="27">{"DCF1",#N/A,FALSE,"SIERRA DCF";"MATRIX1",#N/A,FALSE,"SIERRA DCF"}</definedName>
    <definedName name="wrn.DCF_Terminal_Value_qchm." localSheetId="34">{"qchm_dcf",#N/A,FALSE,"QCHMDCF2";"qchm_terminal",#N/A,FALSE,"QCHMDCF2"}</definedName>
    <definedName name="wrn.DCF_Terminal_Value_qchm." localSheetId="27">{"qchm_dcf",#N/A,FALSE,"QCHMDCF2";"qchm_terminal",#N/A,FALSE,"QCHMDCF2"}</definedName>
    <definedName name="wrn.documentation." localSheetId="34">{"documentation1",#N/A,FALSE,"Documentation";"documentation2",#N/A,FALSE,"Documentation"}</definedName>
    <definedName name="wrn.documentation." localSheetId="27">{"documentation1",#N/A,FALSE,"Documentation";"documentation2",#N/A,FALSE,"Documentation"}</definedName>
    <definedName name="wrn.EAC._.Reports." localSheetId="34">{#N/A,#N/A,FALSE,"SUMMARY";#N/A,#N/A,FALSE,"EAC96PLA";#N/A,#N/A,FALSE,"EAC96EXT";#N/A,#N/A,FALSE,"FINSUM";#N/A,#N/A,FALSE,"1996PL";#N/A,#N/A,FALSE,"RISKOP3rd";#N/A,#N/A,FALSE,"RISKTOTAL";#N/A,#N/A,FALSE,"STAFFING";#N/A,#N/A,FALSE,"Balsht"}</definedName>
    <definedName name="wrn.EAC._.Reports." localSheetId="27">{#N/A,#N/A,FALSE,"SUMMARY";#N/A,#N/A,FALSE,"EAC96PLA";#N/A,#N/A,FALSE,"EAC96EXT";#N/A,#N/A,FALSE,"FINSUM";#N/A,#N/A,FALSE,"1996PL";#N/A,#N/A,FALSE,"RISKOP3rd";#N/A,#N/A,FALSE,"RISKTOTAL";#N/A,#N/A,FALSE,"STAFFING";#N/A,#N/A,FALSE,"Balsht"}</definedName>
    <definedName name="wrn.Economic._.Value._.Added._.Analysis." localSheetId="34">{"EVA",#N/A,FALSE,"EVA";"WACC",#N/A,FALSE,"WACC"}</definedName>
    <definedName name="wrn.Economic._.Value._.Added._.Analysis." localSheetId="27">{"EVA",#N/A,FALSE,"EVA";"WACC",#N/A,FALSE,"WACC"}</definedName>
    <definedName name="wrn.Exhibit._.I." localSheetId="34">{#N/A,#N/A,FALSE,"DCF";#N/A,#N/A,FALSE,"WACC";#N/A,#N/A,FALSE,"Preferred Transactions (2)"}</definedName>
    <definedName name="wrn.Exhibit._.I." localSheetId="27">{#N/A,#N/A,FALSE,"DCF";#N/A,#N/A,FALSE,"WACC";#N/A,#N/A,FALSE,"Preferred Transactions (2)"}</definedName>
    <definedName name="wrn.EXHIBITS." localSheetId="34">{"summary1",#N/A,FALSE,"Summary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wrn.EXHIBITS." localSheetId="27">{"summary1",#N/A,FALSE,"Summary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wrn.Falcons._.Divisions." localSheetId="34">{#N/A,#N/A,TRUE,"Fiber_Optic_Cable_Input ";#N/A,#N/A,TRUE,"Specialty_Fiber_Devices_Input";#N/A,#N/A,TRUE,"Optical_Fiber_Apparatus_Input"}</definedName>
    <definedName name="wrn.Falcons._.Divisions." localSheetId="27">{#N/A,#N/A,TRUE,"Fiber_Optic_Cable_Input ";#N/A,#N/A,TRUE,"Specialty_Fiber_Devices_Input";#N/A,#N/A,TRUE,"Optical_Fiber_Apparatus_Input"}</definedName>
    <definedName name="wrn.Falcons._.Standalone." localSheetId="34">{#N/A,#N/A,TRUE,"Falcons_Standalone";#N/A,#N/A,TRUE,"Target_Input";#N/A,#N/A,TRUE,"Target_Calendarized"}</definedName>
    <definedName name="wrn.Falcons._.Standalone." localSheetId="27">{#N/A,#N/A,TRUE,"Falcons_Standalone";#N/A,#N/A,TRUE,"Target_Input";#N/A,#N/A,TRUE,"Target_Calendarized"}</definedName>
    <definedName name="wrn.filecopy." localSheetId="34">{"Multiples_filecopy",#N/A,FALSE,"Multiples";"Adjustments_filecopy",#N/A,FALSE,"Adjustments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27">{"Multiples_filecopy",#N/A,FALSE,"Multiples";"Adjustments_filecopy",#N/A,FALSE,"Adjustments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ter." localSheetId="34">{#N/A,#N/A,FALSE,"Assump2";#N/A,#N/A,FALSE,"Income2";#N/A,#N/A,FALSE,"Balance2";#N/A,#N/A,FALSE,"DCF Filter";#N/A,#N/A,FALSE,"Trans Assump2";#N/A,#N/A,FALSE,"Combined Income2";#N/A,#N/A,FALSE,"Combined Balance2"}</definedName>
    <definedName name="wrn.Filter." localSheetId="27">{#N/A,#N/A,FALSE,"Assump2";#N/A,#N/A,FALSE,"Income2";#N/A,#N/A,FALSE,"Balance2";#N/A,#N/A,FALSE,"DCF Filter";#N/A,#N/A,FALSE,"Trans Assump2";#N/A,#N/A,FALSE,"Combined Income2";#N/A,#N/A,FALSE,"Combined Balance2"}</definedName>
    <definedName name="wrn.first2." localSheetId="34">{#N/A,#N/A,FALSE,"sum-don";#N/A,#N/A,FALSE,"inc-don"}</definedName>
    <definedName name="wrn.first2." localSheetId="27">{#N/A,#N/A,FALSE,"sum-don";#N/A,#N/A,FALSE,"inc-don"}</definedName>
    <definedName name="wrn.first3." localSheetId="34">{#N/A,#N/A,FALSE,"Summary";#N/A,#N/A,FALSE,"proj1";#N/A,#N/A,FALSE,"proj2"}</definedName>
    <definedName name="wrn.first3." localSheetId="27">{#N/A,#N/A,FALSE,"Summary";#N/A,#N/A,FALSE,"proj1";#N/A,#N/A,FALSE,"proj2"}</definedName>
    <definedName name="wrn.first4." localSheetId="34">{#N/A,#N/A,FALSE,"Summary";#N/A,#N/A,FALSE,"proj1";#N/A,#N/A,FALSE,"proj2";#N/A,#N/A,FALSE,"DCF"}</definedName>
    <definedName name="wrn.first4." localSheetId="27">{#N/A,#N/A,FALSE,"Summary";#N/A,#N/A,FALSE,"proj1";#N/A,#N/A,FALSE,"proj2";#N/A,#N/A,FALSE,"DCF"}</definedName>
    <definedName name="wrn.FOC._.Detail." localSheetId="34">{#N/A,#N/A,TRUE,"FOC_Product_Assumptions"}</definedName>
    <definedName name="wrn.FOC._.Detail." localSheetId="27">{#N/A,#N/A,TRUE,"FOC_Product_Assumptions"}</definedName>
    <definedName name="wrn.fpkg." localSheetId="34">{#N/A,#N/A,FALSE,"Consolidated Shipley";#N/A,#N/A,FALSE,"Consolidated PWB";#N/A,#N/A,FALSE,"Consolidated Micro"}</definedName>
    <definedName name="wrn.fpkg." localSheetId="27">{#N/A,#N/A,FALSE,"Consolidated Shipley";#N/A,#N/A,FALSE,"Consolidated PWB";#N/A,#N/A,FALSE,"Consolidated Micro"}</definedName>
    <definedName name="wrn.fpkg1" localSheetId="34">{#N/A,#N/A,FALSE,"Consolidated Shipley";#N/A,#N/A,FALSE,"Consolidated PWB";#N/A,#N/A,FALSE,"Consolidated Micro"}</definedName>
    <definedName name="wrn.fpkg1" localSheetId="27">{#N/A,#N/A,FALSE,"Consolidated Shipley";#N/A,#N/A,FALSE,"Consolidated PWB";#N/A,#N/A,FALSE,"Consolidated Micro"}</definedName>
    <definedName name="wrn.fpkg2" localSheetId="34">{#N/A,#N/A,FALSE,"Consolidated Shipley";#N/A,#N/A,FALSE,"Consolidated PWB";#N/A,#N/A,FALSE,"Consolidated Micro"}</definedName>
    <definedName name="wrn.fpkg2" localSheetId="27">{#N/A,#N/A,FALSE,"Consolidated Shipley";#N/A,#N/A,FALSE,"Consolidated PWB";#N/A,#N/A,FALSE,"Consolidated Micro"}</definedName>
    <definedName name="wrn.fpkg3" localSheetId="34">{#N/A,#N/A,FALSE,"Consolidated Shipley";#N/A,#N/A,FALSE,"Consolidated PWB";#N/A,#N/A,FALSE,"Consolidated Micro"}</definedName>
    <definedName name="wrn.fpkg3" localSheetId="27">{#N/A,#N/A,FALSE,"Consolidated Shipley";#N/A,#N/A,FALSE,"Consolidated PWB";#N/A,#N/A,FALSE,"Consolidated Micro"}</definedName>
    <definedName name="wrn.GRAPHS." localSheetId="34">{#N/A,#N/A,FALSE,"ACQ_GRAPHS";#N/A,#N/A,FALSE,"T_1 GRAPHS";#N/A,#N/A,FALSE,"T_2 GRAPHS";#N/A,#N/A,FALSE,"COMB_GRAPHS"}</definedName>
    <definedName name="wrn.GRAPHS." localSheetId="27">{#N/A,#N/A,FALSE,"ACQ_GRAPHS";#N/A,#N/A,FALSE,"T_1 GRAPHS";#N/A,#N/A,FALSE,"T_2 GRAPHS";#N/A,#N/A,FALSE,"COMB_GRAPHS"}</definedName>
    <definedName name="wrn.gross._.margin._.detail." localSheetId="34">{"gross_margin1",#N/A,FALSE,"Gross Margin Detail";"gross_margin2",#N/A,FALSE,"Gross Margin Detail"}</definedName>
    <definedName name="wrn.gross._.margin._.detail." localSheetId="27">{"gross_margin1",#N/A,FALSE,"Gross Margin Detail";"gross_margin2",#N/A,FALSE,"Gross Margin Detail"}</definedName>
    <definedName name="wrn.HEAT." localSheetId="34">{#N/A,#N/A,FALSE,"Heat";#N/A,#N/A,FALSE,"DCF";#N/A,#N/A,FALSE,"LBO";#N/A,#N/A,FALSE,"A";#N/A,#N/A,FALSE,"C";#N/A,#N/A,FALSE,"impd";#N/A,#N/A,FALSE,"Accr-Dilu"}</definedName>
    <definedName name="wrn.HEAT." localSheetId="27">{#N/A,#N/A,FALSE,"Heat";#N/A,#N/A,FALSE,"DCF";#N/A,#N/A,FALSE,"LBO";#N/A,#N/A,FALSE,"A";#N/A,#N/A,FALSE,"C";#N/A,#N/A,FALSE,"impd";#N/A,#N/A,FALSE,"Accr-Dilu"}</definedName>
    <definedName name="wrn.historical._.performance." localSheetId="34">{"historical acquirer",#N/A,FALSE,"Historical Performance";"historical target",#N/A,FALSE,"Historical Performance"}</definedName>
    <definedName name="wrn.historical._.performance." localSheetId="27">{"historical acquirer",#N/A,FALSE,"Historical Performance";"historical target",#N/A,FALSE,"Historical Performance"}</definedName>
    <definedName name="wrn.Hydraulic." localSheetId="34">{#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7">{#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4">{#N/A,#N/A,FALSE,"HuscoCombined-Summ";#N/A,#N/A,FALSE,"HuscoCombined-Income";#N/A,#N/A,FALSE,"HuscoCombined-Offering";#N/A,#N/A,FALSE,"Husco-Income";#N/A,#N/A,FALSE,"TargetEngineer";#N/A,#N/A,FALSE,"TargetAcqCalc";#N/A,#N/A,FALSE,"Husco-Acq"}</definedName>
    <definedName name="wrn.Hydraulic2." localSheetId="27">{#N/A,#N/A,FALSE,"HuscoCombined-Summ";#N/A,#N/A,FALSE,"HuscoCombined-Income";#N/A,#N/A,FALSE,"HuscoCombined-Offering";#N/A,#N/A,FALSE,"Husco-Income";#N/A,#N/A,FALSE,"TargetEngineer";#N/A,#N/A,FALSE,"TargetAcqCalc";#N/A,#N/A,FALSE,"Husco-Acq"}</definedName>
    <definedName name="wrn.Intersil." localSheetId="34">{#N/A,#N/A,FALSE,"Ontime";#N/A,#N/A,FALSE,"BWA";#N/A,#N/A,FALSE,"Comm IC";#N/A,#N/A,FALSE,"Discrete";#N/A,#N/A,FALSE,"PWR Mgt";#N/A,#N/A,FALSE,"Wireless"}</definedName>
    <definedName name="wrn.Intersil." localSheetId="27">{#N/A,#N/A,FALSE,"Ontime";#N/A,#N/A,FALSE,"BWA";#N/A,#N/A,FALSE,"Comm IC";#N/A,#N/A,FALSE,"Discrete";#N/A,#N/A,FALSE,"PWR Mgt";#N/A,#N/A,FALSE,"Wireless"}</definedName>
    <definedName name="wrn.IPO._.Valuation." localSheetId="34">{"assumptions",#N/A,FALSE,"Scenario 1";"valuation",#N/A,FALSE,"Scenario 1"}</definedName>
    <definedName name="wrn.IPO._.Valuation." localSheetId="27">{"assumptions",#N/A,FALSE,"Scenario 1";"valuation",#N/A,FALSE,"Scenario 1"}</definedName>
    <definedName name="wrn.ipovalue." localSheetId="34">{#N/A,#N/A,FALSE,"puboff";#N/A,#N/A,FALSE,"valuation";#N/A,#N/A,FALSE,"finanalsis";#N/A,#N/A,FALSE,"split";#N/A,#N/A,FALSE,"ownership"}</definedName>
    <definedName name="wrn.ipovalue." localSheetId="27">{#N/A,#N/A,FALSE,"puboff";#N/A,#N/A,FALSE,"valuation";#N/A,#N/A,FALSE,"finanalsis";#N/A,#N/A,FALSE,"split";#N/A,#N/A,FALSE,"ownership"}</definedName>
    <definedName name="wrn.ISAnnualModel." localSheetId="34">{"AnnModel",#N/A,FALSE,"IS"}</definedName>
    <definedName name="wrn.ISAnnualModel." localSheetId="27">{"AnnModel",#N/A,FALSE,"IS"}</definedName>
    <definedName name="wrn.ISCG._.model." localSheetId="34">{#N/A,#N/A,FALSE,"Second";#N/A,#N/A,FALSE,"ownership";#N/A,#N/A,FALSE,"Valuation";#N/A,#N/A,FALSE,"Eqiv";#N/A,#N/A,FALSE,"Mults";#N/A,#N/A,FALSE,"ISCG Graphics"}</definedName>
    <definedName name="wrn.ISCG._.model." localSheetId="27">{#N/A,#N/A,FALSE,"Second";#N/A,#N/A,FALSE,"ownership";#N/A,#N/A,FALSE,"Valuation";#N/A,#N/A,FALSE,"Eqiv";#N/A,#N/A,FALSE,"Mults";#N/A,#N/A,FALSE,"ISCG Graphics"}</definedName>
    <definedName name="wrn.ISQtrModel." localSheetId="34">{"QtrModel",#N/A,FALSE,"IS"}</definedName>
    <definedName name="wrn.ISQtrModel." localSheetId="27">{"QtrModel",#N/A,FALSE,"IS"}</definedName>
    <definedName name="wrn.ISRAEL." localSheetId="34">{#N/A,#N/A,FALSE,"P&amp;L";#N/A,#N/A,FALSE,"R&amp;D";#N/A,#N/A,FALSE,"COG-IL";#N/A,#N/A,FALSE,"G&amp;A IL";#N/A,#N/A,FALSE,"MARKETING-IL";#N/A,#N/A,FALSE,"parameters";#N/A,#N/A,FALSE,"MANPOWER";#N/A,#N/A,FALSE,"FIXED COSTS";#N/A,#N/A,FALSE,"HUM. RES.";#N/A,#N/A,FALSE,"VEHICLES"}</definedName>
    <definedName name="wrn.ISRAEL." localSheetId="27">{#N/A,#N/A,FALSE,"P&amp;L";#N/A,#N/A,FALSE,"R&amp;D";#N/A,#N/A,FALSE,"COG-IL";#N/A,#N/A,FALSE,"G&amp;A IL";#N/A,#N/A,FALSE,"MARKETING-IL";#N/A,#N/A,FALSE,"parameters";#N/A,#N/A,FALSE,"MANPOWER";#N/A,#N/A,FALSE,"FIXED COSTS";#N/A,#N/A,FALSE,"HUM. RES.";#N/A,#N/A,FALSE,"VEHICLES"}</definedName>
    <definedName name="wrn.Jeff._.Standalone." localSheetId="34">{#N/A,#N/A,TRUE,"Acquirer_Cases_Input";#N/A,#N/A,TRUE,"Acquirer_Input";#N/A,#N/A,TRUE,"Acquirer"}</definedName>
    <definedName name="wrn.Jeff._.Standalone." localSheetId="27">{#N/A,#N/A,TRUE,"Acquirer_Cases_Input";#N/A,#N/A,TRUE,"Acquirer_Input";#N/A,#N/A,TRUE,"Acquirer"}</definedName>
    <definedName name="wrn.JODM._.Graphs." localSheetId="34">{"graph",#N/A,FALSE,"WWJU";"graph",#N/A,FALSE,"WWSEM";"graph",#N/A,FALSE,"GOMJU";"graph",#N/A,FALSE,"GOMSEM";"graph",#N/A,FALSE,"NSJU";"graph",#N/A,FALSE,"NSSEM";"graph",#N/A,FALSE,"WAJU";"graph",#N/A,FALSE,"STOCKPRI";"graph",#N/A,FALSE,"CFTEV";"graph",#N/A,FALSE,"NAV-RCV";"graph",#N/A,FALSE,"CRUDEWW"}</definedName>
    <definedName name="wrn.JODM._.Graphs." localSheetId="27">{"graph",#N/A,FALSE,"WWJU";"graph",#N/A,FALSE,"WWSEM";"graph",#N/A,FALSE,"GOMJU";"graph",#N/A,FALSE,"GOMSEM";"graph",#N/A,FALSE,"NSJU";"graph",#N/A,FALSE,"NSSEM";"graph",#N/A,FALSE,"WAJU";"graph",#N/A,FALSE,"STOCKPRI";"graph",#N/A,FALSE,"CFTEV";"graph",#N/A,FALSE,"NAV-RCV";"graph",#N/A,FALSE,"CRUDEWW"}</definedName>
    <definedName name="wrn.LBO._.Summary." localSheetId="34">{"LBO Summary",#N/A,FALSE,"Summary"}</definedName>
    <definedName name="wrn.LBO._.Summary." localSheetId="27">{"LBO Summary",#N/A,FALSE,"Summary"}</definedName>
    <definedName name="wrn.Main._.Fields." localSheetId="34">{"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_.Fields." localSheetId="27">{"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e." localSheetId="34">{"Assumptions",#N/A,TRUE,"Assumptions";"Income",#N/A,TRUE,"Income";"Balance",#N/A,TRUE,"Balance"}</definedName>
    <definedName name="wrn.Maine." localSheetId="27">{"Assumptions",#N/A,TRUE,"Assumptions";"Income",#N/A,TRUE,"Income";"Balance",#N/A,TRUE,"Balance"}</definedName>
    <definedName name="wrn.Maine2." localSheetId="34">{"TransactionAssump",#N/A,FALSE,"Transaction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7">{"TransactionAssump",#N/A,FALSE,"Transaction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4">{#N/A,#N/A,FALSE,"IPO";#N/A,#N/A,FALSE,"DCF";#N/A,#N/A,FALSE,"LBO";#N/A,#N/A,FALSE,"MULT_VAL";#N/A,#N/A,FALSE,"Status Quo";#N/A,#N/A,FALSE,"Recap"}</definedName>
    <definedName name="wrn.merge." localSheetId="27">{#N/A,#N/A,FALSE,"IPO";#N/A,#N/A,FALSE,"DCF";#N/A,#N/A,FALSE,"LBO";#N/A,#N/A,FALSE,"MULT_VAL";#N/A,#N/A,FALSE,"Status Quo";#N/A,#N/A,FALSE,"Recap"}</definedName>
    <definedName name="wrn.model." localSheetId="34">{"page1",#N/A,FALSE,"GIRLBO";"page2",#N/A,FALSE,"GIRLBO";"page3",#N/A,FALSE,"GIRLBO";"page4",#N/A,FALSE,"GIRLBO";"page5",#N/A,FALSE,"GIRLBO"}</definedName>
    <definedName name="wrn.model." localSheetId="27">{"page1",#N/A,FALSE,"GIRLBO";"page2",#N/A,FALSE,"GIRLBO";"page3",#N/A,FALSE,"GIRLBO";"page4",#N/A,FALSE,"GIRLBO";"page5",#N/A,FALSE,"GIRLBO"}</definedName>
    <definedName name="wrn.Monthly._.Financials." localSheetId="34">{#N/A,#N/A,FALSE,"PL OCT";#N/A,#N/A,FALSE,"YTD";#N/A,#N/A,FALSE,"Trend03";#N/A,#N/A,FALSE,"03 BalSheet";#N/A,#N/A,FALSE,"Cash Flow"}</definedName>
    <definedName name="wrn.Monthly._.Financials." localSheetId="27">{#N/A,#N/A,FALSE,"PL OCT";#N/A,#N/A,FALSE,"YTD";#N/A,#N/A,FALSE,"Trend03";#N/A,#N/A,FALSE,"03 BalSheet";#N/A,#N/A,FALSE,"Cash Flow"}</definedName>
    <definedName name="wrn.NEW." localSheetId="34">{"Total P&amp;L",#N/A,FALSE,"P&amp;LTECH";"SUMPIPELINE",#N/A,FALSE,"P&amp;LTECH";"REVENUE",#N/A,FALSE,"P&amp;LTECH";"r&amp;d",#N/A,FALSE,"P&amp;LTECH"}</definedName>
    <definedName name="wrn.NEW." localSheetId="27">{"Total P&amp;L",#N/A,FALSE,"P&amp;LTECH";"SUMPIPELINE",#N/A,FALSE,"P&amp;LTECH";"REVENUE",#N/A,FALSE,"P&amp;LTECH";"r&amp;d",#N/A,FALSE,"P&amp;LTECH"}</definedName>
    <definedName name="wrn.newest." localSheetId="34">{#N/A,#N/A,TRUE,"TS";#N/A,#N/A,TRUE,"Combo";#N/A,#N/A,TRUE,"FAIR";#N/A,#N/A,TRUE,"RBC";#N/A,#N/A,TRUE,"xxxx"}</definedName>
    <definedName name="wrn.newest." localSheetId="27">{#N/A,#N/A,TRUE,"TS";#N/A,#N/A,TRUE,"Combo";#N/A,#N/A,TRUE,"FAIR";#N/A,#N/A,TRUE,"RBC";#N/A,#N/A,TRUE,"xxxx"}</definedName>
    <definedName name="wrn.OUTPUT." localSheetId="34">{"DCF","UPSIDE CASE",FALSE,"Sheet1";"DCF","BASE CASE",FALSE,"Sheet1";"DCF","DOWNSIDE CASE",FALSE,"Sheet1"}</definedName>
    <definedName name="wrn.OUTPUT." localSheetId="27">{"DCF","UPSIDE CASE",FALSE,"Sheet1";"DCF","BASE CASE",FALSE,"Sheet1";"DCF","DOWNSIDE CASE",FALSE,"Sheet1"}</definedName>
    <definedName name="wrn.Package." localSheetId="34">{#N/A,#N/A,FALSE,"PL NOV";#N/A,#N/A,FALSE,"Trend00";#N/A,#N/A,FALSE,"YTD";#N/A,#N/A,FALSE,"00 balSheet";#N/A,#N/A,FALSE,"Bank BalSh"}</definedName>
    <definedName name="wrn.Package." localSheetId="27">{#N/A,#N/A,FALSE,"PL NOV";#N/A,#N/A,FALSE,"Trend00";#N/A,#N/A,FALSE,"YTD";#N/A,#N/A,FALSE,"00 balSheet";#N/A,#N/A,FALSE,"Bank BalSh"}</definedName>
    <definedName name="wrn.packer._.1." localSheetId="34">{#N/A,#N/A,FALSE,"gopher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7">{#N/A,#N/A,FALSE,"gopher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ge2." localSheetId="34">{"Page2",#N/A,FALSE,"CBICOMM"}</definedName>
    <definedName name="wrn.Page2." localSheetId="27">{"Page2",#N/A,FALSE,"CBICOMM"}</definedName>
    <definedName name="wrn.Part._.1." localSheetId="34">{#N/A,#N/A,FALSE,"Title";#N/A,#N/A,FALSE,"Tbl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rn.Part._.1." localSheetId="27">{#N/A,#N/A,FALSE,"Title";#N/A,#N/A,FALSE,"Tbl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rn.Part._.2." localSheetId="34">{#N/A,#N/A,FALSE,"Restructure";#N/A,#N/A,FALSE,"IS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 localSheetId="27">{#N/A,#N/A,FALSE,"Restructure";#N/A,#N/A,FALSE,"IS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LX." localSheetId="34">{"cred comp",#N/A,FALSE,"Comparable Credit Analysis";"IS",#N/A,FALSE,"IS";"Sensitivity",#N/A,FALSE,"Sensitivity";"BS",#N/A,FALSE,"BS";"Bond Summary",#N/A,FALSE,"B Summary";"AD",#N/A,FALSE,"Accretion";"NAV",#N/A,FALSE,"NAV";"SU",#N/A,FALSE,"S&amp;U";"acq. study",#N/A,FALSE,"Acq. Study";"F Charges",#N/A,FALSE,"Fixed Charges"}</definedName>
    <definedName name="wrn.PLX." localSheetId="27">{"cred comp",#N/A,FALSE,"Comparable Credit Analysis";"IS",#N/A,FALSE,"IS";"Sensitivity",#N/A,FALSE,"Sensitivity";"BS",#N/A,FALSE,"BS";"Bond Summary",#N/A,FALSE,"B Summary";"AD",#N/A,FALSE,"Accretion";"NAV",#N/A,FALSE,"NAV";"SU",#N/A,FALSE,"S&amp;U";"acq. study",#N/A,FALSE,"Acq. Study";"F Charges",#N/A,FALSE,"Fixed Charges"}</definedName>
    <definedName name="wrn.polymwe." localSheetId="34">{#N/A,#N/A,TRUE,"Economic Indicators";#N/A,#N/A,TRUE,"Cracker Shutdown schedule";#N/A,#N/A,TRUE,"Benzene Shutdown schedule";#N/A,#N/A,TRUE,"PX Shutdown schedule";#N/A,#N/A,TRUE,"Financials";#N/A,#N/A,TRUE,"Prices&amp;Margins";#N/A,#N/A,TRUE,"Demand-supply";#N/A,#N/A,TRUE,"Polymers-Ind Sum-1999-2000";#N/A,#N/A,TRUE,"Polymers-Ind Sum-Q4";#N/A,#N/A,TRUE,"Polymers-Ind Sum-Q3";#N/A,#N/A,TRUE,"Polymers-Ind Sum-Q4overQ3";#N/A,#N/A,TRUE,"RIL-Q4-Prodn-Sales";#N/A,#N/A,TRUE,"RIL-Q4-Prices";#N/A,#N/A,TRUE,"RIL-Q4-Feedstock";#N/A,#N/A,TRUE,"IPCL-Q4-Prodn-Sales";#N/A,#N/A,TRUE,"IPCL-Q4-Prices";#N/A,#N/A,TRUE,"IPCL-Q4-Feedstock";#N/A,#N/A,TRUE,"NOCIL-Q4-Prodn-Sales";#N/A,#N/A,TRUE,"NOCIL-Q4-Prices";#N/A,#N/A,TRUE,"GAIL-Q4-Prodn-Sales";#N/A,#N/A,TRUE,"GAIL-Q4-Prices"}</definedName>
    <definedName name="wrn.polymwe." localSheetId="27">{#N/A,#N/A,TRUE,"Economic Indicators";#N/A,#N/A,TRUE,"Cracker Shutdown schedule";#N/A,#N/A,TRUE,"Benzene Shutdown schedule";#N/A,#N/A,TRUE,"PX Shutdown schedule";#N/A,#N/A,TRUE,"Financials";#N/A,#N/A,TRUE,"Prices&amp;Margins";#N/A,#N/A,TRUE,"Demand-supply";#N/A,#N/A,TRUE,"Polymers-Ind Sum-1999-2000";#N/A,#N/A,TRUE,"Polymers-Ind Sum-Q4";#N/A,#N/A,TRUE,"Polymers-Ind Sum-Q3";#N/A,#N/A,TRUE,"Polymers-Ind Sum-Q4overQ3";#N/A,#N/A,TRUE,"RIL-Q4-Prodn-Sales";#N/A,#N/A,TRUE,"RIL-Q4-Prices";#N/A,#N/A,TRUE,"RIL-Q4-Feedstock";#N/A,#N/A,TRUE,"IPCL-Q4-Prodn-Sales";#N/A,#N/A,TRUE,"IPCL-Q4-Prices";#N/A,#N/A,TRUE,"IPCL-Q4-Feedstock";#N/A,#N/A,TRUE,"NOCIL-Q4-Prodn-Sales";#N/A,#N/A,TRUE,"NOCIL-Q4-Prices";#N/A,#N/A,TRUE,"GAIL-Q4-Prodn-Sales";#N/A,#N/A,TRUE,"GAIL-Q4-Prices"}</definedName>
    <definedName name="wrn.pp." localSheetId="34">{#N/A,#N/A,FALSE,"letter";#N/A,#N/A,FALSE,"PP_0895";#N/A,#N/A,FALSE,"PP_0995"}</definedName>
    <definedName name="wrn.pp." localSheetId="27">{#N/A,#N/A,FALSE,"letter";#N/A,#N/A,FALSE,"PP_0895";#N/A,#N/A,FALSE,"PP_0995"}</definedName>
    <definedName name="wrn.print." localSheetId="34">{#N/A,#N/A,FALSE,"Japan 2003";#N/A,#N/A,FALSE,"Sheet2"}</definedName>
    <definedName name="wrn.print." localSheetId="27">{#N/A,#N/A,FALSE,"Japan 2003";#N/A,#N/A,FALSE,"Sheet2"}</definedName>
    <definedName name="wrn.Print._.All._.Pages." localSheetId="34">{"LBO Summary",#N/A,FALSE,"Summary";"Income Statement",#N/A,FALSE,"Model";"Cash Flow",#N/A,FALSE,"Model";"Balance Sheet",#N/A,FALSE,"Model";"Working Capital",#N/A,FALSE,"Model";"Pro Forma Balance Sheets",#N/A,FALSE,"PFBS";"Debt Balances",#N/A,FALSE,"Model";"Fee Schedules",#N/A,FALSE,"Model"}</definedName>
    <definedName name="wrn.Print._.All._.Pages." localSheetId="27">{"LBO Summary",#N/A,FALSE,"Summary";"Income Statement",#N/A,FALSE,"Model";"Cash Flow",#N/A,FALSE,"Model";"Balance Sheet",#N/A,FALSE,"Model";"Working Capital",#N/A,FALSE,"Model";"Pro Forma Balance Sheets",#N/A,FALSE,"PFBS";"Debt Balances",#N/A,FALSE,"Model";"Fee Schedules",#N/A,FALSE,"Model"}</definedName>
    <definedName name="wrn.Pump." localSheetId="34">{#N/A,#N/A,FALSE,"Assump";#N/A,#N/A,FALSE,"Income";#N/A,#N/A,FALSE,"Balance";#N/A,#N/A,FALSE,"DCF Pump";#N/A,#N/A,FALSE,"Trans Assump";#N/A,#N/A,FALSE,"Combined Income";#N/A,#N/A,FALSE,"Combined Balance"}</definedName>
    <definedName name="wrn.Pump." localSheetId="27">{#N/A,#N/A,FALSE,"Assump";#N/A,#N/A,FALSE,"Income";#N/A,#N/A,FALSE,"Balance";#N/A,#N/A,FALSE,"DCF Pump";#N/A,#N/A,FALSE,"Trans Assump";#N/A,#N/A,FALSE,"Combined Income";#N/A,#N/A,FALSE,"Combined Balance"}</definedName>
    <definedName name="wrn.RELEVANTSHEETS." localSheetId="34">{#N/A,#N/A,FALSE,"AD_Purch";#N/A,#N/A,FALSE,"Projections";#N/A,#N/A,FALSE,"DCF";#N/A,#N/A,FALSE,"Mkt Val"}</definedName>
    <definedName name="wrn.RELEVANTSHEETS." localSheetId="27">{#N/A,#N/A,FALSE,"AD_Purch";#N/A,#N/A,FALSE,"Projections";#N/A,#N/A,FALSE,"DCF";#N/A,#N/A,FALSE,"Mkt Val"}</definedName>
    <definedName name="wrn.Reports2." localSheetId="34">{"NI2",#N/A,FALSE,"Sum - Exp";"Revenue2",#N/A,FALSE,"Sum - Exp";"Headcount2",#N/A,FALSE,"Sum - Exp";"Pipeline2",#N/A,FALSE,"Sum - Exp";"expenses",#N/A,FALSE,"Sum - Exp"}</definedName>
    <definedName name="wrn.Reports2." localSheetId="27">{"NI2",#N/A,FALSE,"Sum - Exp";"Revenue2",#N/A,FALSE,"Sum - Exp";"Headcount2",#N/A,FALSE,"Sum - Exp";"Pipeline2",#N/A,FALSE,"Sum - Exp";"expenses",#N/A,FALSE,"Sum - Exp"}</definedName>
    <definedName name="wrn.repot." localSheetId="34">{#N/A,#N/A,FALSE,"Budget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repot." localSheetId="27">{#N/A,#N/A,FALSE,"Budget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revenue._.detail." localSheetId="34">{"revenue detail 1",#N/A,FALSE,"Revenue Detail";"revenue detail 2",#N/A,FALSE,"Revenue Detail";"revenue detail 3",#N/A,FALSE,"Revenue Detail";"revenue detail 4",#N/A,FALSE,"Revenue Detail"}</definedName>
    <definedName name="wrn.revenue._.detail." localSheetId="27">{"revenue detail 1",#N/A,FALSE,"Revenue Detail";"revenue detail 2",#N/A,FALSE,"Revenue Detail";"revenue detail 3",#N/A,FALSE,"Revenue Detail";"revenue detail 4",#N/A,FALSE,"Revenue Detail"}</definedName>
    <definedName name="wrn.revenue._.graph." localSheetId="34">{"revenue graph",#N/A,FALSE,"Revenue Graph"}</definedName>
    <definedName name="wrn.revenue._.graph." localSheetId="27">{"revenue graph",#N/A,FALSE,"Revenue Graph"}</definedName>
    <definedName name="wrn.Riverwood_comp_model." localSheetId="34">{#N/A,#N/A,FALSE,"Che-Ga";#N/A,#N/A,FALSE,"Iv-Sm";#N/A,#N/A,FALSE,"So-We";#N/A,#N/A,FALSE,"Me-Po";#N/A,#N/A,FALSE,"Be-Bo";#N/A,#N/A,FALSE,"Cha-Ki";#N/A,#N/A,FALSE,"In";#N/A,#N/A,FALSE,"Schedule 23";#N/A,#N/A,FALSE,"Schedule 22";#N/A,#N/A,FALSE,"WACC"}</definedName>
    <definedName name="wrn.Riverwood_comp_model." localSheetId="27">{#N/A,#N/A,FALSE,"Che-Ga";#N/A,#N/A,FALSE,"Iv-Sm";#N/A,#N/A,FALSE,"So-We";#N/A,#N/A,FALSE,"Me-Po";#N/A,#N/A,FALSE,"Be-Bo";#N/A,#N/A,FALSE,"Cha-Ki";#N/A,#N/A,FALSE,"In";#N/A,#N/A,FALSE,"Schedule 23";#N/A,#N/A,FALSE,"Schedule 22";#N/A,#N/A,FALSE,"WACC"}</definedName>
    <definedName name="wrn.Roll._.Up._.Fields." localSheetId="34">{"Total",#N/A,FALSE,"Six Fields";"PDP",#N/A,FALSE,"Six Fields";"PNP",#N/A,FALSE,"Six Fields";"PUD",#N/A,FALSE,"Six Fields";"Prob",#N/A,FALSE,"Six Fields"}</definedName>
    <definedName name="wrn.Roll._.Up._.Fields." localSheetId="27">{"Total",#N/A,FALSE,"Six Fields";"PDP",#N/A,FALSE,"Six Fields";"PNP",#N/A,FALSE,"Six Fields";"PUD",#N/A,FALSE,"Six Fields";"Prob",#N/A,FALSE,"Six Fields"}</definedName>
    <definedName name="wrn.rvwd" localSheetId="34">{#N/A,#N/A,FALSE,"Che-Ga";#N/A,#N/A,FALSE,"Iv-Sm";#N/A,#N/A,FALSE,"So-We";#N/A,#N/A,FALSE,"Me-Po";#N/A,#N/A,FALSE,"Be-Bo";#N/A,#N/A,FALSE,"Cha-Ki";#N/A,#N/A,FALSE,"In";#N/A,#N/A,FALSE,"Schedule 23";#N/A,#N/A,FALSE,"Schedule 22";#N/A,#N/A,FALSE,"WACC"}</definedName>
    <definedName name="wrn.rvwd" localSheetId="27">{#N/A,#N/A,FALSE,"Che-Ga";#N/A,#N/A,FALSE,"Iv-Sm";#N/A,#N/A,FALSE,"So-We";#N/A,#N/A,FALSE,"Me-Po";#N/A,#N/A,FALSE,"Be-Bo";#N/A,#N/A,FALSE,"Cha-Ki";#N/A,#N/A,FALSE,"In";#N/A,#N/A,FALSE,"Schedule 23";#N/A,#N/A,FALSE,"Schedule 22";#N/A,#N/A,FALSE,"WACC"}</definedName>
    <definedName name="wrn.Standard._.Reports."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wrn.Standard._.Reports."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wrn.Statements." localSheetId="34">{"Co1statements",#N/A,FALSE,"Cmpy1";"Co2statement",#N/A,FALSE,"Cmpy2";"co1pm",#N/A,FALSE,"Co1PM";"co2PM",#N/A,FALSE,"Co2PM";"value",#N/A,FALSE,"value";"opco",#N/A,FALSE,"NewSparkle";"adjusts",#N/A,FALSE,"Adjustments"}</definedName>
    <definedName name="wrn.Statements." localSheetId="27">{"Co1statements",#N/A,FALSE,"Cmpy1";"Co2statement",#N/A,FALSE,"Cmpy2";"co1pm",#N/A,FALSE,"Co1PM";"co2PM",#N/A,FALSE,"Co2PM";"value",#N/A,FALSE,"value";"opco",#N/A,FALSE,"NewSparkle";"adjusts",#N/A,FALSE,"Adjustments"}</definedName>
    <definedName name="wrn.STETSON." localSheetId="34">{"Page1",#N/A,FALSE,"ASSUMPTIONS";"Page2",#N/A,FALSE,"MER-CODE";"page3",#N/A,FALSE,"MER-ALONE";"page4",#N/A,FALSE,"MER-COMB";"page5",#N/A,FALSE,"exec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TETSON." localSheetId="27">{"Page1",#N/A,FALSE,"ASSUMPTIONS";"Page2",#N/A,FALSE,"MER-CODE";"page3",#N/A,FALSE,"MER-ALONE";"page4",#N/A,FALSE,"MER-COMB";"page5",#N/A,FALSE,"exec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ummary." localSheetId="34">{"Sum1",#N/A,FALSE,"Reserve Report";"Sum2",#N/A,FALSE,"Reserve Report";"Sum3",#N/A,FALSE,"Reserve Report";"Sum4",#N/A,FALSE,"Reserve Report"}</definedName>
    <definedName name="wrn.Summary." localSheetId="27">{"Sum1",#N/A,FALSE,"Reserve Report";"Sum2",#N/A,FALSE,"Reserve Report";"Sum3",#N/A,FALSE,"Reserve Report";"Sum4",#N/A,FALSE,"Reserve Report"}</definedName>
    <definedName name="wrn.summary.." localSheetId="34">{#N/A,#N/A,TRUE,"KEY DATA";#N/A,#N/A,TRUE,"KEY DATA Base Case";#N/A,#N/A,TRUE,"JULY";#N/A,#N/A,TRUE,"AUG";#N/A,#N/A,TRUE,"SEPT";#N/A,#N/A,TRUE,"3Q"}</definedName>
    <definedName name="wrn.summary.." localSheetId="27">{#N/A,#N/A,TRUE,"KEY DATA";#N/A,#N/A,TRUE,"KEY DATA Base Case";#N/A,#N/A,TRUE,"JULY";#N/A,#N/A,TRUE,"AUG";#N/A,#N/A,TRUE,"SEPT";#N/A,#N/A,TRUE,"3Q"}</definedName>
    <definedName name="wrn.summary._.schedules." localSheetId="34">{"summary1",#N/A,FALSE,"Summary of Values";"summary2",#N/A,FALSE,"Summary of Values"}</definedName>
    <definedName name="wrn.summary._.schedules." localSheetId="27">{"summary1",#N/A,FALSE,"Summary of Values";"summary2",#N/A,FALSE,"Summary of Values"}</definedName>
    <definedName name="wrn.Supplemental_Reports." localSheetId="34">{#N/A,#N/A,FALSE,"Report Data";#N/A,#N/A,FALSE,"COMP POOL";#N/A,#N/A,FALSE,"COMP POOL NB95";#N/A,#N/A,FALSE,"COMP POOL NB94"}</definedName>
    <definedName name="wrn.Supplemental_Reports." localSheetId="27">{#N/A,#N/A,FALSE,"Report Data";#N/A,#N/A,FALSE,"COMP POOL";#N/A,#N/A,FALSE,"COMP POOL NB95";#N/A,#N/A,FALSE,"COMP POOL NB94"}</definedName>
    <definedName name="wrn.TARGET._.DCF." localSheetId="34">{"targetdcf",#N/A,FALSE,"Merger consequences";"TARGETASSU",#N/A,FALSE,"Merger consequences";"TERMINAL VALUE",#N/A,FALSE,"Merger consequences"}</definedName>
    <definedName name="wrn.TARGET._.DCF." localSheetId="27">{"targetdcf",#N/A,FALSE,"Merger consequences";"TARGETASSU",#N/A,FALSE,"Merger consequences";"TERMINAL VALUE",#N/A,FALSE,"Merger consequences"}</definedName>
    <definedName name="wrn.technology." localSheetId="34">{"developed valuation",#N/A,FALSE,"Valuation Analysis";"developed income statement",#N/A,FALSE,"Abbreviated Income Statement";"inprocess valuation",#N/A,FALSE,"Valuation Analysis";"inprocess income statement",#N/A,FALSE,"Abbreviated Income Statement"}</definedName>
    <definedName name="wrn.technology." localSheetId="27">{"developed valuation",#N/A,FALSE,"Valuation Analysis";"developed income statement",#N/A,FALSE,"Abbreviated Income Statement";"inprocess valuation",#N/A,FALSE,"Valuation Analysis";"inprocess income statement",#N/A,FALSE,"Abbreviated Income Statement"}</definedName>
    <definedName name="wrn.TheWholeEnchilada." localSheetId="34">{"CSheet",#N/A,FALSE,"C";"SmCap",#N/A,FALSE,"VAL1";"GulfCoast",#N/A,FALSE,"VAL1";"nav",#N/A,FALSE,"NAV";"Summary",#N/A,FALSE,"NAV"}</definedName>
    <definedName name="wrn.TheWholeEnchilada." localSheetId="27">{"CSheet",#N/A,FALSE,"C";"SmCap",#N/A,FALSE,"VAL1";"GulfCoast",#N/A,FALSE,"VAL1";"nav",#N/A,FALSE,"NAV";"Summary",#N/A,FALSE,"NAV"}</definedName>
    <definedName name="wrn.TOOL." localSheetId="34">{#N/A,#N/A,TRUE,"Consolidated";#N/A,#N/A,TRUE,"Offering";#N/A,#N/A,TRUE,"WAE";#N/A,#N/A,TRUE,"Combined";#N/A,#N/A,TRUE,"PE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7">{#N/A,#N/A,TRUE,"Consolidated";#N/A,#N/A,TRUE,"Offering";#N/A,#N/A,TRUE,"WAE";#N/A,#N/A,TRUE,"Combined";#N/A,#N/A,TRUE,"PE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4">{#N/A,#N/A,FALSE,"Trans-Sum";#N/A,#N/A,FALSE,"Accr-Dilu2";#N/A,#N/A,FALSE,"Contribution";#N/A,#N/A,FALSE,"Combined";#N/A,#N/A,FALSE,"ASTF";#N/A,#N/A,FALSE,"BRA";#N/A,#N/A,FALSE,"Bra_C";#N/A,#N/A,FALSE,"AcqMults";#N/A,#N/A,FALSE,"CompMults";#N/A,#N/A,FALSE,"DCF";#N/A,#N/A,FALSE,"WACC";#N/A,#N/A,FALSE,"LBO";#N/A,#N/A,FALSE,"Summary";#N/A,#N/A,FALSE,"StructSum"}</definedName>
    <definedName name="wrn.Total." localSheetId="27">{#N/A,#N/A,FALSE,"Trans-Sum";#N/A,#N/A,FALSE,"Accr-Dilu2";#N/A,#N/A,FALSE,"Contribution";#N/A,#N/A,FALSE,"Combined";#N/A,#N/A,FALSE,"ASTF";#N/A,#N/A,FALSE,"BRA";#N/A,#N/A,FALSE,"Bra_C";#N/A,#N/A,FALSE,"AcqMults";#N/A,#N/A,FALSE,"CompMults";#N/A,#N/A,FALSE,"DCF";#N/A,#N/A,FALSE,"WACC";#N/A,#N/A,FALSE,"LBO";#N/A,#N/A,FALSE,"Summary";#N/A,#N/A,FALSE,"StructSum"}</definedName>
    <definedName name="wrn.Total._.Proved." localSheetId="34">{"Total",#N/A,FALSE,"Total Proved";"PDP",#N/A,FALSE,"Total Proved";"PNP",#N/A,FALSE,"Total Proved";"PUD",#N/A,FALSE,"Total Proved"}</definedName>
    <definedName name="wrn.Total._.Proved." localSheetId="27">{"Total",#N/A,FALSE,"Total Proved";"PDP",#N/A,FALSE,"Total Proved";"PNP",#N/A,FALSE,"Total Proved";"PUD",#N/A,FALSE,"Total Proved"}</definedName>
    <definedName name="wrn.Total._.Proved._.plus._.Probable." localSheetId="34">{"Total",#N/A,FALSE,"Total Proved + Probable";"PDP",#N/A,FALSE,"Total Proved + Probable";"PNP",#N/A,FALSE,"Total Proved + Probable";"PUD",#N/A,FALSE,"Total Proved + Probable";"Prob",#N/A,FALSE,"Total Proved + Probable"}</definedName>
    <definedName name="wrn.Total._.Proved._.plus._.Probable." localSheetId="27">{"Total",#N/A,FALSE,"Total Proved + Probable";"PDP",#N/A,FALSE,"Total Proved + Probable";"PNP",#N/A,FALSE,"Total Proved + Probable";"PUD",#N/A,FALSE,"Total Proved + Probable";"Prob",#N/A,FALSE,"Total Proved + Probable"}</definedName>
    <definedName name="wrn.trademark._.and._.trade._.name." localSheetId="34">{"trademark1",#N/A,FALSE,"Trademark(s) and Trade Name(s)"}</definedName>
    <definedName name="wrn.trademark._.and._.trade._.name." localSheetId="27">{"trademark1",#N/A,FALSE,"Trademark(s) and Trade Name(s)"}</definedName>
    <definedName name="wrn.TransPrcd_123." localSheetId="34">{#N/A,#N/A,TRUE,"TransPrcd 1";#N/A,#N/A,TRUE,"TransPrcd 2";#N/A,#N/A,TRUE,"TransPrcd 3"}</definedName>
    <definedName name="wrn.TransPrcd_123." localSheetId="27">{#N/A,#N/A,TRUE,"TransPrcd 1";#N/A,#N/A,TRUE,"TransPrcd 2";#N/A,#N/A,TRUE,"TransPrcd 3"}</definedName>
    <definedName name="wrn.upstairs." localSheetId="34">{"histincome",#N/A,FALSE,"hyfins";"closing balance",#N/A,FALSE,"hyfins"}</definedName>
    <definedName name="wrn.upstairs." localSheetId="27">{"histincome",#N/A,FALSE,"hyfins";"closing balance",#N/A,FALSE,"hyfins"}</definedName>
    <definedName name="wrn.VALUATION." localSheetId="34">{#N/A,#N/A,FALSE,"Valuation Assumptions";#N/A,#N/A,FALSE,"Summary";#N/A,#N/A,FALSE,"DCF";#N/A,#N/A,FALSE,"Valuation";#N/A,#N/A,FALSE,"WACC";#N/A,#N/A,FALSE,"UBVH";#N/A,#N/A,FALSE,"Free Cash Flow"}</definedName>
    <definedName name="wrn.VALUATION." localSheetId="27">{#N/A,#N/A,FALSE,"Valuation Assumptions";#N/A,#N/A,FALSE,"Summary";#N/A,#N/A,FALSE,"DCF";#N/A,#N/A,FALSE,"Valuation";#N/A,#N/A,FALSE,"WACC";#N/A,#N/A,FALSE,"UBVH";#N/A,#N/A,FALSE,"Free Cash Flow"}</definedName>
    <definedName name="wrn.Weekly._.Scrap._.Report." localSheetId="34">{#N/A,#N/A,TRUE,"GEM Total";#N/A,#N/A,TRUE,"Final Assembly";#N/A,#N/A,TRUE,"Cleaning";#N/A,#N/A,TRUE,"Schooping,Clearing";#N/A,#N/A,TRUE,"Winding"}</definedName>
    <definedName name="wrn.Weekly._.Scrap._.Report." localSheetId="27">{#N/A,#N/A,TRUE,"GEM Total";#N/A,#N/A,TRUE,"Final Assembly";#N/A,#N/A,TRUE,"Cleaning";#N/A,#N/A,TRUE,"Schooping,Clearing";#N/A,#N/A,TRUE,"Winding"}</definedName>
    <definedName name="wrn.weekly._.scrap._.report..." localSheetId="34">{#N/A,#N/A,TRUE,"GEM Total";#N/A,#N/A,TRUE,"Final Assembly";#N/A,#N/A,TRUE,"Cleaning";#N/A,#N/A,TRUE,"Schooping,Clearing";#N/A,#N/A,TRUE,"Winding"}</definedName>
    <definedName name="wrn.weekly._.scrap._.report..." localSheetId="27">{#N/A,#N/A,TRUE,"GEM Total";#N/A,#N/A,TRUE,"Final Assembly";#N/A,#N/A,TRUE,"Cleaning";#N/A,#N/A,TRUE,"Schooping,Clearing";#N/A,#N/A,TRUE,"Winding"}</definedName>
    <definedName name="wrn.wicor." localSheetId="34">{#N/A,#N/A,FALSE,"FACTSHEETS";#N/A,#N/A,FALSE,"pump";#N/A,#N/A,FALSE,"filter"}</definedName>
    <definedName name="wrn.wicor." localSheetId="27">{#N/A,#N/A,FALSE,"FACTSHEETS";#N/A,#N/A,FALSE,"pump";#N/A,#N/A,FALSE,"filter"}</definedName>
    <definedName name="wrn.work._.paper._.shcedules." localSheetId="34">{"summary1",#N/A,FALSE,"Summary of Values";"summary2",#N/A,FALSE,"Summary of Values";"weighted average returns",#N/A,FALSE,"WACC and WARA";"fixed asset detail",#N/A,FALSE,"Fixed Asset Detail"}</definedName>
    <definedName name="wrn.work._.paper._.shcedules." localSheetId="27">{"summary1",#N/A,FALSE,"Summary of Values";"summary2",#N/A,FALSE,"Summary of Values";"weighted average returns",#N/A,FALSE,"WACC and WARA";"fixed asset detail",#N/A,FALSE,"Fixed Asset Detail"}</definedName>
    <definedName name="wrn1.repot" localSheetId="34">{#N/A,#N/A,FALSE,"Budget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1.repot" localSheetId="27">{#N/A,#N/A,FALSE,"Budget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1.summary" localSheetId="34">{#N/A,#N/A,TRUE,"KEY DATA";#N/A,#N/A,TRUE,"KEY DATA Base Case";#N/A,#N/A,TRUE,"JULY";#N/A,#N/A,TRUE,"AUG";#N/A,#N/A,TRUE,"SEPT";#N/A,#N/A,TRUE,"3Q"}</definedName>
    <definedName name="wrn1.summary" localSheetId="27">{#N/A,#N/A,TRUE,"KEY DATA";#N/A,#N/A,TRUE,"KEY DATA Base Case";#N/A,#N/A,TRUE,"JULY";#N/A,#N/A,TRUE,"AUG";#N/A,#N/A,TRUE,"SEPT";#N/A,#N/A,TRUE,"3Q"}</definedName>
    <definedName name="wrn1.summary.." localSheetId="34">{#N/A,#N/A,TRUE,"KEY DATA";#N/A,#N/A,TRUE,"KEY DATA Base Case";#N/A,#N/A,TRUE,"JULY";#N/A,#N/A,TRUE,"AUG";#N/A,#N/A,TRUE,"SEPT";#N/A,#N/A,TRUE,"3Q"}</definedName>
    <definedName name="wrn1.summary.." localSheetId="27">{#N/A,#N/A,TRUE,"KEY DATA";#N/A,#N/A,TRUE,"KEY DATA Base Case";#N/A,#N/A,TRUE,"JULY";#N/A,#N/A,TRUE,"AUG";#N/A,#N/A,TRUE,"SEPT";#N/A,#N/A,TRUE,"3Q"}</definedName>
    <definedName name="wwww"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wwww"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xdfsd" localSheetId="34">{#N/A,#N/A,TRUE,"Acquirer_Cases_Input";#N/A,#N/A,TRUE,"Acquirer_Input";#N/A,#N/A,TRUE,"Acquirer"}</definedName>
    <definedName name="xdfsd" localSheetId="27">{#N/A,#N/A,TRUE,"Acquirer_Cases_Input";#N/A,#N/A,TRUE,"Acquirer_Input";#N/A,#N/A,TRUE,"Acquirer"}</definedName>
    <definedName name="XRefColumnsCount">3</definedName>
    <definedName name="XRefCopyRangeCount">4</definedName>
    <definedName name="XRefPasteRangeCount">27</definedName>
    <definedName name="xx" localSheetId="34">{"summary1",#N/A,FALSE,"Summary of Values";"summary2",#N/A,FALSE,"Summary of Values"}</definedName>
    <definedName name="xx" localSheetId="27">{"summary1",#N/A,FALSE,"Summary of Values";"summary2",#N/A,FALSE,"Summary of Values"}</definedName>
    <definedName name="xxx" localSheetId="34">{"developed valuation",#N/A,FALSE,"Valuation Analysis";"developed income statement",#N/A,FALSE,"Abbreviated Income Statement";"inprocess valuation",#N/A,FALSE,"Valuation Analysis";"inprocess income statement",#N/A,FALSE,"Abbreviated Income Statement"}</definedName>
    <definedName name="xxx" localSheetId="27">{"developed valuation",#N/A,FALSE,"Valuation Analysis";"developed income statement",#N/A,FALSE,"Abbreviated Income Statement";"inprocess valuation",#N/A,FALSE,"Valuation Analysis";"inprocess income statement",#N/A,FALSE,"Abbreviated Income Statement"}</definedName>
    <definedName name="xxxxx" localSheetId="34">{"Total",#N/A,FALSE,"Total Proved";"PDP",#N/A,FALSE,"Total Proved";"PNP",#N/A,FALSE,"Total Proved";"PUD",#N/A,FALSE,"Total Proved"}</definedName>
    <definedName name="xxxxx" localSheetId="27">{"Total",#N/A,FALSE,"Total Proved";"PDP",#N/A,FALSE,"Total Proved";"PNP",#N/A,FALSE,"Total Proved";"PUD",#N/A,FALSE,"Total Proved"}</definedName>
    <definedName name="xxxxxx" localSheetId="34">{"Total",#N/A,FALSE,"Total Proved + Probable";"PDP",#N/A,FALSE,"Total Proved + Probable";"PNP",#N/A,FALSE,"Total Proved + Probable";"PUD",#N/A,FALSE,"Total Proved + Probable";"Prob",#N/A,FALSE,"Total Proved + Probable"}</definedName>
    <definedName name="xxxxxx" localSheetId="27">{"Total",#N/A,FALSE,"Total Proved + Probable";"PDP",#N/A,FALSE,"Total Proved + Probable";"PNP",#N/A,FALSE,"Total Proved + Probable";"PUD",#N/A,FALSE,"Total Proved + Probable";"Prob",#N/A,FALSE,"Total Proved + Probable"}</definedName>
    <definedName name="xxxxxxx" localSheetId="34">{"trademark1",#N/A,FALSE,"Trademark(s) and Trade Name(s)"}</definedName>
    <definedName name="xxxxxxx" localSheetId="27">{"trademark1",#N/A,FALSE,"Trademark(s) and Trade Name(s)"}</definedName>
    <definedName name="xyz" localSheetId="34">{"histincome",#N/A,FALSE,"hyfins";"closing balance",#N/A,FALSE,"hyfins"}</definedName>
    <definedName name="xyz" localSheetId="27">{"histincome",#N/A,FALSE,"hyfins";"closing balance",#N/A,FALSE,"hyfins"}</definedName>
    <definedName name="youh" localSheetId="34">{#N/A,#N/A,FALSE,"AD_Purchase";#N/A,#N/A,FALSE,"Credit";#N/A,#N/A,FALSE,"PF Acquisition";#N/A,#N/A,FALSE,"PF Offering"}</definedName>
    <definedName name="youh" localSheetId="27">{#N/A,#N/A,FALSE,"AD_Purchase";#N/A,#N/A,FALSE,"Credit";#N/A,#N/A,FALSE,"PF Acquisition";#N/A,#N/A,FALSE,"PF Offering"}</definedName>
    <definedName name="ytd.months" localSheetId="15">[4]Inputs!$E$19</definedName>
    <definedName name="ytd.months" localSheetId="2">[5]Inputs!$E$19</definedName>
    <definedName name="ytd.months">Inputs!$E$33</definedName>
    <definedName name="ytg.actual">Inputs!$E$39</definedName>
    <definedName name="ytg.approach">Inputs!$E$36</definedName>
    <definedName name="ytg.mgt">Inputs!$E$40</definedName>
    <definedName name="yy" localSheetId="34">{#N/A,#N/A,TRUE,"Acquirer_Cases_Input";#N/A,#N/A,TRUE,"Acquirer_Input";#N/A,#N/A,TRUE,"Acquirer"}</definedName>
    <definedName name="yy" localSheetId="27">{#N/A,#N/A,TRUE,"Acquirer_Cases_Input";#N/A,#N/A,TRUE,"Acquirer_Input";#N/A,#N/A,TRUE,"Acquirer"}</definedName>
    <definedName name="yyy" localSheetId="34">{#N/A,#N/A,TRUE,"Fiber_Optic_Cable_Input ";#N/A,#N/A,TRUE,"Specialty_Fiber_Devices_Input";#N/A,#N/A,TRUE,"Optical_Fiber_Apparatus_Input"}</definedName>
    <definedName name="yyy" localSheetId="27">{#N/A,#N/A,TRUE,"Fiber_Optic_Cable_Input ";#N/A,#N/A,TRUE,"Specialty_Fiber_Devices_Input";#N/A,#N/A,TRUE,"Optical_Fiber_Apparatus_Input"}</definedName>
    <definedName name="yyyyy" localSheetId="34">{#N/A,#N/A,FALSE,"Quarterly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yyyyy" localSheetId="27">{#N/A,#N/A,FALSE,"Quarterly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z" localSheetId="34">{"CSheet",#N/A,FALSE,"C";"SmCap",#N/A,FALSE,"VAL1";"GulfCoast",#N/A,FALSE,"VAL1";"nav",#N/A,FALSE,"NAV";"Summary",#N/A,FALSE,"NAV"}</definedName>
    <definedName name="z" localSheetId="27">{"CSheet",#N/A,FALSE,"C";"SmCap",#N/A,FALSE,"VAL1";"GulfCoast",#N/A,FALSE,"VAL1";"nav",#N/A,FALSE,"NAV";"Summary",#N/A,FALSE,"NAV"}</definedName>
    <definedName name="zdf" localSheetId="34">{#N/A,#N/A,TRUE,"Falcons_Standalone";#N/A,#N/A,TRUE,"Target_Input";#N/A,#N/A,TRUE,"Target_Calendarized"}</definedName>
    <definedName name="zdf" localSheetId="27">{#N/A,#N/A,TRUE,"Falcons_Standalone";#N/A,#N/A,TRUE,"Target_Input";#N/A,#N/A,TRUE,"Target_Calendarized"}</definedName>
    <definedName name="zz" localSheetId="34">{"summary1",#N/A,FALSE,"Summary of Values";"summary2",#N/A,FALSE,"Summary of Values";"weighted average returns",#N/A,FALSE,"WACC and WARA";"fixed asset detail",#N/A,FALSE,"Fixed Asset Detail"}</definedName>
    <definedName name="zz" localSheetId="27">{"summary1",#N/A,FALSE,"Summary of Values";"summary2",#N/A,FALSE,"Summary of Values";"weighted average returns",#N/A,FALSE,"WACC and WARA";"fixed asset detail",#N/A,FALSE,"Fixed Asset Detail"}</definedName>
    <definedName name="zzz" localSheetId="34">{#N/A,#N/A,TRUE,"GEM Total";#N/A,#N/A,TRUE,"Final Assembly";#N/A,#N/A,TRUE,"Cleaning";#N/A,#N/A,TRUE,"Schooping,Clearing";#N/A,#N/A,TRUE,"Winding"}</definedName>
    <definedName name="zzz" localSheetId="27">{#N/A,#N/A,TRUE,"GEM Total";#N/A,#N/A,TRUE,"Final Assembly";#N/A,#N/A,TRUE,"Cleaning";#N/A,#N/A,TRUE,"Schooping,Clearing";#N/A,#N/A,TRUE,"Winding"}</definedName>
    <definedName name="zzz.." localSheetId="34">{#N/A,#N/A,TRUE,"GEM Total";#N/A,#N/A,TRUE,"Final Assembly";#N/A,#N/A,TRUE,"Cleaning";#N/A,#N/A,TRUE,"Schooping,Clearing";#N/A,#N/A,TRUE,"Winding"}</definedName>
    <definedName name="zzz.." localSheetId="27">{#N/A,#N/A,TRUE,"GEM Total";#N/A,#N/A,TRUE,"Final Assembly";#N/A,#N/A,TRUE,"Cleaning";#N/A,#N/A,TRUE,"Schooping,Clearing";#N/A,#N/A,TRUE,"Winding"}</definedName>
  </definedNames>
  <calcPr calcId="191028" calcMode="autoNoTable" iterate="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03" i="847" l="1"/>
  <c r="J202" i="847"/>
  <c r="J201" i="847"/>
  <c r="J200" i="847"/>
  <c r="J199" i="847"/>
  <c r="J198" i="847"/>
  <c r="J197" i="847"/>
  <c r="J196" i="847"/>
  <c r="J195" i="847"/>
  <c r="J194" i="847"/>
  <c r="Q203" i="847"/>
  <c r="P203" i="847"/>
  <c r="O203" i="847"/>
  <c r="N203" i="847"/>
  <c r="M203" i="847"/>
  <c r="L203" i="847"/>
  <c r="E277" i="847"/>
  <c r="E276" i="847"/>
  <c r="E275" i="847"/>
  <c r="E271" i="847" l="1"/>
  <c r="E272" i="847"/>
  <c r="E273" i="847"/>
  <c r="E274" i="847"/>
  <c r="E270" i="847"/>
  <c r="E254" i="847"/>
  <c r="E253" i="847"/>
  <c r="M233" i="847"/>
  <c r="N233" i="847"/>
  <c r="O233" i="847"/>
  <c r="P233" i="847"/>
  <c r="Q233" i="847"/>
  <c r="M234" i="847"/>
  <c r="N234" i="847"/>
  <c r="O234" i="847"/>
  <c r="P234" i="847"/>
  <c r="Q234" i="847"/>
  <c r="M235" i="847"/>
  <c r="N235" i="847"/>
  <c r="O235" i="847"/>
  <c r="P235" i="847"/>
  <c r="Q235" i="847"/>
  <c r="M236" i="847"/>
  <c r="N236" i="847"/>
  <c r="O236" i="847"/>
  <c r="P236" i="847"/>
  <c r="Q236" i="847"/>
  <c r="M237" i="847"/>
  <c r="N237" i="847"/>
  <c r="O237" i="847"/>
  <c r="P237" i="847"/>
  <c r="Q237" i="847"/>
  <c r="L234" i="847"/>
  <c r="L235" i="847"/>
  <c r="L236" i="847"/>
  <c r="L237" i="847"/>
  <c r="L233" i="847"/>
  <c r="M228" i="847"/>
  <c r="N228" i="847"/>
  <c r="O228" i="847"/>
  <c r="P228" i="847"/>
  <c r="Q228" i="847"/>
  <c r="M229" i="847"/>
  <c r="N229" i="847"/>
  <c r="O229" i="847"/>
  <c r="P229" i="847"/>
  <c r="Q229" i="847"/>
  <c r="M230" i="847"/>
  <c r="N230" i="847"/>
  <c r="O230" i="847"/>
  <c r="P230" i="847"/>
  <c r="Q230" i="847"/>
  <c r="M231" i="847"/>
  <c r="N231" i="847"/>
  <c r="O231" i="847"/>
  <c r="P231" i="847"/>
  <c r="Q231" i="847"/>
  <c r="L229" i="847"/>
  <c r="L230" i="847"/>
  <c r="L231" i="847"/>
  <c r="L228" i="847"/>
  <c r="M223" i="847"/>
  <c r="N223" i="847"/>
  <c r="O223" i="847"/>
  <c r="P223" i="847"/>
  <c r="Q223" i="847"/>
  <c r="L223" i="847"/>
  <c r="J223" i="847"/>
  <c r="M210" i="847"/>
  <c r="N210" i="847"/>
  <c r="O210" i="847"/>
  <c r="P210" i="847"/>
  <c r="Q210" i="847"/>
  <c r="M213" i="847"/>
  <c r="N213" i="847"/>
  <c r="O213" i="847"/>
  <c r="P213" i="847"/>
  <c r="Q213" i="847"/>
  <c r="M216" i="847"/>
  <c r="N216" i="847"/>
  <c r="O216" i="847"/>
  <c r="P216" i="847"/>
  <c r="Q216" i="847"/>
  <c r="M219" i="847"/>
  <c r="N219" i="847"/>
  <c r="O219" i="847"/>
  <c r="P219" i="847"/>
  <c r="Q219" i="847"/>
  <c r="M221" i="847"/>
  <c r="N221" i="847"/>
  <c r="O221" i="847"/>
  <c r="P221" i="847"/>
  <c r="Q221" i="847"/>
  <c r="L221" i="847"/>
  <c r="L219" i="847"/>
  <c r="L216" i="847"/>
  <c r="L213" i="847"/>
  <c r="L210" i="847"/>
  <c r="J221" i="847"/>
  <c r="J218" i="847"/>
  <c r="J215" i="847"/>
  <c r="J212" i="847"/>
  <c r="J209" i="847"/>
  <c r="J207" i="847"/>
  <c r="D203" i="847"/>
  <c r="M191" i="847"/>
  <c r="N191" i="847"/>
  <c r="O191" i="847"/>
  <c r="P191" i="847"/>
  <c r="Q191" i="847"/>
  <c r="L191" i="847"/>
  <c r="J191" i="847"/>
  <c r="M4" i="859"/>
  <c r="M3" i="859"/>
  <c r="M2" i="859"/>
  <c r="M1" i="859"/>
  <c r="N194" i="847"/>
  <c r="O194" i="847"/>
  <c r="P194" i="847"/>
  <c r="Q194" i="847"/>
  <c r="N195" i="847"/>
  <c r="O195" i="847"/>
  <c r="P195" i="847"/>
  <c r="Q195" i="847"/>
  <c r="N196" i="847"/>
  <c r="O196" i="847"/>
  <c r="P196" i="847"/>
  <c r="Q196" i="847"/>
  <c r="N197" i="847"/>
  <c r="O197" i="847"/>
  <c r="P197" i="847"/>
  <c r="Q197" i="847"/>
  <c r="N198" i="847"/>
  <c r="O198" i="847"/>
  <c r="P198" i="847"/>
  <c r="Q198" i="847"/>
  <c r="N199" i="847"/>
  <c r="O199" i="847"/>
  <c r="P199" i="847"/>
  <c r="Q199" i="847"/>
  <c r="N200" i="847"/>
  <c r="O200" i="847"/>
  <c r="P200" i="847"/>
  <c r="Q200" i="847"/>
  <c r="N201" i="847"/>
  <c r="O201" i="847"/>
  <c r="P201" i="847"/>
  <c r="Q201" i="847"/>
  <c r="N202" i="847"/>
  <c r="O202" i="847"/>
  <c r="P202" i="847"/>
  <c r="Q202" i="847"/>
  <c r="M195" i="847"/>
  <c r="M196" i="847"/>
  <c r="M197" i="847"/>
  <c r="M198" i="847"/>
  <c r="M199" i="847"/>
  <c r="M200" i="847"/>
  <c r="M201" i="847"/>
  <c r="M202" i="847"/>
  <c r="M194" i="847"/>
  <c r="E195" i="847"/>
  <c r="E196" i="847"/>
  <c r="E197" i="847"/>
  <c r="E198" i="847"/>
  <c r="E199" i="847"/>
  <c r="E200" i="847"/>
  <c r="E201" i="847"/>
  <c r="E202" i="847"/>
  <c r="E194" i="847"/>
  <c r="E181" i="847"/>
  <c r="D181" i="847" s="1"/>
  <c r="D193" i="847" s="1"/>
  <c r="L195" i="847"/>
  <c r="L196" i="847"/>
  <c r="L197" i="847"/>
  <c r="L198" i="847"/>
  <c r="L199" i="847"/>
  <c r="L200" i="847"/>
  <c r="L201" i="847"/>
  <c r="L202" i="847"/>
  <c r="L194" i="847"/>
  <c r="J190" i="847"/>
  <c r="J189" i="847"/>
  <c r="J188" i="847"/>
  <c r="J187" i="847"/>
  <c r="J186" i="847"/>
  <c r="J185" i="847"/>
  <c r="J184" i="847"/>
  <c r="J183" i="847"/>
  <c r="J182" i="847"/>
  <c r="M182" i="847"/>
  <c r="N182" i="847"/>
  <c r="O182" i="847"/>
  <c r="P182" i="847"/>
  <c r="Q182" i="847"/>
  <c r="M183" i="847"/>
  <c r="N183" i="847"/>
  <c r="O183" i="847"/>
  <c r="P183" i="847"/>
  <c r="Q183" i="847"/>
  <c r="M184" i="847"/>
  <c r="N184" i="847"/>
  <c r="O184" i="847"/>
  <c r="P184" i="847"/>
  <c r="Q184" i="847"/>
  <c r="M185" i="847"/>
  <c r="N185" i="847"/>
  <c r="O185" i="847"/>
  <c r="P185" i="847"/>
  <c r="Q185" i="847"/>
  <c r="M186" i="847"/>
  <c r="N186" i="847"/>
  <c r="O186" i="847"/>
  <c r="P186" i="847"/>
  <c r="Q186" i="847"/>
  <c r="M187" i="847"/>
  <c r="N187" i="847"/>
  <c r="O187" i="847"/>
  <c r="P187" i="847"/>
  <c r="Q187" i="847"/>
  <c r="M188" i="847"/>
  <c r="N188" i="847"/>
  <c r="O188" i="847"/>
  <c r="P188" i="847"/>
  <c r="Q188" i="847"/>
  <c r="M189" i="847"/>
  <c r="N189" i="847"/>
  <c r="O189" i="847"/>
  <c r="P189" i="847"/>
  <c r="Q189" i="847"/>
  <c r="M190" i="847"/>
  <c r="N190" i="847"/>
  <c r="O190" i="847"/>
  <c r="P190" i="847"/>
  <c r="Q190" i="847"/>
  <c r="L183" i="847"/>
  <c r="L184" i="847"/>
  <c r="L185" i="847"/>
  <c r="L186" i="847"/>
  <c r="L187" i="847"/>
  <c r="L188" i="847"/>
  <c r="L189" i="847"/>
  <c r="L190" i="847"/>
  <c r="L182" i="847"/>
  <c r="M167" i="847"/>
  <c r="N167" i="847"/>
  <c r="O167" i="847"/>
  <c r="P167" i="847"/>
  <c r="Q167" i="847"/>
  <c r="M168" i="847"/>
  <c r="N168" i="847"/>
  <c r="O168" i="847"/>
  <c r="P168" i="847"/>
  <c r="Q168" i="847"/>
  <c r="M169" i="847"/>
  <c r="N169" i="847"/>
  <c r="O169" i="847"/>
  <c r="P169" i="847"/>
  <c r="Q169" i="847"/>
  <c r="M170" i="847"/>
  <c r="N170" i="847"/>
  <c r="O170" i="847"/>
  <c r="P170" i="847"/>
  <c r="Q170" i="847"/>
  <c r="M171" i="847"/>
  <c r="N171" i="847"/>
  <c r="O171" i="847"/>
  <c r="P171" i="847"/>
  <c r="Q171" i="847"/>
  <c r="M172" i="847"/>
  <c r="N172" i="847"/>
  <c r="O172" i="847"/>
  <c r="P172" i="847"/>
  <c r="Q172" i="847"/>
  <c r="M173" i="847"/>
  <c r="N173" i="847"/>
  <c r="O173" i="847"/>
  <c r="P173" i="847"/>
  <c r="Q173" i="847"/>
  <c r="M174" i="847"/>
  <c r="N174" i="847"/>
  <c r="O174" i="847"/>
  <c r="P174" i="847"/>
  <c r="Q174" i="847"/>
  <c r="M175" i="847"/>
  <c r="N175" i="847"/>
  <c r="O175" i="847"/>
  <c r="P175" i="847"/>
  <c r="Q175" i="847"/>
  <c r="M176" i="847"/>
  <c r="N176" i="847"/>
  <c r="O176" i="847"/>
  <c r="P176" i="847"/>
  <c r="Q176" i="847"/>
  <c r="M177" i="847"/>
  <c r="N177" i="847"/>
  <c r="O177" i="847"/>
  <c r="P177" i="847"/>
  <c r="Q177" i="847"/>
  <c r="M178" i="847"/>
  <c r="N178" i="847"/>
  <c r="O178" i="847"/>
  <c r="P178" i="847"/>
  <c r="Q178" i="847"/>
  <c r="L168" i="847"/>
  <c r="L169" i="847"/>
  <c r="L170" i="847"/>
  <c r="L171" i="847"/>
  <c r="L172" i="847"/>
  <c r="L173" i="847"/>
  <c r="L174" i="847"/>
  <c r="L175" i="847"/>
  <c r="L176" i="847"/>
  <c r="L177" i="847"/>
  <c r="L178" i="847"/>
  <c r="L167" i="847"/>
  <c r="J163" i="847"/>
  <c r="J162" i="847"/>
  <c r="J161" i="847"/>
  <c r="J160" i="847"/>
  <c r="J159" i="847"/>
  <c r="M159" i="847"/>
  <c r="N159" i="847"/>
  <c r="O159" i="847"/>
  <c r="P159" i="847"/>
  <c r="Q159" i="847"/>
  <c r="M160" i="847"/>
  <c r="N160" i="847"/>
  <c r="O160" i="847"/>
  <c r="P160" i="847"/>
  <c r="Q160" i="847"/>
  <c r="M161" i="847"/>
  <c r="N161" i="847"/>
  <c r="O161" i="847"/>
  <c r="P161" i="847"/>
  <c r="Q161" i="847"/>
  <c r="M162" i="847"/>
  <c r="N162" i="847"/>
  <c r="O162" i="847"/>
  <c r="P162" i="847"/>
  <c r="Q162" i="847"/>
  <c r="M163" i="847"/>
  <c r="N163" i="847"/>
  <c r="O163" i="847"/>
  <c r="P163" i="847"/>
  <c r="Q163" i="847"/>
  <c r="L163" i="847"/>
  <c r="L162" i="847"/>
  <c r="L161" i="847"/>
  <c r="L160" i="847"/>
  <c r="L159" i="847"/>
  <c r="J157" i="847"/>
  <c r="J156" i="847"/>
  <c r="J155" i="847"/>
  <c r="J154" i="847"/>
  <c r="J153" i="847"/>
  <c r="M153" i="847"/>
  <c r="N153" i="847"/>
  <c r="O153" i="847"/>
  <c r="P153" i="847"/>
  <c r="Q153" i="847"/>
  <c r="M154" i="847"/>
  <c r="N154" i="847"/>
  <c r="O154" i="847"/>
  <c r="P154" i="847"/>
  <c r="Q154" i="847"/>
  <c r="M155" i="847"/>
  <c r="N155" i="847"/>
  <c r="O155" i="847"/>
  <c r="P155" i="847"/>
  <c r="Q155" i="847"/>
  <c r="M156" i="847"/>
  <c r="N156" i="847"/>
  <c r="O156" i="847"/>
  <c r="P156" i="847"/>
  <c r="Q156" i="847"/>
  <c r="M157" i="847"/>
  <c r="N157" i="847"/>
  <c r="O157" i="847"/>
  <c r="P157" i="847"/>
  <c r="Q157" i="847"/>
  <c r="L157" i="847"/>
  <c r="L156" i="847"/>
  <c r="L155" i="847"/>
  <c r="L154" i="847"/>
  <c r="L153" i="847"/>
  <c r="J132" i="847"/>
  <c r="J131" i="847"/>
  <c r="J130" i="847"/>
  <c r="J129" i="847"/>
  <c r="J138" i="847"/>
  <c r="J137" i="847"/>
  <c r="J136" i="847"/>
  <c r="J135" i="847"/>
  <c r="J144" i="847"/>
  <c r="J143" i="847"/>
  <c r="J142" i="847"/>
  <c r="J141" i="847"/>
  <c r="J151" i="847"/>
  <c r="J150" i="847"/>
  <c r="J149" i="847"/>
  <c r="J148" i="847"/>
  <c r="J147" i="847"/>
  <c r="M147" i="847"/>
  <c r="N147" i="847"/>
  <c r="O147" i="847"/>
  <c r="P147" i="847"/>
  <c r="Q147" i="847"/>
  <c r="M148" i="847"/>
  <c r="N148" i="847"/>
  <c r="O148" i="847"/>
  <c r="P148" i="847"/>
  <c r="Q148" i="847"/>
  <c r="M149" i="847"/>
  <c r="N149" i="847"/>
  <c r="O149" i="847"/>
  <c r="P149" i="847"/>
  <c r="Q149" i="847"/>
  <c r="M150" i="847"/>
  <c r="N150" i="847"/>
  <c r="O150" i="847"/>
  <c r="P150" i="847"/>
  <c r="Q150" i="847"/>
  <c r="M151" i="847"/>
  <c r="N151" i="847"/>
  <c r="O151" i="847"/>
  <c r="P151" i="847"/>
  <c r="Q151" i="847"/>
  <c r="L151" i="847"/>
  <c r="L150" i="847"/>
  <c r="L149" i="847"/>
  <c r="L148" i="847"/>
  <c r="L147" i="847"/>
  <c r="M141" i="847"/>
  <c r="N141" i="847"/>
  <c r="O141" i="847"/>
  <c r="P141" i="847"/>
  <c r="Q141" i="847"/>
  <c r="M142" i="847"/>
  <c r="N142" i="847"/>
  <c r="O142" i="847"/>
  <c r="P142" i="847"/>
  <c r="Q142" i="847"/>
  <c r="M143" i="847"/>
  <c r="N143" i="847"/>
  <c r="O143" i="847"/>
  <c r="P143" i="847"/>
  <c r="Q143" i="847"/>
  <c r="M144" i="847"/>
  <c r="N144" i="847"/>
  <c r="O144" i="847"/>
  <c r="P144" i="847"/>
  <c r="Q144" i="847"/>
  <c r="L142" i="847"/>
  <c r="L143" i="847"/>
  <c r="L144" i="847"/>
  <c r="L141" i="847"/>
  <c r="M135" i="847"/>
  <c r="N135" i="847"/>
  <c r="O135" i="847"/>
  <c r="P135" i="847"/>
  <c r="Q135" i="847"/>
  <c r="M136" i="847"/>
  <c r="N136" i="847"/>
  <c r="O136" i="847"/>
  <c r="P136" i="847"/>
  <c r="Q136" i="847"/>
  <c r="M137" i="847"/>
  <c r="N137" i="847"/>
  <c r="O137" i="847"/>
  <c r="P137" i="847"/>
  <c r="Q137" i="847"/>
  <c r="M138" i="847"/>
  <c r="N138" i="847"/>
  <c r="O138" i="847"/>
  <c r="P138" i="847"/>
  <c r="Q138" i="847"/>
  <c r="L136" i="847"/>
  <c r="L137" i="847"/>
  <c r="L138" i="847"/>
  <c r="L135" i="847"/>
  <c r="M129" i="847"/>
  <c r="N129" i="847"/>
  <c r="O129" i="847"/>
  <c r="P129" i="847"/>
  <c r="Q129" i="847"/>
  <c r="M130" i="847"/>
  <c r="N130" i="847"/>
  <c r="O130" i="847"/>
  <c r="P130" i="847"/>
  <c r="Q130" i="847"/>
  <c r="M131" i="847"/>
  <c r="N131" i="847"/>
  <c r="O131" i="847"/>
  <c r="P131" i="847"/>
  <c r="Q131" i="847"/>
  <c r="M132" i="847"/>
  <c r="N132" i="847"/>
  <c r="O132" i="847"/>
  <c r="P132" i="847"/>
  <c r="Q132" i="847"/>
  <c r="L130" i="847"/>
  <c r="L131" i="847"/>
  <c r="L132" i="847"/>
  <c r="L129" i="847"/>
  <c r="J125" i="847"/>
  <c r="J124" i="847"/>
  <c r="J123" i="847"/>
  <c r="J122" i="847"/>
  <c r="J121" i="847"/>
  <c r="J120" i="847"/>
  <c r="J119" i="847"/>
  <c r="J118" i="847"/>
  <c r="J117" i="847"/>
  <c r="J116" i="847"/>
  <c r="J115" i="847"/>
  <c r="J114" i="847"/>
  <c r="M123" i="847"/>
  <c r="M124" i="847"/>
  <c r="M125" i="847"/>
  <c r="M122" i="847"/>
  <c r="L123" i="847"/>
  <c r="L124" i="847"/>
  <c r="L125" i="847"/>
  <c r="L122" i="847"/>
  <c r="N118" i="847"/>
  <c r="O118" i="847"/>
  <c r="P118" i="847"/>
  <c r="Q118" i="847"/>
  <c r="N119" i="847"/>
  <c r="O119" i="847"/>
  <c r="P119" i="847"/>
  <c r="Q119" i="847"/>
  <c r="N120" i="847"/>
  <c r="O120" i="847"/>
  <c r="P120" i="847"/>
  <c r="Q120" i="847"/>
  <c r="N121" i="847"/>
  <c r="O121" i="847"/>
  <c r="P121" i="847"/>
  <c r="Q121" i="847"/>
  <c r="M119" i="847"/>
  <c r="M120" i="847"/>
  <c r="M121" i="847"/>
  <c r="M118" i="847"/>
  <c r="L119" i="847"/>
  <c r="L120" i="847"/>
  <c r="L121" i="847"/>
  <c r="L118" i="847"/>
  <c r="N114" i="847"/>
  <c r="O114" i="847"/>
  <c r="P114" i="847"/>
  <c r="Q114" i="847"/>
  <c r="N115" i="847"/>
  <c r="O115" i="847"/>
  <c r="P115" i="847"/>
  <c r="Q115" i="847"/>
  <c r="N116" i="847"/>
  <c r="O116" i="847"/>
  <c r="P116" i="847"/>
  <c r="Q116" i="847"/>
  <c r="N117" i="847"/>
  <c r="O117" i="847"/>
  <c r="P117" i="847"/>
  <c r="Q117" i="847"/>
  <c r="M115" i="847"/>
  <c r="M116" i="847"/>
  <c r="M117" i="847"/>
  <c r="M114" i="847"/>
  <c r="L115" i="847"/>
  <c r="L116" i="847"/>
  <c r="L117" i="847"/>
  <c r="L114" i="847"/>
  <c r="J109" i="847"/>
  <c r="J110" i="847"/>
  <c r="J111" i="847"/>
  <c r="J108" i="847"/>
  <c r="J105" i="847"/>
  <c r="J106" i="847"/>
  <c r="J107" i="847"/>
  <c r="J104" i="847"/>
  <c r="J101" i="847"/>
  <c r="J102" i="847"/>
  <c r="J103" i="847"/>
  <c r="J100" i="847"/>
  <c r="N108" i="847"/>
  <c r="O108" i="847"/>
  <c r="P108" i="847"/>
  <c r="Q108" i="847"/>
  <c r="N109" i="847"/>
  <c r="O109" i="847"/>
  <c r="P109" i="847"/>
  <c r="Q109" i="847"/>
  <c r="N110" i="847"/>
  <c r="O110" i="847"/>
  <c r="P110" i="847"/>
  <c r="Q110" i="847"/>
  <c r="N111" i="847"/>
  <c r="O111" i="847"/>
  <c r="P111" i="847"/>
  <c r="Q111" i="847"/>
  <c r="M109" i="847"/>
  <c r="M110" i="847"/>
  <c r="M111" i="847"/>
  <c r="M108" i="847"/>
  <c r="L109" i="847"/>
  <c r="L110" i="847"/>
  <c r="L111" i="847"/>
  <c r="L108" i="847"/>
  <c r="N104" i="847"/>
  <c r="O104" i="847"/>
  <c r="P104" i="847"/>
  <c r="Q104" i="847"/>
  <c r="N105" i="847"/>
  <c r="O105" i="847"/>
  <c r="P105" i="847"/>
  <c r="Q105" i="847"/>
  <c r="N106" i="847"/>
  <c r="O106" i="847"/>
  <c r="P106" i="847"/>
  <c r="Q106" i="847"/>
  <c r="N107" i="847"/>
  <c r="O107" i="847"/>
  <c r="P107" i="847"/>
  <c r="Q107" i="847"/>
  <c r="M105" i="847"/>
  <c r="M106" i="847"/>
  <c r="M107" i="847"/>
  <c r="M104" i="847"/>
  <c r="L105" i="847"/>
  <c r="L106" i="847"/>
  <c r="L107" i="847"/>
  <c r="L104" i="847"/>
  <c r="M101" i="847"/>
  <c r="N101" i="847"/>
  <c r="O101" i="847"/>
  <c r="P101" i="847"/>
  <c r="Q101" i="847"/>
  <c r="M102" i="847"/>
  <c r="N102" i="847"/>
  <c r="O102" i="847"/>
  <c r="P102" i="847"/>
  <c r="Q102" i="847"/>
  <c r="M103" i="847"/>
  <c r="N103" i="847"/>
  <c r="O103" i="847"/>
  <c r="P103" i="847"/>
  <c r="Q103" i="847"/>
  <c r="N100" i="847"/>
  <c r="O100" i="847"/>
  <c r="P100" i="847"/>
  <c r="Q100" i="847"/>
  <c r="M100" i="847"/>
  <c r="L101" i="847"/>
  <c r="L102" i="847"/>
  <c r="L103" i="847"/>
  <c r="L100" i="847"/>
  <c r="K93" i="847"/>
  <c r="K94" i="847"/>
  <c r="K95" i="847"/>
  <c r="K92" i="847"/>
  <c r="E88" i="847"/>
  <c r="E89" i="847"/>
  <c r="E90" i="847"/>
  <c r="E87" i="847"/>
  <c r="E83" i="847"/>
  <c r="E84" i="847"/>
  <c r="E85" i="847"/>
  <c r="E82" i="847"/>
  <c r="D76" i="847"/>
  <c r="E78" i="847"/>
  <c r="E79" i="847"/>
  <c r="E80" i="847"/>
  <c r="E77" i="847"/>
  <c r="N46" i="859"/>
  <c r="E49" i="847"/>
  <c r="E50" i="847"/>
  <c r="H49" i="847" s="1"/>
  <c r="E67" i="847"/>
  <c r="E66" i="847"/>
  <c r="E65" i="847"/>
  <c r="E64" i="847"/>
  <c r="E63" i="847"/>
  <c r="E56" i="847"/>
  <c r="E55" i="847"/>
  <c r="E54" i="847"/>
  <c r="E53" i="847"/>
  <c r="E52" i="847"/>
  <c r="E45" i="847"/>
  <c r="F45" i="847" s="1"/>
  <c r="E44" i="847"/>
  <c r="E43" i="847"/>
  <c r="E36" i="847"/>
  <c r="E30" i="847"/>
  <c r="E29" i="847"/>
  <c r="F15" i="847"/>
  <c r="F14" i="847"/>
  <c r="E25" i="847"/>
  <c r="E20" i="847"/>
  <c r="E19" i="847"/>
  <c r="E18" i="847"/>
  <c r="E12" i="847"/>
  <c r="F12" i="847" s="1"/>
  <c r="E11" i="847"/>
  <c r="F11" i="847" s="1"/>
  <c r="E13" i="847"/>
  <c r="F13" i="847" s="1"/>
  <c r="D191" i="847" l="1"/>
  <c r="G26" i="847"/>
  <c r="E13" i="92"/>
  <c r="E12" i="92"/>
  <c r="E11" i="92"/>
  <c r="L277" i="859"/>
  <c r="L264" i="859"/>
  <c r="L305" i="859" s="1"/>
  <c r="L321" i="859" s="1"/>
  <c r="F240" i="859"/>
  <c r="F257" i="859" s="1"/>
  <c r="F289" i="859" s="1"/>
  <c r="F302" i="859" s="1"/>
  <c r="Q193" i="859"/>
  <c r="Q243" i="859" s="1"/>
  <c r="P193" i="859"/>
  <c r="P243" i="859" s="1"/>
  <c r="O193" i="859"/>
  <c r="O243" i="859" s="1"/>
  <c r="O264" i="859" s="1"/>
  <c r="O305" i="859" s="1"/>
  <c r="O321" i="859" s="1"/>
  <c r="N193" i="859"/>
  <c r="N243" i="859" s="1"/>
  <c r="M193" i="859"/>
  <c r="M243" i="859" s="1"/>
  <c r="F67" i="859"/>
  <c r="N35" i="859" a="1"/>
  <c r="N35" i="859" s="1"/>
  <c r="J34" i="859"/>
  <c r="N33" i="859"/>
  <c r="N27" i="859"/>
  <c r="E24" i="847" s="1"/>
  <c r="O21" i="859"/>
  <c r="E21" i="847" s="1"/>
  <c r="M20" i="859"/>
  <c r="G14" i="859"/>
  <c r="G25" i="859" s="1"/>
  <c r="G30" i="859" s="1"/>
  <c r="G38" i="859" s="1"/>
  <c r="G44" i="859" s="1"/>
  <c r="G63" i="859" s="1"/>
  <c r="N11" i="859"/>
  <c r="N10" i="859"/>
  <c r="N9" i="859"/>
  <c r="N8" i="859"/>
  <c r="N7" i="859"/>
  <c r="N34" i="859" l="1"/>
  <c r="E33" i="847"/>
  <c r="P277" i="859"/>
  <c r="P292" i="859" s="1"/>
  <c r="P264" i="859"/>
  <c r="P305" i="859" s="1"/>
  <c r="P321" i="859" s="1"/>
  <c r="Q277" i="859"/>
  <c r="Q292" i="859" s="1"/>
  <c r="Q264" i="859"/>
  <c r="Q305" i="859" s="1"/>
  <c r="Q321" i="859" s="1"/>
  <c r="M277" i="859"/>
  <c r="M292" i="859" s="1"/>
  <c r="M264" i="859"/>
  <c r="M305" i="859" s="1"/>
  <c r="M321" i="859" s="1"/>
  <c r="N264" i="859"/>
  <c r="N305" i="859" s="1"/>
  <c r="N321" i="859" s="1"/>
  <c r="N277" i="859"/>
  <c r="N292" i="859" s="1"/>
  <c r="O277" i="859"/>
  <c r="O292" i="859" s="1"/>
  <c r="E26" i="847"/>
  <c r="E85" i="92" l="1"/>
  <c r="D80" i="92" l="1"/>
  <c r="F80" i="92" s="1"/>
  <c r="D81" i="92"/>
  <c r="F81" i="92" s="1"/>
  <c r="D82" i="92"/>
  <c r="F82" i="92" s="1"/>
  <c r="D83" i="92"/>
  <c r="F83" i="92" s="1"/>
  <c r="D84" i="92"/>
  <c r="F84" i="92" s="1"/>
  <c r="C80" i="92"/>
  <c r="C81" i="92"/>
  <c r="C82" i="92"/>
  <c r="C83" i="92"/>
  <c r="C84" i="92"/>
  <c r="F85" i="92" l="1"/>
  <c r="E182" i="856"/>
  <c r="E181" i="856"/>
  <c r="E180" i="856"/>
  <c r="A513" i="856"/>
  <c r="A514" i="856" s="1"/>
  <c r="A515" i="856" s="1"/>
  <c r="A516" i="856" s="1"/>
  <c r="A517" i="856" s="1"/>
  <c r="C170" i="856"/>
  <c r="C64" i="856"/>
  <c r="C69" i="856"/>
  <c r="C70" i="856"/>
  <c r="I5" i="854"/>
  <c r="I3" i="854"/>
  <c r="A4" i="856"/>
  <c r="A5" i="856" s="1"/>
  <c r="A6" i="856" s="1"/>
  <c r="A7" i="856" s="1"/>
  <c r="F71" i="844"/>
  <c r="E71" i="844"/>
  <c r="D71" i="844" s="1"/>
  <c r="E50" i="844"/>
  <c r="D50" i="844" s="1"/>
  <c r="A480" i="856"/>
  <c r="A481" i="856" s="1"/>
  <c r="A482" i="856" s="1"/>
  <c r="A483" i="856" s="1"/>
  <c r="A484" i="856" s="1"/>
  <c r="A485" i="856" s="1"/>
  <c r="A486" i="856" s="1"/>
  <c r="A487" i="856" s="1"/>
  <c r="A488" i="856" s="1"/>
  <c r="A489" i="856" s="1"/>
  <c r="A490" i="856" s="1"/>
  <c r="A491" i="856" s="1"/>
  <c r="A492" i="856" s="1"/>
  <c r="A493" i="856" s="1"/>
  <c r="A494" i="856" s="1"/>
  <c r="A495" i="856" s="1"/>
  <c r="A496" i="856" s="1"/>
  <c r="A497" i="856" s="1"/>
  <c r="A498" i="856" s="1"/>
  <c r="A499" i="856" s="1"/>
  <c r="A500" i="856" s="1"/>
  <c r="A501" i="856" s="1"/>
  <c r="A502" i="856" s="1"/>
  <c r="A503" i="856" s="1"/>
  <c r="A504" i="856" s="1"/>
  <c r="A505" i="856" s="1"/>
  <c r="A506" i="856" s="1"/>
  <c r="A507" i="856" s="1"/>
  <c r="A508" i="856" s="1"/>
  <c r="A509" i="856" s="1"/>
  <c r="A510" i="856" s="1"/>
  <c r="A511" i="856" s="1"/>
  <c r="A512" i="856" s="1"/>
  <c r="A433" i="856"/>
  <c r="A434" i="856" s="1"/>
  <c r="A435" i="856" s="1"/>
  <c r="A436" i="856" s="1"/>
  <c r="A437" i="856" s="1"/>
  <c r="A438" i="856" s="1"/>
  <c r="A439" i="856" s="1"/>
  <c r="A440" i="856" s="1"/>
  <c r="A441" i="856" s="1"/>
  <c r="A442" i="856" s="1"/>
  <c r="A443" i="856" s="1"/>
  <c r="A444" i="856" s="1"/>
  <c r="A445" i="856" s="1"/>
  <c r="A446" i="856" s="1"/>
  <c r="A447" i="856" s="1"/>
  <c r="A448" i="856" s="1"/>
  <c r="A449" i="856" s="1"/>
  <c r="A450" i="856" s="1"/>
  <c r="A451" i="856" s="1"/>
  <c r="A452" i="856" s="1"/>
  <c r="A453" i="856" s="1"/>
  <c r="A454" i="856" s="1"/>
  <c r="A455" i="856" s="1"/>
  <c r="A456" i="856" s="1"/>
  <c r="A457" i="856" s="1"/>
  <c r="A458" i="856" s="1"/>
  <c r="A459" i="856" s="1"/>
  <c r="A460" i="856" s="1"/>
  <c r="A461" i="856" s="1"/>
  <c r="A462" i="856" s="1"/>
  <c r="A463" i="856" s="1"/>
  <c r="A464" i="856" s="1"/>
  <c r="A465" i="856" s="1"/>
  <c r="A466" i="856" s="1"/>
  <c r="A467" i="856" s="1"/>
  <c r="A468" i="856" s="1"/>
  <c r="A469" i="856" s="1"/>
  <c r="A470" i="856" s="1"/>
  <c r="A386" i="856"/>
  <c r="A387" i="856" s="1"/>
  <c r="A388" i="856" s="1"/>
  <c r="A389" i="856" s="1"/>
  <c r="A390" i="856" s="1"/>
  <c r="A391" i="856" s="1"/>
  <c r="A392" i="856" s="1"/>
  <c r="A393" i="856" s="1"/>
  <c r="A394" i="856" s="1"/>
  <c r="A395" i="856" s="1"/>
  <c r="A396" i="856" s="1"/>
  <c r="A397" i="856" s="1"/>
  <c r="A398" i="856" s="1"/>
  <c r="A399" i="856" s="1"/>
  <c r="A400" i="856" s="1"/>
  <c r="A401" i="856" s="1"/>
  <c r="A402" i="856" s="1"/>
  <c r="A403" i="856" s="1"/>
  <c r="A404" i="856" s="1"/>
  <c r="A405" i="856" s="1"/>
  <c r="A406" i="856" s="1"/>
  <c r="A407" i="856" s="1"/>
  <c r="A408" i="856" s="1"/>
  <c r="A409" i="856" s="1"/>
  <c r="A410" i="856" s="1"/>
  <c r="A411" i="856" s="1"/>
  <c r="A412" i="856" s="1"/>
  <c r="A413" i="856" s="1"/>
  <c r="A414" i="856" s="1"/>
  <c r="A415" i="856" s="1"/>
  <c r="A416" i="856" s="1"/>
  <c r="A417" i="856" s="1"/>
  <c r="A418" i="856" s="1"/>
  <c r="A419" i="856" s="1"/>
  <c r="A420" i="856" s="1"/>
  <c r="A421" i="856" s="1"/>
  <c r="A422" i="856" s="1"/>
  <c r="A423" i="856" s="1"/>
  <c r="A339" i="856"/>
  <c r="A340" i="856" s="1"/>
  <c r="A341" i="856" s="1"/>
  <c r="A342" i="856" s="1"/>
  <c r="A343" i="856" s="1"/>
  <c r="A344" i="856" s="1"/>
  <c r="A345" i="856" s="1"/>
  <c r="A346" i="856" s="1"/>
  <c r="A347" i="856" s="1"/>
  <c r="A348" i="856" s="1"/>
  <c r="A349" i="856" s="1"/>
  <c r="A350" i="856" s="1"/>
  <c r="A351" i="856" s="1"/>
  <c r="A352" i="856" s="1"/>
  <c r="A353" i="856" s="1"/>
  <c r="A354" i="856" s="1"/>
  <c r="A355" i="856" s="1"/>
  <c r="A356" i="856" s="1"/>
  <c r="A357" i="856" s="1"/>
  <c r="A358" i="856" s="1"/>
  <c r="A359" i="856" s="1"/>
  <c r="A360" i="856" s="1"/>
  <c r="A361" i="856" s="1"/>
  <c r="A362" i="856" s="1"/>
  <c r="A363" i="856" s="1"/>
  <c r="A364" i="856" s="1"/>
  <c r="A365" i="856" s="1"/>
  <c r="A366" i="856" s="1"/>
  <c r="A367" i="856" s="1"/>
  <c r="A368" i="856" s="1"/>
  <c r="A369" i="856" s="1"/>
  <c r="A370" i="856" s="1"/>
  <c r="A371" i="856" s="1"/>
  <c r="A372" i="856" s="1"/>
  <c r="A373" i="856" s="1"/>
  <c r="A374" i="856" s="1"/>
  <c r="A375" i="856" s="1"/>
  <c r="A376" i="856" s="1"/>
  <c r="A292" i="856"/>
  <c r="A293" i="856" s="1"/>
  <c r="A294" i="856" s="1"/>
  <c r="A295" i="856" s="1"/>
  <c r="A296" i="856" s="1"/>
  <c r="A297" i="856" s="1"/>
  <c r="A298" i="856" s="1"/>
  <c r="A299" i="856" s="1"/>
  <c r="A300" i="856" s="1"/>
  <c r="A301" i="856" s="1"/>
  <c r="A302" i="856" s="1"/>
  <c r="A303" i="856" s="1"/>
  <c r="A304" i="856" s="1"/>
  <c r="A305" i="856" s="1"/>
  <c r="A306" i="856" s="1"/>
  <c r="A307" i="856" s="1"/>
  <c r="A308" i="856" s="1"/>
  <c r="A309" i="856" s="1"/>
  <c r="A310" i="856" s="1"/>
  <c r="A311" i="856" s="1"/>
  <c r="A312" i="856" s="1"/>
  <c r="A313" i="856" s="1"/>
  <c r="A314" i="856" s="1"/>
  <c r="A315" i="856" s="1"/>
  <c r="A316" i="856" s="1"/>
  <c r="A317" i="856" s="1"/>
  <c r="A318" i="856" s="1"/>
  <c r="A319" i="856" s="1"/>
  <c r="A320" i="856" s="1"/>
  <c r="A321" i="856" s="1"/>
  <c r="A322" i="856" s="1"/>
  <c r="A323" i="856" s="1"/>
  <c r="A324" i="856" s="1"/>
  <c r="A325" i="856" s="1"/>
  <c r="A326" i="856" s="1"/>
  <c r="A327" i="856" s="1"/>
  <c r="A328" i="856" s="1"/>
  <c r="A329" i="856" s="1"/>
  <c r="A245" i="856"/>
  <c r="A246" i="856" s="1"/>
  <c r="A247" i="856" s="1"/>
  <c r="A248" i="856" s="1"/>
  <c r="A249" i="856" s="1"/>
  <c r="A250" i="856" s="1"/>
  <c r="A251" i="856" s="1"/>
  <c r="A252" i="856" s="1"/>
  <c r="A253" i="856" s="1"/>
  <c r="A254" i="856" s="1"/>
  <c r="A255" i="856" s="1"/>
  <c r="A256" i="856" s="1"/>
  <c r="A257" i="856" s="1"/>
  <c r="A258" i="856" s="1"/>
  <c r="A259" i="856" s="1"/>
  <c r="A260" i="856" s="1"/>
  <c r="A261" i="856" s="1"/>
  <c r="A262" i="856" s="1"/>
  <c r="A263" i="856" s="1"/>
  <c r="A264" i="856" s="1"/>
  <c r="A265" i="856" s="1"/>
  <c r="A266" i="856" s="1"/>
  <c r="A267" i="856" s="1"/>
  <c r="A268" i="856" s="1"/>
  <c r="A269" i="856" s="1"/>
  <c r="A270" i="856" s="1"/>
  <c r="A271" i="856" s="1"/>
  <c r="A272" i="856" s="1"/>
  <c r="A273" i="856" s="1"/>
  <c r="A274" i="856" s="1"/>
  <c r="A275" i="856" s="1"/>
  <c r="A276" i="856" s="1"/>
  <c r="A277" i="856" s="1"/>
  <c r="A278" i="856" s="1"/>
  <c r="A279" i="856" s="1"/>
  <c r="A280" i="856" s="1"/>
  <c r="A281" i="856" s="1"/>
  <c r="A282" i="856" s="1"/>
  <c r="A145" i="856"/>
  <c r="A146" i="856" s="1"/>
  <c r="A147" i="856" s="1"/>
  <c r="A148" i="856" s="1"/>
  <c r="A149" i="856" s="1"/>
  <c r="A150" i="856" s="1"/>
  <c r="A151" i="856" s="1"/>
  <c r="A152" i="856" s="1"/>
  <c r="A153" i="856" s="1"/>
  <c r="A154" i="856" s="1"/>
  <c r="A155" i="856" s="1"/>
  <c r="A156" i="856" s="1"/>
  <c r="A157" i="856" s="1"/>
  <c r="A158" i="856" s="1"/>
  <c r="A159" i="856" s="1"/>
  <c r="A160" i="856" s="1"/>
  <c r="A161" i="856" s="1"/>
  <c r="A162" i="856" s="1"/>
  <c r="A163" i="856" s="1"/>
  <c r="A164" i="856" s="1"/>
  <c r="A165" i="856" s="1"/>
  <c r="A166" i="856" s="1"/>
  <c r="A167" i="856" s="1"/>
  <c r="A168" i="856" s="1"/>
  <c r="A169" i="856" s="1"/>
  <c r="A170" i="856" s="1"/>
  <c r="A171" i="856" s="1"/>
  <c r="A172" i="856" s="1"/>
  <c r="A173" i="856" s="1"/>
  <c r="A174" i="856" s="1"/>
  <c r="A175" i="856" s="1"/>
  <c r="A176" i="856" s="1"/>
  <c r="A177" i="856" s="1"/>
  <c r="A178" i="856" s="1"/>
  <c r="A179" i="856" s="1"/>
  <c r="A180" i="856" s="1"/>
  <c r="A181" i="856" s="1"/>
  <c r="A182" i="856" s="1"/>
  <c r="A183" i="856" s="1"/>
  <c r="A184" i="856" s="1"/>
  <c r="A185" i="856" s="1"/>
  <c r="A186" i="856" s="1"/>
  <c r="A187" i="856" s="1"/>
  <c r="A98" i="856"/>
  <c r="A99" i="856" s="1"/>
  <c r="A100" i="856" s="1"/>
  <c r="A101" i="856" s="1"/>
  <c r="A102" i="856" s="1"/>
  <c r="A103" i="856" s="1"/>
  <c r="A51" i="856"/>
  <c r="A52" i="856" s="1"/>
  <c r="A53" i="856" s="1"/>
  <c r="A54" i="856" s="1"/>
  <c r="A55" i="856" s="1"/>
  <c r="A56" i="856" s="1"/>
  <c r="A57" i="856" s="1"/>
  <c r="A197" i="856"/>
  <c r="A198" i="856" s="1"/>
  <c r="A199" i="856" s="1"/>
  <c r="A200" i="856" s="1"/>
  <c r="A201" i="856" s="1"/>
  <c r="A202" i="856" s="1"/>
  <c r="A203" i="856" s="1"/>
  <c r="A204" i="856" s="1"/>
  <c r="A205" i="856" s="1"/>
  <c r="A206" i="856" s="1"/>
  <c r="A207" i="856" s="1"/>
  <c r="A208" i="856" s="1"/>
  <c r="A209" i="856" s="1"/>
  <c r="A210" i="856" s="1"/>
  <c r="A211" i="856" s="1"/>
  <c r="A212" i="856" s="1"/>
  <c r="S62" i="840"/>
  <c r="R62" i="840"/>
  <c r="Q62" i="840"/>
  <c r="P62" i="840"/>
  <c r="S61" i="840"/>
  <c r="R61" i="840"/>
  <c r="Q61" i="840"/>
  <c r="P61" i="840"/>
  <c r="S60" i="840"/>
  <c r="R60" i="840"/>
  <c r="Q60" i="840"/>
  <c r="P60" i="840"/>
  <c r="S59" i="840"/>
  <c r="R59" i="840"/>
  <c r="Q59" i="840"/>
  <c r="P59" i="840"/>
  <c r="S58" i="840"/>
  <c r="R58" i="840"/>
  <c r="Q58" i="840"/>
  <c r="P58" i="840"/>
  <c r="S57" i="840"/>
  <c r="R57" i="840"/>
  <c r="Q57" i="840"/>
  <c r="P57" i="840"/>
  <c r="S56" i="840"/>
  <c r="R56" i="840"/>
  <c r="Q56" i="840"/>
  <c r="P56" i="840"/>
  <c r="S55" i="840"/>
  <c r="P55" i="840"/>
  <c r="O61" i="840"/>
  <c r="O62" i="840"/>
  <c r="O57" i="840"/>
  <c r="O58" i="840"/>
  <c r="O59" i="840"/>
  <c r="O60" i="840"/>
  <c r="O56" i="840"/>
  <c r="S33" i="840"/>
  <c r="R33" i="840"/>
  <c r="Q33" i="840"/>
  <c r="S32" i="840"/>
  <c r="R32" i="840"/>
  <c r="Q32" i="840"/>
  <c r="Z31" i="840"/>
  <c r="Y31" i="840"/>
  <c r="X31" i="840"/>
  <c r="W31" i="840"/>
  <c r="S31" i="840"/>
  <c r="R31" i="840"/>
  <c r="Q31" i="840"/>
  <c r="P33" i="840"/>
  <c r="P32" i="840"/>
  <c r="P31" i="840"/>
  <c r="P107" i="840"/>
  <c r="P100" i="840"/>
  <c r="P99" i="840"/>
  <c r="P98" i="840"/>
  <c r="P97" i="840"/>
  <c r="P96" i="840"/>
  <c r="P95" i="840"/>
  <c r="P93" i="840"/>
  <c r="P92" i="840"/>
  <c r="P91" i="840"/>
  <c r="P90" i="840"/>
  <c r="P89" i="840"/>
  <c r="P84" i="840"/>
  <c r="P83" i="840"/>
  <c r="P82" i="840"/>
  <c r="P81" i="840"/>
  <c r="P80" i="840"/>
  <c r="P79" i="840"/>
  <c r="P77" i="840"/>
  <c r="P76" i="840"/>
  <c r="P75" i="840"/>
  <c r="P74" i="840"/>
  <c r="P73" i="840"/>
  <c r="P68" i="840"/>
  <c r="P67" i="840"/>
  <c r="P66" i="840"/>
  <c r="P51" i="840"/>
  <c r="P47" i="840"/>
  <c r="P46" i="840"/>
  <c r="P45" i="840"/>
  <c r="P44" i="840"/>
  <c r="P43" i="840"/>
  <c r="P42" i="840"/>
  <c r="P41" i="840"/>
  <c r="P40" i="840"/>
  <c r="P39" i="840"/>
  <c r="P38" i="840"/>
  <c r="P37" i="840"/>
  <c r="P36" i="840"/>
  <c r="T66" i="2"/>
  <c r="T63" i="2"/>
  <c r="T60" i="2"/>
  <c r="T58" i="2"/>
  <c r="T57" i="2"/>
  <c r="T56" i="2"/>
  <c r="T55" i="2"/>
  <c r="T54" i="2"/>
  <c r="T53" i="2"/>
  <c r="T51" i="2"/>
  <c r="T42" i="2"/>
  <c r="T41" i="2"/>
  <c r="T39" i="2"/>
  <c r="T25" i="2"/>
  <c r="T24" i="2"/>
  <c r="F50" i="844" l="1"/>
  <c r="A8" i="856"/>
  <c r="A9" i="856" s="1"/>
  <c r="A10" i="856" s="1"/>
  <c r="A11" i="856" s="1"/>
  <c r="A12" i="856" s="1"/>
  <c r="A13" i="856" s="1"/>
  <c r="A14" i="856" s="1"/>
  <c r="A15" i="856" s="1"/>
  <c r="A16" i="856" s="1"/>
  <c r="A17" i="856" s="1"/>
  <c r="A18" i="856" s="1"/>
  <c r="A19" i="856" s="1"/>
  <c r="A20" i="856" s="1"/>
  <c r="A21" i="856" s="1"/>
  <c r="A22" i="856" s="1"/>
  <c r="A23" i="856" s="1"/>
  <c r="A24" i="856" s="1"/>
  <c r="A25" i="856" s="1"/>
  <c r="A26" i="856" s="1"/>
  <c r="A27" i="856" s="1"/>
  <c r="A28" i="856" s="1"/>
  <c r="A29" i="856" s="1"/>
  <c r="A30" i="856" s="1"/>
  <c r="A31" i="856" s="1"/>
  <c r="A32" i="856" s="1"/>
  <c r="A33" i="856" s="1"/>
  <c r="A34" i="856" s="1"/>
  <c r="A35" i="856" s="1"/>
  <c r="A36" i="856" s="1"/>
  <c r="A37" i="856" s="1"/>
  <c r="A38" i="856" s="1"/>
  <c r="A39" i="856" s="1"/>
  <c r="A40" i="856" s="1"/>
  <c r="A41" i="856" s="1"/>
  <c r="A42" i="856" s="1"/>
  <c r="A43" i="856" s="1"/>
  <c r="A44" i="856" s="1"/>
  <c r="A45" i="856" s="1"/>
  <c r="A46" i="856" s="1"/>
  <c r="A213" i="856"/>
  <c r="A214" i="856" s="1"/>
  <c r="A215" i="856" s="1"/>
  <c r="A216" i="856" s="1"/>
  <c r="A217" i="856" s="1"/>
  <c r="A218" i="856" s="1"/>
  <c r="A219" i="856" s="1"/>
  <c r="A220" i="856" s="1"/>
  <c r="A221" i="856" s="1"/>
  <c r="A222" i="856" s="1"/>
  <c r="A223" i="856" s="1"/>
  <c r="A224" i="856" s="1"/>
  <c r="A225" i="856" s="1"/>
  <c r="A226" i="856" s="1"/>
  <c r="A227" i="856" s="1"/>
  <c r="A228" i="856" s="1"/>
  <c r="A229" i="856" s="1"/>
  <c r="A230" i="856" s="1"/>
  <c r="A231" i="856" s="1"/>
  <c r="A232" i="856" s="1"/>
  <c r="A233" i="856" s="1"/>
  <c r="A234" i="856" s="1"/>
  <c r="A104" i="856"/>
  <c r="A105" i="856" s="1"/>
  <c r="A106" i="856" s="1"/>
  <c r="A107" i="856" s="1"/>
  <c r="A108" i="856" s="1"/>
  <c r="A109" i="856" s="1"/>
  <c r="A110" i="856" s="1"/>
  <c r="A111" i="856" s="1"/>
  <c r="A112" i="856" s="1"/>
  <c r="A113" i="856" s="1"/>
  <c r="A114" i="856" s="1"/>
  <c r="A115" i="856" s="1"/>
  <c r="A116" i="856" s="1"/>
  <c r="A117" i="856" s="1"/>
  <c r="A118" i="856" s="1"/>
  <c r="A119" i="856" s="1"/>
  <c r="A120" i="856" s="1"/>
  <c r="A121" i="856" s="1"/>
  <c r="A122" i="856" s="1"/>
  <c r="A123" i="856" s="1"/>
  <c r="A124" i="856" s="1"/>
  <c r="A125" i="856" s="1"/>
  <c r="A126" i="856" s="1"/>
  <c r="A127" i="856" s="1"/>
  <c r="A128" i="856" s="1"/>
  <c r="A129" i="856" s="1"/>
  <c r="A130" i="856" s="1"/>
  <c r="A131" i="856" s="1"/>
  <c r="A132" i="856" s="1"/>
  <c r="A133" i="856" s="1"/>
  <c r="A134" i="856" s="1"/>
  <c r="A135" i="856" s="1"/>
  <c r="A136" i="856" s="1"/>
  <c r="A137" i="856" s="1"/>
  <c r="A138" i="856" s="1"/>
  <c r="A139" i="856" s="1"/>
  <c r="A140" i="856" s="1"/>
  <c r="A58" i="856"/>
  <c r="P63" i="840"/>
  <c r="S63" i="840"/>
  <c r="P85" i="840"/>
  <c r="P101" i="840"/>
  <c r="P102" i="840" s="1"/>
  <c r="P48" i="840"/>
  <c r="H53" i="829"/>
  <c r="H38" i="829"/>
  <c r="H32" i="829"/>
  <c r="H17" i="829"/>
  <c r="H14" i="829"/>
  <c r="H13" i="829"/>
  <c r="H12" i="829"/>
  <c r="H11" i="829"/>
  <c r="H8" i="829"/>
  <c r="H56" i="829" s="1"/>
  <c r="I11" i="835"/>
  <c r="J11" i="835"/>
  <c r="K11" i="835"/>
  <c r="I14" i="835"/>
  <c r="J14" i="835"/>
  <c r="K14" i="835"/>
  <c r="H14" i="835"/>
  <c r="H11" i="835"/>
  <c r="H39" i="835"/>
  <c r="H29" i="835"/>
  <c r="H8" i="835"/>
  <c r="H79" i="122"/>
  <c r="H78" i="122"/>
  <c r="H77" i="122"/>
  <c r="H76" i="122"/>
  <c r="H75" i="122"/>
  <c r="H74" i="122"/>
  <c r="H73" i="122"/>
  <c r="H72" i="122"/>
  <c r="H71" i="122"/>
  <c r="H70" i="122"/>
  <c r="H69" i="122"/>
  <c r="H68" i="122"/>
  <c r="H67" i="122"/>
  <c r="H66" i="122"/>
  <c r="H65" i="122"/>
  <c r="H64" i="122"/>
  <c r="H63" i="122"/>
  <c r="H62" i="122"/>
  <c r="H61" i="122"/>
  <c r="H60" i="122"/>
  <c r="H59" i="122"/>
  <c r="H58" i="122"/>
  <c r="H57" i="122"/>
  <c r="H56" i="122"/>
  <c r="H55" i="122"/>
  <c r="H54" i="122"/>
  <c r="H53" i="122"/>
  <c r="H52" i="122"/>
  <c r="H51" i="122"/>
  <c r="H50" i="122"/>
  <c r="H49" i="122"/>
  <c r="H48" i="122"/>
  <c r="H47" i="122"/>
  <c r="H46" i="122"/>
  <c r="H45" i="122"/>
  <c r="H44" i="122"/>
  <c r="H43" i="122"/>
  <c r="H42" i="122"/>
  <c r="H41" i="122"/>
  <c r="H40" i="122"/>
  <c r="H39" i="122"/>
  <c r="H38" i="122"/>
  <c r="H37" i="122"/>
  <c r="H36" i="122"/>
  <c r="H35" i="122"/>
  <c r="H34" i="122"/>
  <c r="H33" i="122"/>
  <c r="H32" i="122"/>
  <c r="H31" i="122"/>
  <c r="H30" i="122"/>
  <c r="H29" i="122"/>
  <c r="H28" i="122"/>
  <c r="H27" i="122"/>
  <c r="H26" i="122"/>
  <c r="H25" i="122"/>
  <c r="H24" i="122"/>
  <c r="H23" i="122"/>
  <c r="H22" i="122"/>
  <c r="H21" i="122"/>
  <c r="H20" i="122"/>
  <c r="H19" i="122"/>
  <c r="H18" i="122"/>
  <c r="H17" i="122"/>
  <c r="H16" i="122"/>
  <c r="H15" i="122"/>
  <c r="H14" i="122"/>
  <c r="H13" i="122"/>
  <c r="H12" i="122"/>
  <c r="H11" i="122"/>
  <c r="H10" i="122"/>
  <c r="H9" i="122"/>
  <c r="H8" i="122"/>
  <c r="G3" i="841"/>
  <c r="J39" i="835"/>
  <c r="K39" i="835"/>
  <c r="L39" i="835"/>
  <c r="M39" i="835"/>
  <c r="N39" i="835"/>
  <c r="O39" i="835"/>
  <c r="P39" i="835"/>
  <c r="Q39" i="835"/>
  <c r="R39" i="835"/>
  <c r="I39" i="835"/>
  <c r="J29" i="835"/>
  <c r="K29" i="835"/>
  <c r="L29" i="835"/>
  <c r="M29" i="835"/>
  <c r="T29" i="835" s="1"/>
  <c r="N29" i="835"/>
  <c r="O29" i="835"/>
  <c r="P29" i="835"/>
  <c r="Q29" i="835"/>
  <c r="R29" i="835"/>
  <c r="I29" i="835"/>
  <c r="H67" i="2"/>
  <c r="H64" i="2"/>
  <c r="H57" i="2"/>
  <c r="H49" i="2"/>
  <c r="H48" i="2"/>
  <c r="H47" i="2"/>
  <c r="H46" i="2"/>
  <c r="H45" i="2"/>
  <c r="H50" i="2" s="1"/>
  <c r="H44" i="2"/>
  <c r="H43" i="2"/>
  <c r="H37" i="2"/>
  <c r="H36" i="2"/>
  <c r="H35" i="2"/>
  <c r="H34" i="2"/>
  <c r="H33" i="2"/>
  <c r="H32" i="2"/>
  <c r="H31" i="2"/>
  <c r="H30" i="2"/>
  <c r="H29" i="2"/>
  <c r="H28" i="2"/>
  <c r="H27" i="2"/>
  <c r="H26" i="2"/>
  <c r="H38" i="2" s="1"/>
  <c r="H22" i="2"/>
  <c r="H21" i="2"/>
  <c r="H20" i="2"/>
  <c r="H19" i="2"/>
  <c r="H18" i="2"/>
  <c r="H17" i="2"/>
  <c r="H16" i="2"/>
  <c r="H15" i="2"/>
  <c r="H14" i="2"/>
  <c r="H13" i="2"/>
  <c r="H12" i="2"/>
  <c r="H11" i="2"/>
  <c r="H23" i="2" s="1"/>
  <c r="H8" i="2"/>
  <c r="H10" i="826"/>
  <c r="J10" i="826"/>
  <c r="H185" i="826"/>
  <c r="H183" i="826"/>
  <c r="H170" i="826"/>
  <c r="H169" i="826"/>
  <c r="H171" i="826" s="1"/>
  <c r="H153" i="826"/>
  <c r="H152" i="826"/>
  <c r="H151" i="826"/>
  <c r="H150" i="826"/>
  <c r="H154" i="826" s="1"/>
  <c r="H149" i="826"/>
  <c r="H148" i="826"/>
  <c r="H147" i="826"/>
  <c r="H135" i="826"/>
  <c r="H121" i="826" s="1"/>
  <c r="H134" i="826"/>
  <c r="H120" i="826" s="1"/>
  <c r="H133" i="826"/>
  <c r="H119" i="826" s="1"/>
  <c r="H132" i="826"/>
  <c r="H118" i="826"/>
  <c r="H114" i="826"/>
  <c r="H107" i="826"/>
  <c r="H35" i="826"/>
  <c r="H34" i="826"/>
  <c r="H33" i="826"/>
  <c r="H32" i="826"/>
  <c r="H21" i="826"/>
  <c r="H49" i="826" s="1"/>
  <c r="H99" i="826" s="1"/>
  <c r="H20" i="826"/>
  <c r="H48" i="826" s="1"/>
  <c r="H98" i="826" s="1"/>
  <c r="H19" i="826"/>
  <c r="H47" i="826" s="1"/>
  <c r="H18" i="826"/>
  <c r="H46" i="826" s="1"/>
  <c r="H12" i="826"/>
  <c r="H8" i="826" s="1"/>
  <c r="T40" i="835"/>
  <c r="T39" i="835"/>
  <c r="T38" i="835"/>
  <c r="T37" i="835"/>
  <c r="T36" i="835"/>
  <c r="T35" i="835"/>
  <c r="T34" i="835"/>
  <c r="T33" i="835"/>
  <c r="T32" i="835"/>
  <c r="T31" i="835"/>
  <c r="T30" i="835"/>
  <c r="T28" i="835"/>
  <c r="T27" i="835"/>
  <c r="T26" i="835"/>
  <c r="T25" i="835"/>
  <c r="T23" i="835"/>
  <c r="T20" i="835"/>
  <c r="T19" i="835"/>
  <c r="T17" i="835"/>
  <c r="T16" i="835"/>
  <c r="T15" i="835"/>
  <c r="T13" i="835"/>
  <c r="T12" i="835"/>
  <c r="E173" i="856"/>
  <c r="C161" i="856"/>
  <c r="C160" i="856"/>
  <c r="C159" i="856"/>
  <c r="C154" i="856"/>
  <c r="C153" i="856"/>
  <c r="C114" i="856"/>
  <c r="C116" i="856"/>
  <c r="C115" i="856"/>
  <c r="C112" i="856"/>
  <c r="G24" i="847"/>
  <c r="D6" i="854"/>
  <c r="C63" i="856" s="1"/>
  <c r="C57" i="856"/>
  <c r="A59" i="856" l="1"/>
  <c r="A60" i="856" s="1"/>
  <c r="A61" i="856" s="1"/>
  <c r="A62" i="856" s="1"/>
  <c r="A63" i="856" s="1"/>
  <c r="A64" i="856" s="1"/>
  <c r="A65" i="856" s="1"/>
  <c r="A66" i="856" s="1"/>
  <c r="A67" i="856" s="1"/>
  <c r="A68" i="856" s="1"/>
  <c r="A69" i="856" s="1"/>
  <c r="A70" i="856" s="1"/>
  <c r="A71" i="856" s="1"/>
  <c r="A72" i="856" s="1"/>
  <c r="A73" i="856" s="1"/>
  <c r="A74" i="856" s="1"/>
  <c r="A75" i="856" s="1"/>
  <c r="A76" i="856" s="1"/>
  <c r="A77" i="856" s="1"/>
  <c r="A78" i="856" s="1"/>
  <c r="A79" i="856" s="1"/>
  <c r="A80" i="856" s="1"/>
  <c r="A81" i="856" s="1"/>
  <c r="A82" i="856" s="1"/>
  <c r="A83" i="856" s="1"/>
  <c r="A84" i="856" s="1"/>
  <c r="H75" i="2"/>
  <c r="H73" i="2"/>
  <c r="H10" i="829"/>
  <c r="H33" i="829"/>
  <c r="H21" i="835" s="1"/>
  <c r="H22" i="835" s="1"/>
  <c r="H34" i="829"/>
  <c r="H77" i="2"/>
  <c r="H72" i="2"/>
  <c r="H82" i="2" s="1"/>
  <c r="H40" i="2"/>
  <c r="H162" i="826"/>
  <c r="H168" i="826"/>
  <c r="H157" i="826"/>
  <c r="H146" i="826"/>
  <c r="H174" i="826"/>
  <c r="H94" i="826"/>
  <c r="H15" i="826"/>
  <c r="H158" i="826"/>
  <c r="H165" i="826" s="1"/>
  <c r="H50" i="826"/>
  <c r="H69" i="826" s="1"/>
  <c r="H161" i="826" s="1"/>
  <c r="H96" i="826"/>
  <c r="H100" i="826" s="1"/>
  <c r="H115" i="826" s="1"/>
  <c r="H97" i="826"/>
  <c r="D18" i="854"/>
  <c r="D17" i="854"/>
  <c r="G19" i="847"/>
  <c r="D5" i="854"/>
  <c r="D10" i="854" l="1"/>
  <c r="I10" i="854" s="1"/>
  <c r="C113" i="856"/>
  <c r="A85" i="856"/>
  <c r="A86" i="856" s="1"/>
  <c r="A87" i="856" s="1"/>
  <c r="A88" i="856" s="1"/>
  <c r="A89" i="856" s="1"/>
  <c r="A90" i="856" s="1"/>
  <c r="A91" i="856" s="1"/>
  <c r="A92" i="856" s="1"/>
  <c r="A93" i="856" s="1"/>
  <c r="H74" i="2"/>
  <c r="H52" i="2"/>
  <c r="H59" i="2" s="1"/>
  <c r="H159" i="826"/>
  <c r="H163" i="826"/>
  <c r="H164" i="826"/>
  <c r="H160" i="826"/>
  <c r="T100" i="840"/>
  <c r="S100" i="840"/>
  <c r="R100" i="840"/>
  <c r="T99" i="840"/>
  <c r="S99" i="840"/>
  <c r="R99" i="840"/>
  <c r="T98" i="840"/>
  <c r="S98" i="840"/>
  <c r="R98" i="840"/>
  <c r="T97" i="840"/>
  <c r="S97" i="840"/>
  <c r="R97" i="840"/>
  <c r="T96" i="840"/>
  <c r="S96" i="840"/>
  <c r="R96" i="840"/>
  <c r="T95" i="840"/>
  <c r="S95" i="840"/>
  <c r="R95" i="840"/>
  <c r="Q96" i="840"/>
  <c r="Q97" i="840"/>
  <c r="Q98" i="840"/>
  <c r="Q99" i="840"/>
  <c r="Q100" i="840"/>
  <c r="Q95" i="840"/>
  <c r="T84" i="840"/>
  <c r="S84" i="840"/>
  <c r="R84" i="840"/>
  <c r="T83" i="840"/>
  <c r="S83" i="840"/>
  <c r="R83" i="840"/>
  <c r="T82" i="840"/>
  <c r="S82" i="840"/>
  <c r="R82" i="840"/>
  <c r="T81" i="840"/>
  <c r="S81" i="840"/>
  <c r="R81" i="840"/>
  <c r="T80" i="840"/>
  <c r="S80" i="840"/>
  <c r="R80" i="840"/>
  <c r="T79" i="840"/>
  <c r="S79" i="840"/>
  <c r="R79" i="840"/>
  <c r="Q84" i="840"/>
  <c r="Q83" i="840"/>
  <c r="Q82" i="840"/>
  <c r="Q81" i="840"/>
  <c r="Q80" i="840"/>
  <c r="Q79" i="840"/>
  <c r="T93" i="840"/>
  <c r="S93" i="840"/>
  <c r="R93" i="840"/>
  <c r="T92" i="840"/>
  <c r="S92" i="840"/>
  <c r="R92" i="840"/>
  <c r="T91" i="840"/>
  <c r="S91" i="840"/>
  <c r="R91" i="840"/>
  <c r="T90" i="840"/>
  <c r="S90" i="840"/>
  <c r="R90" i="840"/>
  <c r="T89" i="840"/>
  <c r="S89" i="840"/>
  <c r="R89" i="840"/>
  <c r="Q90" i="840"/>
  <c r="Q91" i="840"/>
  <c r="Q92" i="840"/>
  <c r="Q93" i="840"/>
  <c r="Q89" i="840"/>
  <c r="T77" i="840"/>
  <c r="S77" i="840"/>
  <c r="R77" i="840"/>
  <c r="T76" i="840"/>
  <c r="S76" i="840"/>
  <c r="R76" i="840"/>
  <c r="T75" i="840"/>
  <c r="S75" i="840"/>
  <c r="R75" i="840"/>
  <c r="T74" i="840"/>
  <c r="S74" i="840"/>
  <c r="R74" i="840"/>
  <c r="T73" i="840"/>
  <c r="S73" i="840"/>
  <c r="R73" i="840"/>
  <c r="Q74" i="840"/>
  <c r="Q75" i="840"/>
  <c r="Q76" i="840"/>
  <c r="Q77" i="840"/>
  <c r="Q73" i="840"/>
  <c r="O79" i="840"/>
  <c r="O80" i="840"/>
  <c r="O81" i="840"/>
  <c r="O82" i="840"/>
  <c r="O83" i="840"/>
  <c r="O84" i="840"/>
  <c r="O74" i="840"/>
  <c r="O75" i="840"/>
  <c r="O76" i="840"/>
  <c r="O77" i="840"/>
  <c r="J185" i="826"/>
  <c r="K185" i="826"/>
  <c r="I185" i="826"/>
  <c r="J169" i="826"/>
  <c r="K169" i="826"/>
  <c r="J170" i="826"/>
  <c r="K170" i="826"/>
  <c r="I170" i="826"/>
  <c r="I169" i="826"/>
  <c r="J147" i="826"/>
  <c r="K147" i="826"/>
  <c r="J148" i="826"/>
  <c r="K148" i="826"/>
  <c r="J149" i="826"/>
  <c r="K149" i="826"/>
  <c r="J150" i="826"/>
  <c r="K150" i="826"/>
  <c r="J151" i="826"/>
  <c r="K151" i="826"/>
  <c r="J152" i="826"/>
  <c r="K152" i="826"/>
  <c r="J153" i="826"/>
  <c r="K153" i="826"/>
  <c r="I148" i="826"/>
  <c r="I149" i="826"/>
  <c r="I150" i="826"/>
  <c r="I151" i="826"/>
  <c r="I152" i="826"/>
  <c r="I153" i="826"/>
  <c r="I147" i="826"/>
  <c r="J132" i="826"/>
  <c r="J118" i="826" s="1"/>
  <c r="K132" i="826"/>
  <c r="K118" i="826" s="1"/>
  <c r="J133" i="826"/>
  <c r="J119" i="826" s="1"/>
  <c r="K133" i="826"/>
  <c r="K119" i="826" s="1"/>
  <c r="J134" i="826"/>
  <c r="J120" i="826" s="1"/>
  <c r="K134" i="826"/>
  <c r="K120" i="826" s="1"/>
  <c r="J135" i="826"/>
  <c r="J121" i="826" s="1"/>
  <c r="K135" i="826"/>
  <c r="K121" i="826" s="1"/>
  <c r="I133" i="826"/>
  <c r="I119" i="826" s="1"/>
  <c r="I134" i="826"/>
  <c r="I120" i="826" s="1"/>
  <c r="I135" i="826"/>
  <c r="I121" i="826" s="1"/>
  <c r="I132" i="826"/>
  <c r="I118" i="826" s="1"/>
  <c r="J32" i="826"/>
  <c r="K32" i="826"/>
  <c r="J33" i="826"/>
  <c r="K33" i="826"/>
  <c r="J34" i="826"/>
  <c r="K34" i="826"/>
  <c r="J35" i="826"/>
  <c r="K35" i="826"/>
  <c r="I33" i="826"/>
  <c r="I34" i="826"/>
  <c r="I35" i="826"/>
  <c r="I32" i="826"/>
  <c r="I19" i="826"/>
  <c r="J19" i="826"/>
  <c r="K19" i="826"/>
  <c r="I20" i="826"/>
  <c r="J20" i="826"/>
  <c r="K20" i="826"/>
  <c r="I21" i="826"/>
  <c r="J21" i="826"/>
  <c r="K21" i="826"/>
  <c r="J18" i="826"/>
  <c r="K18" i="826"/>
  <c r="I18" i="826"/>
  <c r="C57" i="853"/>
  <c r="D59" i="853"/>
  <c r="C64" i="853"/>
  <c r="J44" i="853"/>
  <c r="K44" i="853"/>
  <c r="I44" i="853"/>
  <c r="C24" i="853"/>
  <c r="C12" i="853"/>
  <c r="C18" i="853"/>
  <c r="C11" i="853"/>
  <c r="C36" i="853"/>
  <c r="C44" i="853"/>
  <c r="D46" i="853"/>
  <c r="D47" i="853"/>
  <c r="D49" i="853"/>
  <c r="D52" i="853"/>
  <c r="B2" i="853"/>
  <c r="C20" i="829"/>
  <c r="C27" i="829"/>
  <c r="D66" i="853" s="1"/>
  <c r="H76" i="2" l="1"/>
  <c r="H62" i="2"/>
  <c r="R85" i="840"/>
  <c r="G63" i="826"/>
  <c r="G64" i="826"/>
  <c r="G65" i="826"/>
  <c r="G62" i="826"/>
  <c r="H65" i="2" l="1"/>
  <c r="H68" i="2" s="1"/>
  <c r="H78" i="2" s="1"/>
  <c r="H10" i="835"/>
  <c r="H18" i="835" s="1"/>
  <c r="H24" i="835" s="1"/>
  <c r="H41" i="835" s="1"/>
  <c r="H43" i="835" s="1"/>
  <c r="D56" i="834"/>
  <c r="K32" i="829"/>
  <c r="L32" i="829"/>
  <c r="C28" i="829"/>
  <c r="D67" i="853" s="1"/>
  <c r="C29" i="829"/>
  <c r="D68" i="853" s="1"/>
  <c r="C30" i="829"/>
  <c r="D69" i="853" s="1"/>
  <c r="C31" i="829"/>
  <c r="D70" i="853" s="1"/>
  <c r="C26" i="829"/>
  <c r="D65" i="853" s="1"/>
  <c r="C21" i="829"/>
  <c r="D60" i="853" s="1"/>
  <c r="C22" i="829"/>
  <c r="D61" i="853" s="1"/>
  <c r="C23" i="829"/>
  <c r="D62" i="853" s="1"/>
  <c r="C19" i="829"/>
  <c r="D58" i="853" s="1"/>
  <c r="N49" i="829"/>
  <c r="V81" i="840" s="1"/>
  <c r="O49" i="829"/>
  <c r="W81" i="840" s="1"/>
  <c r="P49" i="829"/>
  <c r="X81" i="840" s="1"/>
  <c r="Q49" i="829"/>
  <c r="Y81" i="840" s="1"/>
  <c r="R49" i="829"/>
  <c r="Z81" i="840" s="1"/>
  <c r="N50" i="829"/>
  <c r="V82" i="840" s="1"/>
  <c r="O50" i="829"/>
  <c r="W82" i="840" s="1"/>
  <c r="P50" i="829"/>
  <c r="X82" i="840" s="1"/>
  <c r="Q50" i="829"/>
  <c r="Y82" i="840" s="1"/>
  <c r="R50" i="829"/>
  <c r="Z82" i="840" s="1"/>
  <c r="N51" i="829"/>
  <c r="V83" i="840" s="1"/>
  <c r="O51" i="829"/>
  <c r="W83" i="840" s="1"/>
  <c r="P51" i="829"/>
  <c r="X83" i="840" s="1"/>
  <c r="Q51" i="829"/>
  <c r="Y83" i="840" s="1"/>
  <c r="R51" i="829"/>
  <c r="Z83" i="840" s="1"/>
  <c r="N52" i="829"/>
  <c r="V84" i="840" s="1"/>
  <c r="O52" i="829"/>
  <c r="W84" i="840" s="1"/>
  <c r="P52" i="829"/>
  <c r="X84" i="840" s="1"/>
  <c r="Q52" i="829"/>
  <c r="Y84" i="840" s="1"/>
  <c r="R52" i="829"/>
  <c r="Z84" i="840" s="1"/>
  <c r="M52" i="829"/>
  <c r="U84" i="840" s="1"/>
  <c r="M50" i="829"/>
  <c r="U82" i="840" s="1"/>
  <c r="M51" i="829"/>
  <c r="U83" i="840" s="1"/>
  <c r="N48" i="829"/>
  <c r="V80" i="840" s="1"/>
  <c r="O48" i="829"/>
  <c r="W80" i="840" s="1"/>
  <c r="P48" i="829"/>
  <c r="X80" i="840" s="1"/>
  <c r="Q48" i="829"/>
  <c r="Y80" i="840" s="1"/>
  <c r="R48" i="829"/>
  <c r="Z80" i="840" s="1"/>
  <c r="N42" i="829"/>
  <c r="V75" i="840" s="1"/>
  <c r="O42" i="829"/>
  <c r="W75" i="840" s="1"/>
  <c r="P42" i="829"/>
  <c r="X75" i="840" s="1"/>
  <c r="Q42" i="829"/>
  <c r="Y75" i="840" s="1"/>
  <c r="R42" i="829"/>
  <c r="Z75" i="840" s="1"/>
  <c r="N43" i="829"/>
  <c r="V76" i="840" s="1"/>
  <c r="O43" i="829"/>
  <c r="W76" i="840" s="1"/>
  <c r="P43" i="829"/>
  <c r="X76" i="840" s="1"/>
  <c r="Q43" i="829"/>
  <c r="Y76" i="840" s="1"/>
  <c r="R43" i="829"/>
  <c r="Z76" i="840" s="1"/>
  <c r="N44" i="829"/>
  <c r="V77" i="840" s="1"/>
  <c r="O44" i="829"/>
  <c r="W77" i="840" s="1"/>
  <c r="P44" i="829"/>
  <c r="X77" i="840" s="1"/>
  <c r="Q44" i="829"/>
  <c r="Y77" i="840" s="1"/>
  <c r="R44" i="829"/>
  <c r="Z77" i="840" s="1"/>
  <c r="M42" i="829"/>
  <c r="U75" i="840" s="1"/>
  <c r="M43" i="829"/>
  <c r="U76" i="840" s="1"/>
  <c r="M44" i="829"/>
  <c r="U77" i="840" s="1"/>
  <c r="M48" i="829"/>
  <c r="U80" i="840" s="1"/>
  <c r="N169" i="826"/>
  <c r="O169" i="826"/>
  <c r="P169" i="826" s="1"/>
  <c r="Q169" i="826" s="1"/>
  <c r="R169" i="826" s="1"/>
  <c r="N170" i="826"/>
  <c r="O170" i="826" s="1"/>
  <c r="P170" i="826" s="1"/>
  <c r="Q170" i="826" s="1"/>
  <c r="R170" i="826" s="1"/>
  <c r="M170" i="826"/>
  <c r="M169" i="826"/>
  <c r="N149" i="826"/>
  <c r="V58" i="840" s="1"/>
  <c r="O149" i="826"/>
  <c r="W58" i="840" s="1"/>
  <c r="N150" i="826"/>
  <c r="V59" i="840" s="1"/>
  <c r="N153" i="826"/>
  <c r="V62" i="840" s="1"/>
  <c r="O153" i="826"/>
  <c r="W62" i="840" s="1"/>
  <c r="M148" i="826"/>
  <c r="U57" i="840" s="1"/>
  <c r="M149" i="826"/>
  <c r="U58" i="840" s="1"/>
  <c r="M150" i="826"/>
  <c r="U59" i="840" s="1"/>
  <c r="M151" i="826"/>
  <c r="U60" i="840" s="1"/>
  <c r="M152" i="826"/>
  <c r="U61" i="840" s="1"/>
  <c r="M153" i="826"/>
  <c r="U62" i="840" s="1"/>
  <c r="M147" i="826"/>
  <c r="U56" i="840" s="1"/>
  <c r="N132" i="826"/>
  <c r="N118" i="826" s="1"/>
  <c r="O132" i="826"/>
  <c r="O118" i="826" s="1"/>
  <c r="P132" i="826"/>
  <c r="P118" i="826" s="1"/>
  <c r="Q132" i="826"/>
  <c r="Q118" i="826" s="1"/>
  <c r="R132" i="826"/>
  <c r="R118" i="826" s="1"/>
  <c r="N133" i="826"/>
  <c r="N119" i="826" s="1"/>
  <c r="O133" i="826"/>
  <c r="O119" i="826" s="1"/>
  <c r="P133" i="826"/>
  <c r="P119" i="826" s="1"/>
  <c r="Q133" i="826"/>
  <c r="Q119" i="826" s="1"/>
  <c r="R133" i="826"/>
  <c r="R119" i="826" s="1"/>
  <c r="N134" i="826"/>
  <c r="N120" i="826" s="1"/>
  <c r="O134" i="826"/>
  <c r="O120" i="826" s="1"/>
  <c r="P134" i="826"/>
  <c r="P120" i="826" s="1"/>
  <c r="Q134" i="826"/>
  <c r="Q120" i="826" s="1"/>
  <c r="R134" i="826"/>
  <c r="R120" i="826" s="1"/>
  <c r="N135" i="826"/>
  <c r="N121" i="826" s="1"/>
  <c r="O135" i="826"/>
  <c r="O121" i="826" s="1"/>
  <c r="P135" i="826"/>
  <c r="P121" i="826" s="1"/>
  <c r="Q135" i="826"/>
  <c r="Q121" i="826" s="1"/>
  <c r="R135" i="826"/>
  <c r="R121" i="826" s="1"/>
  <c r="N136" i="826"/>
  <c r="N122" i="826" s="1"/>
  <c r="O136" i="826"/>
  <c r="O122" i="826" s="1"/>
  <c r="P136" i="826"/>
  <c r="P122" i="826" s="1"/>
  <c r="Q136" i="826"/>
  <c r="Q122" i="826" s="1"/>
  <c r="R136" i="826"/>
  <c r="R122" i="826" s="1"/>
  <c r="N137" i="826"/>
  <c r="N123" i="826" s="1"/>
  <c r="O137" i="826"/>
  <c r="O123" i="826" s="1"/>
  <c r="P137" i="826"/>
  <c r="P123" i="826" s="1"/>
  <c r="Q137" i="826"/>
  <c r="Q123" i="826" s="1"/>
  <c r="R137" i="826"/>
  <c r="R123" i="826" s="1"/>
  <c r="N138" i="826"/>
  <c r="N124" i="826" s="1"/>
  <c r="O138" i="826"/>
  <c r="O124" i="826" s="1"/>
  <c r="P138" i="826"/>
  <c r="P124" i="826" s="1"/>
  <c r="Q138" i="826"/>
  <c r="Q124" i="826" s="1"/>
  <c r="R138" i="826"/>
  <c r="R124" i="826" s="1"/>
  <c r="N139" i="826"/>
  <c r="N125" i="826" s="1"/>
  <c r="O139" i="826"/>
  <c r="O125" i="826" s="1"/>
  <c r="P139" i="826"/>
  <c r="P125" i="826" s="1"/>
  <c r="Q139" i="826"/>
  <c r="Q125" i="826" s="1"/>
  <c r="R139" i="826"/>
  <c r="R125" i="826" s="1"/>
  <c r="N140" i="826"/>
  <c r="N126" i="826" s="1"/>
  <c r="O140" i="826"/>
  <c r="O126" i="826" s="1"/>
  <c r="P140" i="826"/>
  <c r="P126" i="826" s="1"/>
  <c r="Q140" i="826"/>
  <c r="Q126" i="826" s="1"/>
  <c r="R140" i="826"/>
  <c r="R126" i="826" s="1"/>
  <c r="N141" i="826"/>
  <c r="N127" i="826" s="1"/>
  <c r="O141" i="826"/>
  <c r="O127" i="826" s="1"/>
  <c r="P141" i="826"/>
  <c r="P127" i="826" s="1"/>
  <c r="Q141" i="826"/>
  <c r="Q127" i="826" s="1"/>
  <c r="R141" i="826"/>
  <c r="R127" i="826" s="1"/>
  <c r="N142" i="826"/>
  <c r="N128" i="826" s="1"/>
  <c r="O142" i="826"/>
  <c r="O128" i="826" s="1"/>
  <c r="P142" i="826"/>
  <c r="P128" i="826" s="1"/>
  <c r="Q142" i="826"/>
  <c r="Q128" i="826" s="1"/>
  <c r="R142" i="826"/>
  <c r="R128" i="826" s="1"/>
  <c r="N143" i="826"/>
  <c r="N129" i="826" s="1"/>
  <c r="O143" i="826"/>
  <c r="O129" i="826" s="1"/>
  <c r="P143" i="826"/>
  <c r="P129" i="826" s="1"/>
  <c r="Q143" i="826"/>
  <c r="Q129" i="826" s="1"/>
  <c r="R143" i="826"/>
  <c r="R129" i="826" s="1"/>
  <c r="M133" i="826"/>
  <c r="M134" i="826"/>
  <c r="M135" i="826"/>
  <c r="M136" i="826"/>
  <c r="M137" i="826"/>
  <c r="M138" i="826"/>
  <c r="M139" i="826"/>
  <c r="M140" i="826"/>
  <c r="M141" i="826"/>
  <c r="M142" i="826"/>
  <c r="M143" i="826"/>
  <c r="M132" i="826"/>
  <c r="F178" i="826"/>
  <c r="G178" i="826" s="1"/>
  <c r="L175" i="826"/>
  <c r="D12" i="854"/>
  <c r="F179" i="826"/>
  <c r="F176" i="826" s="1"/>
  <c r="N175" i="826"/>
  <c r="C68" i="856"/>
  <c r="N152" i="826" l="1"/>
  <c r="N148" i="826"/>
  <c r="P153" i="826"/>
  <c r="N151" i="826"/>
  <c r="O150" i="826"/>
  <c r="P149" i="826"/>
  <c r="N147" i="826"/>
  <c r="I19" i="854"/>
  <c r="C177" i="856"/>
  <c r="L142" i="826"/>
  <c r="M128" i="826"/>
  <c r="L134" i="826"/>
  <c r="M120" i="826"/>
  <c r="L140" i="826"/>
  <c r="M126" i="826"/>
  <c r="M127" i="826"/>
  <c r="L141" i="826"/>
  <c r="D31" i="854"/>
  <c r="I17" i="854" s="1"/>
  <c r="M125" i="826"/>
  <c r="L139" i="826"/>
  <c r="D47" i="854"/>
  <c r="H11" i="826"/>
  <c r="H7" i="826" s="1"/>
  <c r="I11" i="826"/>
  <c r="D43" i="854"/>
  <c r="D4" i="854"/>
  <c r="L138" i="826"/>
  <c r="M124" i="826"/>
  <c r="C150" i="856"/>
  <c r="C61" i="856"/>
  <c r="D7" i="854"/>
  <c r="D8" i="854" s="1"/>
  <c r="G16" i="853"/>
  <c r="G13" i="853"/>
  <c r="G14" i="853"/>
  <c r="G15" i="853"/>
  <c r="M119" i="826"/>
  <c r="L133" i="826"/>
  <c r="E175" i="856"/>
  <c r="J34" i="834"/>
  <c r="D26" i="854"/>
  <c r="I15" i="854" s="1"/>
  <c r="M123" i="826"/>
  <c r="L137" i="826"/>
  <c r="M118" i="826"/>
  <c r="L132" i="826"/>
  <c r="L136" i="826"/>
  <c r="M122" i="826"/>
  <c r="C65" i="856"/>
  <c r="C55" i="856"/>
  <c r="F175" i="826"/>
  <c r="G175" i="826" s="1"/>
  <c r="F181" i="826" s="1"/>
  <c r="H184" i="826" s="1"/>
  <c r="D28" i="854"/>
  <c r="I18" i="854" s="1"/>
  <c r="C225" i="856" s="1"/>
  <c r="D30" i="854"/>
  <c r="I16" i="854" s="1"/>
  <c r="M129" i="826"/>
  <c r="L143" i="826"/>
  <c r="M121" i="826"/>
  <c r="L135" i="826"/>
  <c r="D11" i="854"/>
  <c r="D9" i="854"/>
  <c r="B45" i="844"/>
  <c r="D3" i="854"/>
  <c r="R47" i="829"/>
  <c r="Z79" i="840" s="1"/>
  <c r="R41" i="829"/>
  <c r="Z74" i="840" s="1"/>
  <c r="Q47" i="829"/>
  <c r="Y79" i="840" s="1"/>
  <c r="Q41" i="829"/>
  <c r="Y74" i="840" s="1"/>
  <c r="P47" i="829"/>
  <c r="X79" i="840" s="1"/>
  <c r="P41" i="829"/>
  <c r="X74" i="840" s="1"/>
  <c r="O41" i="829"/>
  <c r="W74" i="840" s="1"/>
  <c r="O47" i="829"/>
  <c r="W79" i="840" s="1"/>
  <c r="N41" i="829"/>
  <c r="V74" i="840" s="1"/>
  <c r="N47" i="829"/>
  <c r="V79" i="840" s="1"/>
  <c r="M47" i="829"/>
  <c r="U79" i="840" s="1"/>
  <c r="M41" i="829"/>
  <c r="U74" i="840" s="1"/>
  <c r="R40" i="829"/>
  <c r="Z73" i="840" s="1"/>
  <c r="Q40" i="829"/>
  <c r="Y73" i="840" s="1"/>
  <c r="P40" i="829"/>
  <c r="X73" i="840" s="1"/>
  <c r="O40" i="829"/>
  <c r="W73" i="840" s="1"/>
  <c r="N40" i="829"/>
  <c r="V73" i="840" s="1"/>
  <c r="M40" i="829"/>
  <c r="U73" i="840" s="1"/>
  <c r="M49" i="829"/>
  <c r="U81" i="840" s="1"/>
  <c r="L33" i="829"/>
  <c r="L21" i="835" s="1"/>
  <c r="L22" i="835" s="1"/>
  <c r="B68" i="844"/>
  <c r="B34" i="844"/>
  <c r="B36" i="844"/>
  <c r="B52" i="844"/>
  <c r="B75" i="844"/>
  <c r="B47" i="844"/>
  <c r="B57" i="844"/>
  <c r="B66" i="844"/>
  <c r="B59" i="844"/>
  <c r="B31" i="844"/>
  <c r="O175" i="826"/>
  <c r="V60" i="840" l="1"/>
  <c r="O151" i="826"/>
  <c r="V56" i="840"/>
  <c r="O147" i="826"/>
  <c r="X62" i="840"/>
  <c r="Q153" i="826"/>
  <c r="X58" i="840"/>
  <c r="Q149" i="826"/>
  <c r="V57" i="840"/>
  <c r="O148" i="826"/>
  <c r="W59" i="840"/>
  <c r="P150" i="826"/>
  <c r="V61" i="840"/>
  <c r="O152" i="826"/>
  <c r="D38" i="854"/>
  <c r="C67" i="856"/>
  <c r="C151" i="856"/>
  <c r="I4" i="854"/>
  <c r="V65" i="2"/>
  <c r="V57" i="2"/>
  <c r="V49" i="2"/>
  <c r="V41" i="2"/>
  <c r="V33" i="2"/>
  <c r="V25" i="2"/>
  <c r="V17" i="2"/>
  <c r="V48" i="2"/>
  <c r="V55" i="2"/>
  <c r="V31" i="2"/>
  <c r="V15" i="2"/>
  <c r="V62" i="2"/>
  <c r="V46" i="2"/>
  <c r="V38" i="2"/>
  <c r="V22" i="2"/>
  <c r="V30" i="2"/>
  <c r="V61" i="2"/>
  <c r="V53" i="2"/>
  <c r="V45" i="2"/>
  <c r="V37" i="2"/>
  <c r="V29" i="2"/>
  <c r="V21" i="2"/>
  <c r="V13" i="2"/>
  <c r="V68" i="2"/>
  <c r="V60" i="2"/>
  <c r="V52" i="2"/>
  <c r="V44" i="2"/>
  <c r="V36" i="2"/>
  <c r="V28" i="2"/>
  <c r="V20" i="2"/>
  <c r="V12" i="2"/>
  <c r="V66" i="2"/>
  <c r="V50" i="2"/>
  <c r="V34" i="2"/>
  <c r="V18" i="2"/>
  <c r="V56" i="2"/>
  <c r="V32" i="2"/>
  <c r="V16" i="2"/>
  <c r="V63" i="2"/>
  <c r="V39" i="2"/>
  <c r="V23" i="2"/>
  <c r="V54" i="2"/>
  <c r="V14" i="2"/>
  <c r="V67" i="2"/>
  <c r="V59" i="2"/>
  <c r="V51" i="2"/>
  <c r="V43" i="2"/>
  <c r="V35" i="2"/>
  <c r="V27" i="2"/>
  <c r="V19" i="2"/>
  <c r="V11" i="2"/>
  <c r="V58" i="2"/>
  <c r="V42" i="2"/>
  <c r="V26" i="2"/>
  <c r="V64" i="2"/>
  <c r="V40" i="2"/>
  <c r="V24" i="2"/>
  <c r="V47" i="2"/>
  <c r="H7" i="2"/>
  <c r="H7" i="829"/>
  <c r="H55" i="829" s="1"/>
  <c r="H7" i="835"/>
  <c r="H7" i="122"/>
  <c r="H93" i="826"/>
  <c r="H156" i="826"/>
  <c r="H167" i="826"/>
  <c r="H173" i="826"/>
  <c r="H14" i="826"/>
  <c r="H145" i="826"/>
  <c r="D24" i="854"/>
  <c r="I14" i="854" s="1"/>
  <c r="I11" i="854"/>
  <c r="C149" i="856"/>
  <c r="I9" i="854"/>
  <c r="C66" i="856"/>
  <c r="I2" i="854"/>
  <c r="C111" i="856"/>
  <c r="F67" i="2"/>
  <c r="G76" i="92"/>
  <c r="P175" i="826"/>
  <c r="E93" i="847"/>
  <c r="E94" i="847"/>
  <c r="E95" i="847"/>
  <c r="E92" i="847"/>
  <c r="X59" i="840" l="1"/>
  <c r="Q150" i="826"/>
  <c r="Y58" i="840"/>
  <c r="R149" i="826"/>
  <c r="Z58" i="840" s="1"/>
  <c r="W56" i="840"/>
  <c r="P147" i="826"/>
  <c r="W61" i="840"/>
  <c r="P152" i="826"/>
  <c r="W57" i="840"/>
  <c r="P148" i="826"/>
  <c r="Y62" i="840"/>
  <c r="R153" i="826"/>
  <c r="Z62" i="840" s="1"/>
  <c r="W60" i="840"/>
  <c r="P151" i="826"/>
  <c r="B3" i="847"/>
  <c r="B3" i="853"/>
  <c r="P30" i="840"/>
  <c r="P35" i="840" s="1"/>
  <c r="P54" i="840" s="1"/>
  <c r="G2" i="841"/>
  <c r="H16" i="829"/>
  <c r="H37" i="829"/>
  <c r="Q175" i="826"/>
  <c r="I24" i="849"/>
  <c r="T169" i="829"/>
  <c r="T168" i="829"/>
  <c r="T164" i="829"/>
  <c r="T163" i="829"/>
  <c r="T162" i="829"/>
  <c r="T161" i="829"/>
  <c r="T160" i="829"/>
  <c r="T148" i="829"/>
  <c r="T147" i="829"/>
  <c r="T143" i="829"/>
  <c r="T142" i="829"/>
  <c r="T141" i="829"/>
  <c r="T140" i="829"/>
  <c r="T139" i="829"/>
  <c r="T127" i="829"/>
  <c r="T126" i="829"/>
  <c r="T122" i="829"/>
  <c r="T121" i="829"/>
  <c r="T120" i="829"/>
  <c r="T119" i="829"/>
  <c r="T118" i="829"/>
  <c r="T106" i="829"/>
  <c r="T105" i="829"/>
  <c r="T101" i="829"/>
  <c r="T100" i="829"/>
  <c r="T99" i="829"/>
  <c r="T98" i="829"/>
  <c r="T97" i="829"/>
  <c r="T91" i="829"/>
  <c r="T90" i="829"/>
  <c r="T84" i="829"/>
  <c r="T83" i="829"/>
  <c r="T77" i="829"/>
  <c r="T76" i="829"/>
  <c r="T70" i="829"/>
  <c r="T65" i="829"/>
  <c r="T64" i="829"/>
  <c r="T63" i="829"/>
  <c r="T58" i="829"/>
  <c r="T57" i="829"/>
  <c r="T54" i="829"/>
  <c r="T46" i="829"/>
  <c r="T45" i="829"/>
  <c r="T39" i="829"/>
  <c r="T36" i="829"/>
  <c r="T25" i="829"/>
  <c r="T24" i="829"/>
  <c r="T166" i="826"/>
  <c r="T155" i="826"/>
  <c r="T144" i="826"/>
  <c r="T131" i="826"/>
  <c r="T130" i="826"/>
  <c r="T117" i="826"/>
  <c r="T116" i="826"/>
  <c r="T109" i="826"/>
  <c r="T108" i="826"/>
  <c r="T102" i="826"/>
  <c r="T101" i="826"/>
  <c r="T95" i="826"/>
  <c r="T76" i="826"/>
  <c r="T71" i="826"/>
  <c r="T70" i="826"/>
  <c r="T68" i="826"/>
  <c r="T60" i="826"/>
  <c r="T53" i="826"/>
  <c r="T52" i="826"/>
  <c r="T45" i="826"/>
  <c r="T44" i="826"/>
  <c r="T31" i="826"/>
  <c r="T30" i="826"/>
  <c r="F7" i="816"/>
  <c r="F6" i="816"/>
  <c r="F5" i="816"/>
  <c r="I9" i="190"/>
  <c r="T9" i="190" s="1"/>
  <c r="J9" i="190"/>
  <c r="K9" i="190"/>
  <c r="U9" i="190" s="1"/>
  <c r="L9" i="190"/>
  <c r="M9" i="190"/>
  <c r="I10" i="190"/>
  <c r="T10" i="190" s="1"/>
  <c r="J10" i="190"/>
  <c r="K10" i="190"/>
  <c r="U10" i="190" s="1"/>
  <c r="L10" i="190"/>
  <c r="M10" i="190"/>
  <c r="I11" i="190"/>
  <c r="T11" i="190" s="1"/>
  <c r="J11" i="190"/>
  <c r="K11" i="190"/>
  <c r="U11" i="190" s="1"/>
  <c r="L11" i="190"/>
  <c r="M11" i="190"/>
  <c r="I12" i="190"/>
  <c r="T12" i="190" s="1"/>
  <c r="J12" i="190"/>
  <c r="K12" i="190"/>
  <c r="U12" i="190" s="1"/>
  <c r="L12" i="190"/>
  <c r="M12" i="190"/>
  <c r="I13" i="190"/>
  <c r="T13" i="190" s="1"/>
  <c r="J13" i="190"/>
  <c r="K13" i="190"/>
  <c r="U13" i="190" s="1"/>
  <c r="L13" i="190"/>
  <c r="M13" i="190"/>
  <c r="I14" i="190"/>
  <c r="T14" i="190" s="1"/>
  <c r="J14" i="190"/>
  <c r="K14" i="190"/>
  <c r="U14" i="190" s="1"/>
  <c r="L14" i="190"/>
  <c r="M14" i="190"/>
  <c r="I15" i="190"/>
  <c r="T15" i="190" s="1"/>
  <c r="J15" i="190"/>
  <c r="K15" i="190"/>
  <c r="U15" i="190" s="1"/>
  <c r="L15" i="190"/>
  <c r="M15" i="190"/>
  <c r="I16" i="190"/>
  <c r="T16" i="190" s="1"/>
  <c r="J16" i="190"/>
  <c r="K16" i="190"/>
  <c r="U16" i="190" s="1"/>
  <c r="L16" i="190"/>
  <c r="M16" i="190"/>
  <c r="I17" i="190"/>
  <c r="T17" i="190" s="1"/>
  <c r="J17" i="190"/>
  <c r="K17" i="190"/>
  <c r="U17" i="190" s="1"/>
  <c r="L17" i="190"/>
  <c r="M17" i="190"/>
  <c r="I18" i="190"/>
  <c r="J18" i="190"/>
  <c r="K18" i="190"/>
  <c r="L18" i="190"/>
  <c r="M18" i="190"/>
  <c r="I19" i="190"/>
  <c r="J19" i="190"/>
  <c r="K19" i="190"/>
  <c r="L19" i="190"/>
  <c r="M19" i="190"/>
  <c r="I20" i="190"/>
  <c r="J20" i="190"/>
  <c r="K20" i="190"/>
  <c r="L20" i="190"/>
  <c r="M20" i="190"/>
  <c r="I21" i="190"/>
  <c r="J21" i="190"/>
  <c r="K21" i="190"/>
  <c r="L21" i="190"/>
  <c r="M21" i="190"/>
  <c r="I22" i="190"/>
  <c r="J22" i="190"/>
  <c r="K22" i="190"/>
  <c r="L22" i="190"/>
  <c r="M22" i="190"/>
  <c r="I23" i="190"/>
  <c r="J23" i="190"/>
  <c r="K23" i="190"/>
  <c r="L23" i="190"/>
  <c r="M23" i="190"/>
  <c r="I24" i="190"/>
  <c r="J24" i="190"/>
  <c r="K24" i="190"/>
  <c r="L24" i="190"/>
  <c r="M24" i="190"/>
  <c r="I25" i="190"/>
  <c r="J25" i="190"/>
  <c r="K25" i="190"/>
  <c r="L25" i="190"/>
  <c r="M25" i="190"/>
  <c r="I26" i="190"/>
  <c r="J26" i="190"/>
  <c r="K26" i="190"/>
  <c r="L26" i="190"/>
  <c r="M26" i="190"/>
  <c r="I27" i="190"/>
  <c r="J27" i="190"/>
  <c r="K27" i="190"/>
  <c r="L27" i="190"/>
  <c r="M27" i="190"/>
  <c r="I28" i="190"/>
  <c r="J28" i="190"/>
  <c r="K28" i="190"/>
  <c r="L28" i="190"/>
  <c r="M28" i="190"/>
  <c r="I29" i="190"/>
  <c r="J29" i="190"/>
  <c r="K29" i="190"/>
  <c r="L29" i="190"/>
  <c r="M29" i="190"/>
  <c r="I30" i="190"/>
  <c r="J30" i="190"/>
  <c r="K30" i="190"/>
  <c r="L30" i="190"/>
  <c r="M30" i="190"/>
  <c r="I31" i="190"/>
  <c r="J31" i="190"/>
  <c r="K31" i="190"/>
  <c r="L31" i="190"/>
  <c r="M31" i="190"/>
  <c r="I32" i="190"/>
  <c r="J32" i="190"/>
  <c r="K32" i="190"/>
  <c r="L32" i="190"/>
  <c r="M32" i="190"/>
  <c r="I33" i="190"/>
  <c r="J33" i="190"/>
  <c r="K33" i="190"/>
  <c r="L33" i="190"/>
  <c r="M33" i="190"/>
  <c r="I34" i="190"/>
  <c r="J34" i="190"/>
  <c r="K34" i="190"/>
  <c r="L34" i="190"/>
  <c r="M34" i="190"/>
  <c r="I35" i="190"/>
  <c r="J35" i="190"/>
  <c r="K35" i="190"/>
  <c r="L35" i="190"/>
  <c r="M35" i="190"/>
  <c r="I36" i="190"/>
  <c r="J36" i="190"/>
  <c r="K36" i="190"/>
  <c r="L36" i="190"/>
  <c r="M36" i="190"/>
  <c r="I37" i="190"/>
  <c r="J37" i="190"/>
  <c r="K37" i="190"/>
  <c r="L37" i="190"/>
  <c r="M37" i="190"/>
  <c r="I38" i="190"/>
  <c r="T38" i="190" s="1"/>
  <c r="J38" i="190"/>
  <c r="K38" i="190"/>
  <c r="U38" i="190" s="1"/>
  <c r="L38" i="190"/>
  <c r="M38" i="190"/>
  <c r="H38" i="190"/>
  <c r="H37" i="190"/>
  <c r="H36" i="190"/>
  <c r="H35" i="190"/>
  <c r="H34" i="190"/>
  <c r="H33" i="190"/>
  <c r="H32" i="190"/>
  <c r="H31" i="190"/>
  <c r="H30" i="190"/>
  <c r="H29" i="190"/>
  <c r="H28" i="190"/>
  <c r="H27" i="190"/>
  <c r="H26" i="190"/>
  <c r="H25" i="190"/>
  <c r="H24" i="190"/>
  <c r="H23" i="190"/>
  <c r="H22" i="190"/>
  <c r="H21" i="190"/>
  <c r="H20" i="190"/>
  <c r="H19" i="190"/>
  <c r="H18" i="190"/>
  <c r="H17" i="190"/>
  <c r="H16" i="190"/>
  <c r="H15" i="190"/>
  <c r="H14" i="190"/>
  <c r="H13" i="190"/>
  <c r="H12" i="190"/>
  <c r="H11" i="190"/>
  <c r="H10" i="190"/>
  <c r="H9" i="190"/>
  <c r="G33" i="22" a="1"/>
  <c r="G33" i="22" s="1"/>
  <c r="G32" i="22" a="1"/>
  <c r="G32" i="22" s="1"/>
  <c r="G31" i="22" a="1"/>
  <c r="G31" i="22" s="1"/>
  <c r="G30" i="22" a="1"/>
  <c r="G30" i="22" s="1"/>
  <c r="G29" i="22" a="1"/>
  <c r="G29" i="22" s="1"/>
  <c r="G28" i="22" a="1"/>
  <c r="G28" i="22" s="1"/>
  <c r="G25" i="22"/>
  <c r="G24" i="22"/>
  <c r="G23" i="22"/>
  <c r="G22" i="22"/>
  <c r="G21" i="22"/>
  <c r="G20" i="22"/>
  <c r="G38" i="190"/>
  <c r="F38" i="190"/>
  <c r="G18" i="190"/>
  <c r="F18" i="190"/>
  <c r="G17" i="190"/>
  <c r="F17" i="190"/>
  <c r="G16" i="190"/>
  <c r="F16" i="190"/>
  <c r="G15" i="190"/>
  <c r="F15" i="190"/>
  <c r="G14" i="190"/>
  <c r="F14" i="190"/>
  <c r="G13" i="190"/>
  <c r="F13" i="190"/>
  <c r="G12" i="190"/>
  <c r="F12" i="190"/>
  <c r="G11" i="190"/>
  <c r="F11" i="190"/>
  <c r="G10" i="190"/>
  <c r="F10" i="190"/>
  <c r="G9" i="190"/>
  <c r="S8" i="190"/>
  <c r="P18" i="22"/>
  <c r="O18" i="22"/>
  <c r="N18" i="22"/>
  <c r="P17" i="22"/>
  <c r="O17" i="22"/>
  <c r="N17" i="22"/>
  <c r="P16" i="22"/>
  <c r="O16" i="22"/>
  <c r="N16" i="22"/>
  <c r="P15" i="22"/>
  <c r="O15" i="22"/>
  <c r="N15" i="22"/>
  <c r="P14" i="22"/>
  <c r="O14" i="22"/>
  <c r="N14" i="22"/>
  <c r="P13" i="22"/>
  <c r="O13" i="22"/>
  <c r="N13" i="22"/>
  <c r="P12" i="22"/>
  <c r="O12" i="22"/>
  <c r="N12" i="22"/>
  <c r="P11" i="22"/>
  <c r="O11" i="22"/>
  <c r="N11" i="22"/>
  <c r="P10" i="22"/>
  <c r="O10" i="22"/>
  <c r="N10" i="22"/>
  <c r="P9" i="22"/>
  <c r="O9" i="22"/>
  <c r="N9" i="22"/>
  <c r="G60" i="192"/>
  <c r="H60" i="192"/>
  <c r="I60" i="192"/>
  <c r="J60" i="192"/>
  <c r="F60" i="192"/>
  <c r="E111" i="192"/>
  <c r="F111" i="192"/>
  <c r="G111" i="192"/>
  <c r="H111" i="192"/>
  <c r="I111" i="192"/>
  <c r="J111" i="192"/>
  <c r="E112" i="192"/>
  <c r="F112" i="192"/>
  <c r="G112" i="192"/>
  <c r="H112" i="192"/>
  <c r="I112" i="192"/>
  <c r="J112" i="192"/>
  <c r="E113" i="192"/>
  <c r="F113" i="192"/>
  <c r="G113" i="192"/>
  <c r="H113" i="192"/>
  <c r="I113" i="192"/>
  <c r="J113" i="192"/>
  <c r="E114" i="192"/>
  <c r="F114" i="192"/>
  <c r="G114" i="192"/>
  <c r="H114" i="192"/>
  <c r="I114" i="192"/>
  <c r="J114" i="192"/>
  <c r="E115" i="192"/>
  <c r="F115" i="192"/>
  <c r="G115" i="192"/>
  <c r="H115" i="192"/>
  <c r="I115" i="192"/>
  <c r="J115" i="192"/>
  <c r="E116" i="192"/>
  <c r="F116" i="192"/>
  <c r="G116" i="192"/>
  <c r="H116" i="192"/>
  <c r="I116" i="192"/>
  <c r="J116" i="192"/>
  <c r="E117" i="192"/>
  <c r="F117" i="192"/>
  <c r="G117" i="192"/>
  <c r="H117" i="192"/>
  <c r="I117" i="192"/>
  <c r="J117" i="192"/>
  <c r="E118" i="192"/>
  <c r="F118" i="192"/>
  <c r="G118" i="192"/>
  <c r="H118" i="192"/>
  <c r="I118" i="192"/>
  <c r="J118" i="192"/>
  <c r="E119" i="192"/>
  <c r="F119" i="192"/>
  <c r="G119" i="192"/>
  <c r="H119" i="192"/>
  <c r="I119" i="192"/>
  <c r="J119" i="192"/>
  <c r="E120" i="192"/>
  <c r="F120" i="192"/>
  <c r="G120" i="192"/>
  <c r="H120" i="192"/>
  <c r="I120" i="192"/>
  <c r="J120" i="192"/>
  <c r="E121" i="192"/>
  <c r="F121" i="192"/>
  <c r="G121" i="192"/>
  <c r="H121" i="192"/>
  <c r="I121" i="192"/>
  <c r="J121" i="192"/>
  <c r="E122" i="192"/>
  <c r="F122" i="192"/>
  <c r="G122" i="192"/>
  <c r="H122" i="192"/>
  <c r="I122" i="192"/>
  <c r="J122" i="192"/>
  <c r="E123" i="192"/>
  <c r="F123" i="192"/>
  <c r="G123" i="192"/>
  <c r="H123" i="192"/>
  <c r="I123" i="192"/>
  <c r="J123" i="192"/>
  <c r="E124" i="192"/>
  <c r="F124" i="192"/>
  <c r="G124" i="192"/>
  <c r="H124" i="192"/>
  <c r="I124" i="192"/>
  <c r="J124" i="192"/>
  <c r="E125" i="192"/>
  <c r="F125" i="192"/>
  <c r="G125" i="192"/>
  <c r="H125" i="192"/>
  <c r="I125" i="192"/>
  <c r="J125" i="192"/>
  <c r="E126" i="192"/>
  <c r="F126" i="192"/>
  <c r="G126" i="192"/>
  <c r="H126" i="192"/>
  <c r="I126" i="192"/>
  <c r="J126" i="192"/>
  <c r="E127" i="192"/>
  <c r="F127" i="192"/>
  <c r="G127" i="192"/>
  <c r="H127" i="192"/>
  <c r="I127" i="192"/>
  <c r="J127" i="192"/>
  <c r="E128" i="192"/>
  <c r="F128" i="192"/>
  <c r="G128" i="192"/>
  <c r="H128" i="192"/>
  <c r="I128" i="192"/>
  <c r="J128" i="192"/>
  <c r="E129" i="192"/>
  <c r="F129" i="192"/>
  <c r="G129" i="192"/>
  <c r="H129" i="192"/>
  <c r="I129" i="192"/>
  <c r="J129" i="192"/>
  <c r="E130" i="192"/>
  <c r="F130" i="192"/>
  <c r="G130" i="192"/>
  <c r="H130" i="192"/>
  <c r="I130" i="192"/>
  <c r="J130" i="192"/>
  <c r="E131" i="192"/>
  <c r="F131" i="192"/>
  <c r="G131" i="192"/>
  <c r="H131" i="192"/>
  <c r="I131" i="192"/>
  <c r="J131" i="192"/>
  <c r="E132" i="192"/>
  <c r="F132" i="192"/>
  <c r="G132" i="192"/>
  <c r="H132" i="192"/>
  <c r="I132" i="192"/>
  <c r="J132" i="192"/>
  <c r="E133" i="192"/>
  <c r="F133" i="192"/>
  <c r="G133" i="192"/>
  <c r="H133" i="192"/>
  <c r="I133" i="192"/>
  <c r="J133" i="192"/>
  <c r="E134" i="192"/>
  <c r="F134" i="192"/>
  <c r="G134" i="192"/>
  <c r="H134" i="192"/>
  <c r="I134" i="192"/>
  <c r="J134" i="192"/>
  <c r="E135" i="192"/>
  <c r="F135" i="192"/>
  <c r="G135" i="192"/>
  <c r="H135" i="192"/>
  <c r="I135" i="192"/>
  <c r="J135" i="192"/>
  <c r="E136" i="192"/>
  <c r="F136" i="192"/>
  <c r="G136" i="192"/>
  <c r="H136" i="192"/>
  <c r="I136" i="192"/>
  <c r="J136" i="192"/>
  <c r="E137" i="192"/>
  <c r="F137" i="192"/>
  <c r="G137" i="192"/>
  <c r="H137" i="192"/>
  <c r="I137" i="192"/>
  <c r="J137" i="192"/>
  <c r="E138" i="192"/>
  <c r="F138" i="192"/>
  <c r="G138" i="192"/>
  <c r="H138" i="192"/>
  <c r="I138" i="192"/>
  <c r="J138" i="192"/>
  <c r="E139" i="192"/>
  <c r="F139" i="192"/>
  <c r="G139" i="192"/>
  <c r="H139" i="192"/>
  <c r="I139" i="192"/>
  <c r="J139" i="192"/>
  <c r="E140" i="192"/>
  <c r="F140" i="192"/>
  <c r="G140" i="192"/>
  <c r="H140" i="192"/>
  <c r="I140" i="192"/>
  <c r="J140" i="192"/>
  <c r="E61" i="192"/>
  <c r="F61" i="192"/>
  <c r="G61" i="192"/>
  <c r="H61" i="192"/>
  <c r="I61" i="192"/>
  <c r="J61" i="192"/>
  <c r="K61" i="192"/>
  <c r="L61" i="192"/>
  <c r="M61" i="192"/>
  <c r="E62" i="192"/>
  <c r="F62" i="192"/>
  <c r="G62" i="192"/>
  <c r="H62" i="192"/>
  <c r="I62" i="192"/>
  <c r="J62" i="192"/>
  <c r="K62" i="192"/>
  <c r="L62" i="192"/>
  <c r="M62" i="192"/>
  <c r="E63" i="192"/>
  <c r="F63" i="192"/>
  <c r="G63" i="192"/>
  <c r="H63" i="192"/>
  <c r="I63" i="192"/>
  <c r="J63" i="192"/>
  <c r="K63" i="192"/>
  <c r="L63" i="192"/>
  <c r="M63" i="192"/>
  <c r="E64" i="192"/>
  <c r="F64" i="192"/>
  <c r="G64" i="192"/>
  <c r="H64" i="192"/>
  <c r="I64" i="192"/>
  <c r="J64" i="192"/>
  <c r="K64" i="192"/>
  <c r="L64" i="192"/>
  <c r="M64" i="192"/>
  <c r="E65" i="192"/>
  <c r="F65" i="192"/>
  <c r="G65" i="192"/>
  <c r="H65" i="192"/>
  <c r="I65" i="192"/>
  <c r="J65" i="192"/>
  <c r="K65" i="192"/>
  <c r="L65" i="192"/>
  <c r="M65" i="192"/>
  <c r="E66" i="192"/>
  <c r="F66" i="192"/>
  <c r="G66" i="192"/>
  <c r="H66" i="192"/>
  <c r="I66" i="192"/>
  <c r="J66" i="192"/>
  <c r="K66" i="192"/>
  <c r="L66" i="192"/>
  <c r="M66" i="192"/>
  <c r="E67" i="192"/>
  <c r="F67" i="192"/>
  <c r="G67" i="192"/>
  <c r="H67" i="192"/>
  <c r="I67" i="192"/>
  <c r="J67" i="192"/>
  <c r="K67" i="192"/>
  <c r="L67" i="192"/>
  <c r="M67" i="192"/>
  <c r="E68" i="192"/>
  <c r="F68" i="192"/>
  <c r="G68" i="192"/>
  <c r="H68" i="192"/>
  <c r="I68" i="192"/>
  <c r="J68" i="192"/>
  <c r="K68" i="192"/>
  <c r="L68" i="192"/>
  <c r="M68" i="192"/>
  <c r="E69" i="192"/>
  <c r="F69" i="192"/>
  <c r="G69" i="192"/>
  <c r="H69" i="192"/>
  <c r="I69" i="192"/>
  <c r="J69" i="192"/>
  <c r="K69" i="192"/>
  <c r="L69" i="192"/>
  <c r="M69" i="192"/>
  <c r="E70" i="192"/>
  <c r="F70" i="192"/>
  <c r="G70" i="192"/>
  <c r="H70" i="192"/>
  <c r="I70" i="192"/>
  <c r="J70" i="192"/>
  <c r="K70" i="192"/>
  <c r="L70" i="192"/>
  <c r="M70" i="192"/>
  <c r="E71" i="192"/>
  <c r="F71" i="192"/>
  <c r="G71" i="192"/>
  <c r="H71" i="192"/>
  <c r="I71" i="192"/>
  <c r="J71" i="192"/>
  <c r="K71" i="192"/>
  <c r="L71" i="192"/>
  <c r="M71" i="192"/>
  <c r="E72" i="192"/>
  <c r="F72" i="192"/>
  <c r="G72" i="192"/>
  <c r="H72" i="192"/>
  <c r="I72" i="192"/>
  <c r="J72" i="192"/>
  <c r="K72" i="192"/>
  <c r="L72" i="192"/>
  <c r="M72" i="192"/>
  <c r="E73" i="192"/>
  <c r="F73" i="192"/>
  <c r="G73" i="192"/>
  <c r="H73" i="192"/>
  <c r="I73" i="192"/>
  <c r="J73" i="192"/>
  <c r="K73" i="192"/>
  <c r="L73" i="192"/>
  <c r="M73" i="192"/>
  <c r="E74" i="192"/>
  <c r="F74" i="192"/>
  <c r="G74" i="192"/>
  <c r="H74" i="192"/>
  <c r="I74" i="192"/>
  <c r="J74" i="192"/>
  <c r="K74" i="192"/>
  <c r="L74" i="192"/>
  <c r="M74" i="192"/>
  <c r="E75" i="192"/>
  <c r="F75" i="192"/>
  <c r="G75" i="192"/>
  <c r="H75" i="192"/>
  <c r="I75" i="192"/>
  <c r="J75" i="192"/>
  <c r="K75" i="192"/>
  <c r="L75" i="192"/>
  <c r="M75" i="192"/>
  <c r="E76" i="192"/>
  <c r="F76" i="192"/>
  <c r="G76" i="192"/>
  <c r="H76" i="192"/>
  <c r="I76" i="192"/>
  <c r="J76" i="192"/>
  <c r="K76" i="192"/>
  <c r="L76" i="192"/>
  <c r="M76" i="192"/>
  <c r="E77" i="192"/>
  <c r="F77" i="192"/>
  <c r="G77" i="192"/>
  <c r="H77" i="192"/>
  <c r="I77" i="192"/>
  <c r="J77" i="192"/>
  <c r="K77" i="192"/>
  <c r="L77" i="192"/>
  <c r="M77" i="192"/>
  <c r="E78" i="192"/>
  <c r="F78" i="192"/>
  <c r="G78" i="192"/>
  <c r="H78" i="192"/>
  <c r="I78" i="192"/>
  <c r="J78" i="192"/>
  <c r="K78" i="192"/>
  <c r="L78" i="192"/>
  <c r="M78" i="192"/>
  <c r="E79" i="192"/>
  <c r="F79" i="192"/>
  <c r="G79" i="192"/>
  <c r="H79" i="192"/>
  <c r="I79" i="192"/>
  <c r="J79" i="192"/>
  <c r="K79" i="192"/>
  <c r="L79" i="192"/>
  <c r="M79" i="192"/>
  <c r="E80" i="192"/>
  <c r="F80" i="192"/>
  <c r="G80" i="192"/>
  <c r="H80" i="192"/>
  <c r="I80" i="192"/>
  <c r="J80" i="192"/>
  <c r="K80" i="192"/>
  <c r="L80" i="192"/>
  <c r="M80" i="192"/>
  <c r="E81" i="192"/>
  <c r="F81" i="192"/>
  <c r="G81" i="192"/>
  <c r="H81" i="192"/>
  <c r="I81" i="192"/>
  <c r="J81" i="192"/>
  <c r="K81" i="192"/>
  <c r="L81" i="192"/>
  <c r="M81" i="192"/>
  <c r="E82" i="192"/>
  <c r="F82" i="192"/>
  <c r="G82" i="192"/>
  <c r="H82" i="192"/>
  <c r="I82" i="192"/>
  <c r="J82" i="192"/>
  <c r="K82" i="192"/>
  <c r="L82" i="192"/>
  <c r="M82" i="192"/>
  <c r="E83" i="192"/>
  <c r="F83" i="192"/>
  <c r="G83" i="192"/>
  <c r="H83" i="192"/>
  <c r="I83" i="192"/>
  <c r="J83" i="192"/>
  <c r="K83" i="192"/>
  <c r="L83" i="192"/>
  <c r="M83" i="192"/>
  <c r="E84" i="192"/>
  <c r="F84" i="192"/>
  <c r="G84" i="192"/>
  <c r="H84" i="192"/>
  <c r="I84" i="192"/>
  <c r="J84" i="192"/>
  <c r="K84" i="192"/>
  <c r="L84" i="192"/>
  <c r="M84" i="192"/>
  <c r="E85" i="192"/>
  <c r="F85" i="192"/>
  <c r="G85" i="192"/>
  <c r="H85" i="192"/>
  <c r="I85" i="192"/>
  <c r="J85" i="192"/>
  <c r="K85" i="192"/>
  <c r="L85" i="192"/>
  <c r="M85" i="192"/>
  <c r="E86" i="192"/>
  <c r="F86" i="192"/>
  <c r="G86" i="192"/>
  <c r="H86" i="192"/>
  <c r="I86" i="192"/>
  <c r="J86" i="192"/>
  <c r="K86" i="192"/>
  <c r="L86" i="192"/>
  <c r="M86" i="192"/>
  <c r="E87" i="192"/>
  <c r="F87" i="192"/>
  <c r="G87" i="192"/>
  <c r="H87" i="192"/>
  <c r="I87" i="192"/>
  <c r="J87" i="192"/>
  <c r="K87" i="192"/>
  <c r="L87" i="192"/>
  <c r="M87" i="192"/>
  <c r="E88" i="192"/>
  <c r="F88" i="192"/>
  <c r="G88" i="192"/>
  <c r="H88" i="192"/>
  <c r="I88" i="192"/>
  <c r="J88" i="192"/>
  <c r="K88" i="192"/>
  <c r="L88" i="192"/>
  <c r="M88" i="192"/>
  <c r="E89" i="192"/>
  <c r="F89" i="192"/>
  <c r="G89" i="192"/>
  <c r="H89" i="192"/>
  <c r="I89" i="192"/>
  <c r="J89" i="192"/>
  <c r="K89" i="192"/>
  <c r="L89" i="192"/>
  <c r="M89" i="192"/>
  <c r="E90" i="192"/>
  <c r="F90" i="192"/>
  <c r="G90" i="192"/>
  <c r="H90" i="192"/>
  <c r="I90" i="192"/>
  <c r="J90" i="192"/>
  <c r="K90" i="192"/>
  <c r="L90" i="192"/>
  <c r="M90" i="192"/>
  <c r="X61" i="840" l="1"/>
  <c r="Q152" i="826"/>
  <c r="X60" i="840"/>
  <c r="Q151" i="826"/>
  <c r="X57" i="840"/>
  <c r="Q148" i="826"/>
  <c r="X56" i="840"/>
  <c r="Q147" i="826"/>
  <c r="Y59" i="840"/>
  <c r="R150" i="826"/>
  <c r="Z59" i="840" s="1"/>
  <c r="P65" i="840"/>
  <c r="P72" i="840" s="1"/>
  <c r="P87" i="840" s="1"/>
  <c r="P104" i="840" s="1"/>
  <c r="P50" i="840"/>
  <c r="R175" i="826"/>
  <c r="D39" i="190"/>
  <c r="C7" i="22"/>
  <c r="C41" i="587"/>
  <c r="N29" i="22" a="1"/>
  <c r="N29" i="22" s="1"/>
  <c r="J41" i="190"/>
  <c r="L51" i="190"/>
  <c r="L46" i="190"/>
  <c r="G51" i="190"/>
  <c r="H54" i="190" a="1"/>
  <c r="H54" i="190" s="1"/>
  <c r="H51" i="190"/>
  <c r="M51" i="190"/>
  <c r="I54" i="190" a="1"/>
  <c r="I54" i="190" s="1"/>
  <c r="J51" i="190"/>
  <c r="H49" i="190" a="1"/>
  <c r="H49" i="190" s="1"/>
  <c r="J49" i="190" a="1"/>
  <c r="J49" i="190" s="1"/>
  <c r="J50" i="190" a="1"/>
  <c r="J50" i="190" s="1"/>
  <c r="F51" i="190"/>
  <c r="J52" i="190" a="1"/>
  <c r="J52" i="190" s="1"/>
  <c r="J53" i="190" a="1"/>
  <c r="J53" i="190" s="1"/>
  <c r="J54" i="190" a="1"/>
  <c r="J54" i="190" s="1"/>
  <c r="H43" i="190"/>
  <c r="H45" i="190"/>
  <c r="H41" i="190"/>
  <c r="H42" i="190"/>
  <c r="H44" i="190"/>
  <c r="H46" i="190"/>
  <c r="K50" i="190" a="1"/>
  <c r="K50" i="190" s="1"/>
  <c r="K54" i="190" a="1"/>
  <c r="K54" i="190" s="1"/>
  <c r="I41" i="190"/>
  <c r="I42" i="190"/>
  <c r="I43" i="190"/>
  <c r="I44" i="190"/>
  <c r="I45" i="190"/>
  <c r="I46" i="190"/>
  <c r="I51" i="190"/>
  <c r="K53" i="190" a="1"/>
  <c r="K53" i="190" s="1"/>
  <c r="J42" i="190"/>
  <c r="J43" i="190"/>
  <c r="J44" i="190"/>
  <c r="J45" i="190"/>
  <c r="J46" i="190"/>
  <c r="L49" i="190" a="1"/>
  <c r="L49" i="190" s="1"/>
  <c r="H50" i="190" a="1"/>
  <c r="H50" i="190" s="1"/>
  <c r="L50" i="190" a="1"/>
  <c r="L50" i="190" s="1"/>
  <c r="H52" i="190" a="1"/>
  <c r="H52" i="190" s="1"/>
  <c r="L52" i="190" a="1"/>
  <c r="L52" i="190" s="1"/>
  <c r="H53" i="190" a="1"/>
  <c r="H53" i="190" s="1"/>
  <c r="L53" i="190" a="1"/>
  <c r="L53" i="190" s="1"/>
  <c r="L54" i="190" a="1"/>
  <c r="L54" i="190" s="1"/>
  <c r="K41" i="190"/>
  <c r="K42" i="190"/>
  <c r="K43" i="190"/>
  <c r="K44" i="190"/>
  <c r="K45" i="190"/>
  <c r="K46" i="190"/>
  <c r="K51" i="190"/>
  <c r="K49" i="190" a="1"/>
  <c r="K49" i="190" s="1"/>
  <c r="L41" i="190"/>
  <c r="L42" i="190"/>
  <c r="L43" i="190"/>
  <c r="L44" i="190"/>
  <c r="L45" i="190"/>
  <c r="I49" i="190" a="1"/>
  <c r="I49" i="190" s="1"/>
  <c r="M49" i="190" a="1"/>
  <c r="M49" i="190" s="1"/>
  <c r="I50" i="190" a="1"/>
  <c r="I50" i="190" s="1"/>
  <c r="M50" i="190" a="1"/>
  <c r="M50" i="190" s="1"/>
  <c r="I52" i="190" a="1"/>
  <c r="I52" i="190" s="1"/>
  <c r="M52" i="190" a="1"/>
  <c r="M52" i="190" s="1"/>
  <c r="I53" i="190" a="1"/>
  <c r="I53" i="190" s="1"/>
  <c r="M53" i="190" a="1"/>
  <c r="M53" i="190" s="1"/>
  <c r="M54" i="190" a="1"/>
  <c r="M54" i="190" s="1"/>
  <c r="K52" i="190" a="1"/>
  <c r="K52" i="190" s="1"/>
  <c r="M41" i="190"/>
  <c r="M42" i="190"/>
  <c r="M43" i="190"/>
  <c r="M44" i="190"/>
  <c r="M45" i="190"/>
  <c r="M46" i="190"/>
  <c r="N20" i="22"/>
  <c r="N31" i="22" a="1"/>
  <c r="N31" i="22" s="1"/>
  <c r="O24" i="22"/>
  <c r="P21" i="22"/>
  <c r="O25" i="22"/>
  <c r="N22" i="22"/>
  <c r="P24" i="22"/>
  <c r="P28" i="22" a="1"/>
  <c r="P28" i="22" s="1"/>
  <c r="N30" i="22" a="1"/>
  <c r="N30" i="22" s="1"/>
  <c r="O31" i="22" a="1"/>
  <c r="O31" i="22" s="1"/>
  <c r="P32" i="22" a="1"/>
  <c r="P32" i="22" s="1"/>
  <c r="O22" i="22"/>
  <c r="N25" i="22"/>
  <c r="O30" i="22" a="1"/>
  <c r="O30" i="22" s="1"/>
  <c r="P31" i="22" a="1"/>
  <c r="P31" i="22" s="1"/>
  <c r="N33" i="22" a="1"/>
  <c r="N33" i="22" s="1"/>
  <c r="O20" i="22"/>
  <c r="N23" i="22"/>
  <c r="P25" i="22"/>
  <c r="P22" i="22"/>
  <c r="O23" i="22"/>
  <c r="O29" i="22" a="1"/>
  <c r="O29" i="22" s="1"/>
  <c r="P30" i="22" a="1"/>
  <c r="P30" i="22" s="1"/>
  <c r="N32" i="22" a="1"/>
  <c r="N32" i="22" s="1"/>
  <c r="O33" i="22" a="1"/>
  <c r="O33" i="22" s="1"/>
  <c r="N28" i="22" a="1"/>
  <c r="N28" i="22" s="1"/>
  <c r="N21" i="22"/>
  <c r="P23" i="22"/>
  <c r="O21" i="22"/>
  <c r="N24" i="22"/>
  <c r="O28" i="22" a="1"/>
  <c r="O28" i="22" s="1"/>
  <c r="O32" i="22" a="1"/>
  <c r="O32" i="22" s="1"/>
  <c r="P33" i="22" a="1"/>
  <c r="P33" i="22" s="1"/>
  <c r="P20" i="22"/>
  <c r="P29" i="22" a="1"/>
  <c r="P29" i="22" s="1"/>
  <c r="F154" i="192" a="1"/>
  <c r="F154" i="192" s="1"/>
  <c r="H152" i="192"/>
  <c r="F143" i="192"/>
  <c r="I151" i="192" a="1"/>
  <c r="I151" i="192" s="1"/>
  <c r="J147" i="192"/>
  <c r="K95" i="192"/>
  <c r="I155" i="192" a="1"/>
  <c r="I155" i="192" s="1"/>
  <c r="G146" i="192"/>
  <c r="F103" i="192" a="1"/>
  <c r="F103" i="192" s="1"/>
  <c r="G103" i="192" a="1"/>
  <c r="G103" i="192" s="1"/>
  <c r="K97" i="192"/>
  <c r="M93" i="192"/>
  <c r="G154" i="192" a="1"/>
  <c r="G154" i="192" s="1"/>
  <c r="I93" i="192"/>
  <c r="K93" i="192"/>
  <c r="F94" i="192"/>
  <c r="I146" i="192"/>
  <c r="G153" i="192" a="1"/>
  <c r="G153" i="192" s="1"/>
  <c r="J144" i="192"/>
  <c r="K92" i="192"/>
  <c r="M95" i="192"/>
  <c r="H143" i="192"/>
  <c r="G92" i="192"/>
  <c r="K101" i="192" a="1"/>
  <c r="K101" i="192" s="1"/>
  <c r="I103" i="192" a="1"/>
  <c r="I103" i="192" s="1"/>
  <c r="I144" i="192"/>
  <c r="M104" i="192" a="1"/>
  <c r="M104" i="192" s="1"/>
  <c r="H146" i="192"/>
  <c r="G143" i="192"/>
  <c r="F145" i="192"/>
  <c r="J142" i="192"/>
  <c r="M102" i="192" a="1"/>
  <c r="M102" i="192" s="1"/>
  <c r="F150" i="192" a="1"/>
  <c r="F150" i="192" s="1"/>
  <c r="J154" i="192" a="1"/>
  <c r="J154" i="192" s="1"/>
  <c r="G152" i="192" a="1"/>
  <c r="G152" i="192" s="1"/>
  <c r="I154" i="192" a="1"/>
  <c r="I154" i="192" s="1"/>
  <c r="J153" i="192" a="1"/>
  <c r="J153" i="192" s="1"/>
  <c r="F153" i="192" a="1"/>
  <c r="F153" i="192" s="1"/>
  <c r="H147" i="192"/>
  <c r="J145" i="192"/>
  <c r="G144" i="192"/>
  <c r="I142" i="192"/>
  <c r="K102" i="192" a="1"/>
  <c r="K102" i="192" s="1"/>
  <c r="M94" i="192"/>
  <c r="G151" i="192" a="1"/>
  <c r="G151" i="192" s="1"/>
  <c r="H150" i="192" a="1"/>
  <c r="H150" i="192" s="1"/>
  <c r="G147" i="192"/>
  <c r="I145" i="192"/>
  <c r="F144" i="192"/>
  <c r="H142" i="192"/>
  <c r="I101" i="192" a="1"/>
  <c r="I101" i="192" s="1"/>
  <c r="I95" i="192"/>
  <c r="I147" i="192"/>
  <c r="G101" i="192" a="1"/>
  <c r="G101" i="192" s="1"/>
  <c r="G97" i="192"/>
  <c r="H155" i="192" a="1"/>
  <c r="H155" i="192" s="1"/>
  <c r="M105" i="192" a="1"/>
  <c r="M105" i="192" s="1"/>
  <c r="G104" i="192" a="1"/>
  <c r="G104" i="192" s="1"/>
  <c r="M100" i="192" a="1"/>
  <c r="M100" i="192" s="1"/>
  <c r="M96" i="192"/>
  <c r="G93" i="192"/>
  <c r="F152" i="192" a="1"/>
  <c r="F152" i="192" s="1"/>
  <c r="K105" i="192" a="1"/>
  <c r="K105" i="192" s="1"/>
  <c r="F104" i="192" a="1"/>
  <c r="F104" i="192" s="1"/>
  <c r="I102" i="192" a="1"/>
  <c r="I102" i="192" s="1"/>
  <c r="K100" i="192" a="1"/>
  <c r="K100" i="192" s="1"/>
  <c r="K96" i="192"/>
  <c r="K94" i="192"/>
  <c r="M92" i="192"/>
  <c r="G155" i="192" a="1"/>
  <c r="G155" i="192" s="1"/>
  <c r="H154" i="192" a="1"/>
  <c r="H154" i="192" s="1"/>
  <c r="I153" i="192" a="1"/>
  <c r="I153" i="192" s="1"/>
  <c r="J152" i="192" a="1"/>
  <c r="J152" i="192" s="1"/>
  <c r="F147" i="192"/>
  <c r="H145" i="192"/>
  <c r="J143" i="192"/>
  <c r="G142" i="192"/>
  <c r="H151" i="192" a="1"/>
  <c r="H151" i="192" s="1"/>
  <c r="I100" i="192" a="1"/>
  <c r="I100" i="192" s="1"/>
  <c r="F151" i="192" a="1"/>
  <c r="F151" i="192" s="1"/>
  <c r="G150" i="192" a="1"/>
  <c r="G150" i="192" s="1"/>
  <c r="J146" i="192"/>
  <c r="G145" i="192"/>
  <c r="I143" i="192"/>
  <c r="F142" i="192"/>
  <c r="K104" i="192" a="1"/>
  <c r="K104" i="192" s="1"/>
  <c r="I150" i="192" a="1"/>
  <c r="I150" i="192" s="1"/>
  <c r="H144" i="192"/>
  <c r="I104" i="192" a="1"/>
  <c r="I104" i="192" s="1"/>
  <c r="G95" i="192"/>
  <c r="I105" i="192" a="1"/>
  <c r="I105" i="192" s="1"/>
  <c r="G102" i="192" a="1"/>
  <c r="G102" i="192" s="1"/>
  <c r="I94" i="192"/>
  <c r="F101" i="192" a="1"/>
  <c r="F101" i="192" s="1"/>
  <c r="H102" i="192" a="1"/>
  <c r="H102" i="192" s="1"/>
  <c r="G105" i="192" a="1"/>
  <c r="G105" i="192" s="1"/>
  <c r="K103" i="192" a="1"/>
  <c r="K103" i="192" s="1"/>
  <c r="F102" i="192" a="1"/>
  <c r="F102" i="192" s="1"/>
  <c r="G100" i="192" a="1"/>
  <c r="G100" i="192" s="1"/>
  <c r="G96" i="192"/>
  <c r="G94" i="192"/>
  <c r="I92" i="192"/>
  <c r="J155" i="192" a="1"/>
  <c r="J155" i="192" s="1"/>
  <c r="F155" i="192" a="1"/>
  <c r="F155" i="192" s="1"/>
  <c r="H153" i="192" a="1"/>
  <c r="H153" i="192" s="1"/>
  <c r="I152" i="192" a="1"/>
  <c r="I152" i="192" s="1"/>
  <c r="I97" i="192"/>
  <c r="F146" i="192"/>
  <c r="M103" i="192" a="1"/>
  <c r="M103" i="192" s="1"/>
  <c r="I96" i="192"/>
  <c r="L105" i="192" a="1"/>
  <c r="L105" i="192" s="1"/>
  <c r="J100" i="192" a="1"/>
  <c r="J100" i="192" s="1"/>
  <c r="J151" i="192" a="1"/>
  <c r="J151" i="192" s="1"/>
  <c r="F105" i="192" a="1"/>
  <c r="F105" i="192" s="1"/>
  <c r="M101" i="192" a="1"/>
  <c r="M101" i="192" s="1"/>
  <c r="M97" i="192"/>
  <c r="F96" i="192"/>
  <c r="J150" i="192" a="1"/>
  <c r="J150" i="192" s="1"/>
  <c r="F97" i="192"/>
  <c r="L104" i="192" a="1"/>
  <c r="L104" i="192" s="1"/>
  <c r="L103" i="192" a="1"/>
  <c r="L103" i="192" s="1"/>
  <c r="L102" i="192" a="1"/>
  <c r="L102" i="192" s="1"/>
  <c r="F92" i="192"/>
  <c r="H96" i="192"/>
  <c r="L100" i="192" a="1"/>
  <c r="L100" i="192" s="1"/>
  <c r="H100" i="192" a="1"/>
  <c r="H100" i="192" s="1"/>
  <c r="J92" i="192"/>
  <c r="J101" i="192" a="1"/>
  <c r="J101" i="192" s="1"/>
  <c r="F95" i="192"/>
  <c r="J105" i="192" a="1"/>
  <c r="J105" i="192" s="1"/>
  <c r="J104" i="192" a="1"/>
  <c r="J104" i="192" s="1"/>
  <c r="J103" i="192" a="1"/>
  <c r="J103" i="192" s="1"/>
  <c r="J102" i="192" a="1"/>
  <c r="J102" i="192" s="1"/>
  <c r="F100" i="192" a="1"/>
  <c r="F100" i="192" s="1"/>
  <c r="F93" i="192"/>
  <c r="H105" i="192" a="1"/>
  <c r="H105" i="192" s="1"/>
  <c r="H104" i="192" a="1"/>
  <c r="H104" i="192" s="1"/>
  <c r="H103" i="192" a="1"/>
  <c r="H103" i="192" s="1"/>
  <c r="H97" i="192"/>
  <c r="H95" i="192"/>
  <c r="H94" i="192"/>
  <c r="H93" i="192"/>
  <c r="H92" i="192"/>
  <c r="L97" i="192"/>
  <c r="L96" i="192"/>
  <c r="L95" i="192"/>
  <c r="L94" i="192"/>
  <c r="L93" i="192"/>
  <c r="L92" i="192"/>
  <c r="H101" i="192" a="1"/>
  <c r="H101" i="192" s="1"/>
  <c r="J97" i="192"/>
  <c r="J96" i="192"/>
  <c r="J95" i="192"/>
  <c r="J94" i="192"/>
  <c r="J93" i="192"/>
  <c r="L101" i="192" a="1"/>
  <c r="L101" i="192" s="1"/>
  <c r="D20" i="92"/>
  <c r="D18" i="92"/>
  <c r="N50" i="189" a="1"/>
  <c r="N50" i="189" s="1"/>
  <c r="E81" i="189"/>
  <c r="E80" i="189"/>
  <c r="E79" i="189"/>
  <c r="E78" i="189"/>
  <c r="E77" i="189"/>
  <c r="E76" i="189"/>
  <c r="E75" i="189"/>
  <c r="E74" i="189"/>
  <c r="E73" i="189"/>
  <c r="E72" i="189"/>
  <c r="E71" i="189"/>
  <c r="E70" i="189"/>
  <c r="E69" i="189"/>
  <c r="E68" i="189"/>
  <c r="E67" i="189"/>
  <c r="E66" i="189"/>
  <c r="E65" i="189"/>
  <c r="E64" i="189"/>
  <c r="E63" i="189"/>
  <c r="E62" i="189"/>
  <c r="E61" i="189"/>
  <c r="E60" i="189"/>
  <c r="M81" i="189"/>
  <c r="L81" i="189"/>
  <c r="K81" i="189"/>
  <c r="J81" i="189"/>
  <c r="I81" i="189"/>
  <c r="H81" i="189"/>
  <c r="G81" i="189"/>
  <c r="F81" i="189"/>
  <c r="M80" i="189"/>
  <c r="L80" i="189"/>
  <c r="K80" i="189"/>
  <c r="J80" i="189"/>
  <c r="I80" i="189"/>
  <c r="H80" i="189"/>
  <c r="G80" i="189"/>
  <c r="F80" i="189"/>
  <c r="N80" i="189" s="1"/>
  <c r="M79" i="189"/>
  <c r="L79" i="189"/>
  <c r="K79" i="189"/>
  <c r="J79" i="189"/>
  <c r="I79" i="189"/>
  <c r="H79" i="189"/>
  <c r="G79" i="189"/>
  <c r="F79" i="189"/>
  <c r="M78" i="189"/>
  <c r="L78" i="189"/>
  <c r="K78" i="189"/>
  <c r="J78" i="189"/>
  <c r="I78" i="189"/>
  <c r="H78" i="189"/>
  <c r="G78" i="189"/>
  <c r="F78" i="189"/>
  <c r="N78" i="189" s="1"/>
  <c r="M77" i="189"/>
  <c r="L77" i="189"/>
  <c r="K77" i="189"/>
  <c r="J77" i="189"/>
  <c r="I77" i="189"/>
  <c r="H77" i="189"/>
  <c r="G77" i="189"/>
  <c r="F77" i="189"/>
  <c r="M76" i="189"/>
  <c r="L76" i="189"/>
  <c r="K76" i="189"/>
  <c r="J76" i="189"/>
  <c r="I76" i="189"/>
  <c r="H76" i="189"/>
  <c r="G76" i="189"/>
  <c r="F76" i="189"/>
  <c r="N76" i="189" s="1"/>
  <c r="M75" i="189"/>
  <c r="L75" i="189"/>
  <c r="K75" i="189"/>
  <c r="J75" i="189"/>
  <c r="I75" i="189"/>
  <c r="H75" i="189"/>
  <c r="G75" i="189"/>
  <c r="F75" i="189"/>
  <c r="M74" i="189"/>
  <c r="L74" i="189"/>
  <c r="K74" i="189"/>
  <c r="J74" i="189"/>
  <c r="I74" i="189"/>
  <c r="H74" i="189"/>
  <c r="G74" i="189"/>
  <c r="F74" i="189"/>
  <c r="N74" i="189" s="1"/>
  <c r="M73" i="189"/>
  <c r="L73" i="189"/>
  <c r="K73" i="189"/>
  <c r="J73" i="189"/>
  <c r="I73" i="189"/>
  <c r="H73" i="189"/>
  <c r="G73" i="189"/>
  <c r="F73" i="189"/>
  <c r="M72" i="189"/>
  <c r="L72" i="189"/>
  <c r="K72" i="189"/>
  <c r="J72" i="189"/>
  <c r="I72" i="189"/>
  <c r="H72" i="189"/>
  <c r="G72" i="189"/>
  <c r="F72" i="189"/>
  <c r="N72" i="189" s="1"/>
  <c r="M71" i="189"/>
  <c r="L71" i="189"/>
  <c r="K71" i="189"/>
  <c r="J71" i="189"/>
  <c r="I71" i="189"/>
  <c r="H71" i="189"/>
  <c r="G71" i="189"/>
  <c r="F71" i="189"/>
  <c r="M70" i="189"/>
  <c r="L70" i="189"/>
  <c r="K70" i="189"/>
  <c r="J70" i="189"/>
  <c r="I70" i="189"/>
  <c r="H70" i="189"/>
  <c r="G70" i="189"/>
  <c r="F70" i="189"/>
  <c r="N70" i="189" s="1"/>
  <c r="M69" i="189"/>
  <c r="L69" i="189"/>
  <c r="K69" i="189"/>
  <c r="J69" i="189"/>
  <c r="I69" i="189"/>
  <c r="H69" i="189"/>
  <c r="G69" i="189"/>
  <c r="F69" i="189"/>
  <c r="M68" i="189"/>
  <c r="L68" i="189"/>
  <c r="K68" i="189"/>
  <c r="J68" i="189"/>
  <c r="I68" i="189"/>
  <c r="H68" i="189"/>
  <c r="G68" i="189"/>
  <c r="F68" i="189"/>
  <c r="N68" i="189" s="1"/>
  <c r="M67" i="189"/>
  <c r="L67" i="189"/>
  <c r="K67" i="189"/>
  <c r="J67" i="189"/>
  <c r="I67" i="189"/>
  <c r="H67" i="189"/>
  <c r="G67" i="189"/>
  <c r="F67" i="189"/>
  <c r="M66" i="189"/>
  <c r="L66" i="189"/>
  <c r="K66" i="189"/>
  <c r="J66" i="189"/>
  <c r="I66" i="189"/>
  <c r="H66" i="189"/>
  <c r="G66" i="189"/>
  <c r="F66" i="189"/>
  <c r="N66" i="189" s="1"/>
  <c r="M65" i="189"/>
  <c r="L65" i="189"/>
  <c r="K65" i="189"/>
  <c r="J65" i="189"/>
  <c r="I65" i="189"/>
  <c r="H65" i="189"/>
  <c r="G65" i="189"/>
  <c r="F65" i="189"/>
  <c r="M64" i="189"/>
  <c r="L64" i="189"/>
  <c r="K64" i="189"/>
  <c r="J64" i="189"/>
  <c r="I64" i="189"/>
  <c r="H64" i="189"/>
  <c r="G64" i="189"/>
  <c r="F64" i="189"/>
  <c r="N64" i="189" s="1"/>
  <c r="M63" i="189"/>
  <c r="L63" i="189"/>
  <c r="K63" i="189"/>
  <c r="J63" i="189"/>
  <c r="I63" i="189"/>
  <c r="H63" i="189"/>
  <c r="G63" i="189"/>
  <c r="F63" i="189"/>
  <c r="M62" i="189"/>
  <c r="L62" i="189"/>
  <c r="K62" i="189"/>
  <c r="J62" i="189"/>
  <c r="I62" i="189"/>
  <c r="H62" i="189"/>
  <c r="G62" i="189"/>
  <c r="F62" i="189"/>
  <c r="N62" i="189" s="1"/>
  <c r="M61" i="189"/>
  <c r="L61" i="189"/>
  <c r="K61" i="189"/>
  <c r="J61" i="189"/>
  <c r="I61" i="189"/>
  <c r="H61" i="189"/>
  <c r="G61" i="189"/>
  <c r="F61" i="189"/>
  <c r="D82" i="189"/>
  <c r="D40" i="189"/>
  <c r="D21" i="92"/>
  <c r="Y56" i="840" l="1"/>
  <c r="R147" i="826"/>
  <c r="Z56" i="840" s="1"/>
  <c r="Y60" i="840"/>
  <c r="R151" i="826"/>
  <c r="Z60" i="840" s="1"/>
  <c r="Y57" i="840"/>
  <c r="R148" i="826"/>
  <c r="Z57" i="840" s="1"/>
  <c r="Y61" i="840"/>
  <c r="R152" i="826"/>
  <c r="Z61" i="840" s="1"/>
  <c r="U64" i="189"/>
  <c r="W64" i="189" s="1"/>
  <c r="R71" i="189"/>
  <c r="U65" i="189"/>
  <c r="W65" i="189" s="1"/>
  <c r="U68" i="189"/>
  <c r="W68" i="189" s="1"/>
  <c r="U71" i="189"/>
  <c r="W71" i="189" s="1"/>
  <c r="U73" i="189"/>
  <c r="W73" i="189" s="1"/>
  <c r="U78" i="189"/>
  <c r="W78" i="189" s="1"/>
  <c r="U79" i="189"/>
  <c r="W79" i="189" s="1"/>
  <c r="R65" i="189"/>
  <c r="R79" i="189"/>
  <c r="U63" i="189"/>
  <c r="W63" i="189" s="1"/>
  <c r="U66" i="189"/>
  <c r="W66" i="189" s="1"/>
  <c r="U70" i="189"/>
  <c r="W70" i="189" s="1"/>
  <c r="U72" i="189"/>
  <c r="W72" i="189" s="1"/>
  <c r="U80" i="189"/>
  <c r="W80" i="189" s="1"/>
  <c r="U61" i="189"/>
  <c r="W61" i="189" s="1"/>
  <c r="T64" i="189"/>
  <c r="T65" i="189"/>
  <c r="T66" i="189"/>
  <c r="T67" i="189"/>
  <c r="T69" i="189"/>
  <c r="T71" i="189"/>
  <c r="T72" i="189"/>
  <c r="T73" i="189"/>
  <c r="T74" i="189"/>
  <c r="T78" i="189"/>
  <c r="T79" i="189"/>
  <c r="T80" i="189"/>
  <c r="T81" i="189"/>
  <c r="T62" i="189"/>
  <c r="R62" i="189"/>
  <c r="P72" i="189"/>
  <c r="Q67" i="189"/>
  <c r="R68" i="189"/>
  <c r="Q71" i="189"/>
  <c r="R74" i="189"/>
  <c r="Q75" i="189"/>
  <c r="R76" i="189"/>
  <c r="Q80" i="189"/>
  <c r="Q81" i="189"/>
  <c r="P62" i="189"/>
  <c r="P69" i="189"/>
  <c r="S61" i="189"/>
  <c r="S62" i="189"/>
  <c r="O61" i="189"/>
  <c r="O63" i="189"/>
  <c r="P63" i="189"/>
  <c r="O66" i="189"/>
  <c r="O68" i="189"/>
  <c r="O69" i="189"/>
  <c r="O70" i="189"/>
  <c r="O73" i="189"/>
  <c r="O76" i="189"/>
  <c r="O77" i="189"/>
  <c r="O80" i="189"/>
  <c r="Q63" i="189"/>
  <c r="P65" i="189"/>
  <c r="P68" i="189"/>
  <c r="P75" i="189"/>
  <c r="P76" i="189"/>
  <c r="P77" i="189"/>
  <c r="P81" i="189"/>
  <c r="T61" i="189"/>
  <c r="S65" i="189"/>
  <c r="S66" i="189"/>
  <c r="S67" i="189"/>
  <c r="S70" i="189"/>
  <c r="S72" i="189"/>
  <c r="S73" i="189"/>
  <c r="S74" i="189"/>
  <c r="S75" i="189"/>
  <c r="S79" i="189"/>
  <c r="S80" i="189"/>
  <c r="S81" i="189"/>
  <c r="R61" i="189"/>
  <c r="N61" i="189"/>
  <c r="S63" i="189"/>
  <c r="P64" i="189"/>
  <c r="O65" i="189"/>
  <c r="S68" i="189"/>
  <c r="Q70" i="189"/>
  <c r="P71" i="189"/>
  <c r="O72" i="189"/>
  <c r="R73" i="189"/>
  <c r="U74" i="189"/>
  <c r="W74" i="189" s="1"/>
  <c r="T75" i="189"/>
  <c r="S76" i="189"/>
  <c r="P78" i="189"/>
  <c r="O79" i="189"/>
  <c r="U81" i="189"/>
  <c r="O64" i="189"/>
  <c r="Q69" i="189"/>
  <c r="P79" i="189"/>
  <c r="R81" i="189"/>
  <c r="O71" i="189"/>
  <c r="U62" i="189"/>
  <c r="R64" i="189"/>
  <c r="U67" i="189"/>
  <c r="W67" i="189" s="1"/>
  <c r="S69" i="189"/>
  <c r="U75" i="189"/>
  <c r="T76" i="189"/>
  <c r="R78" i="189"/>
  <c r="P61" i="189"/>
  <c r="Q65" i="189"/>
  <c r="P66" i="189"/>
  <c r="O67" i="189"/>
  <c r="R72" i="189"/>
  <c r="P73" i="189"/>
  <c r="O74" i="189"/>
  <c r="R75" i="189"/>
  <c r="U76" i="189"/>
  <c r="T77" i="189"/>
  <c r="Q79" i="189"/>
  <c r="P80" i="189"/>
  <c r="O81" i="189"/>
  <c r="P70" i="189"/>
  <c r="Q77" i="189"/>
  <c r="T63" i="189"/>
  <c r="R67" i="189"/>
  <c r="T68" i="189"/>
  <c r="S77" i="189"/>
  <c r="Q61" i="189"/>
  <c r="O62" i="189"/>
  <c r="R63" i="189"/>
  <c r="N63" i="189"/>
  <c r="S64" i="189"/>
  <c r="Q66" i="189"/>
  <c r="P67" i="189"/>
  <c r="U69" i="189"/>
  <c r="W69" i="189" s="1"/>
  <c r="T70" i="189"/>
  <c r="S71" i="189"/>
  <c r="Q73" i="189"/>
  <c r="P74" i="189"/>
  <c r="O75" i="189"/>
  <c r="U77" i="189"/>
  <c r="W77" i="189" s="1"/>
  <c r="S78" i="189"/>
  <c r="R69" i="189"/>
  <c r="R77" i="189"/>
  <c r="N77" i="189"/>
  <c r="O78" i="189"/>
  <c r="Q64" i="189"/>
  <c r="Q68" i="189"/>
  <c r="N65" i="189"/>
  <c r="R66" i="189"/>
  <c r="N67" i="189"/>
  <c r="N69" i="189"/>
  <c r="R70" i="189"/>
  <c r="N71" i="189"/>
  <c r="N73" i="189"/>
  <c r="N79" i="189"/>
  <c r="R80" i="189"/>
  <c r="Q72" i="189"/>
  <c r="Q74" i="189"/>
  <c r="Q76" i="189"/>
  <c r="N81" i="189"/>
  <c r="Q62" i="189"/>
  <c r="Q78" i="189"/>
  <c r="N75" i="189"/>
  <c r="K79" i="122"/>
  <c r="J79" i="122"/>
  <c r="I79" i="122"/>
  <c r="K78" i="122"/>
  <c r="J78" i="122"/>
  <c r="I78" i="122"/>
  <c r="K77" i="122"/>
  <c r="J77" i="122"/>
  <c r="I77" i="122"/>
  <c r="K76" i="122"/>
  <c r="J76" i="122"/>
  <c r="I76" i="122"/>
  <c r="K75" i="122"/>
  <c r="J75" i="122"/>
  <c r="I75" i="122"/>
  <c r="K74" i="122"/>
  <c r="J74" i="122"/>
  <c r="I74" i="122"/>
  <c r="K73" i="122"/>
  <c r="J73" i="122"/>
  <c r="I73" i="122"/>
  <c r="K72" i="122"/>
  <c r="J72" i="122"/>
  <c r="I72" i="122"/>
  <c r="K71" i="122"/>
  <c r="J71" i="122"/>
  <c r="I71" i="122"/>
  <c r="K70" i="122"/>
  <c r="J70" i="122"/>
  <c r="I70" i="122"/>
  <c r="K69" i="122"/>
  <c r="J69" i="122"/>
  <c r="I69" i="122"/>
  <c r="K68" i="122"/>
  <c r="J68" i="122"/>
  <c r="I68" i="122"/>
  <c r="K67" i="122"/>
  <c r="J67" i="122"/>
  <c r="I67" i="122"/>
  <c r="K66" i="122"/>
  <c r="J66" i="122"/>
  <c r="I66" i="122"/>
  <c r="K65" i="122"/>
  <c r="J65" i="122"/>
  <c r="I65" i="122"/>
  <c r="K64" i="122"/>
  <c r="J64" i="122"/>
  <c r="I64" i="122"/>
  <c r="K63" i="122"/>
  <c r="J63" i="122"/>
  <c r="I63" i="122"/>
  <c r="K62" i="122"/>
  <c r="J62" i="122"/>
  <c r="I62" i="122"/>
  <c r="K61" i="122"/>
  <c r="J61" i="122"/>
  <c r="I61" i="122"/>
  <c r="K60" i="122"/>
  <c r="J60" i="122"/>
  <c r="I60" i="122"/>
  <c r="K59" i="122"/>
  <c r="J59" i="122"/>
  <c r="I59" i="122"/>
  <c r="K58" i="122"/>
  <c r="J58" i="122"/>
  <c r="I58" i="122"/>
  <c r="K57" i="122"/>
  <c r="J57" i="122"/>
  <c r="I57" i="122"/>
  <c r="K56" i="122"/>
  <c r="J56" i="122"/>
  <c r="I56" i="122"/>
  <c r="K55" i="122"/>
  <c r="J55" i="122"/>
  <c r="I55" i="122"/>
  <c r="K54" i="122"/>
  <c r="J54" i="122"/>
  <c r="I54" i="122"/>
  <c r="K53" i="122"/>
  <c r="J53" i="122"/>
  <c r="I53" i="122"/>
  <c r="K52" i="122"/>
  <c r="J52" i="122"/>
  <c r="I52" i="122"/>
  <c r="K51" i="122"/>
  <c r="J51" i="122"/>
  <c r="I51" i="122"/>
  <c r="K50" i="122"/>
  <c r="J50" i="122"/>
  <c r="I50" i="122"/>
  <c r="K49" i="122"/>
  <c r="J49" i="122"/>
  <c r="I49" i="122"/>
  <c r="K48" i="122"/>
  <c r="J48" i="122"/>
  <c r="I48" i="122"/>
  <c r="K47" i="122"/>
  <c r="J47" i="122"/>
  <c r="I47" i="122"/>
  <c r="K46" i="122"/>
  <c r="J46" i="122"/>
  <c r="I46" i="122"/>
  <c r="K45" i="122"/>
  <c r="J45" i="122"/>
  <c r="I45" i="122"/>
  <c r="K44" i="122"/>
  <c r="J44" i="122"/>
  <c r="I44" i="122"/>
  <c r="K43" i="122"/>
  <c r="J43" i="122"/>
  <c r="I43" i="122"/>
  <c r="K42" i="122"/>
  <c r="J42" i="122"/>
  <c r="I42" i="122"/>
  <c r="K41" i="122"/>
  <c r="J41" i="122"/>
  <c r="I41" i="122"/>
  <c r="K40" i="122"/>
  <c r="J40" i="122"/>
  <c r="I40" i="122"/>
  <c r="K39" i="122"/>
  <c r="J39" i="122"/>
  <c r="I39" i="122"/>
  <c r="K38" i="122"/>
  <c r="J38" i="122"/>
  <c r="I38" i="122"/>
  <c r="K37" i="122"/>
  <c r="J37" i="122"/>
  <c r="I37" i="122"/>
  <c r="K36" i="122"/>
  <c r="J36" i="122"/>
  <c r="I36" i="122"/>
  <c r="K35" i="122"/>
  <c r="J35" i="122"/>
  <c r="I35" i="122"/>
  <c r="K34" i="122"/>
  <c r="J34" i="122"/>
  <c r="I34" i="122"/>
  <c r="K33" i="122"/>
  <c r="J33" i="122"/>
  <c r="I33" i="122"/>
  <c r="K32" i="122"/>
  <c r="J32" i="122"/>
  <c r="I32" i="122"/>
  <c r="K31" i="122"/>
  <c r="J31" i="122"/>
  <c r="I31" i="122"/>
  <c r="K30" i="122"/>
  <c r="J30" i="122"/>
  <c r="I30" i="122"/>
  <c r="K29" i="122"/>
  <c r="J29" i="122"/>
  <c r="I29" i="122"/>
  <c r="K28" i="122"/>
  <c r="J28" i="122"/>
  <c r="I28" i="122"/>
  <c r="K27" i="122"/>
  <c r="J27" i="122"/>
  <c r="I27" i="122"/>
  <c r="K26" i="122"/>
  <c r="J26" i="122"/>
  <c r="I26" i="122"/>
  <c r="K25" i="122"/>
  <c r="J25" i="122"/>
  <c r="I25" i="122"/>
  <c r="K24" i="122"/>
  <c r="J24" i="122"/>
  <c r="I24" i="122"/>
  <c r="K23" i="122"/>
  <c r="J23" i="122"/>
  <c r="I23" i="122"/>
  <c r="K22" i="122"/>
  <c r="J22" i="122"/>
  <c r="I22" i="122"/>
  <c r="K21" i="122"/>
  <c r="J21" i="122"/>
  <c r="I21" i="122"/>
  <c r="K20" i="122"/>
  <c r="J20" i="122"/>
  <c r="I20" i="122"/>
  <c r="K19" i="122"/>
  <c r="J19" i="122"/>
  <c r="I19" i="122"/>
  <c r="K18" i="122"/>
  <c r="J18" i="122"/>
  <c r="I18" i="122"/>
  <c r="K17" i="122"/>
  <c r="J17" i="122"/>
  <c r="I17" i="122"/>
  <c r="K16" i="122"/>
  <c r="J16" i="122"/>
  <c r="I16" i="122"/>
  <c r="K15" i="122"/>
  <c r="J15" i="122"/>
  <c r="I15" i="122"/>
  <c r="K14" i="122"/>
  <c r="J14" i="122"/>
  <c r="I14" i="122"/>
  <c r="K13" i="122"/>
  <c r="J13" i="122"/>
  <c r="I13" i="122"/>
  <c r="K12" i="122"/>
  <c r="J12" i="122"/>
  <c r="I12" i="122"/>
  <c r="K11" i="122"/>
  <c r="J11" i="122"/>
  <c r="I11" i="122"/>
  <c r="K10" i="122"/>
  <c r="J10" i="122"/>
  <c r="I10" i="122"/>
  <c r="J9" i="122"/>
  <c r="K9" i="122"/>
  <c r="I9" i="122"/>
  <c r="N158" i="826"/>
  <c r="O158" i="826"/>
  <c r="P158" i="826"/>
  <c r="Q158" i="826"/>
  <c r="R158" i="826"/>
  <c r="N159" i="826"/>
  <c r="O159" i="826"/>
  <c r="P159" i="826"/>
  <c r="Q159" i="826"/>
  <c r="R159" i="826"/>
  <c r="N160" i="826"/>
  <c r="O160" i="826"/>
  <c r="P160" i="826"/>
  <c r="Q160" i="826"/>
  <c r="R160" i="826"/>
  <c r="N161" i="826"/>
  <c r="O161" i="826"/>
  <c r="P161" i="826"/>
  <c r="Q161" i="826"/>
  <c r="R161" i="826"/>
  <c r="N162" i="826"/>
  <c r="O162" i="826"/>
  <c r="P162" i="826"/>
  <c r="Q162" i="826"/>
  <c r="R162" i="826"/>
  <c r="N163" i="826"/>
  <c r="O163" i="826"/>
  <c r="P163" i="826"/>
  <c r="Q163" i="826"/>
  <c r="R163" i="826"/>
  <c r="N164" i="826"/>
  <c r="O164" i="826"/>
  <c r="P164" i="826"/>
  <c r="Q164" i="826"/>
  <c r="R164" i="826"/>
  <c r="M166" i="829"/>
  <c r="N166" i="829"/>
  <c r="L166" i="829"/>
  <c r="M33" i="826"/>
  <c r="N33" i="826" s="1"/>
  <c r="O33" i="826" s="1"/>
  <c r="P33" i="826" s="1"/>
  <c r="Q33" i="826" s="1"/>
  <c r="R33" i="826" s="1"/>
  <c r="M34" i="826"/>
  <c r="N34" i="826" s="1"/>
  <c r="O34" i="826" s="1"/>
  <c r="P34" i="826" s="1"/>
  <c r="Q34" i="826" s="1"/>
  <c r="R34" i="826" s="1"/>
  <c r="M35" i="826"/>
  <c r="M36" i="826"/>
  <c r="M37" i="826"/>
  <c r="M38" i="826"/>
  <c r="M39" i="826"/>
  <c r="M40" i="826"/>
  <c r="M41" i="826"/>
  <c r="M42" i="826"/>
  <c r="M43" i="826"/>
  <c r="M32" i="826"/>
  <c r="M19" i="826"/>
  <c r="M20" i="826"/>
  <c r="M21" i="826"/>
  <c r="M22" i="826"/>
  <c r="M23" i="826"/>
  <c r="M24" i="826"/>
  <c r="M25" i="826"/>
  <c r="M26" i="826"/>
  <c r="M27" i="826"/>
  <c r="M28" i="826"/>
  <c r="M29" i="826"/>
  <c r="M18" i="826"/>
  <c r="L165" i="829"/>
  <c r="L145" i="829"/>
  <c r="M145" i="829"/>
  <c r="N145" i="829"/>
  <c r="L144" i="829"/>
  <c r="M124" i="829"/>
  <c r="N124" i="829"/>
  <c r="L124" i="829"/>
  <c r="L123" i="829"/>
  <c r="L102" i="829"/>
  <c r="M63" i="826" l="1"/>
  <c r="M65" i="826"/>
  <c r="M64" i="826"/>
  <c r="M62" i="826"/>
  <c r="V81" i="189"/>
  <c r="V76" i="189"/>
  <c r="V62" i="189"/>
  <c r="V68" i="189"/>
  <c r="V67" i="189"/>
  <c r="V71" i="189"/>
  <c r="V63" i="189"/>
  <c r="V66" i="189"/>
  <c r="V79" i="189"/>
  <c r="W81" i="189"/>
  <c r="V70" i="189"/>
  <c r="V80" i="189"/>
  <c r="V78" i="189"/>
  <c r="V65" i="189"/>
  <c r="V64" i="189"/>
  <c r="V73" i="189"/>
  <c r="V72" i="189"/>
  <c r="V61" i="189"/>
  <c r="W62" i="189"/>
  <c r="V75" i="189"/>
  <c r="W76" i="189"/>
  <c r="W75" i="189"/>
  <c r="V74" i="189"/>
  <c r="V69" i="189"/>
  <c r="V77" i="189"/>
  <c r="T125" i="826"/>
  <c r="T126" i="826"/>
  <c r="T118" i="826"/>
  <c r="L152" i="826"/>
  <c r="T61" i="840" s="1"/>
  <c r="T162" i="826"/>
  <c r="L151" i="826"/>
  <c r="T60" i="840" s="1"/>
  <c r="T127" i="826"/>
  <c r="T119" i="826"/>
  <c r="T120" i="826"/>
  <c r="L33" i="826"/>
  <c r="T160" i="826"/>
  <c r="T128" i="826"/>
  <c r="T163" i="826"/>
  <c r="L147" i="826"/>
  <c r="T56" i="840" s="1"/>
  <c r="T33" i="826"/>
  <c r="T34" i="826"/>
  <c r="T129" i="826"/>
  <c r="T158" i="826"/>
  <c r="T122" i="826"/>
  <c r="T161" i="826"/>
  <c r="T164" i="826"/>
  <c r="T121" i="826"/>
  <c r="T123" i="826"/>
  <c r="L34" i="826"/>
  <c r="T124" i="826"/>
  <c r="T159" i="826"/>
  <c r="N22" i="826"/>
  <c r="O22" i="826" s="1"/>
  <c r="P22" i="826" s="1"/>
  <c r="Q22" i="826" s="1"/>
  <c r="R22" i="826" s="1"/>
  <c r="L22" i="826"/>
  <c r="N29" i="826"/>
  <c r="O29" i="826" s="1"/>
  <c r="P29" i="826" s="1"/>
  <c r="Q29" i="826" s="1"/>
  <c r="R29" i="826" s="1"/>
  <c r="L29" i="826"/>
  <c r="N21" i="826"/>
  <c r="O21" i="826" s="1"/>
  <c r="P21" i="826" s="1"/>
  <c r="Q21" i="826" s="1"/>
  <c r="R21" i="826" s="1"/>
  <c r="L21" i="826"/>
  <c r="N39" i="826"/>
  <c r="O39" i="826" s="1"/>
  <c r="P39" i="826" s="1"/>
  <c r="Q39" i="826" s="1"/>
  <c r="R39" i="826" s="1"/>
  <c r="L39" i="826"/>
  <c r="N28" i="826"/>
  <c r="O28" i="826" s="1"/>
  <c r="P28" i="826" s="1"/>
  <c r="Q28" i="826" s="1"/>
  <c r="R28" i="826" s="1"/>
  <c r="L28" i="826"/>
  <c r="N20" i="826"/>
  <c r="O20" i="826" s="1"/>
  <c r="P20" i="826" s="1"/>
  <c r="Q20" i="826" s="1"/>
  <c r="R20" i="826" s="1"/>
  <c r="L20" i="826"/>
  <c r="N38" i="826"/>
  <c r="O38" i="826" s="1"/>
  <c r="P38" i="826" s="1"/>
  <c r="Q38" i="826" s="1"/>
  <c r="R38" i="826" s="1"/>
  <c r="L38" i="826"/>
  <c r="L153" i="826"/>
  <c r="T62" i="840" s="1"/>
  <c r="N27" i="826"/>
  <c r="O27" i="826" s="1"/>
  <c r="P27" i="826" s="1"/>
  <c r="Q27" i="826" s="1"/>
  <c r="R27" i="826" s="1"/>
  <c r="L27" i="826"/>
  <c r="N26" i="826"/>
  <c r="O26" i="826" s="1"/>
  <c r="P26" i="826" s="1"/>
  <c r="Q26" i="826" s="1"/>
  <c r="R26" i="826" s="1"/>
  <c r="L26" i="826"/>
  <c r="N19" i="826"/>
  <c r="O19" i="826" s="1"/>
  <c r="P19" i="826" s="1"/>
  <c r="Q19" i="826" s="1"/>
  <c r="R19" i="826" s="1"/>
  <c r="L19" i="826"/>
  <c r="N37" i="826"/>
  <c r="O37" i="826" s="1"/>
  <c r="P37" i="826" s="1"/>
  <c r="Q37" i="826" s="1"/>
  <c r="R37" i="826" s="1"/>
  <c r="L37" i="826"/>
  <c r="N32" i="826"/>
  <c r="O32" i="826" s="1"/>
  <c r="P32" i="826" s="1"/>
  <c r="Q32" i="826" s="1"/>
  <c r="R32" i="826" s="1"/>
  <c r="L32" i="826"/>
  <c r="N36" i="826"/>
  <c r="O36" i="826" s="1"/>
  <c r="P36" i="826" s="1"/>
  <c r="Q36" i="826" s="1"/>
  <c r="R36" i="826" s="1"/>
  <c r="L36" i="826"/>
  <c r="N25" i="826"/>
  <c r="O25" i="826" s="1"/>
  <c r="P25" i="826" s="1"/>
  <c r="Q25" i="826" s="1"/>
  <c r="R25" i="826" s="1"/>
  <c r="L25" i="826"/>
  <c r="N43" i="826"/>
  <c r="L43" i="826"/>
  <c r="N35" i="826"/>
  <c r="O35" i="826" s="1"/>
  <c r="P35" i="826" s="1"/>
  <c r="Q35" i="826" s="1"/>
  <c r="R35" i="826" s="1"/>
  <c r="L35" i="826"/>
  <c r="L150" i="826"/>
  <c r="T59" i="840" s="1"/>
  <c r="N24" i="826"/>
  <c r="O24" i="826" s="1"/>
  <c r="P24" i="826" s="1"/>
  <c r="Q24" i="826" s="1"/>
  <c r="R24" i="826" s="1"/>
  <c r="L24" i="826"/>
  <c r="N42" i="826"/>
  <c r="L42" i="826"/>
  <c r="L149" i="826"/>
  <c r="T58" i="840" s="1"/>
  <c r="N23" i="826"/>
  <c r="O23" i="826" s="1"/>
  <c r="P23" i="826" s="1"/>
  <c r="Q23" i="826" s="1"/>
  <c r="R23" i="826" s="1"/>
  <c r="L23" i="826"/>
  <c r="N41" i="826"/>
  <c r="L41" i="826"/>
  <c r="L148" i="826"/>
  <c r="T57" i="840" s="1"/>
  <c r="N18" i="826"/>
  <c r="O18" i="826" s="1"/>
  <c r="P18" i="826" s="1"/>
  <c r="Q18" i="826" s="1"/>
  <c r="R18" i="826" s="1"/>
  <c r="L18" i="826"/>
  <c r="N40" i="826"/>
  <c r="L40" i="826"/>
  <c r="L103" i="829"/>
  <c r="M103" i="829"/>
  <c r="N103" i="829"/>
  <c r="M54" i="826"/>
  <c r="M55" i="826"/>
  <c r="M56" i="826"/>
  <c r="M57" i="826"/>
  <c r="C24" i="847"/>
  <c r="E34" i="847"/>
  <c r="E35" i="847"/>
  <c r="E46" i="847"/>
  <c r="R103" i="829"/>
  <c r="E190" i="847" l="1"/>
  <c r="E191" i="847"/>
  <c r="E189" i="847"/>
  <c r="H176" i="829"/>
  <c r="H166" i="829"/>
  <c r="E148" i="856"/>
  <c r="H154" i="829"/>
  <c r="H130" i="829"/>
  <c r="H175" i="829"/>
  <c r="H165" i="829"/>
  <c r="H152" i="829"/>
  <c r="H137" i="829"/>
  <c r="H129" i="829"/>
  <c r="H114" i="829"/>
  <c r="H104" i="829"/>
  <c r="H174" i="829"/>
  <c r="H159" i="829"/>
  <c r="H151" i="829"/>
  <c r="H136" i="829"/>
  <c r="H128" i="829"/>
  <c r="H113" i="829"/>
  <c r="H103" i="829"/>
  <c r="H155" i="829"/>
  <c r="H117" i="829"/>
  <c r="H177" i="829"/>
  <c r="H167" i="829"/>
  <c r="H144" i="829"/>
  <c r="H131" i="829"/>
  <c r="H116" i="829"/>
  <c r="H108" i="829"/>
  <c r="H138" i="829"/>
  <c r="H107" i="829"/>
  <c r="H153" i="829"/>
  <c r="H173" i="829"/>
  <c r="H158" i="829"/>
  <c r="H150" i="829"/>
  <c r="H135" i="829"/>
  <c r="H125" i="829"/>
  <c r="H112" i="829"/>
  <c r="H102" i="829"/>
  <c r="H180" i="829"/>
  <c r="H172" i="829"/>
  <c r="H157" i="829"/>
  <c r="H149" i="829"/>
  <c r="H134" i="829"/>
  <c r="H124" i="829"/>
  <c r="H111" i="829"/>
  <c r="H179" i="829"/>
  <c r="H171" i="829"/>
  <c r="H156" i="829"/>
  <c r="H146" i="829"/>
  <c r="H133" i="829"/>
  <c r="H123" i="829"/>
  <c r="H110" i="829"/>
  <c r="H178" i="829"/>
  <c r="H170" i="829"/>
  <c r="H145" i="829"/>
  <c r="H132" i="829"/>
  <c r="H109" i="829"/>
  <c r="H115" i="829"/>
  <c r="U8" i="840"/>
  <c r="G66" i="853"/>
  <c r="G46" i="853"/>
  <c r="G27" i="853"/>
  <c r="U12" i="840"/>
  <c r="G70" i="853"/>
  <c r="U9" i="840"/>
  <c r="G69" i="853"/>
  <c r="G50" i="853"/>
  <c r="G67" i="853"/>
  <c r="G65" i="853"/>
  <c r="G43" i="853"/>
  <c r="G28" i="853"/>
  <c r="G60" i="853"/>
  <c r="G51" i="853"/>
  <c r="G58" i="853"/>
  <c r="G47" i="853"/>
  <c r="G26" i="853"/>
  <c r="U11" i="840"/>
  <c r="G62" i="853"/>
  <c r="G42" i="853"/>
  <c r="G25" i="853"/>
  <c r="G52" i="853"/>
  <c r="G59" i="853"/>
  <c r="G49" i="853"/>
  <c r="G37" i="853"/>
  <c r="U10" i="840"/>
  <c r="G72" i="853"/>
  <c r="G61" i="853"/>
  <c r="G41" i="853"/>
  <c r="G40" i="853"/>
  <c r="G39" i="853"/>
  <c r="G68" i="853"/>
  <c r="G38" i="853"/>
  <c r="L62" i="826"/>
  <c r="L65" i="826"/>
  <c r="O41" i="826"/>
  <c r="N63" i="826"/>
  <c r="O40" i="826"/>
  <c r="N62" i="826"/>
  <c r="L64" i="826"/>
  <c r="O43" i="826"/>
  <c r="N65" i="826"/>
  <c r="O42" i="826"/>
  <c r="N64" i="826"/>
  <c r="L63" i="826"/>
  <c r="E185" i="847"/>
  <c r="E183" i="847"/>
  <c r="E186" i="847"/>
  <c r="E187" i="847"/>
  <c r="E188" i="847"/>
  <c r="L193" i="847" s="1"/>
  <c r="E182" i="847"/>
  <c r="E184" i="847"/>
  <c r="E159" i="847"/>
  <c r="E136" i="847"/>
  <c r="E153" i="847"/>
  <c r="E135" i="847"/>
  <c r="E147" i="847"/>
  <c r="E144" i="847"/>
  <c r="E130" i="847"/>
  <c r="E143" i="847"/>
  <c r="E131" i="847"/>
  <c r="E142" i="847"/>
  <c r="E132" i="847"/>
  <c r="E141" i="847"/>
  <c r="E129" i="847"/>
  <c r="E137" i="847"/>
  <c r="E138" i="847"/>
  <c r="B48" i="844"/>
  <c r="C174" i="826"/>
  <c r="B32" i="844"/>
  <c r="B37" i="844"/>
  <c r="T103" i="829"/>
  <c r="T36" i="826"/>
  <c r="T28" i="826"/>
  <c r="T35" i="826"/>
  <c r="T26" i="826"/>
  <c r="T23" i="826"/>
  <c r="T27" i="826"/>
  <c r="T25" i="826"/>
  <c r="T19" i="826"/>
  <c r="T22" i="826"/>
  <c r="T32" i="826"/>
  <c r="T39" i="826"/>
  <c r="T37" i="826"/>
  <c r="T61" i="826"/>
  <c r="T18" i="826"/>
  <c r="T38" i="826"/>
  <c r="T21" i="826"/>
  <c r="T24" i="826"/>
  <c r="T20" i="826"/>
  <c r="T29" i="826"/>
  <c r="E32" i="847"/>
  <c r="O166" i="829"/>
  <c r="O145" i="829"/>
  <c r="Q103" i="829"/>
  <c r="P103" i="829"/>
  <c r="O103" i="829"/>
  <c r="O124" i="829"/>
  <c r="L54" i="826"/>
  <c r="L56" i="826"/>
  <c r="M58" i="826"/>
  <c r="L57" i="826"/>
  <c r="L55" i="826"/>
  <c r="D63" i="844"/>
  <c r="E63" i="844" s="1"/>
  <c r="F63" i="844" s="1"/>
  <c r="F72" i="844" s="1"/>
  <c r="D25" i="844"/>
  <c r="E25" i="844" s="1"/>
  <c r="F25" i="844" s="1"/>
  <c r="D24" i="844"/>
  <c r="K39" i="834"/>
  <c r="L39" i="834" s="1"/>
  <c r="K40" i="834"/>
  <c r="L40" i="834" s="1"/>
  <c r="B79" i="844"/>
  <c r="B80" i="844"/>
  <c r="B84" i="844"/>
  <c r="B78" i="844"/>
  <c r="B17" i="844"/>
  <c r="B54" i="844"/>
  <c r="B74" i="844"/>
  <c r="B65" i="844"/>
  <c r="B2" i="844"/>
  <c r="G4" i="844"/>
  <c r="C30" i="825"/>
  <c r="C31" i="825"/>
  <c r="C32" i="825"/>
  <c r="C33" i="825"/>
  <c r="C34" i="825"/>
  <c r="C29" i="825"/>
  <c r="U24" i="2"/>
  <c r="U25" i="2"/>
  <c r="U39" i="2"/>
  <c r="U41" i="2"/>
  <c r="U42" i="2"/>
  <c r="U51" i="2"/>
  <c r="U53" i="2"/>
  <c r="U54" i="2"/>
  <c r="U55" i="2"/>
  <c r="U56" i="2"/>
  <c r="U58" i="2"/>
  <c r="U60" i="2"/>
  <c r="U63" i="2"/>
  <c r="U66" i="2"/>
  <c r="U30" i="826"/>
  <c r="U31" i="826"/>
  <c r="U44" i="826"/>
  <c r="U45" i="826"/>
  <c r="U52" i="826"/>
  <c r="U53" i="826"/>
  <c r="U60" i="826"/>
  <c r="U61" i="826"/>
  <c r="U68" i="826"/>
  <c r="U70" i="826"/>
  <c r="U71" i="826"/>
  <c r="U76" i="826"/>
  <c r="U95" i="826"/>
  <c r="U101" i="826"/>
  <c r="U102" i="826"/>
  <c r="U108" i="826"/>
  <c r="U109" i="826"/>
  <c r="U116" i="826"/>
  <c r="U117" i="826"/>
  <c r="U130" i="826"/>
  <c r="U131" i="826"/>
  <c r="U144" i="826"/>
  <c r="U155" i="826"/>
  <c r="U166" i="826"/>
  <c r="S85" i="840"/>
  <c r="T85" i="840"/>
  <c r="S107" i="840"/>
  <c r="T107" i="840"/>
  <c r="K18" i="834" l="1"/>
  <c r="K19" i="834"/>
  <c r="U55" i="826"/>
  <c r="U57" i="826"/>
  <c r="U56" i="826"/>
  <c r="U54" i="826"/>
  <c r="P42" i="826"/>
  <c r="O64" i="826"/>
  <c r="P43" i="826"/>
  <c r="O65" i="826"/>
  <c r="P40" i="826"/>
  <c r="O62" i="826"/>
  <c r="P41" i="826"/>
  <c r="O63" i="826"/>
  <c r="D109" i="829" a="1"/>
  <c r="D113" i="829" s="1"/>
  <c r="E24" i="844"/>
  <c r="F73" i="844"/>
  <c r="E39" i="847"/>
  <c r="E40" i="847"/>
  <c r="P166" i="829"/>
  <c r="S101" i="840"/>
  <c r="T101" i="840"/>
  <c r="P145" i="829"/>
  <c r="U64" i="826"/>
  <c r="P124" i="829"/>
  <c r="L58" i="826"/>
  <c r="U65" i="826"/>
  <c r="M66" i="826"/>
  <c r="U63" i="826"/>
  <c r="L66" i="826"/>
  <c r="U62" i="826"/>
  <c r="E72" i="844"/>
  <c r="D72" i="844"/>
  <c r="M59" i="826" l="1"/>
  <c r="L67" i="826"/>
  <c r="Q41" i="826"/>
  <c r="P63" i="826"/>
  <c r="Q40" i="826"/>
  <c r="P62" i="826"/>
  <c r="Q43" i="826"/>
  <c r="P65" i="826"/>
  <c r="Q42" i="826"/>
  <c r="P64" i="826"/>
  <c r="D111" i="829"/>
  <c r="D112" i="829"/>
  <c r="D109" i="829"/>
  <c r="D110" i="829"/>
  <c r="D114" i="829"/>
  <c r="E34" i="844"/>
  <c r="F24" i="844"/>
  <c r="D73" i="844"/>
  <c r="E73" i="844"/>
  <c r="Q166" i="829"/>
  <c r="Q145" i="829"/>
  <c r="Q124" i="829"/>
  <c r="U58" i="826"/>
  <c r="L59" i="826"/>
  <c r="M67" i="826"/>
  <c r="U66" i="826"/>
  <c r="O37" i="834"/>
  <c r="O25" i="840"/>
  <c r="Q25" i="840"/>
  <c r="Q24" i="840"/>
  <c r="Q21" i="840"/>
  <c r="L66" i="829"/>
  <c r="L67" i="829"/>
  <c r="L68" i="829"/>
  <c r="L69" i="829"/>
  <c r="L71" i="829"/>
  <c r="M71" i="829"/>
  <c r="L72" i="829"/>
  <c r="M72" i="829"/>
  <c r="L73" i="829"/>
  <c r="M73" i="829"/>
  <c r="L74" i="829"/>
  <c r="M74" i="829"/>
  <c r="L104" i="829"/>
  <c r="M102" i="829" s="1"/>
  <c r="L125" i="829"/>
  <c r="M123" i="829" s="1"/>
  <c r="L146" i="829"/>
  <c r="L167" i="829"/>
  <c r="M165" i="829" s="1"/>
  <c r="L20" i="122"/>
  <c r="L43" i="122"/>
  <c r="L57" i="122"/>
  <c r="L65" i="122"/>
  <c r="L77" i="122"/>
  <c r="K15" i="2"/>
  <c r="L15" i="2"/>
  <c r="K16" i="2"/>
  <c r="L16" i="2"/>
  <c r="K17" i="2"/>
  <c r="L17" i="2"/>
  <c r="K18" i="2"/>
  <c r="L18" i="2"/>
  <c r="K19" i="2"/>
  <c r="L19" i="2"/>
  <c r="K20" i="2"/>
  <c r="L20" i="2"/>
  <c r="K21" i="2"/>
  <c r="L21" i="2"/>
  <c r="K22" i="2"/>
  <c r="L22" i="2"/>
  <c r="K30" i="2"/>
  <c r="K31" i="2"/>
  <c r="K32" i="2"/>
  <c r="K33" i="2"/>
  <c r="K34" i="2"/>
  <c r="L34" i="2"/>
  <c r="K35" i="2"/>
  <c r="L35" i="2"/>
  <c r="K36" i="2"/>
  <c r="L36" i="2"/>
  <c r="K37" i="2"/>
  <c r="L37" i="2"/>
  <c r="K43" i="2"/>
  <c r="K13" i="829" s="1"/>
  <c r="K44" i="2"/>
  <c r="K45" i="2"/>
  <c r="K46" i="2"/>
  <c r="K47" i="2"/>
  <c r="K48" i="2"/>
  <c r="K49" i="2"/>
  <c r="K57" i="2"/>
  <c r="L57" i="2"/>
  <c r="L114" i="826"/>
  <c r="K46" i="826"/>
  <c r="K47" i="826"/>
  <c r="K48" i="826"/>
  <c r="K49" i="826"/>
  <c r="K107" i="826"/>
  <c r="K114" i="826"/>
  <c r="K154" i="826"/>
  <c r="K171" i="826"/>
  <c r="K12" i="826"/>
  <c r="K8" i="826" s="1"/>
  <c r="L8" i="826"/>
  <c r="Q16" i="840"/>
  <c r="Q15" i="840"/>
  <c r="Q14" i="840"/>
  <c r="Q107" i="840"/>
  <c r="U107" i="840"/>
  <c r="R107" i="840"/>
  <c r="Q85" i="840"/>
  <c r="U85" i="840"/>
  <c r="U59" i="826" l="1"/>
  <c r="K8" i="835"/>
  <c r="K9" i="853"/>
  <c r="K174" i="826"/>
  <c r="K168" i="826"/>
  <c r="L8" i="835"/>
  <c r="L168" i="826"/>
  <c r="L174" i="826"/>
  <c r="U67" i="826"/>
  <c r="R42" i="826"/>
  <c r="Q64" i="826"/>
  <c r="R43" i="826"/>
  <c r="Q65" i="826"/>
  <c r="R40" i="826"/>
  <c r="Q62" i="826"/>
  <c r="R41" i="826"/>
  <c r="Q63" i="826"/>
  <c r="L8" i="122"/>
  <c r="K8" i="847"/>
  <c r="K15" i="826"/>
  <c r="K38" i="829" s="1"/>
  <c r="J8" i="847"/>
  <c r="L45" i="122"/>
  <c r="L67" i="122"/>
  <c r="L79" i="122" s="1"/>
  <c r="R166" i="829"/>
  <c r="R145" i="829"/>
  <c r="R124" i="829"/>
  <c r="T124" i="829" s="1"/>
  <c r="M144" i="829"/>
  <c r="M68" i="829" s="1"/>
  <c r="V137" i="826"/>
  <c r="V154" i="826"/>
  <c r="V136" i="826"/>
  <c r="V143" i="826"/>
  <c r="V135" i="826"/>
  <c r="V142" i="826"/>
  <c r="V134" i="826"/>
  <c r="V141" i="826"/>
  <c r="V133" i="826"/>
  <c r="V140" i="826"/>
  <c r="V132" i="826"/>
  <c r="V139" i="826"/>
  <c r="V19" i="826"/>
  <c r="V27" i="826"/>
  <c r="V35" i="826"/>
  <c r="V43" i="826"/>
  <c r="V57" i="826"/>
  <c r="V65" i="826"/>
  <c r="V74" i="826"/>
  <c r="V105" i="826"/>
  <c r="V116" i="826"/>
  <c r="V124" i="826"/>
  <c r="V144" i="826"/>
  <c r="V155" i="826"/>
  <c r="V30" i="826"/>
  <c r="V52" i="826"/>
  <c r="V68" i="826"/>
  <c r="V109" i="826"/>
  <c r="V127" i="826"/>
  <c r="V41" i="826"/>
  <c r="V122" i="826"/>
  <c r="V113" i="826"/>
  <c r="V20" i="826"/>
  <c r="V28" i="826"/>
  <c r="V36" i="826"/>
  <c r="V44" i="826"/>
  <c r="V58" i="826"/>
  <c r="V66" i="826"/>
  <c r="V75" i="826"/>
  <c r="V106" i="826"/>
  <c r="V117" i="826"/>
  <c r="V125" i="826"/>
  <c r="V147" i="826"/>
  <c r="V166" i="826"/>
  <c r="V149" i="826"/>
  <c r="V63" i="826"/>
  <c r="V130" i="826"/>
  <c r="V42" i="826"/>
  <c r="V21" i="826"/>
  <c r="V29" i="826"/>
  <c r="V37" i="826"/>
  <c r="V45" i="826"/>
  <c r="V59" i="826"/>
  <c r="V67" i="826"/>
  <c r="V76" i="826"/>
  <c r="V108" i="826"/>
  <c r="V118" i="826"/>
  <c r="V126" i="826"/>
  <c r="V148" i="826"/>
  <c r="V169" i="826"/>
  <c r="V22" i="826"/>
  <c r="V38" i="826"/>
  <c r="V60" i="826"/>
  <c r="V95" i="826"/>
  <c r="V119" i="826"/>
  <c r="V170" i="826"/>
  <c r="V25" i="826"/>
  <c r="V103" i="826"/>
  <c r="V152" i="826"/>
  <c r="V26" i="826"/>
  <c r="V64" i="826"/>
  <c r="V104" i="826"/>
  <c r="V153" i="826"/>
  <c r="V23" i="826"/>
  <c r="V31" i="826"/>
  <c r="V39" i="826"/>
  <c r="V53" i="826"/>
  <c r="V61" i="826"/>
  <c r="V70" i="826"/>
  <c r="V101" i="826"/>
  <c r="V110" i="826"/>
  <c r="V120" i="826"/>
  <c r="V128" i="826"/>
  <c r="V150" i="826"/>
  <c r="V18" i="826"/>
  <c r="V33" i="826"/>
  <c r="V55" i="826"/>
  <c r="V112" i="826"/>
  <c r="V56" i="826"/>
  <c r="V123" i="826"/>
  <c r="V24" i="826"/>
  <c r="V32" i="826"/>
  <c r="V40" i="826"/>
  <c r="V54" i="826"/>
  <c r="V62" i="826"/>
  <c r="V71" i="826"/>
  <c r="V102" i="826"/>
  <c r="V111" i="826"/>
  <c r="V121" i="826"/>
  <c r="V129" i="826"/>
  <c r="V151" i="826"/>
  <c r="V72" i="826"/>
  <c r="V34" i="826"/>
  <c r="V73" i="826"/>
  <c r="V131" i="826"/>
  <c r="V138" i="826"/>
  <c r="K96" i="826"/>
  <c r="K26" i="2" s="1"/>
  <c r="V46" i="826"/>
  <c r="V114" i="826"/>
  <c r="V107" i="826"/>
  <c r="K64" i="2"/>
  <c r="V171" i="826"/>
  <c r="K99" i="826"/>
  <c r="V99" i="826" s="1"/>
  <c r="V49" i="826"/>
  <c r="K98" i="826"/>
  <c r="V48" i="826"/>
  <c r="K97" i="826"/>
  <c r="V47" i="826"/>
  <c r="K13" i="2"/>
  <c r="K8" i="2"/>
  <c r="L157" i="826"/>
  <c r="L8" i="2"/>
  <c r="F5" i="855" s="1"/>
  <c r="M5" i="855" s="1"/>
  <c r="K157" i="826"/>
  <c r="L146" i="826"/>
  <c r="K50" i="2"/>
  <c r="K146" i="826"/>
  <c r="L94" i="826"/>
  <c r="K94" i="826"/>
  <c r="L15" i="826"/>
  <c r="K14" i="2"/>
  <c r="L8" i="829"/>
  <c r="L56" i="829" s="1"/>
  <c r="K12" i="2"/>
  <c r="K8" i="829"/>
  <c r="K56" i="829" s="1"/>
  <c r="K8" i="122"/>
  <c r="K11" i="2"/>
  <c r="L75" i="829"/>
  <c r="L60" i="829" s="1"/>
  <c r="M69" i="829"/>
  <c r="M167" i="829"/>
  <c r="N165" i="829" s="1"/>
  <c r="L171" i="829" s="1"/>
  <c r="L178" i="829" s="1"/>
  <c r="M66" i="829"/>
  <c r="M104" i="829"/>
  <c r="N102" i="829" s="1"/>
  <c r="M108" i="829" s="1"/>
  <c r="M67" i="829"/>
  <c r="M125" i="829"/>
  <c r="N123" i="829" s="1"/>
  <c r="L129" i="829" s="1"/>
  <c r="L136" i="829" s="1"/>
  <c r="L61" i="829"/>
  <c r="M61" i="829"/>
  <c r="K50" i="826"/>
  <c r="R101" i="840"/>
  <c r="Q101" i="840"/>
  <c r="D41" i="92"/>
  <c r="E41" i="92"/>
  <c r="D42" i="92"/>
  <c r="E42" i="92"/>
  <c r="D43" i="92"/>
  <c r="E43" i="92"/>
  <c r="D44" i="92"/>
  <c r="E44" i="92"/>
  <c r="D45" i="92"/>
  <c r="E45" i="92"/>
  <c r="D46" i="92"/>
  <c r="E46" i="92"/>
  <c r="D47" i="92"/>
  <c r="E47" i="92"/>
  <c r="D48" i="92"/>
  <c r="E48" i="92"/>
  <c r="D49" i="92"/>
  <c r="E49" i="92"/>
  <c r="D50" i="92"/>
  <c r="E50" i="92"/>
  <c r="D51" i="92"/>
  <c r="E51" i="92"/>
  <c r="D52" i="92"/>
  <c r="E52" i="92"/>
  <c r="D53" i="92"/>
  <c r="E53" i="92"/>
  <c r="D54" i="92"/>
  <c r="E54" i="92"/>
  <c r="D55" i="92"/>
  <c r="E55" i="92"/>
  <c r="D56" i="92"/>
  <c r="E56" i="92"/>
  <c r="D57" i="92"/>
  <c r="E57" i="92"/>
  <c r="C91" i="827"/>
  <c r="C92" i="827" s="1"/>
  <c r="C93" i="827" s="1"/>
  <c r="C94" i="827" s="1"/>
  <c r="C95" i="827" s="1"/>
  <c r="C96" i="827" s="1"/>
  <c r="C97" i="827" s="1"/>
  <c r="C98" i="827" s="1"/>
  <c r="C99" i="827" s="1"/>
  <c r="C100" i="827" s="1"/>
  <c r="C101" i="827" s="1"/>
  <c r="C102" i="827" s="1"/>
  <c r="C103" i="827" s="1"/>
  <c r="C104" i="827" s="1"/>
  <c r="C105" i="827" s="1"/>
  <c r="C106" i="827" s="1"/>
  <c r="C107" i="827" s="1"/>
  <c r="C108" i="827" s="1"/>
  <c r="C109" i="827" s="1"/>
  <c r="C110" i="827" s="1"/>
  <c r="C111" i="827" s="1"/>
  <c r="C112" i="827" s="1"/>
  <c r="C113" i="827" s="1"/>
  <c r="C114" i="827" s="1"/>
  <c r="C115" i="827" s="1"/>
  <c r="C116" i="827" s="1"/>
  <c r="C117" i="827" s="1"/>
  <c r="C118" i="827" s="1"/>
  <c r="C119" i="827" s="1"/>
  <c r="N5" i="437"/>
  <c r="O5" i="437"/>
  <c r="P5" i="437"/>
  <c r="Q5" i="437"/>
  <c r="R5" i="437"/>
  <c r="S5" i="437"/>
  <c r="T5" i="437"/>
  <c r="N6" i="437"/>
  <c r="O6" i="437"/>
  <c r="P6" i="437"/>
  <c r="Q6" i="437"/>
  <c r="R6" i="437"/>
  <c r="S6" i="437"/>
  <c r="T6" i="437"/>
  <c r="N7" i="437"/>
  <c r="O7" i="437"/>
  <c r="P7" i="437"/>
  <c r="Q7" i="437"/>
  <c r="R7" i="437"/>
  <c r="S7" i="437"/>
  <c r="T7" i="437"/>
  <c r="N8" i="437"/>
  <c r="O8" i="437"/>
  <c r="P8" i="437"/>
  <c r="Q8" i="437"/>
  <c r="R8" i="437"/>
  <c r="S8" i="437"/>
  <c r="T8" i="437"/>
  <c r="N9" i="437"/>
  <c r="O9" i="437"/>
  <c r="P9" i="437"/>
  <c r="Q9" i="437"/>
  <c r="R9" i="437"/>
  <c r="S9" i="437"/>
  <c r="T9" i="437"/>
  <c r="N10" i="437"/>
  <c r="O10" i="437"/>
  <c r="P10" i="437"/>
  <c r="Q10" i="437"/>
  <c r="R10" i="437"/>
  <c r="S10" i="437"/>
  <c r="T10" i="437"/>
  <c r="N11" i="437"/>
  <c r="O11" i="437"/>
  <c r="P11" i="437"/>
  <c r="Q11" i="437"/>
  <c r="R11" i="437"/>
  <c r="S11" i="437"/>
  <c r="T11" i="437"/>
  <c r="N12" i="437"/>
  <c r="O12" i="437"/>
  <c r="P12" i="437"/>
  <c r="Q12" i="437"/>
  <c r="R12" i="437"/>
  <c r="S12" i="437"/>
  <c r="T12" i="437"/>
  <c r="N13" i="437"/>
  <c r="O13" i="437"/>
  <c r="P13" i="437"/>
  <c r="Q13" i="437"/>
  <c r="R13" i="437"/>
  <c r="S13" i="437"/>
  <c r="T13" i="437"/>
  <c r="N14" i="437"/>
  <c r="O14" i="437"/>
  <c r="P14" i="437"/>
  <c r="Q14" i="437"/>
  <c r="R14" i="437"/>
  <c r="S14" i="437"/>
  <c r="T14" i="437"/>
  <c r="N15" i="437"/>
  <c r="O15" i="437"/>
  <c r="P15" i="437"/>
  <c r="Q15" i="437"/>
  <c r="R15" i="437"/>
  <c r="S15" i="437"/>
  <c r="T15" i="437"/>
  <c r="N16" i="437"/>
  <c r="O16" i="437"/>
  <c r="P16" i="437"/>
  <c r="Q16" i="437"/>
  <c r="R16" i="437"/>
  <c r="S16" i="437"/>
  <c r="T16" i="437"/>
  <c r="N17" i="437"/>
  <c r="O17" i="437"/>
  <c r="P17" i="437"/>
  <c r="Q17" i="437"/>
  <c r="R17" i="437"/>
  <c r="S17" i="437"/>
  <c r="T17" i="437"/>
  <c r="N18" i="437"/>
  <c r="O18" i="437"/>
  <c r="P18" i="437"/>
  <c r="Q18" i="437"/>
  <c r="R18" i="437"/>
  <c r="S18" i="437"/>
  <c r="T18" i="437"/>
  <c r="N19" i="437"/>
  <c r="O19" i="437"/>
  <c r="P19" i="437"/>
  <c r="Q19" i="437"/>
  <c r="R19" i="437"/>
  <c r="S19" i="437"/>
  <c r="T19" i="437"/>
  <c r="N20" i="437"/>
  <c r="O20" i="437"/>
  <c r="P20" i="437"/>
  <c r="Q20" i="437"/>
  <c r="R20" i="437"/>
  <c r="S20" i="437"/>
  <c r="T20" i="437"/>
  <c r="N21" i="437"/>
  <c r="O21" i="437"/>
  <c r="P21" i="437"/>
  <c r="Q21" i="437"/>
  <c r="R21" i="437"/>
  <c r="S21" i="437"/>
  <c r="T21" i="437"/>
  <c r="N22" i="437"/>
  <c r="O22" i="437"/>
  <c r="P22" i="437"/>
  <c r="Q22" i="437"/>
  <c r="R22" i="437"/>
  <c r="S22" i="437"/>
  <c r="T22" i="437"/>
  <c r="N23" i="437"/>
  <c r="O23" i="437"/>
  <c r="P23" i="437"/>
  <c r="Q23" i="437"/>
  <c r="R23" i="437"/>
  <c r="S23" i="437"/>
  <c r="T23" i="437"/>
  <c r="N24" i="437"/>
  <c r="O24" i="437"/>
  <c r="P24" i="437"/>
  <c r="Q24" i="437"/>
  <c r="R24" i="437"/>
  <c r="S24" i="437"/>
  <c r="T24" i="437"/>
  <c r="N25" i="437"/>
  <c r="O25" i="437"/>
  <c r="P25" i="437"/>
  <c r="Q25" i="437"/>
  <c r="R25" i="437"/>
  <c r="S25" i="437"/>
  <c r="T25" i="437"/>
  <c r="N26" i="437"/>
  <c r="O26" i="437"/>
  <c r="P26" i="437"/>
  <c r="Q26" i="437"/>
  <c r="R26" i="437"/>
  <c r="S26" i="437"/>
  <c r="T26" i="437"/>
  <c r="N27" i="437"/>
  <c r="O27" i="437"/>
  <c r="P27" i="437"/>
  <c r="Q27" i="437"/>
  <c r="R27" i="437"/>
  <c r="S27" i="437"/>
  <c r="T27" i="437"/>
  <c r="N28" i="437"/>
  <c r="O28" i="437"/>
  <c r="P28" i="437"/>
  <c r="Q28" i="437"/>
  <c r="R28" i="437"/>
  <c r="S28" i="437"/>
  <c r="T28" i="437"/>
  <c r="N29" i="437"/>
  <c r="O29" i="437"/>
  <c r="P29" i="437"/>
  <c r="Q29" i="437"/>
  <c r="R29" i="437"/>
  <c r="S29" i="437"/>
  <c r="T29" i="437"/>
  <c r="N30" i="437"/>
  <c r="O30" i="437"/>
  <c r="P30" i="437"/>
  <c r="Q30" i="437"/>
  <c r="R30" i="437"/>
  <c r="S30" i="437"/>
  <c r="T30" i="437"/>
  <c r="N31" i="437"/>
  <c r="O31" i="437"/>
  <c r="P31" i="437"/>
  <c r="Q31" i="437"/>
  <c r="R31" i="437"/>
  <c r="S31" i="437"/>
  <c r="T31" i="437"/>
  <c r="N32" i="437"/>
  <c r="O32" i="437"/>
  <c r="P32" i="437"/>
  <c r="Q32" i="437"/>
  <c r="R32" i="437"/>
  <c r="S32" i="437"/>
  <c r="T32" i="437"/>
  <c r="N33" i="437"/>
  <c r="O33" i="437"/>
  <c r="P33" i="437"/>
  <c r="Q33" i="437"/>
  <c r="R33" i="437"/>
  <c r="S33" i="437"/>
  <c r="T33" i="437"/>
  <c r="N34" i="437"/>
  <c r="O34" i="437"/>
  <c r="P34" i="437"/>
  <c r="Q34" i="437"/>
  <c r="R34" i="437"/>
  <c r="S34" i="437"/>
  <c r="T34" i="437"/>
  <c r="D5" i="437"/>
  <c r="E5" i="437"/>
  <c r="F5" i="437"/>
  <c r="G5" i="437"/>
  <c r="H5" i="437"/>
  <c r="I5" i="437"/>
  <c r="J5" i="437"/>
  <c r="D6" i="437"/>
  <c r="E6" i="437"/>
  <c r="F6" i="437"/>
  <c r="G6" i="437"/>
  <c r="H6" i="437"/>
  <c r="I6" i="437"/>
  <c r="J6" i="437"/>
  <c r="D7" i="437"/>
  <c r="E7" i="437"/>
  <c r="F7" i="437"/>
  <c r="G7" i="437"/>
  <c r="H7" i="437"/>
  <c r="I7" i="437"/>
  <c r="J7" i="437"/>
  <c r="D8" i="437"/>
  <c r="E8" i="437"/>
  <c r="F8" i="437"/>
  <c r="G8" i="437"/>
  <c r="H8" i="437"/>
  <c r="I8" i="437"/>
  <c r="J8" i="437"/>
  <c r="D9" i="437"/>
  <c r="E9" i="437"/>
  <c r="F9" i="437"/>
  <c r="G9" i="437"/>
  <c r="H9" i="437"/>
  <c r="I9" i="437"/>
  <c r="J9" i="437"/>
  <c r="D10" i="437"/>
  <c r="E10" i="437"/>
  <c r="F10" i="437"/>
  <c r="G10" i="437"/>
  <c r="H10" i="437"/>
  <c r="I10" i="437"/>
  <c r="J10" i="437"/>
  <c r="D11" i="437"/>
  <c r="E11" i="437"/>
  <c r="F11" i="437"/>
  <c r="G11" i="437"/>
  <c r="H11" i="437"/>
  <c r="I11" i="437"/>
  <c r="J11" i="437"/>
  <c r="D12" i="437"/>
  <c r="E12" i="437"/>
  <c r="F12" i="437"/>
  <c r="G12" i="437"/>
  <c r="H12" i="437"/>
  <c r="I12" i="437"/>
  <c r="J12" i="437"/>
  <c r="D13" i="437"/>
  <c r="E13" i="437"/>
  <c r="F13" i="437"/>
  <c r="G13" i="437"/>
  <c r="H13" i="437"/>
  <c r="I13" i="437"/>
  <c r="J13" i="437"/>
  <c r="D14" i="437"/>
  <c r="E14" i="437"/>
  <c r="F14" i="437"/>
  <c r="G14" i="437"/>
  <c r="H14" i="437"/>
  <c r="I14" i="437"/>
  <c r="J14" i="437"/>
  <c r="D15" i="437"/>
  <c r="E15" i="437"/>
  <c r="F15" i="437"/>
  <c r="G15" i="437"/>
  <c r="H15" i="437"/>
  <c r="I15" i="437"/>
  <c r="J15" i="437"/>
  <c r="D16" i="437"/>
  <c r="E16" i="437"/>
  <c r="F16" i="437"/>
  <c r="G16" i="437"/>
  <c r="H16" i="437"/>
  <c r="I16" i="437"/>
  <c r="J16" i="437"/>
  <c r="D17" i="437"/>
  <c r="E17" i="437"/>
  <c r="F17" i="437"/>
  <c r="G17" i="437"/>
  <c r="H17" i="437"/>
  <c r="I17" i="437"/>
  <c r="J17" i="437"/>
  <c r="D18" i="437"/>
  <c r="E18" i="437"/>
  <c r="F18" i="437"/>
  <c r="G18" i="437"/>
  <c r="H18" i="437"/>
  <c r="I18" i="437"/>
  <c r="J18" i="437"/>
  <c r="D19" i="437"/>
  <c r="E19" i="437"/>
  <c r="F19" i="437"/>
  <c r="G19" i="437"/>
  <c r="H19" i="437"/>
  <c r="I19" i="437"/>
  <c r="J19" i="437"/>
  <c r="D20" i="437"/>
  <c r="E20" i="437"/>
  <c r="F20" i="437"/>
  <c r="G20" i="437"/>
  <c r="H20" i="437"/>
  <c r="I20" i="437"/>
  <c r="J20" i="437"/>
  <c r="D21" i="437"/>
  <c r="E21" i="437"/>
  <c r="F21" i="437"/>
  <c r="G21" i="437"/>
  <c r="H21" i="437"/>
  <c r="I21" i="437"/>
  <c r="J21" i="437"/>
  <c r="D22" i="437"/>
  <c r="E22" i="437"/>
  <c r="F22" i="437"/>
  <c r="G22" i="437"/>
  <c r="H22" i="437"/>
  <c r="I22" i="437"/>
  <c r="J22" i="437"/>
  <c r="D23" i="437"/>
  <c r="E23" i="437"/>
  <c r="F23" i="437"/>
  <c r="G23" i="437"/>
  <c r="H23" i="437"/>
  <c r="I23" i="437"/>
  <c r="J23" i="437"/>
  <c r="D24" i="437"/>
  <c r="E24" i="437"/>
  <c r="F24" i="437"/>
  <c r="G24" i="437"/>
  <c r="H24" i="437"/>
  <c r="I24" i="437"/>
  <c r="J24" i="437"/>
  <c r="D25" i="437"/>
  <c r="E25" i="437"/>
  <c r="F25" i="437"/>
  <c r="G25" i="437"/>
  <c r="H25" i="437"/>
  <c r="I25" i="437"/>
  <c r="J25" i="437"/>
  <c r="D26" i="437"/>
  <c r="E26" i="437"/>
  <c r="F26" i="437"/>
  <c r="G26" i="437"/>
  <c r="H26" i="437"/>
  <c r="I26" i="437"/>
  <c r="J26" i="437"/>
  <c r="D27" i="437"/>
  <c r="E27" i="437"/>
  <c r="F27" i="437"/>
  <c r="G27" i="437"/>
  <c r="H27" i="437"/>
  <c r="I27" i="437"/>
  <c r="J27" i="437"/>
  <c r="D28" i="437"/>
  <c r="E28" i="437"/>
  <c r="F28" i="437"/>
  <c r="G28" i="437"/>
  <c r="H28" i="437"/>
  <c r="I28" i="437"/>
  <c r="J28" i="437"/>
  <c r="D29" i="437"/>
  <c r="E29" i="437"/>
  <c r="F29" i="437"/>
  <c r="G29" i="437"/>
  <c r="H29" i="437"/>
  <c r="I29" i="437"/>
  <c r="J29" i="437"/>
  <c r="D30" i="437"/>
  <c r="E30" i="437"/>
  <c r="F30" i="437"/>
  <c r="G30" i="437"/>
  <c r="H30" i="437"/>
  <c r="I30" i="437"/>
  <c r="J30" i="437"/>
  <c r="D31" i="437"/>
  <c r="E31" i="437"/>
  <c r="F31" i="437"/>
  <c r="G31" i="437"/>
  <c r="H31" i="437"/>
  <c r="I31" i="437"/>
  <c r="J31" i="437"/>
  <c r="D32" i="437"/>
  <c r="E32" i="437"/>
  <c r="F32" i="437"/>
  <c r="G32" i="437"/>
  <c r="H32" i="437"/>
  <c r="I32" i="437"/>
  <c r="J32" i="437"/>
  <c r="D33" i="437"/>
  <c r="E33" i="437"/>
  <c r="F33" i="437"/>
  <c r="G33" i="437"/>
  <c r="H33" i="437"/>
  <c r="I33" i="437"/>
  <c r="J33" i="437"/>
  <c r="D34" i="437"/>
  <c r="E34" i="437"/>
  <c r="F34" i="437"/>
  <c r="G34" i="437"/>
  <c r="H34" i="437"/>
  <c r="I34" i="437"/>
  <c r="J34" i="437"/>
  <c r="D4" i="238"/>
  <c r="E4" i="238"/>
  <c r="F4" i="238"/>
  <c r="D5" i="238"/>
  <c r="E5" i="238"/>
  <c r="F5" i="238"/>
  <c r="D6" i="238"/>
  <c r="E6" i="238"/>
  <c r="F6" i="238"/>
  <c r="D7" i="238"/>
  <c r="E7" i="238"/>
  <c r="F7" i="238"/>
  <c r="D8" i="238"/>
  <c r="E8" i="238"/>
  <c r="F8" i="238"/>
  <c r="D9" i="238"/>
  <c r="E9" i="238"/>
  <c r="F9" i="238"/>
  <c r="D10" i="238"/>
  <c r="E10" i="238"/>
  <c r="F10" i="238"/>
  <c r="D11" i="238"/>
  <c r="E11" i="238"/>
  <c r="F11" i="238"/>
  <c r="D12" i="238"/>
  <c r="E12" i="238"/>
  <c r="F12" i="238"/>
  <c r="D13" i="238"/>
  <c r="E13" i="238"/>
  <c r="F13" i="238"/>
  <c r="D14" i="238"/>
  <c r="E14" i="238"/>
  <c r="F14" i="238"/>
  <c r="D15" i="238"/>
  <c r="E15" i="238"/>
  <c r="F15" i="238"/>
  <c r="D16" i="238"/>
  <c r="E16" i="238"/>
  <c r="F16" i="238"/>
  <c r="D17" i="238"/>
  <c r="E17" i="238"/>
  <c r="F17" i="238"/>
  <c r="D18" i="238"/>
  <c r="E18" i="238"/>
  <c r="F18" i="238"/>
  <c r="D19" i="238"/>
  <c r="E19" i="238"/>
  <c r="F19" i="238"/>
  <c r="D20" i="238"/>
  <c r="E20" i="238"/>
  <c r="F20" i="238"/>
  <c r="D21" i="238"/>
  <c r="E21" i="238"/>
  <c r="F21" i="238"/>
  <c r="D22" i="238"/>
  <c r="E22" i="238"/>
  <c r="F22" i="238"/>
  <c r="D23" i="238"/>
  <c r="E23" i="238"/>
  <c r="F23" i="238"/>
  <c r="D24" i="238"/>
  <c r="E24" i="238"/>
  <c r="F24" i="238"/>
  <c r="D25" i="238"/>
  <c r="E25" i="238"/>
  <c r="F25" i="238"/>
  <c r="D26" i="238"/>
  <c r="E26" i="238"/>
  <c r="F26" i="238"/>
  <c r="D27" i="238"/>
  <c r="E27" i="238"/>
  <c r="F27" i="238"/>
  <c r="D28" i="238"/>
  <c r="E28" i="238"/>
  <c r="F28" i="238"/>
  <c r="D29" i="238"/>
  <c r="E29" i="238"/>
  <c r="F29" i="238"/>
  <c r="D30" i="238"/>
  <c r="E30" i="238"/>
  <c r="F30" i="238"/>
  <c r="D31" i="238"/>
  <c r="E31" i="238"/>
  <c r="F31" i="238"/>
  <c r="D32" i="238"/>
  <c r="E32" i="238"/>
  <c r="F32" i="238"/>
  <c r="D33" i="238"/>
  <c r="E33" i="238"/>
  <c r="F33" i="238"/>
  <c r="C57" i="827"/>
  <c r="C58" i="827" s="1"/>
  <c r="C59" i="827" s="1"/>
  <c r="C60" i="827" s="1"/>
  <c r="C61" i="827" s="1"/>
  <c r="C62" i="827" s="1"/>
  <c r="C63" i="827" s="1"/>
  <c r="C64" i="827" s="1"/>
  <c r="C65" i="827" s="1"/>
  <c r="C66" i="827" s="1"/>
  <c r="C67" i="827" s="1"/>
  <c r="C68" i="827" s="1"/>
  <c r="C69" i="827" s="1"/>
  <c r="C70" i="827" s="1"/>
  <c r="C71" i="827" s="1"/>
  <c r="C72" i="827" s="1"/>
  <c r="C73" i="827" s="1"/>
  <c r="C74" i="827" s="1"/>
  <c r="C75" i="827" s="1"/>
  <c r="C76" i="827" s="1"/>
  <c r="C77" i="827" s="1"/>
  <c r="C78" i="827" s="1"/>
  <c r="C79" i="827" s="1"/>
  <c r="C80" i="827" s="1"/>
  <c r="C81" i="827" s="1"/>
  <c r="C82" i="827" s="1"/>
  <c r="C83" i="827" s="1"/>
  <c r="C84" i="827" s="1"/>
  <c r="C85" i="827" s="1"/>
  <c r="C34" i="437"/>
  <c r="B34" i="437"/>
  <c r="C33" i="437"/>
  <c r="B33" i="437"/>
  <c r="C32" i="437"/>
  <c r="B32" i="437"/>
  <c r="C31" i="437"/>
  <c r="B31" i="437"/>
  <c r="C30" i="437"/>
  <c r="B30" i="437"/>
  <c r="C29" i="437"/>
  <c r="B29" i="437"/>
  <c r="C28" i="437"/>
  <c r="B28" i="437"/>
  <c r="C27" i="437"/>
  <c r="B27" i="437"/>
  <c r="C26" i="437"/>
  <c r="B26" i="437"/>
  <c r="C25" i="437"/>
  <c r="B25" i="437"/>
  <c r="C24" i="437"/>
  <c r="B24" i="437"/>
  <c r="C23" i="437"/>
  <c r="B23" i="437"/>
  <c r="C22" i="437"/>
  <c r="B22" i="437"/>
  <c r="C21" i="437"/>
  <c r="B21" i="437"/>
  <c r="C20" i="437"/>
  <c r="B20" i="437"/>
  <c r="C19" i="437"/>
  <c r="B19" i="437"/>
  <c r="C18" i="437"/>
  <c r="B18" i="437"/>
  <c r="C17" i="437"/>
  <c r="B17" i="437"/>
  <c r="C16" i="437"/>
  <c r="B16" i="437"/>
  <c r="C15" i="437"/>
  <c r="B15" i="437"/>
  <c r="C14" i="437"/>
  <c r="B14" i="437"/>
  <c r="C13" i="437"/>
  <c r="B13" i="437"/>
  <c r="C12" i="437"/>
  <c r="B12" i="437"/>
  <c r="C11" i="437"/>
  <c r="B11" i="437"/>
  <c r="C10" i="437"/>
  <c r="B10" i="437"/>
  <c r="C9" i="437"/>
  <c r="B9" i="437"/>
  <c r="C8" i="437"/>
  <c r="B8" i="437"/>
  <c r="C7" i="437"/>
  <c r="B7" i="437"/>
  <c r="C6" i="437"/>
  <c r="B6" i="437"/>
  <c r="C5" i="437"/>
  <c r="B5" i="437"/>
  <c r="C5" i="238"/>
  <c r="C6" i="238"/>
  <c r="C7" i="238"/>
  <c r="C8" i="238"/>
  <c r="C9" i="238"/>
  <c r="C10" i="238"/>
  <c r="C11" i="238"/>
  <c r="C12" i="238"/>
  <c r="C13" i="238"/>
  <c r="C14" i="238"/>
  <c r="C15" i="238"/>
  <c r="C16" i="238"/>
  <c r="C17" i="238"/>
  <c r="C18" i="238"/>
  <c r="C19" i="238"/>
  <c r="C20" i="238"/>
  <c r="C21" i="238"/>
  <c r="C22" i="238"/>
  <c r="C23" i="238"/>
  <c r="C24" i="238"/>
  <c r="C25" i="238"/>
  <c r="C26" i="238"/>
  <c r="C27" i="238"/>
  <c r="C28" i="238"/>
  <c r="C29" i="238"/>
  <c r="C30" i="238"/>
  <c r="C31" i="238"/>
  <c r="C32" i="238"/>
  <c r="C33" i="238"/>
  <c r="C4" i="238"/>
  <c r="B14" i="238"/>
  <c r="B15" i="238"/>
  <c r="B16" i="238"/>
  <c r="B17" i="238"/>
  <c r="B18" i="238"/>
  <c r="B19" i="238"/>
  <c r="B20" i="238"/>
  <c r="B21" i="238"/>
  <c r="B22" i="238"/>
  <c r="B23" i="238"/>
  <c r="B24" i="238"/>
  <c r="B25" i="238"/>
  <c r="B26" i="238"/>
  <c r="B27" i="238"/>
  <c r="B28" i="238"/>
  <c r="B29" i="238"/>
  <c r="B30" i="238"/>
  <c r="B31" i="238"/>
  <c r="B32" i="238"/>
  <c r="B33" i="238"/>
  <c r="B5" i="238"/>
  <c r="B6" i="238"/>
  <c r="B7" i="238"/>
  <c r="B8" i="238"/>
  <c r="B9" i="238"/>
  <c r="B10" i="238"/>
  <c r="B11" i="238"/>
  <c r="B12" i="238"/>
  <c r="B13" i="238"/>
  <c r="B4" i="238"/>
  <c r="C39" i="587"/>
  <c r="D39" i="587"/>
  <c r="F39" i="587"/>
  <c r="G39" i="587"/>
  <c r="H39" i="587"/>
  <c r="I39" i="587"/>
  <c r="J39" i="587"/>
  <c r="K39" i="587"/>
  <c r="L39" i="587"/>
  <c r="M39" i="587"/>
  <c r="N39" i="587"/>
  <c r="O39" i="587"/>
  <c r="P39" i="587"/>
  <c r="Q39" i="587"/>
  <c r="R39" i="587"/>
  <c r="S39" i="587"/>
  <c r="T39" i="587"/>
  <c r="U39" i="587"/>
  <c r="V39" i="587"/>
  <c r="W39" i="587"/>
  <c r="X39" i="587"/>
  <c r="Y39" i="587"/>
  <c r="Z39" i="587"/>
  <c r="AA39" i="587"/>
  <c r="AB39" i="587"/>
  <c r="AC39" i="587"/>
  <c r="AD39" i="587"/>
  <c r="AE39" i="587"/>
  <c r="AF39" i="587"/>
  <c r="AG39" i="587"/>
  <c r="AH39" i="587"/>
  <c r="AI39" i="587"/>
  <c r="AJ39" i="587"/>
  <c r="AK39" i="587"/>
  <c r="AL39" i="587"/>
  <c r="AM39" i="587"/>
  <c r="AN39" i="587"/>
  <c r="AO39" i="587"/>
  <c r="AP39" i="587"/>
  <c r="C38" i="587"/>
  <c r="D38" i="587"/>
  <c r="F38" i="587"/>
  <c r="G38" i="587"/>
  <c r="H38" i="587"/>
  <c r="I38" i="587"/>
  <c r="J38" i="587"/>
  <c r="K38" i="587"/>
  <c r="L38" i="587"/>
  <c r="M38" i="587"/>
  <c r="N38" i="587"/>
  <c r="O38" i="587"/>
  <c r="P38" i="587"/>
  <c r="Q38" i="587"/>
  <c r="R38" i="587"/>
  <c r="S38" i="587"/>
  <c r="T38" i="587"/>
  <c r="U38" i="587"/>
  <c r="V38" i="587"/>
  <c r="W38" i="587"/>
  <c r="X38" i="587"/>
  <c r="Y38" i="587"/>
  <c r="Z38" i="587"/>
  <c r="AA38" i="587"/>
  <c r="AB38" i="587"/>
  <c r="AC38" i="587"/>
  <c r="AD38" i="587"/>
  <c r="AE38" i="587"/>
  <c r="AF38" i="587"/>
  <c r="AG38" i="587"/>
  <c r="AH38" i="587"/>
  <c r="AI38" i="587"/>
  <c r="AJ38" i="587"/>
  <c r="AK38" i="587"/>
  <c r="AL38" i="587"/>
  <c r="AM38" i="587"/>
  <c r="AN38" i="587"/>
  <c r="AO38" i="587"/>
  <c r="AP38" i="587"/>
  <c r="C32" i="587"/>
  <c r="D32" i="587"/>
  <c r="F32" i="587"/>
  <c r="G32" i="587"/>
  <c r="H32" i="587"/>
  <c r="I32" i="587"/>
  <c r="J32" i="587"/>
  <c r="K32" i="587"/>
  <c r="L32" i="587"/>
  <c r="M32" i="587"/>
  <c r="N32" i="587"/>
  <c r="O32" i="587"/>
  <c r="P32" i="587"/>
  <c r="Q32" i="587"/>
  <c r="R32" i="587"/>
  <c r="S32" i="587"/>
  <c r="T32" i="587"/>
  <c r="U32" i="587"/>
  <c r="V32" i="587"/>
  <c r="W32" i="587"/>
  <c r="X32" i="587"/>
  <c r="Y32" i="587"/>
  <c r="Z32" i="587"/>
  <c r="AA32" i="587"/>
  <c r="AB32" i="587"/>
  <c r="AC32" i="587"/>
  <c r="AD32" i="587"/>
  <c r="AE32" i="587"/>
  <c r="AF32" i="587"/>
  <c r="AG32" i="587"/>
  <c r="AH32" i="587"/>
  <c r="AI32" i="587"/>
  <c r="AJ32" i="587"/>
  <c r="AK32" i="587"/>
  <c r="AL32" i="587"/>
  <c r="AM32" i="587"/>
  <c r="AN32" i="587"/>
  <c r="AO32" i="587"/>
  <c r="AP32" i="587"/>
  <c r="C33" i="587"/>
  <c r="D33" i="587"/>
  <c r="F33" i="587"/>
  <c r="G33" i="587"/>
  <c r="H33" i="587"/>
  <c r="I33" i="587"/>
  <c r="J33" i="587"/>
  <c r="K33" i="587"/>
  <c r="L33" i="587"/>
  <c r="M33" i="587"/>
  <c r="N33" i="587"/>
  <c r="O33" i="587"/>
  <c r="P33" i="587"/>
  <c r="Q33" i="587"/>
  <c r="R33" i="587"/>
  <c r="S33" i="587"/>
  <c r="T33" i="587"/>
  <c r="U33" i="587"/>
  <c r="V33" i="587"/>
  <c r="W33" i="587"/>
  <c r="X33" i="587"/>
  <c r="Y33" i="587"/>
  <c r="Z33" i="587"/>
  <c r="AA33" i="587"/>
  <c r="AB33" i="587"/>
  <c r="AC33" i="587"/>
  <c r="AD33" i="587"/>
  <c r="AE33" i="587"/>
  <c r="AF33" i="587"/>
  <c r="AG33" i="587"/>
  <c r="AH33" i="587"/>
  <c r="AI33" i="587"/>
  <c r="AJ33" i="587"/>
  <c r="AK33" i="587"/>
  <c r="AL33" i="587"/>
  <c r="AM33" i="587"/>
  <c r="AN33" i="587"/>
  <c r="AO33" i="587"/>
  <c r="AP33" i="587"/>
  <c r="C34" i="587"/>
  <c r="D34" i="587"/>
  <c r="F34" i="587"/>
  <c r="G34" i="587"/>
  <c r="H34" i="587"/>
  <c r="I34" i="587"/>
  <c r="J34" i="587"/>
  <c r="K34" i="587"/>
  <c r="L34" i="587"/>
  <c r="M34" i="587"/>
  <c r="N34" i="587"/>
  <c r="O34" i="587"/>
  <c r="P34" i="587"/>
  <c r="Q34" i="587"/>
  <c r="R34" i="587"/>
  <c r="S34" i="587"/>
  <c r="T34" i="587"/>
  <c r="U34" i="587"/>
  <c r="V34" i="587"/>
  <c r="W34" i="587"/>
  <c r="X34" i="587"/>
  <c r="Y34" i="587"/>
  <c r="Z34" i="587"/>
  <c r="AA34" i="587"/>
  <c r="AB34" i="587"/>
  <c r="AC34" i="587"/>
  <c r="AD34" i="587"/>
  <c r="AE34" i="587"/>
  <c r="AF34" i="587"/>
  <c r="AG34" i="587"/>
  <c r="AH34" i="587"/>
  <c r="AI34" i="587"/>
  <c r="AJ34" i="587"/>
  <c r="AK34" i="587"/>
  <c r="AL34" i="587"/>
  <c r="AM34" i="587"/>
  <c r="AN34" i="587"/>
  <c r="AO34" i="587"/>
  <c r="AP34" i="587"/>
  <c r="C35" i="587"/>
  <c r="D35" i="587"/>
  <c r="F35" i="587"/>
  <c r="G35" i="587"/>
  <c r="H35" i="587"/>
  <c r="I35" i="587"/>
  <c r="J35" i="587"/>
  <c r="K35" i="587"/>
  <c r="L35" i="587"/>
  <c r="M35" i="587"/>
  <c r="N35" i="587"/>
  <c r="O35" i="587"/>
  <c r="P35" i="587"/>
  <c r="Q35" i="587"/>
  <c r="R35" i="587"/>
  <c r="S35" i="587"/>
  <c r="T35" i="587"/>
  <c r="U35" i="587"/>
  <c r="V35" i="587"/>
  <c r="W35" i="587"/>
  <c r="X35" i="587"/>
  <c r="Y35" i="587"/>
  <c r="Z35" i="587"/>
  <c r="AA35" i="587"/>
  <c r="AB35" i="587"/>
  <c r="AC35" i="587"/>
  <c r="AD35" i="587"/>
  <c r="AE35" i="587"/>
  <c r="AF35" i="587"/>
  <c r="AG35" i="587"/>
  <c r="AH35" i="587"/>
  <c r="AI35" i="587"/>
  <c r="AJ35" i="587"/>
  <c r="AK35" i="587"/>
  <c r="AL35" i="587"/>
  <c r="AM35" i="587"/>
  <c r="AN35" i="587"/>
  <c r="AO35" i="587"/>
  <c r="AP35" i="587"/>
  <c r="C36" i="587"/>
  <c r="D36" i="587"/>
  <c r="F36" i="587"/>
  <c r="G36" i="587"/>
  <c r="H36" i="587"/>
  <c r="I36" i="587"/>
  <c r="J36" i="587"/>
  <c r="K36" i="587"/>
  <c r="L36" i="587"/>
  <c r="M36" i="587"/>
  <c r="N36" i="587"/>
  <c r="O36" i="587"/>
  <c r="P36" i="587"/>
  <c r="Q36" i="587"/>
  <c r="R36" i="587"/>
  <c r="S36" i="587"/>
  <c r="T36" i="587"/>
  <c r="U36" i="587"/>
  <c r="V36" i="587"/>
  <c r="W36" i="587"/>
  <c r="X36" i="587"/>
  <c r="Y36" i="587"/>
  <c r="Z36" i="587"/>
  <c r="AA36" i="587"/>
  <c r="AB36" i="587"/>
  <c r="AC36" i="587"/>
  <c r="AD36" i="587"/>
  <c r="AE36" i="587"/>
  <c r="AF36" i="587"/>
  <c r="AG36" i="587"/>
  <c r="AH36" i="587"/>
  <c r="AI36" i="587"/>
  <c r="AJ36" i="587"/>
  <c r="AK36" i="587"/>
  <c r="AL36" i="587"/>
  <c r="AM36" i="587"/>
  <c r="AN36" i="587"/>
  <c r="AO36" i="587"/>
  <c r="AP36" i="587"/>
  <c r="C37" i="587"/>
  <c r="D37" i="587"/>
  <c r="F37" i="587"/>
  <c r="G37" i="587"/>
  <c r="H37" i="587"/>
  <c r="I37" i="587"/>
  <c r="J37" i="587"/>
  <c r="K37" i="587"/>
  <c r="L37" i="587"/>
  <c r="M37" i="587"/>
  <c r="N37" i="587"/>
  <c r="O37" i="587"/>
  <c r="P37" i="587"/>
  <c r="Q37" i="587"/>
  <c r="R37" i="587"/>
  <c r="S37" i="587"/>
  <c r="T37" i="587"/>
  <c r="U37" i="587"/>
  <c r="V37" i="587"/>
  <c r="W37" i="587"/>
  <c r="X37" i="587"/>
  <c r="Y37" i="587"/>
  <c r="Z37" i="587"/>
  <c r="AA37" i="587"/>
  <c r="AB37" i="587"/>
  <c r="AC37" i="587"/>
  <c r="AD37" i="587"/>
  <c r="AE37" i="587"/>
  <c r="AF37" i="587"/>
  <c r="AG37" i="587"/>
  <c r="AH37" i="587"/>
  <c r="AI37" i="587"/>
  <c r="AJ37" i="587"/>
  <c r="AK37" i="587"/>
  <c r="AL37" i="587"/>
  <c r="AM37" i="587"/>
  <c r="AN37" i="587"/>
  <c r="AO37" i="587"/>
  <c r="AP37" i="587"/>
  <c r="C20" i="587"/>
  <c r="D20" i="587"/>
  <c r="F20" i="587"/>
  <c r="G20" i="587"/>
  <c r="H20" i="587"/>
  <c r="I20" i="587"/>
  <c r="J20" i="587"/>
  <c r="K20" i="587"/>
  <c r="L20" i="587"/>
  <c r="M20" i="587"/>
  <c r="N20" i="587"/>
  <c r="O20" i="587"/>
  <c r="P20" i="587"/>
  <c r="Q20" i="587"/>
  <c r="R20" i="587"/>
  <c r="S20" i="587"/>
  <c r="T20" i="587"/>
  <c r="U20" i="587"/>
  <c r="V20" i="587"/>
  <c r="W20" i="587"/>
  <c r="X20" i="587"/>
  <c r="Y20" i="587"/>
  <c r="Z20" i="587"/>
  <c r="AA20" i="587"/>
  <c r="AB20" i="587"/>
  <c r="AC20" i="587"/>
  <c r="AD20" i="587"/>
  <c r="AE20" i="587"/>
  <c r="AF20" i="587"/>
  <c r="AG20" i="587"/>
  <c r="AH20" i="587"/>
  <c r="AI20" i="587"/>
  <c r="AJ20" i="587"/>
  <c r="AK20" i="587"/>
  <c r="AL20" i="587"/>
  <c r="AM20" i="587"/>
  <c r="AN20" i="587"/>
  <c r="AO20" i="587"/>
  <c r="AP20" i="587"/>
  <c r="C21" i="587"/>
  <c r="D21" i="587"/>
  <c r="F21" i="587"/>
  <c r="G21" i="587"/>
  <c r="H21" i="587"/>
  <c r="I21" i="587"/>
  <c r="J21" i="587"/>
  <c r="K21" i="587"/>
  <c r="L21" i="587"/>
  <c r="M21" i="587"/>
  <c r="N21" i="587"/>
  <c r="O21" i="587"/>
  <c r="P21" i="587"/>
  <c r="Q21" i="587"/>
  <c r="R21" i="587"/>
  <c r="S21" i="587"/>
  <c r="T21" i="587"/>
  <c r="U21" i="587"/>
  <c r="V21" i="587"/>
  <c r="W21" i="587"/>
  <c r="X21" i="587"/>
  <c r="Y21" i="587"/>
  <c r="Z21" i="587"/>
  <c r="AA21" i="587"/>
  <c r="AB21" i="587"/>
  <c r="AC21" i="587"/>
  <c r="AD21" i="587"/>
  <c r="AE21" i="587"/>
  <c r="AF21" i="587"/>
  <c r="AG21" i="587"/>
  <c r="AH21" i="587"/>
  <c r="AI21" i="587"/>
  <c r="AJ21" i="587"/>
  <c r="AK21" i="587"/>
  <c r="AL21" i="587"/>
  <c r="AM21" i="587"/>
  <c r="AN21" i="587"/>
  <c r="AO21" i="587"/>
  <c r="AP21" i="587"/>
  <c r="C22" i="587"/>
  <c r="D22" i="587"/>
  <c r="F22" i="587"/>
  <c r="G22" i="587"/>
  <c r="H22" i="587"/>
  <c r="I22" i="587"/>
  <c r="J22" i="587"/>
  <c r="K22" i="587"/>
  <c r="L22" i="587"/>
  <c r="M22" i="587"/>
  <c r="N22" i="587"/>
  <c r="O22" i="587"/>
  <c r="P22" i="587"/>
  <c r="Q22" i="587"/>
  <c r="R22" i="587"/>
  <c r="S22" i="587"/>
  <c r="T22" i="587"/>
  <c r="U22" i="587"/>
  <c r="V22" i="587"/>
  <c r="W22" i="587"/>
  <c r="X22" i="587"/>
  <c r="Y22" i="587"/>
  <c r="Z22" i="587"/>
  <c r="AA22" i="587"/>
  <c r="AB22" i="587"/>
  <c r="AC22" i="587"/>
  <c r="AD22" i="587"/>
  <c r="AE22" i="587"/>
  <c r="AF22" i="587"/>
  <c r="AG22" i="587"/>
  <c r="AH22" i="587"/>
  <c r="AI22" i="587"/>
  <c r="AJ22" i="587"/>
  <c r="AK22" i="587"/>
  <c r="AL22" i="587"/>
  <c r="AM22" i="587"/>
  <c r="AN22" i="587"/>
  <c r="AO22" i="587"/>
  <c r="AP22" i="587"/>
  <c r="C23" i="587"/>
  <c r="D23" i="587"/>
  <c r="F23" i="587"/>
  <c r="G23" i="587"/>
  <c r="H23" i="587"/>
  <c r="I23" i="587"/>
  <c r="J23" i="587"/>
  <c r="K23" i="587"/>
  <c r="L23" i="587"/>
  <c r="M23" i="587"/>
  <c r="N23" i="587"/>
  <c r="O23" i="587"/>
  <c r="P23" i="587"/>
  <c r="Q23" i="587"/>
  <c r="R23" i="587"/>
  <c r="S23" i="587"/>
  <c r="T23" i="587"/>
  <c r="U23" i="587"/>
  <c r="V23" i="587"/>
  <c r="W23" i="587"/>
  <c r="X23" i="587"/>
  <c r="Y23" i="587"/>
  <c r="Z23" i="587"/>
  <c r="AA23" i="587"/>
  <c r="AB23" i="587"/>
  <c r="AC23" i="587"/>
  <c r="AD23" i="587"/>
  <c r="AE23" i="587"/>
  <c r="AF23" i="587"/>
  <c r="AG23" i="587"/>
  <c r="AH23" i="587"/>
  <c r="AI23" i="587"/>
  <c r="AJ23" i="587"/>
  <c r="AK23" i="587"/>
  <c r="AL23" i="587"/>
  <c r="AM23" i="587"/>
  <c r="AN23" i="587"/>
  <c r="AO23" i="587"/>
  <c r="AP23" i="587"/>
  <c r="C24" i="587"/>
  <c r="D24" i="587"/>
  <c r="F24" i="587"/>
  <c r="G24" i="587"/>
  <c r="H24" i="587"/>
  <c r="I24" i="587"/>
  <c r="J24" i="587"/>
  <c r="K24" i="587"/>
  <c r="L24" i="587"/>
  <c r="M24" i="587"/>
  <c r="N24" i="587"/>
  <c r="O24" i="587"/>
  <c r="P24" i="587"/>
  <c r="Q24" i="587"/>
  <c r="R24" i="587"/>
  <c r="S24" i="587"/>
  <c r="T24" i="587"/>
  <c r="U24" i="587"/>
  <c r="V24" i="587"/>
  <c r="W24" i="587"/>
  <c r="X24" i="587"/>
  <c r="Y24" i="587"/>
  <c r="Z24" i="587"/>
  <c r="AA24" i="587"/>
  <c r="AB24" i="587"/>
  <c r="AC24" i="587"/>
  <c r="AD24" i="587"/>
  <c r="AE24" i="587"/>
  <c r="AF24" i="587"/>
  <c r="AG24" i="587"/>
  <c r="AH24" i="587"/>
  <c r="AI24" i="587"/>
  <c r="AJ24" i="587"/>
  <c r="AK24" i="587"/>
  <c r="AL24" i="587"/>
  <c r="AM24" i="587"/>
  <c r="AN24" i="587"/>
  <c r="AO24" i="587"/>
  <c r="AP24" i="587"/>
  <c r="C25" i="587"/>
  <c r="D25" i="587"/>
  <c r="F25" i="587"/>
  <c r="G25" i="587"/>
  <c r="H25" i="587"/>
  <c r="I25" i="587"/>
  <c r="J25" i="587"/>
  <c r="K25" i="587"/>
  <c r="L25" i="587"/>
  <c r="M25" i="587"/>
  <c r="N25" i="587"/>
  <c r="O25" i="587"/>
  <c r="P25" i="587"/>
  <c r="Q25" i="587"/>
  <c r="R25" i="587"/>
  <c r="S25" i="587"/>
  <c r="T25" i="587"/>
  <c r="U25" i="587"/>
  <c r="V25" i="587"/>
  <c r="W25" i="587"/>
  <c r="X25" i="587"/>
  <c r="Y25" i="587"/>
  <c r="Z25" i="587"/>
  <c r="AA25" i="587"/>
  <c r="AB25" i="587"/>
  <c r="AC25" i="587"/>
  <c r="AD25" i="587"/>
  <c r="AE25" i="587"/>
  <c r="AF25" i="587"/>
  <c r="AG25" i="587"/>
  <c r="AH25" i="587"/>
  <c r="AI25" i="587"/>
  <c r="AJ25" i="587"/>
  <c r="AK25" i="587"/>
  <c r="AL25" i="587"/>
  <c r="AM25" i="587"/>
  <c r="AN25" i="587"/>
  <c r="AO25" i="587"/>
  <c r="AP25" i="587"/>
  <c r="C26" i="587"/>
  <c r="D26" i="587"/>
  <c r="F26" i="587"/>
  <c r="G26" i="587"/>
  <c r="H26" i="587"/>
  <c r="I26" i="587"/>
  <c r="J26" i="587"/>
  <c r="K26" i="587"/>
  <c r="L26" i="587"/>
  <c r="M26" i="587"/>
  <c r="N26" i="587"/>
  <c r="O26" i="587"/>
  <c r="P26" i="587"/>
  <c r="Q26" i="587"/>
  <c r="R26" i="587"/>
  <c r="S26" i="587"/>
  <c r="T26" i="587"/>
  <c r="U26" i="587"/>
  <c r="V26" i="587"/>
  <c r="W26" i="587"/>
  <c r="X26" i="587"/>
  <c r="Y26" i="587"/>
  <c r="Z26" i="587"/>
  <c r="AA26" i="587"/>
  <c r="AB26" i="587"/>
  <c r="AC26" i="587"/>
  <c r="AD26" i="587"/>
  <c r="AE26" i="587"/>
  <c r="AF26" i="587"/>
  <c r="AG26" i="587"/>
  <c r="AH26" i="587"/>
  <c r="AI26" i="587"/>
  <c r="AJ26" i="587"/>
  <c r="AK26" i="587"/>
  <c r="AL26" i="587"/>
  <c r="AM26" i="587"/>
  <c r="AN26" i="587"/>
  <c r="AO26" i="587"/>
  <c r="AP26" i="587"/>
  <c r="C27" i="587"/>
  <c r="D27" i="587"/>
  <c r="F27" i="587"/>
  <c r="G27" i="587"/>
  <c r="H27" i="587"/>
  <c r="I27" i="587"/>
  <c r="J27" i="587"/>
  <c r="K27" i="587"/>
  <c r="L27" i="587"/>
  <c r="M27" i="587"/>
  <c r="N27" i="587"/>
  <c r="O27" i="587"/>
  <c r="P27" i="587"/>
  <c r="Q27" i="587"/>
  <c r="R27" i="587"/>
  <c r="S27" i="587"/>
  <c r="T27" i="587"/>
  <c r="U27" i="587"/>
  <c r="V27" i="587"/>
  <c r="W27" i="587"/>
  <c r="X27" i="587"/>
  <c r="Y27" i="587"/>
  <c r="Z27" i="587"/>
  <c r="AA27" i="587"/>
  <c r="AB27" i="587"/>
  <c r="AC27" i="587"/>
  <c r="AD27" i="587"/>
  <c r="AE27" i="587"/>
  <c r="AF27" i="587"/>
  <c r="AG27" i="587"/>
  <c r="AH27" i="587"/>
  <c r="AI27" i="587"/>
  <c r="AJ27" i="587"/>
  <c r="AK27" i="587"/>
  <c r="AL27" i="587"/>
  <c r="AM27" i="587"/>
  <c r="AN27" i="587"/>
  <c r="AO27" i="587"/>
  <c r="AP27" i="587"/>
  <c r="C28" i="587"/>
  <c r="D28" i="587"/>
  <c r="F28" i="587"/>
  <c r="G28" i="587"/>
  <c r="H28" i="587"/>
  <c r="I28" i="587"/>
  <c r="J28" i="587"/>
  <c r="K28" i="587"/>
  <c r="L28" i="587"/>
  <c r="M28" i="587"/>
  <c r="N28" i="587"/>
  <c r="O28" i="587"/>
  <c r="P28" i="587"/>
  <c r="Q28" i="587"/>
  <c r="R28" i="587"/>
  <c r="S28" i="587"/>
  <c r="T28" i="587"/>
  <c r="U28" i="587"/>
  <c r="V28" i="587"/>
  <c r="W28" i="587"/>
  <c r="X28" i="587"/>
  <c r="Y28" i="587"/>
  <c r="Z28" i="587"/>
  <c r="AA28" i="587"/>
  <c r="AB28" i="587"/>
  <c r="AC28" i="587"/>
  <c r="AD28" i="587"/>
  <c r="AE28" i="587"/>
  <c r="AF28" i="587"/>
  <c r="AG28" i="587"/>
  <c r="AH28" i="587"/>
  <c r="AI28" i="587"/>
  <c r="AJ28" i="587"/>
  <c r="AK28" i="587"/>
  <c r="AL28" i="587"/>
  <c r="AM28" i="587"/>
  <c r="AN28" i="587"/>
  <c r="AO28" i="587"/>
  <c r="AP28" i="587"/>
  <c r="C29" i="587"/>
  <c r="D29" i="587"/>
  <c r="F29" i="587"/>
  <c r="G29" i="587"/>
  <c r="H29" i="587"/>
  <c r="I29" i="587"/>
  <c r="J29" i="587"/>
  <c r="K29" i="587"/>
  <c r="L29" i="587"/>
  <c r="M29" i="587"/>
  <c r="N29" i="587"/>
  <c r="O29" i="587"/>
  <c r="P29" i="587"/>
  <c r="Q29" i="587"/>
  <c r="R29" i="587"/>
  <c r="S29" i="587"/>
  <c r="T29" i="587"/>
  <c r="U29" i="587"/>
  <c r="V29" i="587"/>
  <c r="W29" i="587"/>
  <c r="X29" i="587"/>
  <c r="Y29" i="587"/>
  <c r="Z29" i="587"/>
  <c r="AA29" i="587"/>
  <c r="AB29" i="587"/>
  <c r="AC29" i="587"/>
  <c r="AD29" i="587"/>
  <c r="AE29" i="587"/>
  <c r="AF29" i="587"/>
  <c r="AG29" i="587"/>
  <c r="AH29" i="587"/>
  <c r="AI29" i="587"/>
  <c r="AJ29" i="587"/>
  <c r="AK29" i="587"/>
  <c r="AL29" i="587"/>
  <c r="AM29" i="587"/>
  <c r="AN29" i="587"/>
  <c r="AO29" i="587"/>
  <c r="AP29" i="587"/>
  <c r="C30" i="587"/>
  <c r="D30" i="587"/>
  <c r="F30" i="587"/>
  <c r="G30" i="587"/>
  <c r="H30" i="587"/>
  <c r="I30" i="587"/>
  <c r="J30" i="587"/>
  <c r="K30" i="587"/>
  <c r="L30" i="587"/>
  <c r="M30" i="587"/>
  <c r="N30" i="587"/>
  <c r="O30" i="587"/>
  <c r="P30" i="587"/>
  <c r="Q30" i="587"/>
  <c r="R30" i="587"/>
  <c r="S30" i="587"/>
  <c r="T30" i="587"/>
  <c r="U30" i="587"/>
  <c r="V30" i="587"/>
  <c r="W30" i="587"/>
  <c r="X30" i="587"/>
  <c r="Y30" i="587"/>
  <c r="Z30" i="587"/>
  <c r="AA30" i="587"/>
  <c r="AB30" i="587"/>
  <c r="AC30" i="587"/>
  <c r="AD30" i="587"/>
  <c r="AE30" i="587"/>
  <c r="AF30" i="587"/>
  <c r="AG30" i="587"/>
  <c r="AH30" i="587"/>
  <c r="AI30" i="587"/>
  <c r="AJ30" i="587"/>
  <c r="AK30" i="587"/>
  <c r="AL30" i="587"/>
  <c r="AM30" i="587"/>
  <c r="AN30" i="587"/>
  <c r="AO30" i="587"/>
  <c r="AP30" i="587"/>
  <c r="C31" i="587"/>
  <c r="D31" i="587"/>
  <c r="F31" i="587"/>
  <c r="G31" i="587"/>
  <c r="H31" i="587"/>
  <c r="I31" i="587"/>
  <c r="J31" i="587"/>
  <c r="K31" i="587"/>
  <c r="L31" i="587"/>
  <c r="M31" i="587"/>
  <c r="N31" i="587"/>
  <c r="O31" i="587"/>
  <c r="P31" i="587"/>
  <c r="Q31" i="587"/>
  <c r="R31" i="587"/>
  <c r="S31" i="587"/>
  <c r="T31" i="587"/>
  <c r="U31" i="587"/>
  <c r="V31" i="587"/>
  <c r="W31" i="587"/>
  <c r="X31" i="587"/>
  <c r="Y31" i="587"/>
  <c r="Z31" i="587"/>
  <c r="AA31" i="587"/>
  <c r="AB31" i="587"/>
  <c r="AC31" i="587"/>
  <c r="AD31" i="587"/>
  <c r="AE31" i="587"/>
  <c r="AF31" i="587"/>
  <c r="AG31" i="587"/>
  <c r="AH31" i="587"/>
  <c r="AI31" i="587"/>
  <c r="AJ31" i="587"/>
  <c r="AK31" i="587"/>
  <c r="AL31" i="587"/>
  <c r="AM31" i="587"/>
  <c r="AN31" i="587"/>
  <c r="AO31" i="587"/>
  <c r="AP31" i="587"/>
  <c r="C17" i="63"/>
  <c r="D17" i="63"/>
  <c r="E17" i="63"/>
  <c r="F17" i="63"/>
  <c r="G17" i="63"/>
  <c r="H17" i="63"/>
  <c r="C18" i="63"/>
  <c r="D18" i="63"/>
  <c r="E18" i="63"/>
  <c r="F18" i="63"/>
  <c r="G18" i="63"/>
  <c r="H18" i="63"/>
  <c r="C19" i="63"/>
  <c r="D19" i="63"/>
  <c r="E19" i="63"/>
  <c r="F19" i="63"/>
  <c r="G19" i="63"/>
  <c r="H19" i="63"/>
  <c r="C20" i="63"/>
  <c r="D20" i="63"/>
  <c r="E20" i="63"/>
  <c r="F20" i="63"/>
  <c r="G20" i="63"/>
  <c r="H20" i="63"/>
  <c r="C21" i="63"/>
  <c r="D21" i="63"/>
  <c r="E21" i="63"/>
  <c r="F21" i="63"/>
  <c r="G21" i="63"/>
  <c r="H21" i="63"/>
  <c r="C22" i="63"/>
  <c r="D22" i="63"/>
  <c r="E22" i="63"/>
  <c r="F22" i="63"/>
  <c r="G22" i="63"/>
  <c r="H22" i="63"/>
  <c r="C23" i="63"/>
  <c r="D23" i="63"/>
  <c r="E23" i="63"/>
  <c r="F23" i="63"/>
  <c r="G23" i="63"/>
  <c r="H23" i="63"/>
  <c r="C24" i="63"/>
  <c r="D24" i="63"/>
  <c r="E24" i="63"/>
  <c r="F24" i="63"/>
  <c r="G24" i="63"/>
  <c r="H24" i="63"/>
  <c r="C25" i="63"/>
  <c r="D25" i="63"/>
  <c r="E25" i="63"/>
  <c r="F25" i="63"/>
  <c r="G25" i="63"/>
  <c r="H25" i="63"/>
  <c r="C26" i="63"/>
  <c r="D26" i="63"/>
  <c r="E26" i="63"/>
  <c r="F26" i="63"/>
  <c r="G26" i="63"/>
  <c r="H26" i="63"/>
  <c r="C27" i="63"/>
  <c r="D27" i="63"/>
  <c r="E27" i="63"/>
  <c r="F27" i="63"/>
  <c r="G27" i="63"/>
  <c r="H27" i="63"/>
  <c r="C28" i="63"/>
  <c r="D28" i="63"/>
  <c r="E28" i="63"/>
  <c r="F28" i="63"/>
  <c r="G28" i="63"/>
  <c r="H28" i="63"/>
  <c r="C29" i="63"/>
  <c r="D29" i="63"/>
  <c r="E29" i="63"/>
  <c r="F29" i="63"/>
  <c r="G29" i="63"/>
  <c r="H29" i="63"/>
  <c r="C30" i="63"/>
  <c r="D30" i="63"/>
  <c r="E30" i="63"/>
  <c r="F30" i="63"/>
  <c r="G30" i="63"/>
  <c r="H30" i="63"/>
  <c r="C31" i="63"/>
  <c r="D31" i="63"/>
  <c r="E31" i="63"/>
  <c r="F31" i="63"/>
  <c r="G31" i="63"/>
  <c r="H31" i="63"/>
  <c r="C32" i="63"/>
  <c r="D32" i="63"/>
  <c r="E32" i="63"/>
  <c r="F32" i="63"/>
  <c r="G32" i="63"/>
  <c r="H32" i="63"/>
  <c r="C33" i="63"/>
  <c r="D33" i="63"/>
  <c r="E33" i="63"/>
  <c r="F33" i="63"/>
  <c r="G33" i="63"/>
  <c r="H33" i="63"/>
  <c r="C34" i="63"/>
  <c r="D34" i="63"/>
  <c r="E34" i="63"/>
  <c r="F34" i="63"/>
  <c r="G34" i="63"/>
  <c r="H34" i="63"/>
  <c r="C35" i="63"/>
  <c r="D35" i="63"/>
  <c r="E35" i="63"/>
  <c r="F35" i="63"/>
  <c r="G35" i="63"/>
  <c r="H35" i="63"/>
  <c r="C36" i="63"/>
  <c r="D36" i="63"/>
  <c r="E36" i="63"/>
  <c r="F36" i="63"/>
  <c r="G36" i="63"/>
  <c r="H36" i="63"/>
  <c r="E38" i="192"/>
  <c r="F38" i="192"/>
  <c r="G38" i="192"/>
  <c r="H38" i="192"/>
  <c r="I38" i="192"/>
  <c r="J38" i="192"/>
  <c r="K38" i="192"/>
  <c r="L38" i="192"/>
  <c r="M38" i="192"/>
  <c r="E34" i="192"/>
  <c r="F34" i="192"/>
  <c r="G34" i="192"/>
  <c r="H34" i="192"/>
  <c r="I34" i="192"/>
  <c r="J34" i="192"/>
  <c r="K34" i="192"/>
  <c r="L34" i="192"/>
  <c r="M34" i="192"/>
  <c r="E35" i="192"/>
  <c r="F35" i="192"/>
  <c r="G35" i="192"/>
  <c r="H35" i="192"/>
  <c r="I35" i="192"/>
  <c r="J35" i="192"/>
  <c r="K35" i="192"/>
  <c r="L35" i="192"/>
  <c r="M35" i="192"/>
  <c r="E36" i="192"/>
  <c r="F36" i="192"/>
  <c r="G36" i="192"/>
  <c r="H36" i="192"/>
  <c r="I36" i="192"/>
  <c r="J36" i="192"/>
  <c r="K36" i="192"/>
  <c r="L36" i="192"/>
  <c r="M36" i="192"/>
  <c r="E37" i="192"/>
  <c r="F37" i="192"/>
  <c r="G37" i="192"/>
  <c r="H37" i="192"/>
  <c r="I37" i="192"/>
  <c r="J37" i="192"/>
  <c r="K37" i="192"/>
  <c r="L37" i="192"/>
  <c r="M37" i="192"/>
  <c r="E19" i="192"/>
  <c r="F19" i="192"/>
  <c r="G19" i="192"/>
  <c r="H19" i="192"/>
  <c r="I19" i="192"/>
  <c r="J19" i="192"/>
  <c r="K19" i="192"/>
  <c r="L19" i="192"/>
  <c r="M19" i="192"/>
  <c r="E20" i="192"/>
  <c r="F20" i="192"/>
  <c r="G20" i="192"/>
  <c r="H20" i="192"/>
  <c r="I20" i="192"/>
  <c r="J20" i="192"/>
  <c r="K20" i="192"/>
  <c r="L20" i="192"/>
  <c r="M20" i="192"/>
  <c r="E21" i="192"/>
  <c r="F21" i="192"/>
  <c r="G21" i="192"/>
  <c r="H21" i="192"/>
  <c r="I21" i="192"/>
  <c r="J21" i="192"/>
  <c r="K21" i="192"/>
  <c r="L21" i="192"/>
  <c r="M21" i="192"/>
  <c r="E22" i="192"/>
  <c r="F22" i="192"/>
  <c r="G22" i="192"/>
  <c r="H22" i="192"/>
  <c r="I22" i="192"/>
  <c r="J22" i="192"/>
  <c r="K22" i="192"/>
  <c r="L22" i="192"/>
  <c r="M22" i="192"/>
  <c r="E23" i="192"/>
  <c r="F23" i="192"/>
  <c r="G23" i="192"/>
  <c r="H23" i="192"/>
  <c r="I23" i="192"/>
  <c r="J23" i="192"/>
  <c r="K23" i="192"/>
  <c r="L23" i="192"/>
  <c r="M23" i="192"/>
  <c r="E24" i="192"/>
  <c r="F24" i="192"/>
  <c r="G24" i="192"/>
  <c r="H24" i="192"/>
  <c r="I24" i="192"/>
  <c r="J24" i="192"/>
  <c r="K24" i="192"/>
  <c r="L24" i="192"/>
  <c r="M24" i="192"/>
  <c r="E25" i="192"/>
  <c r="F25" i="192"/>
  <c r="G25" i="192"/>
  <c r="H25" i="192"/>
  <c r="I25" i="192"/>
  <c r="J25" i="192"/>
  <c r="K25" i="192"/>
  <c r="L25" i="192"/>
  <c r="M25" i="192"/>
  <c r="E26" i="192"/>
  <c r="F26" i="192"/>
  <c r="G26" i="192"/>
  <c r="H26" i="192"/>
  <c r="I26" i="192"/>
  <c r="J26" i="192"/>
  <c r="K26" i="192"/>
  <c r="L26" i="192"/>
  <c r="M26" i="192"/>
  <c r="E27" i="192"/>
  <c r="F27" i="192"/>
  <c r="G27" i="192"/>
  <c r="H27" i="192"/>
  <c r="I27" i="192"/>
  <c r="J27" i="192"/>
  <c r="K27" i="192"/>
  <c r="L27" i="192"/>
  <c r="M27" i="192"/>
  <c r="E28" i="192"/>
  <c r="F28" i="192"/>
  <c r="G28" i="192"/>
  <c r="H28" i="192"/>
  <c r="I28" i="192"/>
  <c r="J28" i="192"/>
  <c r="K28" i="192"/>
  <c r="L28" i="192"/>
  <c r="M28" i="192"/>
  <c r="E29" i="192"/>
  <c r="F29" i="192"/>
  <c r="G29" i="192"/>
  <c r="H29" i="192"/>
  <c r="I29" i="192"/>
  <c r="J29" i="192"/>
  <c r="K29" i="192"/>
  <c r="L29" i="192"/>
  <c r="M29" i="192"/>
  <c r="E30" i="192"/>
  <c r="F30" i="192"/>
  <c r="G30" i="192"/>
  <c r="H30" i="192"/>
  <c r="I30" i="192"/>
  <c r="J30" i="192"/>
  <c r="K30" i="192"/>
  <c r="L30" i="192"/>
  <c r="M30" i="192"/>
  <c r="E31" i="192"/>
  <c r="F31" i="192"/>
  <c r="G31" i="192"/>
  <c r="H31" i="192"/>
  <c r="I31" i="192"/>
  <c r="J31" i="192"/>
  <c r="K31" i="192"/>
  <c r="L31" i="192"/>
  <c r="M31" i="192"/>
  <c r="E32" i="192"/>
  <c r="F32" i="192"/>
  <c r="G32" i="192"/>
  <c r="H32" i="192"/>
  <c r="I32" i="192"/>
  <c r="J32" i="192"/>
  <c r="K32" i="192"/>
  <c r="L32" i="192"/>
  <c r="M32" i="192"/>
  <c r="E33" i="192"/>
  <c r="F33" i="192"/>
  <c r="G33" i="192"/>
  <c r="H33" i="192"/>
  <c r="I33" i="192"/>
  <c r="J33" i="192"/>
  <c r="K33" i="192"/>
  <c r="L33" i="192"/>
  <c r="M33" i="192"/>
  <c r="H87" i="190"/>
  <c r="I87" i="190"/>
  <c r="H68" i="190"/>
  <c r="I68" i="190"/>
  <c r="H69" i="190"/>
  <c r="I69" i="190"/>
  <c r="H70" i="190"/>
  <c r="I70" i="190"/>
  <c r="H71" i="190"/>
  <c r="I71" i="190"/>
  <c r="H72" i="190"/>
  <c r="I72" i="190"/>
  <c r="H73" i="190"/>
  <c r="I73" i="190"/>
  <c r="H74" i="190"/>
  <c r="I74" i="190"/>
  <c r="H75" i="190"/>
  <c r="I75" i="190"/>
  <c r="H76" i="190"/>
  <c r="I76" i="190"/>
  <c r="H77" i="190"/>
  <c r="I77" i="190"/>
  <c r="H78" i="190"/>
  <c r="I78" i="190"/>
  <c r="H79" i="190"/>
  <c r="I79" i="190"/>
  <c r="H80" i="190"/>
  <c r="I80" i="190"/>
  <c r="H81" i="190"/>
  <c r="I81" i="190"/>
  <c r="H82" i="190"/>
  <c r="I82" i="190"/>
  <c r="H83" i="190"/>
  <c r="I83" i="190"/>
  <c r="H84" i="190"/>
  <c r="I84" i="190"/>
  <c r="H85" i="190"/>
  <c r="I85" i="190"/>
  <c r="H86" i="190"/>
  <c r="I86" i="190"/>
  <c r="E19" i="189"/>
  <c r="F19" i="189"/>
  <c r="F24" i="190" s="1"/>
  <c r="G19" i="189"/>
  <c r="G24" i="190" s="1"/>
  <c r="H19" i="189"/>
  <c r="I19" i="189"/>
  <c r="J19" i="189"/>
  <c r="K19" i="189"/>
  <c r="L19" i="189"/>
  <c r="M19" i="189"/>
  <c r="E20" i="189"/>
  <c r="F20" i="189"/>
  <c r="G20" i="189"/>
  <c r="G25" i="190" s="1"/>
  <c r="H20" i="189"/>
  <c r="I20" i="189"/>
  <c r="J20" i="189"/>
  <c r="J69" i="190" s="1"/>
  <c r="K20" i="189"/>
  <c r="K69" i="190" s="1"/>
  <c r="L20" i="189"/>
  <c r="L69" i="190" s="1"/>
  <c r="M20" i="189"/>
  <c r="M69" i="190" s="1"/>
  <c r="E21" i="189"/>
  <c r="F21" i="189"/>
  <c r="F26" i="190" s="1"/>
  <c r="G21" i="189"/>
  <c r="H21" i="189"/>
  <c r="I21" i="189"/>
  <c r="J21" i="189"/>
  <c r="J70" i="190" s="1"/>
  <c r="K21" i="189"/>
  <c r="L21" i="189"/>
  <c r="M21" i="189"/>
  <c r="E22" i="189"/>
  <c r="F22" i="189"/>
  <c r="G22" i="189"/>
  <c r="G27" i="190" s="1"/>
  <c r="H22" i="189"/>
  <c r="I22" i="189"/>
  <c r="J22" i="189"/>
  <c r="J71" i="190" s="1"/>
  <c r="K22" i="189"/>
  <c r="K71" i="190" s="1"/>
  <c r="L22" i="189"/>
  <c r="L71" i="190" s="1"/>
  <c r="M22" i="189"/>
  <c r="M71" i="190" s="1"/>
  <c r="E23" i="189"/>
  <c r="F23" i="189"/>
  <c r="G23" i="189"/>
  <c r="G28" i="190" s="1"/>
  <c r="H23" i="189"/>
  <c r="I23" i="189"/>
  <c r="J23" i="189"/>
  <c r="J72" i="190" s="1"/>
  <c r="K23" i="189"/>
  <c r="L23" i="189"/>
  <c r="M23" i="189"/>
  <c r="E24" i="189"/>
  <c r="F24" i="189"/>
  <c r="G24" i="189"/>
  <c r="G29" i="190" s="1"/>
  <c r="H24" i="189"/>
  <c r="I24" i="189"/>
  <c r="J24" i="189"/>
  <c r="J73" i="190" s="1"/>
  <c r="K24" i="189"/>
  <c r="L24" i="189"/>
  <c r="M24" i="189"/>
  <c r="E25" i="189"/>
  <c r="F25" i="189"/>
  <c r="G25" i="189"/>
  <c r="G30" i="190" s="1"/>
  <c r="H25" i="189"/>
  <c r="I25" i="189"/>
  <c r="J25" i="189"/>
  <c r="J74" i="190" s="1"/>
  <c r="K25" i="189"/>
  <c r="K74" i="190" s="1"/>
  <c r="L25" i="189"/>
  <c r="L74" i="190" s="1"/>
  <c r="M25" i="189"/>
  <c r="M74" i="190" s="1"/>
  <c r="E26" i="189"/>
  <c r="F26" i="189"/>
  <c r="F31" i="190" s="1"/>
  <c r="G26" i="189"/>
  <c r="H26" i="189"/>
  <c r="I26" i="189"/>
  <c r="J26" i="189"/>
  <c r="J75" i="190" s="1"/>
  <c r="K26" i="189"/>
  <c r="L26" i="189"/>
  <c r="M26" i="189"/>
  <c r="E27" i="189"/>
  <c r="F27" i="189"/>
  <c r="G27" i="189"/>
  <c r="G32" i="190" s="1"/>
  <c r="H27" i="189"/>
  <c r="I27" i="189"/>
  <c r="J27" i="189"/>
  <c r="J76" i="190" s="1"/>
  <c r="K27" i="189"/>
  <c r="K76" i="190" s="1"/>
  <c r="L27" i="189"/>
  <c r="M27" i="189"/>
  <c r="M76" i="190" s="1"/>
  <c r="E28" i="189"/>
  <c r="F28" i="189"/>
  <c r="G28" i="189"/>
  <c r="G33" i="190" s="1"/>
  <c r="H28" i="189"/>
  <c r="I28" i="189"/>
  <c r="J28" i="189"/>
  <c r="J77" i="190" s="1"/>
  <c r="K28" i="189"/>
  <c r="L28" i="189"/>
  <c r="M28" i="189"/>
  <c r="M77" i="190" s="1"/>
  <c r="E29" i="189"/>
  <c r="F29" i="189"/>
  <c r="F34" i="190" s="1"/>
  <c r="G29" i="189"/>
  <c r="H29" i="189"/>
  <c r="I29" i="189"/>
  <c r="J29" i="189"/>
  <c r="J78" i="190" s="1"/>
  <c r="K29" i="189"/>
  <c r="K78" i="190" s="1"/>
  <c r="L29" i="189"/>
  <c r="M29" i="189"/>
  <c r="E30" i="189"/>
  <c r="F30" i="189"/>
  <c r="G30" i="189"/>
  <c r="G35" i="190" s="1"/>
  <c r="H30" i="189"/>
  <c r="I30" i="189"/>
  <c r="J30" i="189"/>
  <c r="J79" i="190" s="1"/>
  <c r="K30" i="189"/>
  <c r="L30" i="189"/>
  <c r="L79" i="190" s="1"/>
  <c r="M30" i="189"/>
  <c r="M79" i="190" s="1"/>
  <c r="E31" i="189"/>
  <c r="F31" i="189"/>
  <c r="G31" i="189"/>
  <c r="H31" i="189"/>
  <c r="I31" i="189"/>
  <c r="J31" i="189"/>
  <c r="J80" i="190" s="1"/>
  <c r="K31" i="189"/>
  <c r="L31" i="189"/>
  <c r="L80" i="190" s="1"/>
  <c r="M31" i="189"/>
  <c r="E32" i="189"/>
  <c r="F32" i="189"/>
  <c r="G32" i="189"/>
  <c r="G37" i="190" s="1"/>
  <c r="H32" i="189"/>
  <c r="I32" i="189"/>
  <c r="J32" i="189"/>
  <c r="J81" i="190" s="1"/>
  <c r="K32" i="189"/>
  <c r="L32" i="189"/>
  <c r="M32" i="189"/>
  <c r="M81" i="190" s="1"/>
  <c r="E33" i="189"/>
  <c r="F33" i="189"/>
  <c r="F82" i="190" s="1"/>
  <c r="G33" i="189"/>
  <c r="G82" i="190" s="1"/>
  <c r="H33" i="189"/>
  <c r="I33" i="189"/>
  <c r="J33" i="189"/>
  <c r="J82" i="190" s="1"/>
  <c r="K33" i="189"/>
  <c r="L33" i="189"/>
  <c r="M33" i="189"/>
  <c r="M82" i="190" s="1"/>
  <c r="E34" i="189"/>
  <c r="F34" i="189"/>
  <c r="F83" i="190" s="1"/>
  <c r="G34" i="189"/>
  <c r="H34" i="189"/>
  <c r="I34" i="189"/>
  <c r="J34" i="189"/>
  <c r="J83" i="190" s="1"/>
  <c r="K34" i="189"/>
  <c r="K83" i="190" s="1"/>
  <c r="L34" i="189"/>
  <c r="L83" i="190" s="1"/>
  <c r="M34" i="189"/>
  <c r="M83" i="190" s="1"/>
  <c r="E35" i="189"/>
  <c r="F35" i="189"/>
  <c r="F84" i="190" s="1"/>
  <c r="G35" i="189"/>
  <c r="H35" i="189"/>
  <c r="I35" i="189"/>
  <c r="J35" i="189"/>
  <c r="J84" i="190" s="1"/>
  <c r="K35" i="189"/>
  <c r="L35" i="189"/>
  <c r="M35" i="189"/>
  <c r="E36" i="189"/>
  <c r="F36" i="189"/>
  <c r="F85" i="190" s="1"/>
  <c r="G36" i="189"/>
  <c r="G85" i="190" s="1"/>
  <c r="H36" i="189"/>
  <c r="I36" i="189"/>
  <c r="J36" i="189"/>
  <c r="J85" i="190" s="1"/>
  <c r="K36" i="189"/>
  <c r="L36" i="189"/>
  <c r="M36" i="189"/>
  <c r="E37" i="189"/>
  <c r="F37" i="189"/>
  <c r="F86" i="190" s="1"/>
  <c r="G37" i="189"/>
  <c r="G86" i="190" s="1"/>
  <c r="H37" i="189"/>
  <c r="I37" i="189"/>
  <c r="J37" i="189"/>
  <c r="J86" i="190" s="1"/>
  <c r="K37" i="189"/>
  <c r="K86" i="190" s="1"/>
  <c r="L37" i="189"/>
  <c r="L86" i="190" s="1"/>
  <c r="M37" i="189"/>
  <c r="M86" i="190" s="1"/>
  <c r="E38" i="189"/>
  <c r="F38" i="189"/>
  <c r="G38" i="189"/>
  <c r="H38" i="189"/>
  <c r="I38" i="189"/>
  <c r="J38" i="189"/>
  <c r="J87" i="190" s="1"/>
  <c r="K38" i="189"/>
  <c r="K87" i="190" s="1"/>
  <c r="L38" i="189"/>
  <c r="M38" i="189"/>
  <c r="D18" i="22"/>
  <c r="F18" i="22"/>
  <c r="H18" i="22"/>
  <c r="I18" i="22"/>
  <c r="J18" i="22"/>
  <c r="Q18" i="22"/>
  <c r="R18" i="22"/>
  <c r="S18" i="22"/>
  <c r="T18" i="22"/>
  <c r="U18" i="22"/>
  <c r="V18" i="22"/>
  <c r="W18" i="22"/>
  <c r="X18" i="22"/>
  <c r="Y18" i="22"/>
  <c r="Z18" i="22"/>
  <c r="AA18" i="22"/>
  <c r="AB18" i="22"/>
  <c r="AC18" i="22"/>
  <c r="AD18" i="22"/>
  <c r="AE18" i="22"/>
  <c r="AR18" i="22"/>
  <c r="C38" i="28"/>
  <c r="D38" i="28"/>
  <c r="E38" i="28"/>
  <c r="F38" i="28"/>
  <c r="G38" i="28"/>
  <c r="H38" i="28"/>
  <c r="I38" i="28"/>
  <c r="J38" i="28"/>
  <c r="K38" i="28"/>
  <c r="C35" i="28"/>
  <c r="D35" i="28"/>
  <c r="E35" i="28"/>
  <c r="F35" i="28"/>
  <c r="G35" i="28"/>
  <c r="H35" i="28"/>
  <c r="I35" i="28"/>
  <c r="J35" i="28"/>
  <c r="K35" i="28"/>
  <c r="C36" i="28"/>
  <c r="D36" i="28"/>
  <c r="E36" i="28"/>
  <c r="F36" i="28"/>
  <c r="G36" i="28"/>
  <c r="H36" i="28"/>
  <c r="I36" i="28"/>
  <c r="J36" i="28"/>
  <c r="K36" i="28"/>
  <c r="C37" i="28"/>
  <c r="D37" i="28"/>
  <c r="E37" i="28"/>
  <c r="F37" i="28"/>
  <c r="G37" i="28"/>
  <c r="H37" i="28"/>
  <c r="I37" i="28"/>
  <c r="J37" i="28"/>
  <c r="K37" i="28"/>
  <c r="C19" i="28"/>
  <c r="D19" i="28"/>
  <c r="E19" i="28"/>
  <c r="F19" i="28"/>
  <c r="G19" i="28"/>
  <c r="H19" i="28"/>
  <c r="I19" i="28"/>
  <c r="J19" i="28"/>
  <c r="K19" i="28"/>
  <c r="C20" i="28"/>
  <c r="D20" i="28"/>
  <c r="E20" i="28"/>
  <c r="F20" i="28"/>
  <c r="G20" i="28"/>
  <c r="H20" i="28"/>
  <c r="I20" i="28"/>
  <c r="J20" i="28"/>
  <c r="K20" i="28"/>
  <c r="C21" i="28"/>
  <c r="D21" i="28"/>
  <c r="E21" i="28"/>
  <c r="F21" i="28"/>
  <c r="G21" i="28"/>
  <c r="H21" i="28"/>
  <c r="I21" i="28"/>
  <c r="J21" i="28"/>
  <c r="K21" i="28"/>
  <c r="C22" i="28"/>
  <c r="D22" i="28"/>
  <c r="E22" i="28"/>
  <c r="F22" i="28"/>
  <c r="G22" i="28"/>
  <c r="H22" i="28"/>
  <c r="I22" i="28"/>
  <c r="J22" i="28"/>
  <c r="K22" i="28"/>
  <c r="C23" i="28"/>
  <c r="D23" i="28"/>
  <c r="E23" i="28"/>
  <c r="F23" i="28"/>
  <c r="G23" i="28"/>
  <c r="H23" i="28"/>
  <c r="I23" i="28"/>
  <c r="J23" i="28"/>
  <c r="K23" i="28"/>
  <c r="C24" i="28"/>
  <c r="D24" i="28"/>
  <c r="E24" i="28"/>
  <c r="F24" i="28"/>
  <c r="G24" i="28"/>
  <c r="H24" i="28"/>
  <c r="I24" i="28"/>
  <c r="J24" i="28"/>
  <c r="K24" i="28"/>
  <c r="C25" i="28"/>
  <c r="D25" i="28"/>
  <c r="E25" i="28"/>
  <c r="F25" i="28"/>
  <c r="G25" i="28"/>
  <c r="H25" i="28"/>
  <c r="I25" i="28"/>
  <c r="J25" i="28"/>
  <c r="K25" i="28"/>
  <c r="C26" i="28"/>
  <c r="D26" i="28"/>
  <c r="E26" i="28"/>
  <c r="F26" i="28"/>
  <c r="G26" i="28"/>
  <c r="H26" i="28"/>
  <c r="I26" i="28"/>
  <c r="J26" i="28"/>
  <c r="K26" i="28"/>
  <c r="C27" i="28"/>
  <c r="D27" i="28"/>
  <c r="E27" i="28"/>
  <c r="F27" i="28"/>
  <c r="G27" i="28"/>
  <c r="H27" i="28"/>
  <c r="I27" i="28"/>
  <c r="J27" i="28"/>
  <c r="K27" i="28"/>
  <c r="C28" i="28"/>
  <c r="D28" i="28"/>
  <c r="E28" i="28"/>
  <c r="F28" i="28"/>
  <c r="G28" i="28"/>
  <c r="H28" i="28"/>
  <c r="I28" i="28"/>
  <c r="J28" i="28"/>
  <c r="K28" i="28"/>
  <c r="C29" i="28"/>
  <c r="D29" i="28"/>
  <c r="E29" i="28"/>
  <c r="F29" i="28"/>
  <c r="G29" i="28"/>
  <c r="H29" i="28"/>
  <c r="I29" i="28"/>
  <c r="J29" i="28"/>
  <c r="K29" i="28"/>
  <c r="C30" i="28"/>
  <c r="D30" i="28"/>
  <c r="E30" i="28"/>
  <c r="F30" i="28"/>
  <c r="G30" i="28"/>
  <c r="H30" i="28"/>
  <c r="I30" i="28"/>
  <c r="J30" i="28"/>
  <c r="K30" i="28"/>
  <c r="C31" i="28"/>
  <c r="D31" i="28"/>
  <c r="E31" i="28"/>
  <c r="F31" i="28"/>
  <c r="G31" i="28"/>
  <c r="H31" i="28"/>
  <c r="I31" i="28"/>
  <c r="J31" i="28"/>
  <c r="K31" i="28"/>
  <c r="C32" i="28"/>
  <c r="D32" i="28"/>
  <c r="E32" i="28"/>
  <c r="F32" i="28"/>
  <c r="G32" i="28"/>
  <c r="H32" i="28"/>
  <c r="I32" i="28"/>
  <c r="J32" i="28"/>
  <c r="K32" i="28"/>
  <c r="C33" i="28"/>
  <c r="D33" i="28"/>
  <c r="E33" i="28"/>
  <c r="F33" i="28"/>
  <c r="G33" i="28"/>
  <c r="H33" i="28"/>
  <c r="I33" i="28"/>
  <c r="J33" i="28"/>
  <c r="K33" i="28"/>
  <c r="C34" i="28"/>
  <c r="D34" i="28"/>
  <c r="E34" i="28"/>
  <c r="F34" i="28"/>
  <c r="G34" i="28"/>
  <c r="H34" i="28"/>
  <c r="I34" i="28"/>
  <c r="J34" i="28"/>
  <c r="K34" i="28"/>
  <c r="C57" i="92"/>
  <c r="F57" i="92"/>
  <c r="J57" i="92"/>
  <c r="K57" i="92"/>
  <c r="C52" i="92"/>
  <c r="F52" i="92"/>
  <c r="J52" i="92"/>
  <c r="K52" i="92"/>
  <c r="C53" i="92"/>
  <c r="F53" i="92"/>
  <c r="J53" i="92"/>
  <c r="K53" i="92"/>
  <c r="C54" i="92"/>
  <c r="D136" i="192" s="1"/>
  <c r="F54" i="92"/>
  <c r="J54" i="92"/>
  <c r="K54" i="92"/>
  <c r="C55" i="92"/>
  <c r="D137" i="192" s="1"/>
  <c r="F55" i="92"/>
  <c r="J55" i="92"/>
  <c r="K55" i="92"/>
  <c r="C56" i="92"/>
  <c r="F56" i="92"/>
  <c r="J56" i="92"/>
  <c r="K56" i="92"/>
  <c r="C38" i="92"/>
  <c r="F38" i="92"/>
  <c r="J38" i="92"/>
  <c r="K38" i="92"/>
  <c r="C39" i="92"/>
  <c r="D121" i="192" s="1"/>
  <c r="D39" i="92"/>
  <c r="E39" i="92"/>
  <c r="F39" i="92"/>
  <c r="J39" i="92"/>
  <c r="K39" i="92"/>
  <c r="C40" i="92"/>
  <c r="D122" i="192" s="1"/>
  <c r="D40" i="92"/>
  <c r="E40" i="92"/>
  <c r="F40" i="92"/>
  <c r="J40" i="92"/>
  <c r="K40" i="92"/>
  <c r="C41" i="92"/>
  <c r="D123" i="192" s="1"/>
  <c r="F41" i="92"/>
  <c r="J41" i="92"/>
  <c r="K41" i="92"/>
  <c r="C42" i="92"/>
  <c r="D124" i="192" s="1"/>
  <c r="F42" i="92"/>
  <c r="J42" i="92"/>
  <c r="K42" i="92"/>
  <c r="C43" i="92"/>
  <c r="D125" i="192" s="1"/>
  <c r="F43" i="92"/>
  <c r="J43" i="92"/>
  <c r="K43" i="92"/>
  <c r="C44" i="92"/>
  <c r="D126" i="192" s="1"/>
  <c r="F44" i="92"/>
  <c r="J44" i="92"/>
  <c r="K44" i="92"/>
  <c r="C45" i="92"/>
  <c r="D127" i="192" s="1"/>
  <c r="F45" i="92"/>
  <c r="J45" i="92"/>
  <c r="K45" i="92"/>
  <c r="C46" i="92"/>
  <c r="D128" i="192" s="1"/>
  <c r="F46" i="92"/>
  <c r="J46" i="92"/>
  <c r="K46" i="92"/>
  <c r="C47" i="92"/>
  <c r="D129" i="192" s="1"/>
  <c r="F47" i="92"/>
  <c r="J47" i="92"/>
  <c r="K47" i="92"/>
  <c r="C48" i="92"/>
  <c r="D130" i="192" s="1"/>
  <c r="F48" i="92"/>
  <c r="J48" i="92"/>
  <c r="K48" i="92"/>
  <c r="C49" i="92"/>
  <c r="D131" i="192" s="1"/>
  <c r="F49" i="92"/>
  <c r="J49" i="92"/>
  <c r="K49" i="92"/>
  <c r="C50" i="92"/>
  <c r="D132" i="192" s="1"/>
  <c r="F50" i="92"/>
  <c r="J50" i="92"/>
  <c r="K50" i="92"/>
  <c r="C51" i="92"/>
  <c r="D133" i="192" s="1"/>
  <c r="F51" i="92"/>
  <c r="J51" i="92"/>
  <c r="K51" i="92"/>
  <c r="D320" i="827"/>
  <c r="E320" i="827"/>
  <c r="D321" i="827"/>
  <c r="E321" i="827"/>
  <c r="D37" i="189" s="1"/>
  <c r="AC37" i="189" s="1"/>
  <c r="D322" i="827"/>
  <c r="E322" i="827"/>
  <c r="D38" i="189" s="1"/>
  <c r="AC38" i="189" s="1"/>
  <c r="D323" i="827"/>
  <c r="E323" i="827"/>
  <c r="D303" i="827"/>
  <c r="E303" i="827"/>
  <c r="D19" i="189" s="1"/>
  <c r="AC19" i="189" s="1"/>
  <c r="D304" i="827"/>
  <c r="E304" i="827"/>
  <c r="D20" i="189" s="1"/>
  <c r="AC20" i="189" s="1"/>
  <c r="D305" i="827"/>
  <c r="E305" i="827"/>
  <c r="D21" i="189" s="1"/>
  <c r="AC21" i="189" s="1"/>
  <c r="D306" i="827"/>
  <c r="E306" i="827"/>
  <c r="D307" i="827"/>
  <c r="E307" i="827"/>
  <c r="D23" i="189" s="1"/>
  <c r="AC23" i="189" s="1"/>
  <c r="D308" i="827"/>
  <c r="E308" i="827"/>
  <c r="D24" i="189" s="1"/>
  <c r="AC24" i="189" s="1"/>
  <c r="D309" i="827"/>
  <c r="E309" i="827"/>
  <c r="D25" i="189" s="1"/>
  <c r="AC25" i="189" s="1"/>
  <c r="D310" i="827"/>
  <c r="E310" i="827"/>
  <c r="D26" i="189" s="1"/>
  <c r="AC26" i="189" s="1"/>
  <c r="D311" i="827"/>
  <c r="E311" i="827"/>
  <c r="D27" i="189" s="1"/>
  <c r="AC27" i="189" s="1"/>
  <c r="D312" i="827"/>
  <c r="E312" i="827"/>
  <c r="D28" i="189" s="1"/>
  <c r="AC28" i="189" s="1"/>
  <c r="D313" i="827"/>
  <c r="E313" i="827"/>
  <c r="D29" i="189" s="1"/>
  <c r="AC29" i="189" s="1"/>
  <c r="D314" i="827"/>
  <c r="E314" i="827"/>
  <c r="D315" i="827"/>
  <c r="E315" i="827"/>
  <c r="D31" i="189" s="1"/>
  <c r="AC31" i="189" s="1"/>
  <c r="D316" i="827"/>
  <c r="E316" i="827"/>
  <c r="D317" i="827"/>
  <c r="E317" i="827"/>
  <c r="D318" i="827"/>
  <c r="E318" i="827"/>
  <c r="D34" i="189" s="1"/>
  <c r="AC34" i="189" s="1"/>
  <c r="D319" i="827"/>
  <c r="E319" i="827"/>
  <c r="D151" i="827"/>
  <c r="D185" i="827" s="1"/>
  <c r="D253" i="827" s="1"/>
  <c r="D287" i="827" s="1"/>
  <c r="E151" i="827"/>
  <c r="D152" i="827"/>
  <c r="D186" i="827" s="1"/>
  <c r="D254" i="827" s="1"/>
  <c r="D288" i="827" s="1"/>
  <c r="E152" i="827"/>
  <c r="D133" i="827"/>
  <c r="D167" i="827" s="1"/>
  <c r="D235" i="827" s="1"/>
  <c r="D269" i="827" s="1"/>
  <c r="E133" i="827"/>
  <c r="D134" i="827"/>
  <c r="D168" i="827" s="1"/>
  <c r="D236" i="827" s="1"/>
  <c r="D270" i="827" s="1"/>
  <c r="E134" i="827"/>
  <c r="D135" i="827"/>
  <c r="D169" i="827" s="1"/>
  <c r="D237" i="827" s="1"/>
  <c r="D271" i="827" s="1"/>
  <c r="E135" i="827"/>
  <c r="D136" i="827"/>
  <c r="D170" i="827" s="1"/>
  <c r="D238" i="827" s="1"/>
  <c r="D272" i="827" s="1"/>
  <c r="E136" i="827"/>
  <c r="D137" i="827"/>
  <c r="D171" i="827" s="1"/>
  <c r="D239" i="827" s="1"/>
  <c r="D273" i="827" s="1"/>
  <c r="E137" i="827"/>
  <c r="D138" i="827"/>
  <c r="D172" i="827" s="1"/>
  <c r="D240" i="827" s="1"/>
  <c r="D274" i="827" s="1"/>
  <c r="E138" i="827"/>
  <c r="D139" i="827"/>
  <c r="D173" i="827" s="1"/>
  <c r="D241" i="827" s="1"/>
  <c r="D275" i="827" s="1"/>
  <c r="E139" i="827"/>
  <c r="D140" i="827"/>
  <c r="D174" i="827" s="1"/>
  <c r="D242" i="827" s="1"/>
  <c r="D276" i="827" s="1"/>
  <c r="E140" i="827"/>
  <c r="D141" i="827"/>
  <c r="D175" i="827" s="1"/>
  <c r="D243" i="827" s="1"/>
  <c r="D277" i="827" s="1"/>
  <c r="E141" i="827"/>
  <c r="D142" i="827"/>
  <c r="D176" i="827" s="1"/>
  <c r="D244" i="827" s="1"/>
  <c r="D278" i="827" s="1"/>
  <c r="E142" i="827"/>
  <c r="D143" i="827"/>
  <c r="D177" i="827" s="1"/>
  <c r="D245" i="827" s="1"/>
  <c r="D279" i="827" s="1"/>
  <c r="E143" i="827"/>
  <c r="D144" i="827"/>
  <c r="D178" i="827" s="1"/>
  <c r="D246" i="827" s="1"/>
  <c r="D280" i="827" s="1"/>
  <c r="E144" i="827"/>
  <c r="D145" i="827"/>
  <c r="D179" i="827" s="1"/>
  <c r="D247" i="827" s="1"/>
  <c r="D281" i="827" s="1"/>
  <c r="E145" i="827"/>
  <c r="D146" i="827"/>
  <c r="D180" i="827" s="1"/>
  <c r="D248" i="827" s="1"/>
  <c r="D282" i="827" s="1"/>
  <c r="E146" i="827"/>
  <c r="D147" i="827"/>
  <c r="D181" i="827" s="1"/>
  <c r="D249" i="827" s="1"/>
  <c r="D283" i="827" s="1"/>
  <c r="E147" i="827"/>
  <c r="D148" i="827"/>
  <c r="D182" i="827" s="1"/>
  <c r="D250" i="827" s="1"/>
  <c r="D284" i="827" s="1"/>
  <c r="E148" i="827"/>
  <c r="D149" i="827"/>
  <c r="D183" i="827" s="1"/>
  <c r="D251" i="827" s="1"/>
  <c r="D285" i="827" s="1"/>
  <c r="E149" i="827"/>
  <c r="D150" i="827"/>
  <c r="D184" i="827" s="1"/>
  <c r="D252" i="827" s="1"/>
  <c r="D286" i="827" s="1"/>
  <c r="E150" i="827"/>
  <c r="S102" i="840" l="1"/>
  <c r="J3" i="841"/>
  <c r="E5" i="855"/>
  <c r="R63" i="826"/>
  <c r="T41" i="826"/>
  <c r="R62" i="826"/>
  <c r="T40" i="826"/>
  <c r="R65" i="826"/>
  <c r="T43" i="826"/>
  <c r="R64" i="826"/>
  <c r="T42" i="826"/>
  <c r="D130" i="829" a="1"/>
  <c r="T145" i="829"/>
  <c r="D151" i="829" a="1"/>
  <c r="T166" i="829"/>
  <c r="D172" i="829" a="1"/>
  <c r="E179" i="827"/>
  <c r="E247" i="827" s="1"/>
  <c r="E281" i="827" s="1"/>
  <c r="D30" i="190"/>
  <c r="D81" i="189"/>
  <c r="E175" i="827"/>
  <c r="E243" i="827" s="1"/>
  <c r="E277" i="827" s="1"/>
  <c r="D26" i="190"/>
  <c r="D77" i="189"/>
  <c r="E171" i="827"/>
  <c r="E239" i="827" s="1"/>
  <c r="E273" i="827" s="1"/>
  <c r="D22" i="190"/>
  <c r="D73" i="189"/>
  <c r="E167" i="827"/>
  <c r="E235" i="827" s="1"/>
  <c r="E269" i="827" s="1"/>
  <c r="D18" i="190"/>
  <c r="D69" i="189"/>
  <c r="I56" i="92"/>
  <c r="D138" i="192"/>
  <c r="H52" i="92"/>
  <c r="D134" i="192"/>
  <c r="F81" i="190"/>
  <c r="F37" i="190"/>
  <c r="G80" i="190"/>
  <c r="G36" i="190"/>
  <c r="F73" i="190"/>
  <c r="F29" i="190"/>
  <c r="E182" i="827"/>
  <c r="E250" i="827" s="1"/>
  <c r="E284" i="827" s="1"/>
  <c r="D33" i="190"/>
  <c r="F80" i="190"/>
  <c r="F36" i="190"/>
  <c r="F72" i="190"/>
  <c r="F28" i="190"/>
  <c r="E178" i="827"/>
  <c r="E246" i="827" s="1"/>
  <c r="E280" i="827" s="1"/>
  <c r="D29" i="190"/>
  <c r="D80" i="189"/>
  <c r="E174" i="827"/>
  <c r="E242" i="827" s="1"/>
  <c r="E276" i="827" s="1"/>
  <c r="D25" i="190"/>
  <c r="D76" i="189"/>
  <c r="E170" i="827"/>
  <c r="E238" i="827" s="1"/>
  <c r="E272" i="827" s="1"/>
  <c r="D21" i="190"/>
  <c r="D72" i="189"/>
  <c r="E186" i="827"/>
  <c r="E254" i="827" s="1"/>
  <c r="E288" i="827" s="1"/>
  <c r="D37" i="190"/>
  <c r="I38" i="92"/>
  <c r="D120" i="192"/>
  <c r="H53" i="92"/>
  <c r="D135" i="192"/>
  <c r="F79" i="190"/>
  <c r="F35" i="190"/>
  <c r="G78" i="190"/>
  <c r="G34" i="190"/>
  <c r="F71" i="190"/>
  <c r="F27" i="190"/>
  <c r="G70" i="190"/>
  <c r="G26" i="190"/>
  <c r="H57" i="92"/>
  <c r="D139" i="192"/>
  <c r="E181" i="827"/>
  <c r="E249" i="827" s="1"/>
  <c r="E283" i="827" s="1"/>
  <c r="D32" i="190"/>
  <c r="E177" i="827"/>
  <c r="E245" i="827" s="1"/>
  <c r="E279" i="827" s="1"/>
  <c r="D28" i="190"/>
  <c r="D79" i="189"/>
  <c r="E173" i="827"/>
  <c r="E241" i="827" s="1"/>
  <c r="E275" i="827" s="1"/>
  <c r="D24" i="190"/>
  <c r="D75" i="189"/>
  <c r="E169" i="827"/>
  <c r="E237" i="827" s="1"/>
  <c r="E271" i="827" s="1"/>
  <c r="D20" i="190"/>
  <c r="D71" i="189"/>
  <c r="E185" i="827"/>
  <c r="E253" i="827" s="1"/>
  <c r="E287" i="827" s="1"/>
  <c r="D36" i="190"/>
  <c r="F77" i="190"/>
  <c r="F33" i="190"/>
  <c r="F69" i="190"/>
  <c r="F25" i="190"/>
  <c r="E183" i="827"/>
  <c r="E251" i="827" s="1"/>
  <c r="E285" i="827" s="1"/>
  <c r="D34" i="190"/>
  <c r="F74" i="190"/>
  <c r="F30" i="190"/>
  <c r="E184" i="827"/>
  <c r="E252" i="827" s="1"/>
  <c r="E286" i="827" s="1"/>
  <c r="D35" i="190"/>
  <c r="E180" i="827"/>
  <c r="E248" i="827" s="1"/>
  <c r="E282" i="827" s="1"/>
  <c r="D31" i="190"/>
  <c r="E176" i="827"/>
  <c r="E244" i="827" s="1"/>
  <c r="E278" i="827" s="1"/>
  <c r="D27" i="190"/>
  <c r="D78" i="189"/>
  <c r="E172" i="827"/>
  <c r="E240" i="827" s="1"/>
  <c r="E274" i="827" s="1"/>
  <c r="D23" i="190"/>
  <c r="D74" i="189"/>
  <c r="E168" i="827"/>
  <c r="E236" i="827" s="1"/>
  <c r="E270" i="827" s="1"/>
  <c r="D19" i="190"/>
  <c r="D70" i="189"/>
  <c r="F76" i="190"/>
  <c r="F32" i="190"/>
  <c r="G75" i="190"/>
  <c r="G31" i="190"/>
  <c r="L26" i="825"/>
  <c r="K17" i="829"/>
  <c r="V94" i="826"/>
  <c r="V146" i="826"/>
  <c r="K29" i="2"/>
  <c r="K100" i="826"/>
  <c r="K115" i="826" s="1"/>
  <c r="M146" i="829"/>
  <c r="N144" i="829" s="1"/>
  <c r="L150" i="829" s="1"/>
  <c r="L157" i="829" s="1"/>
  <c r="K14" i="834"/>
  <c r="K26" i="825"/>
  <c r="V50" i="826"/>
  <c r="K12" i="829"/>
  <c r="K28" i="2"/>
  <c r="V98" i="826"/>
  <c r="V157" i="826"/>
  <c r="K27" i="2"/>
  <c r="V97" i="826"/>
  <c r="V96" i="826"/>
  <c r="L38" i="829"/>
  <c r="L17" i="829"/>
  <c r="K23" i="2"/>
  <c r="M129" i="829"/>
  <c r="L108" i="829"/>
  <c r="M171" i="829"/>
  <c r="M75" i="829"/>
  <c r="M60" i="829" s="1"/>
  <c r="K69" i="826"/>
  <c r="G25" i="238"/>
  <c r="G33" i="238"/>
  <c r="G17" i="238"/>
  <c r="G30" i="238"/>
  <c r="G22" i="238"/>
  <c r="G14" i="238"/>
  <c r="G4" i="238"/>
  <c r="G28" i="238"/>
  <c r="G20" i="238"/>
  <c r="G32" i="238"/>
  <c r="G29" i="238"/>
  <c r="G24" i="238"/>
  <c r="G26" i="238"/>
  <c r="G18" i="238"/>
  <c r="G16" i="238"/>
  <c r="G21" i="238"/>
  <c r="P26" i="189"/>
  <c r="Q25" i="189"/>
  <c r="P28" i="189"/>
  <c r="U29" i="189"/>
  <c r="W29" i="189" s="1"/>
  <c r="U36" i="189"/>
  <c r="W36" i="189" s="1"/>
  <c r="S30" i="189"/>
  <c r="T29" i="189"/>
  <c r="R24" i="189"/>
  <c r="I52" i="92"/>
  <c r="I57" i="92"/>
  <c r="S24" i="189"/>
  <c r="U35" i="189"/>
  <c r="W35" i="189" s="1"/>
  <c r="T28" i="189"/>
  <c r="Q20" i="189"/>
  <c r="O34" i="189"/>
  <c r="P33" i="189"/>
  <c r="L41" i="92"/>
  <c r="R31" i="189"/>
  <c r="S38" i="189"/>
  <c r="S36" i="189"/>
  <c r="T35" i="189"/>
  <c r="O32" i="189"/>
  <c r="P31" i="189"/>
  <c r="Q30" i="189"/>
  <c r="Q37" i="189"/>
  <c r="Q29" i="189"/>
  <c r="L55" i="92"/>
  <c r="R36" i="189"/>
  <c r="O22" i="189"/>
  <c r="T32" i="189"/>
  <c r="P19" i="189"/>
  <c r="S35" i="189"/>
  <c r="P30" i="189"/>
  <c r="S28" i="189"/>
  <c r="T27" i="189"/>
  <c r="U19" i="189"/>
  <c r="W19" i="189" s="1"/>
  <c r="K84" i="190"/>
  <c r="S22" i="189"/>
  <c r="P36" i="189"/>
  <c r="Q28" i="189"/>
  <c r="G71" i="190"/>
  <c r="C18" i="22"/>
  <c r="AJ18" i="22" s="1"/>
  <c r="S32" i="189"/>
  <c r="O35" i="189"/>
  <c r="P34" i="189"/>
  <c r="Q33" i="189"/>
  <c r="S31" i="189"/>
  <c r="R29" i="189"/>
  <c r="O28" i="189"/>
  <c r="Q26" i="189"/>
  <c r="T24" i="189"/>
  <c r="U23" i="189"/>
  <c r="W23" i="189" s="1"/>
  <c r="P20" i="189"/>
  <c r="L78" i="190"/>
  <c r="M72" i="190"/>
  <c r="I46" i="92"/>
  <c r="D27" i="192"/>
  <c r="D78" i="192" s="1"/>
  <c r="I51" i="92"/>
  <c r="H55" i="92"/>
  <c r="D36" i="192"/>
  <c r="D87" i="192" s="1"/>
  <c r="O38" i="189"/>
  <c r="T33" i="189"/>
  <c r="D33" i="189"/>
  <c r="AC33" i="189" s="1"/>
  <c r="O27" i="189"/>
  <c r="G76" i="190"/>
  <c r="O24" i="189"/>
  <c r="G73" i="190"/>
  <c r="D22" i="189"/>
  <c r="AC22" i="189" s="1"/>
  <c r="K80" i="190"/>
  <c r="I47" i="92"/>
  <c r="D28" i="192"/>
  <c r="D79" i="192" s="1"/>
  <c r="I43" i="92"/>
  <c r="D24" i="192"/>
  <c r="D75" i="192" s="1"/>
  <c r="I39" i="92"/>
  <c r="D20" i="192"/>
  <c r="D71" i="192" s="1"/>
  <c r="D19" i="192"/>
  <c r="D70" i="192" s="1"/>
  <c r="D37" i="192"/>
  <c r="D88" i="192" s="1"/>
  <c r="R38" i="189"/>
  <c r="F87" i="190"/>
  <c r="P37" i="189"/>
  <c r="T36" i="189"/>
  <c r="D36" i="189"/>
  <c r="AC36" i="189" s="1"/>
  <c r="S34" i="189"/>
  <c r="S33" i="189"/>
  <c r="U32" i="189"/>
  <c r="W32" i="189" s="1"/>
  <c r="D30" i="189"/>
  <c r="AC30" i="189" s="1"/>
  <c r="O29" i="189"/>
  <c r="U27" i="189"/>
  <c r="W27" i="189" s="1"/>
  <c r="O21" i="189"/>
  <c r="R21" i="189"/>
  <c r="F70" i="190"/>
  <c r="F78" i="190"/>
  <c r="D32" i="192"/>
  <c r="D83" i="192" s="1"/>
  <c r="H50" i="92"/>
  <c r="D31" i="192"/>
  <c r="D82" i="192" s="1"/>
  <c r="I54" i="92"/>
  <c r="D35" i="192"/>
  <c r="D86" i="192" s="1"/>
  <c r="U38" i="189"/>
  <c r="W38" i="189" s="1"/>
  <c r="M87" i="190"/>
  <c r="U24" i="189"/>
  <c r="W24" i="189" s="1"/>
  <c r="M73" i="190"/>
  <c r="O23" i="189"/>
  <c r="G72" i="190"/>
  <c r="U21" i="189"/>
  <c r="W21" i="189" s="1"/>
  <c r="M70" i="190"/>
  <c r="O20" i="189"/>
  <c r="G69" i="190"/>
  <c r="G81" i="190"/>
  <c r="K79" i="190"/>
  <c r="M78" i="190"/>
  <c r="G77" i="190"/>
  <c r="I42" i="92"/>
  <c r="D23" i="192"/>
  <c r="D74" i="192" s="1"/>
  <c r="I44" i="92"/>
  <c r="D25" i="192"/>
  <c r="D76" i="192" s="1"/>
  <c r="T38" i="189"/>
  <c r="L87" i="190"/>
  <c r="D35" i="189"/>
  <c r="AC35" i="189" s="1"/>
  <c r="D32" i="189"/>
  <c r="AC32" i="189" s="1"/>
  <c r="T21" i="189"/>
  <c r="L70" i="190"/>
  <c r="L82" i="190"/>
  <c r="I48" i="92"/>
  <c r="D29" i="192"/>
  <c r="D80" i="192" s="1"/>
  <c r="H40" i="92"/>
  <c r="D21" i="192"/>
  <c r="D72" i="192" s="1"/>
  <c r="H49" i="92"/>
  <c r="D30" i="192"/>
  <c r="D81" i="192" s="1"/>
  <c r="H45" i="92"/>
  <c r="D26" i="192"/>
  <c r="D77" i="192" s="1"/>
  <c r="H41" i="92"/>
  <c r="D22" i="192"/>
  <c r="D73" i="192" s="1"/>
  <c r="R26" i="189"/>
  <c r="F75" i="190"/>
  <c r="P25" i="189"/>
  <c r="P22" i="189"/>
  <c r="S21" i="189"/>
  <c r="K70" i="190"/>
  <c r="Q19" i="189"/>
  <c r="M85" i="190"/>
  <c r="G84" i="190"/>
  <c r="K82" i="190"/>
  <c r="H39" i="92"/>
  <c r="H38" i="92"/>
  <c r="H56" i="92"/>
  <c r="I53" i="92"/>
  <c r="D34" i="192"/>
  <c r="D85" i="192" s="1"/>
  <c r="D33" i="192"/>
  <c r="D84" i="192" s="1"/>
  <c r="D38" i="192"/>
  <c r="D89" i="192" s="1"/>
  <c r="U34" i="189"/>
  <c r="U31" i="189"/>
  <c r="W31" i="189" s="1"/>
  <c r="S29" i="189"/>
  <c r="U26" i="189"/>
  <c r="W26" i="189" s="1"/>
  <c r="M75" i="190"/>
  <c r="O25" i="189"/>
  <c r="G74" i="190"/>
  <c r="T23" i="189"/>
  <c r="L72" i="190"/>
  <c r="L85" i="190"/>
  <c r="L81" i="190"/>
  <c r="L77" i="190"/>
  <c r="L73" i="190"/>
  <c r="G87" i="190"/>
  <c r="S37" i="189"/>
  <c r="O36" i="189"/>
  <c r="T34" i="189"/>
  <c r="T31" i="189"/>
  <c r="O30" i="189"/>
  <c r="T26" i="189"/>
  <c r="L75" i="190"/>
  <c r="Q24" i="189"/>
  <c r="S23" i="189"/>
  <c r="K72" i="190"/>
  <c r="S20" i="189"/>
  <c r="O19" i="189"/>
  <c r="K85" i="190"/>
  <c r="M84" i="190"/>
  <c r="G83" i="190"/>
  <c r="K81" i="190"/>
  <c r="M80" i="190"/>
  <c r="G79" i="190"/>
  <c r="K77" i="190"/>
  <c r="K73" i="190"/>
  <c r="L57" i="92"/>
  <c r="P38" i="189"/>
  <c r="P32" i="189"/>
  <c r="P27" i="189"/>
  <c r="S26" i="189"/>
  <c r="K75" i="190"/>
  <c r="P21" i="189"/>
  <c r="L84" i="190"/>
  <c r="L76" i="190"/>
  <c r="G15" i="238"/>
  <c r="G23" i="238"/>
  <c r="G31" i="238"/>
  <c r="G27" i="238"/>
  <c r="G19" i="238"/>
  <c r="R34" i="189"/>
  <c r="S27" i="189"/>
  <c r="U28" i="189"/>
  <c r="W28" i="189" s="1"/>
  <c r="R25" i="189"/>
  <c r="Q22" i="189"/>
  <c r="R37" i="189"/>
  <c r="P35" i="189"/>
  <c r="R30" i="189"/>
  <c r="R28" i="189"/>
  <c r="U25" i="189"/>
  <c r="W25" i="189" s="1"/>
  <c r="P23" i="189"/>
  <c r="U22" i="189"/>
  <c r="W22" i="189" s="1"/>
  <c r="U37" i="189"/>
  <c r="W37" i="189" s="1"/>
  <c r="R33" i="189"/>
  <c r="U30" i="189"/>
  <c r="W30" i="189" s="1"/>
  <c r="T25" i="189"/>
  <c r="T22" i="189"/>
  <c r="T19" i="189"/>
  <c r="U20" i="189"/>
  <c r="W20" i="189" s="1"/>
  <c r="S19" i="189"/>
  <c r="R22" i="189"/>
  <c r="R20" i="189"/>
  <c r="R19" i="189"/>
  <c r="T37" i="189"/>
  <c r="Q36" i="189"/>
  <c r="U33" i="189"/>
  <c r="Q32" i="189"/>
  <c r="O31" i="189"/>
  <c r="T30" i="189"/>
  <c r="P29" i="189"/>
  <c r="O26" i="189"/>
  <c r="S25" i="189"/>
  <c r="P24" i="189"/>
  <c r="R23" i="189"/>
  <c r="Q21" i="189"/>
  <c r="T20" i="189"/>
  <c r="O37" i="189"/>
  <c r="O33" i="189"/>
  <c r="R27" i="189"/>
  <c r="Q35" i="189"/>
  <c r="Q31" i="189"/>
  <c r="Q27" i="189"/>
  <c r="R32" i="189"/>
  <c r="Q38" i="189"/>
  <c r="Q34" i="189"/>
  <c r="R35" i="189"/>
  <c r="Q23" i="189"/>
  <c r="L54" i="92"/>
  <c r="L56" i="92"/>
  <c r="H43" i="92"/>
  <c r="L53" i="92"/>
  <c r="L52" i="92"/>
  <c r="I55" i="92"/>
  <c r="H54" i="92"/>
  <c r="H42" i="92"/>
  <c r="L39" i="92"/>
  <c r="H51" i="92"/>
  <c r="I50" i="92"/>
  <c r="H46" i="92"/>
  <c r="L43" i="92"/>
  <c r="L38" i="92"/>
  <c r="L47" i="92"/>
  <c r="H47" i="92"/>
  <c r="L51" i="92"/>
  <c r="L44" i="92"/>
  <c r="L48" i="92"/>
  <c r="L50" i="92"/>
  <c r="L46" i="92"/>
  <c r="L42" i="92"/>
  <c r="L40" i="92"/>
  <c r="L49" i="92"/>
  <c r="L45" i="92"/>
  <c r="I49" i="92"/>
  <c r="I45" i="92"/>
  <c r="I40" i="92"/>
  <c r="H48" i="92"/>
  <c r="H44" i="92"/>
  <c r="I41" i="92"/>
  <c r="E220" i="827"/>
  <c r="D87" i="190" s="1"/>
  <c r="D220" i="827"/>
  <c r="E219" i="827"/>
  <c r="D86" i="190" s="1"/>
  <c r="D219" i="827"/>
  <c r="E218" i="827"/>
  <c r="D85" i="190" s="1"/>
  <c r="D218" i="827"/>
  <c r="E210" i="827"/>
  <c r="D77" i="190" s="1"/>
  <c r="D210" i="827"/>
  <c r="E205" i="827"/>
  <c r="D72" i="190" s="1"/>
  <c r="E208" i="827"/>
  <c r="D75" i="190" s="1"/>
  <c r="E216" i="827"/>
  <c r="D83" i="190" s="1"/>
  <c r="D216" i="827"/>
  <c r="D203" i="827"/>
  <c r="E213" i="827"/>
  <c r="D80" i="190" s="1"/>
  <c r="E202" i="827"/>
  <c r="D69" i="190" s="1"/>
  <c r="D208" i="827"/>
  <c r="D211" i="827"/>
  <c r="D202" i="827"/>
  <c r="E215" i="827"/>
  <c r="D82" i="190" s="1"/>
  <c r="D215" i="827"/>
  <c r="E217" i="827"/>
  <c r="D84" i="190" s="1"/>
  <c r="D212" i="827"/>
  <c r="E209" i="827"/>
  <c r="D76" i="190" s="1"/>
  <c r="D204" i="827"/>
  <c r="E201" i="827"/>
  <c r="D68" i="190" s="1"/>
  <c r="E207" i="827"/>
  <c r="D74" i="190" s="1"/>
  <c r="D217" i="827"/>
  <c r="E214" i="827"/>
  <c r="D81" i="190" s="1"/>
  <c r="D209" i="827"/>
  <c r="E206" i="827"/>
  <c r="D73" i="190" s="1"/>
  <c r="D201" i="827"/>
  <c r="D213" i="827"/>
  <c r="D205" i="827"/>
  <c r="E212" i="827"/>
  <c r="D79" i="190" s="1"/>
  <c r="D207" i="827"/>
  <c r="E204" i="827"/>
  <c r="D71" i="190" s="1"/>
  <c r="D214" i="827"/>
  <c r="E211" i="827"/>
  <c r="D78" i="190" s="1"/>
  <c r="D206" i="827"/>
  <c r="E203" i="827"/>
  <c r="D70" i="190" s="1"/>
  <c r="C6" i="837"/>
  <c r="S47" i="840" l="1"/>
  <c r="S46" i="840"/>
  <c r="S45" i="840"/>
  <c r="S44" i="840"/>
  <c r="S43" i="840"/>
  <c r="S42" i="840"/>
  <c r="S38" i="840"/>
  <c r="S36" i="840"/>
  <c r="S37" i="840"/>
  <c r="S39" i="840"/>
  <c r="S51" i="840"/>
  <c r="K77" i="2"/>
  <c r="D44" i="854"/>
  <c r="S40" i="840"/>
  <c r="K75" i="2"/>
  <c r="D135" i="829"/>
  <c r="D131" i="829"/>
  <c r="D132" i="829"/>
  <c r="D133" i="829"/>
  <c r="D134" i="829"/>
  <c r="D130" i="829"/>
  <c r="D156" i="829"/>
  <c r="D151" i="829"/>
  <c r="D152" i="829"/>
  <c r="D153" i="829"/>
  <c r="D154" i="829"/>
  <c r="D155" i="829"/>
  <c r="D172" i="829"/>
  <c r="D175" i="829"/>
  <c r="D173" i="829"/>
  <c r="D174" i="829"/>
  <c r="D176" i="829"/>
  <c r="D177" i="829"/>
  <c r="V33" i="189"/>
  <c r="AD33" i="189" s="1"/>
  <c r="V168" i="826"/>
  <c r="V100" i="826"/>
  <c r="V69" i="826"/>
  <c r="J21" i="825"/>
  <c r="M150" i="829"/>
  <c r="V115" i="826"/>
  <c r="J22" i="825"/>
  <c r="U25" i="826"/>
  <c r="U39" i="826"/>
  <c r="U38" i="826"/>
  <c r="U28" i="826"/>
  <c r="U37" i="826"/>
  <c r="U29" i="826"/>
  <c r="U42" i="826"/>
  <c r="U34" i="826"/>
  <c r="U24" i="826"/>
  <c r="U18" i="826"/>
  <c r="U41" i="826"/>
  <c r="U33" i="826"/>
  <c r="U23" i="826"/>
  <c r="U43" i="826"/>
  <c r="U40" i="826"/>
  <c r="U32" i="826"/>
  <c r="U22" i="826"/>
  <c r="U35" i="826"/>
  <c r="U21" i="826"/>
  <c r="U20" i="826"/>
  <c r="U27" i="826"/>
  <c r="U19" i="826"/>
  <c r="U36" i="826"/>
  <c r="U26" i="826"/>
  <c r="K38" i="2"/>
  <c r="K73" i="2" s="1"/>
  <c r="K34" i="829"/>
  <c r="K10" i="829"/>
  <c r="K163" i="826"/>
  <c r="K164" i="826"/>
  <c r="V164" i="826" s="1"/>
  <c r="K158" i="826"/>
  <c r="V158" i="826" s="1"/>
  <c r="K160" i="826"/>
  <c r="V160" i="826" s="1"/>
  <c r="K161" i="826"/>
  <c r="V161" i="826" s="1"/>
  <c r="K159" i="826"/>
  <c r="V159" i="826" s="1"/>
  <c r="K162" i="826"/>
  <c r="V29" i="189"/>
  <c r="AD29" i="189" s="1"/>
  <c r="AG18" i="22"/>
  <c r="AH18" i="22"/>
  <c r="AI18" i="22"/>
  <c r="V36" i="189"/>
  <c r="AD36" i="189" s="1"/>
  <c r="V35" i="189"/>
  <c r="AD35" i="189" s="1"/>
  <c r="AK18" i="22"/>
  <c r="AF18" i="22"/>
  <c r="V19" i="189"/>
  <c r="AD19" i="189" s="1"/>
  <c r="V21" i="189"/>
  <c r="AD21" i="189" s="1"/>
  <c r="V25" i="189"/>
  <c r="AD25" i="189" s="1"/>
  <c r="V23" i="189"/>
  <c r="AD23" i="189" s="1"/>
  <c r="V38" i="189"/>
  <c r="AD38" i="189" s="1"/>
  <c r="V34" i="189"/>
  <c r="AD34" i="189" s="1"/>
  <c r="V30" i="189"/>
  <c r="AD30" i="189" s="1"/>
  <c r="V32" i="189"/>
  <c r="AD32" i="189" s="1"/>
  <c r="V24" i="189"/>
  <c r="AD24" i="189" s="1"/>
  <c r="W33" i="189"/>
  <c r="W34" i="189"/>
  <c r="V27" i="189"/>
  <c r="AD27" i="189" s="1"/>
  <c r="V26" i="189"/>
  <c r="AD26" i="189" s="1"/>
  <c r="V31" i="189"/>
  <c r="AD31" i="189" s="1"/>
  <c r="V28" i="189"/>
  <c r="AD28" i="189" s="1"/>
  <c r="V37" i="189"/>
  <c r="AD37" i="189" s="1"/>
  <c r="V20" i="189"/>
  <c r="AD20" i="189" s="1"/>
  <c r="V22" i="189"/>
  <c r="AD22" i="189" s="1"/>
  <c r="B2" i="835"/>
  <c r="J43" i="2"/>
  <c r="J13" i="829" s="1"/>
  <c r="M43" i="2"/>
  <c r="M13" i="829" s="1"/>
  <c r="M28" i="829" s="1"/>
  <c r="U97" i="840" s="1"/>
  <c r="J44" i="2"/>
  <c r="M44" i="2"/>
  <c r="J45" i="2"/>
  <c r="M45" i="2"/>
  <c r="J46" i="2"/>
  <c r="M46" i="2"/>
  <c r="J47" i="2"/>
  <c r="M47" i="2"/>
  <c r="J48" i="2"/>
  <c r="M48" i="2"/>
  <c r="J49" i="2"/>
  <c r="M49" i="2"/>
  <c r="I49" i="2"/>
  <c r="I48" i="2"/>
  <c r="I47" i="2"/>
  <c r="I46" i="2"/>
  <c r="I45" i="2"/>
  <c r="I44" i="2"/>
  <c r="I43" i="2"/>
  <c r="I13" i="829" s="1"/>
  <c r="P33" i="834"/>
  <c r="Q33" i="834" s="1"/>
  <c r="Q34" i="834"/>
  <c r="L28" i="834"/>
  <c r="K28" i="834"/>
  <c r="D34" i="844" s="1"/>
  <c r="C19" i="832"/>
  <c r="C13" i="832"/>
  <c r="C10" i="832"/>
  <c r="J45" i="834"/>
  <c r="J46" i="834"/>
  <c r="D10" i="837" s="1"/>
  <c r="C7" i="834"/>
  <c r="D57" i="834"/>
  <c r="V162" i="826" l="1"/>
  <c r="V163" i="826"/>
  <c r="F34" i="844"/>
  <c r="K40" i="2"/>
  <c r="J23" i="825"/>
  <c r="J31" i="825"/>
  <c r="J33" i="825"/>
  <c r="L48" i="2"/>
  <c r="U48" i="2" s="1"/>
  <c r="U152" i="826"/>
  <c r="L43" i="2"/>
  <c r="L13" i="829" s="1"/>
  <c r="U147" i="826"/>
  <c r="L154" i="826"/>
  <c r="L45" i="2"/>
  <c r="U45" i="2" s="1"/>
  <c r="U149" i="826"/>
  <c r="L46" i="2"/>
  <c r="U46" i="2" s="1"/>
  <c r="U150" i="826"/>
  <c r="L47" i="2"/>
  <c r="U47" i="2" s="1"/>
  <c r="U151" i="826"/>
  <c r="L49" i="2"/>
  <c r="U49" i="2" s="1"/>
  <c r="U153" i="826"/>
  <c r="L44" i="2"/>
  <c r="U44" i="2" s="1"/>
  <c r="U148" i="826"/>
  <c r="K11" i="829"/>
  <c r="K165" i="826"/>
  <c r="V165" i="826" s="1"/>
  <c r="Q72" i="829"/>
  <c r="Q73" i="829"/>
  <c r="D55" i="834"/>
  <c r="E21" i="832"/>
  <c r="K45" i="834"/>
  <c r="K46" i="834"/>
  <c r="E10" i="837" s="1"/>
  <c r="N69" i="829"/>
  <c r="N68" i="829"/>
  <c r="N67" i="829"/>
  <c r="N66" i="829"/>
  <c r="N74" i="829"/>
  <c r="N73" i="829"/>
  <c r="N72" i="829"/>
  <c r="N71" i="829"/>
  <c r="R171" i="829"/>
  <c r="Q171" i="829"/>
  <c r="P171" i="829"/>
  <c r="O171" i="829"/>
  <c r="N171" i="829"/>
  <c r="N167" i="829"/>
  <c r="O165" i="829" s="1"/>
  <c r="O150" i="829"/>
  <c r="R150" i="829"/>
  <c r="Q150" i="829"/>
  <c r="P150" i="829"/>
  <c r="N150" i="829"/>
  <c r="N146" i="829"/>
  <c r="O144" i="829" s="1"/>
  <c r="O129" i="829"/>
  <c r="P129" i="829"/>
  <c r="Q129" i="829"/>
  <c r="R129" i="829"/>
  <c r="N129" i="829"/>
  <c r="N125" i="829"/>
  <c r="O123" i="829" s="1"/>
  <c r="O108" i="829"/>
  <c r="P108" i="829"/>
  <c r="Q108" i="829"/>
  <c r="R108" i="829"/>
  <c r="N108" i="829"/>
  <c r="N104" i="829"/>
  <c r="O102" i="829" s="1"/>
  <c r="K74" i="2" l="1"/>
  <c r="K52" i="2"/>
  <c r="T108" i="829"/>
  <c r="T171" i="829"/>
  <c r="T129" i="829"/>
  <c r="T150" i="829"/>
  <c r="U43" i="2"/>
  <c r="L50" i="2"/>
  <c r="P73" i="829"/>
  <c r="P72" i="829"/>
  <c r="R73" i="829"/>
  <c r="T73" i="829" s="1"/>
  <c r="R72" i="829"/>
  <c r="T72" i="829" s="1"/>
  <c r="N75" i="829"/>
  <c r="N60" i="829" s="1"/>
  <c r="O67" i="829"/>
  <c r="O69" i="829"/>
  <c r="O68" i="829"/>
  <c r="O66" i="829"/>
  <c r="N61" i="829"/>
  <c r="J30" i="825" l="1"/>
  <c r="S66" i="840"/>
  <c r="K59" i="2"/>
  <c r="L14" i="834"/>
  <c r="M26" i="825"/>
  <c r="V105" i="840"/>
  <c r="V107" i="840" s="1"/>
  <c r="L12" i="829"/>
  <c r="O73" i="829"/>
  <c r="O72" i="829"/>
  <c r="O146" i="829"/>
  <c r="P144" i="829" s="1"/>
  <c r="P68" i="829" s="1"/>
  <c r="P74" i="829"/>
  <c r="Q74" i="829"/>
  <c r="R74" i="829"/>
  <c r="T74" i="829" s="1"/>
  <c r="O125" i="829"/>
  <c r="P123" i="829" s="1"/>
  <c r="P125" i="829" s="1"/>
  <c r="Q123" i="829" s="1"/>
  <c r="K76" i="2" l="1"/>
  <c r="K62" i="2"/>
  <c r="P146" i="829"/>
  <c r="Q144" i="829" s="1"/>
  <c r="Q68" i="829" s="1"/>
  <c r="P67" i="829"/>
  <c r="O74" i="829"/>
  <c r="O167" i="829"/>
  <c r="P165" i="829" s="1"/>
  <c r="Q125" i="829"/>
  <c r="R123" i="829" s="1"/>
  <c r="T123" i="829" s="1"/>
  <c r="Q67" i="829"/>
  <c r="K10" i="835" l="1"/>
  <c r="K18" i="835" s="1"/>
  <c r="J32" i="825"/>
  <c r="K65" i="2"/>
  <c r="S67" i="840"/>
  <c r="Q146" i="829"/>
  <c r="R144" i="829" s="1"/>
  <c r="P69" i="829"/>
  <c r="P167" i="829"/>
  <c r="Q165" i="829" s="1"/>
  <c r="R125" i="829"/>
  <c r="T125" i="829" s="1"/>
  <c r="R67" i="829"/>
  <c r="T67" i="829" s="1"/>
  <c r="K183" i="826" l="1"/>
  <c r="K184" i="826" s="1"/>
  <c r="K67" i="2" s="1"/>
  <c r="K14" i="829" s="1"/>
  <c r="R146" i="829"/>
  <c r="T146" i="829" s="1"/>
  <c r="T144" i="829"/>
  <c r="R68" i="829"/>
  <c r="T68" i="829" s="1"/>
  <c r="Q69" i="829"/>
  <c r="Q167" i="829"/>
  <c r="R165" i="829" s="1"/>
  <c r="T165" i="829" s="1"/>
  <c r="K68" i="2" l="1"/>
  <c r="R167" i="829"/>
  <c r="T167" i="829" s="1"/>
  <c r="R69" i="829"/>
  <c r="T69" i="829" s="1"/>
  <c r="K78" i="2" l="1"/>
  <c r="E34" i="188"/>
  <c r="F11" i="587"/>
  <c r="G11" i="587"/>
  <c r="H11" i="587"/>
  <c r="I11" i="587"/>
  <c r="J11" i="587"/>
  <c r="K11" i="587"/>
  <c r="L11" i="587"/>
  <c r="M11" i="587"/>
  <c r="N11" i="587"/>
  <c r="O11" i="587"/>
  <c r="P11" i="587"/>
  <c r="Q11" i="587"/>
  <c r="R11" i="587"/>
  <c r="S11" i="587"/>
  <c r="T11" i="587"/>
  <c r="U11" i="587"/>
  <c r="V11" i="587"/>
  <c r="W11" i="587"/>
  <c r="X11" i="587"/>
  <c r="Y11" i="587"/>
  <c r="Z11" i="587"/>
  <c r="AA11" i="587"/>
  <c r="AB11" i="587"/>
  <c r="AC11" i="587"/>
  <c r="AD11" i="587"/>
  <c r="AE11" i="587"/>
  <c r="AF11" i="587"/>
  <c r="AG11" i="587"/>
  <c r="AH11" i="587"/>
  <c r="AI11" i="587"/>
  <c r="AJ11" i="587"/>
  <c r="AK11" i="587"/>
  <c r="AL11" i="587"/>
  <c r="AM11" i="587"/>
  <c r="AN11" i="587"/>
  <c r="AO11" i="587"/>
  <c r="AP11" i="587"/>
  <c r="F12" i="587"/>
  <c r="G12" i="587"/>
  <c r="H12" i="587"/>
  <c r="I12" i="587"/>
  <c r="J12" i="587"/>
  <c r="K12" i="587"/>
  <c r="L12" i="587"/>
  <c r="M12" i="587"/>
  <c r="N12" i="587"/>
  <c r="O12" i="587"/>
  <c r="P12" i="587"/>
  <c r="Q12" i="587"/>
  <c r="R12" i="587"/>
  <c r="S12" i="587"/>
  <c r="T12" i="587"/>
  <c r="U12" i="587"/>
  <c r="V12" i="587"/>
  <c r="W12" i="587"/>
  <c r="X12" i="587"/>
  <c r="Y12" i="587"/>
  <c r="Z12" i="587"/>
  <c r="AA12" i="587"/>
  <c r="AB12" i="587"/>
  <c r="AC12" i="587"/>
  <c r="AD12" i="587"/>
  <c r="AE12" i="587"/>
  <c r="AF12" i="587"/>
  <c r="AG12" i="587"/>
  <c r="AH12" i="587"/>
  <c r="AI12" i="587"/>
  <c r="AJ12" i="587"/>
  <c r="AK12" i="587"/>
  <c r="AL12" i="587"/>
  <c r="AM12" i="587"/>
  <c r="AN12" i="587"/>
  <c r="AO12" i="587"/>
  <c r="AP12" i="587"/>
  <c r="F13" i="587"/>
  <c r="G13" i="587"/>
  <c r="H13" i="587"/>
  <c r="I13" i="587"/>
  <c r="J13" i="587"/>
  <c r="K13" i="587"/>
  <c r="L13" i="587"/>
  <c r="M13" i="587"/>
  <c r="N13" i="587"/>
  <c r="O13" i="587"/>
  <c r="P13" i="587"/>
  <c r="Q13" i="587"/>
  <c r="R13" i="587"/>
  <c r="S13" i="587"/>
  <c r="T13" i="587"/>
  <c r="U13" i="587"/>
  <c r="V13" i="587"/>
  <c r="W13" i="587"/>
  <c r="X13" i="587"/>
  <c r="Y13" i="587"/>
  <c r="Z13" i="587"/>
  <c r="AA13" i="587"/>
  <c r="AB13" i="587"/>
  <c r="AC13" i="587"/>
  <c r="AD13" i="587"/>
  <c r="AE13" i="587"/>
  <c r="AF13" i="587"/>
  <c r="AG13" i="587"/>
  <c r="AH13" i="587"/>
  <c r="AI13" i="587"/>
  <c r="AJ13" i="587"/>
  <c r="AK13" i="587"/>
  <c r="AL13" i="587"/>
  <c r="AM13" i="587"/>
  <c r="AN13" i="587"/>
  <c r="AO13" i="587"/>
  <c r="AP13" i="587"/>
  <c r="F14" i="587"/>
  <c r="G14" i="587"/>
  <c r="H14" i="587"/>
  <c r="I14" i="587"/>
  <c r="J14" i="587"/>
  <c r="K14" i="587"/>
  <c r="L14" i="587"/>
  <c r="M14" i="587"/>
  <c r="N14" i="587"/>
  <c r="O14" i="587"/>
  <c r="P14" i="587"/>
  <c r="Q14" i="587"/>
  <c r="R14" i="587"/>
  <c r="S14" i="587"/>
  <c r="T14" i="587"/>
  <c r="U14" i="587"/>
  <c r="V14" i="587"/>
  <c r="W14" i="587"/>
  <c r="X14" i="587"/>
  <c r="Y14" i="587"/>
  <c r="Z14" i="587"/>
  <c r="AA14" i="587"/>
  <c r="AB14" i="587"/>
  <c r="AC14" i="587"/>
  <c r="AD14" i="587"/>
  <c r="AE14" i="587"/>
  <c r="AF14" i="587"/>
  <c r="AG14" i="587"/>
  <c r="AH14" i="587"/>
  <c r="AI14" i="587"/>
  <c r="AJ14" i="587"/>
  <c r="AK14" i="587"/>
  <c r="AL14" i="587"/>
  <c r="AM14" i="587"/>
  <c r="AN14" i="587"/>
  <c r="AO14" i="587"/>
  <c r="AP14" i="587"/>
  <c r="F15" i="587"/>
  <c r="G15" i="587"/>
  <c r="H15" i="587"/>
  <c r="I15" i="587"/>
  <c r="J15" i="587"/>
  <c r="K15" i="587"/>
  <c r="L15" i="587"/>
  <c r="M15" i="587"/>
  <c r="N15" i="587"/>
  <c r="O15" i="587"/>
  <c r="P15" i="587"/>
  <c r="Q15" i="587"/>
  <c r="R15" i="587"/>
  <c r="S15" i="587"/>
  <c r="T15" i="587"/>
  <c r="U15" i="587"/>
  <c r="V15" i="587"/>
  <c r="W15" i="587"/>
  <c r="X15" i="587"/>
  <c r="Y15" i="587"/>
  <c r="Z15" i="587"/>
  <c r="AA15" i="587"/>
  <c r="AB15" i="587"/>
  <c r="AC15" i="587"/>
  <c r="AD15" i="587"/>
  <c r="AE15" i="587"/>
  <c r="AF15" i="587"/>
  <c r="AG15" i="587"/>
  <c r="AH15" i="587"/>
  <c r="AI15" i="587"/>
  <c r="AJ15" i="587"/>
  <c r="AK15" i="587"/>
  <c r="AL15" i="587"/>
  <c r="AM15" i="587"/>
  <c r="AN15" i="587"/>
  <c r="AO15" i="587"/>
  <c r="AP15" i="587"/>
  <c r="F16" i="587"/>
  <c r="G16" i="587"/>
  <c r="H16" i="587"/>
  <c r="I16" i="587"/>
  <c r="J16" i="587"/>
  <c r="K16" i="587"/>
  <c r="L16" i="587"/>
  <c r="M16" i="587"/>
  <c r="N16" i="587"/>
  <c r="O16" i="587"/>
  <c r="P16" i="587"/>
  <c r="Q16" i="587"/>
  <c r="R16" i="587"/>
  <c r="S16" i="587"/>
  <c r="T16" i="587"/>
  <c r="U16" i="587"/>
  <c r="V16" i="587"/>
  <c r="W16" i="587"/>
  <c r="X16" i="587"/>
  <c r="Y16" i="587"/>
  <c r="Z16" i="587"/>
  <c r="AA16" i="587"/>
  <c r="AB16" i="587"/>
  <c r="AC16" i="587"/>
  <c r="AD16" i="587"/>
  <c r="AE16" i="587"/>
  <c r="AF16" i="587"/>
  <c r="AG16" i="587"/>
  <c r="AH16" i="587"/>
  <c r="AI16" i="587"/>
  <c r="AJ16" i="587"/>
  <c r="AK16" i="587"/>
  <c r="AL16" i="587"/>
  <c r="AM16" i="587"/>
  <c r="AN16" i="587"/>
  <c r="AO16" i="587"/>
  <c r="AP16" i="587"/>
  <c r="F17" i="587"/>
  <c r="G17" i="587"/>
  <c r="H17" i="587"/>
  <c r="I17" i="587"/>
  <c r="J17" i="587"/>
  <c r="K17" i="587"/>
  <c r="L17" i="587"/>
  <c r="M17" i="587"/>
  <c r="N17" i="587"/>
  <c r="O17" i="587"/>
  <c r="P17" i="587"/>
  <c r="Q17" i="587"/>
  <c r="R17" i="587"/>
  <c r="S17" i="587"/>
  <c r="T17" i="587"/>
  <c r="U17" i="587"/>
  <c r="V17" i="587"/>
  <c r="W17" i="587"/>
  <c r="X17" i="587"/>
  <c r="Y17" i="587"/>
  <c r="Z17" i="587"/>
  <c r="AA17" i="587"/>
  <c r="AB17" i="587"/>
  <c r="AC17" i="587"/>
  <c r="AD17" i="587"/>
  <c r="AE17" i="587"/>
  <c r="AF17" i="587"/>
  <c r="AG17" i="587"/>
  <c r="AH17" i="587"/>
  <c r="AI17" i="587"/>
  <c r="AJ17" i="587"/>
  <c r="AK17" i="587"/>
  <c r="AL17" i="587"/>
  <c r="AM17" i="587"/>
  <c r="AN17" i="587"/>
  <c r="AO17" i="587"/>
  <c r="AP17" i="587"/>
  <c r="F18" i="587"/>
  <c r="G18" i="587"/>
  <c r="H18" i="587"/>
  <c r="I18" i="587"/>
  <c r="J18" i="587"/>
  <c r="K18" i="587"/>
  <c r="L18" i="587"/>
  <c r="M18" i="587"/>
  <c r="N18" i="587"/>
  <c r="O18" i="587"/>
  <c r="P18" i="587"/>
  <c r="Q18" i="587"/>
  <c r="R18" i="587"/>
  <c r="S18" i="587"/>
  <c r="T18" i="587"/>
  <c r="U18" i="587"/>
  <c r="V18" i="587"/>
  <c r="W18" i="587"/>
  <c r="X18" i="587"/>
  <c r="Y18" i="587"/>
  <c r="Z18" i="587"/>
  <c r="AA18" i="587"/>
  <c r="AB18" i="587"/>
  <c r="AC18" i="587"/>
  <c r="AD18" i="587"/>
  <c r="AE18" i="587"/>
  <c r="AF18" i="587"/>
  <c r="AG18" i="587"/>
  <c r="AH18" i="587"/>
  <c r="AI18" i="587"/>
  <c r="AJ18" i="587"/>
  <c r="AK18" i="587"/>
  <c r="AL18" i="587"/>
  <c r="AM18" i="587"/>
  <c r="AN18" i="587"/>
  <c r="AO18" i="587"/>
  <c r="AP18" i="587"/>
  <c r="F19" i="587"/>
  <c r="G19" i="587"/>
  <c r="H19" i="587"/>
  <c r="I19" i="587"/>
  <c r="J19" i="587"/>
  <c r="K19" i="587"/>
  <c r="L19" i="587"/>
  <c r="M19" i="587"/>
  <c r="N19" i="587"/>
  <c r="O19" i="587"/>
  <c r="P19" i="587"/>
  <c r="Q19" i="587"/>
  <c r="R19" i="587"/>
  <c r="S19" i="587"/>
  <c r="T19" i="587"/>
  <c r="U19" i="587"/>
  <c r="V19" i="587"/>
  <c r="W19" i="587"/>
  <c r="X19" i="587"/>
  <c r="Y19" i="587"/>
  <c r="Z19" i="587"/>
  <c r="AA19" i="587"/>
  <c r="AB19" i="587"/>
  <c r="AC19" i="587"/>
  <c r="AD19" i="587"/>
  <c r="AE19" i="587"/>
  <c r="AF19" i="587"/>
  <c r="AG19" i="587"/>
  <c r="AH19" i="587"/>
  <c r="AI19" i="587"/>
  <c r="AJ19" i="587"/>
  <c r="AK19" i="587"/>
  <c r="AL19" i="587"/>
  <c r="AM19" i="587"/>
  <c r="AN19" i="587"/>
  <c r="AO19" i="587"/>
  <c r="AP19" i="587"/>
  <c r="F40" i="587"/>
  <c r="G40" i="587"/>
  <c r="H40" i="587"/>
  <c r="I40" i="587"/>
  <c r="J40" i="587"/>
  <c r="K40" i="587"/>
  <c r="L40" i="587"/>
  <c r="M40" i="587"/>
  <c r="N40" i="587"/>
  <c r="O40" i="587"/>
  <c r="P40" i="587"/>
  <c r="Q40" i="587"/>
  <c r="R40" i="587"/>
  <c r="S40" i="587"/>
  <c r="T40" i="587"/>
  <c r="U40" i="587"/>
  <c r="V40" i="587"/>
  <c r="W40" i="587"/>
  <c r="X40" i="587"/>
  <c r="Y40" i="587"/>
  <c r="Z40" i="587"/>
  <c r="AA40" i="587"/>
  <c r="AB40" i="587"/>
  <c r="AC40" i="587"/>
  <c r="AD40" i="587"/>
  <c r="AE40" i="587"/>
  <c r="AF40" i="587"/>
  <c r="AG40" i="587"/>
  <c r="AH40" i="587"/>
  <c r="AI40" i="587"/>
  <c r="AJ40" i="587"/>
  <c r="AK40" i="587"/>
  <c r="AL40" i="587"/>
  <c r="AM40" i="587"/>
  <c r="AN40" i="587"/>
  <c r="AO40" i="587"/>
  <c r="AP40" i="587"/>
  <c r="E224" i="827"/>
  <c r="D224" i="827"/>
  <c r="C224" i="827"/>
  <c r="E10" i="192"/>
  <c r="E11" i="192"/>
  <c r="E12" i="192"/>
  <c r="E13" i="192"/>
  <c r="E14" i="192"/>
  <c r="E15" i="192"/>
  <c r="E16" i="192"/>
  <c r="E17" i="192"/>
  <c r="E18" i="192"/>
  <c r="E39" i="192"/>
  <c r="E39" i="189"/>
  <c r="E18" i="189"/>
  <c r="E17" i="189"/>
  <c r="E16" i="189"/>
  <c r="E15" i="189"/>
  <c r="E14" i="189"/>
  <c r="E13" i="189"/>
  <c r="E12" i="189"/>
  <c r="E11" i="189"/>
  <c r="E10" i="189"/>
  <c r="D12" i="587"/>
  <c r="D13" i="587"/>
  <c r="D14" i="587"/>
  <c r="D15" i="587"/>
  <c r="D16" i="587"/>
  <c r="D17" i="587"/>
  <c r="D18" i="587"/>
  <c r="D19" i="587"/>
  <c r="D40" i="587"/>
  <c r="D11" i="587"/>
  <c r="C12" i="587"/>
  <c r="C13" i="587"/>
  <c r="C14" i="587"/>
  <c r="C15" i="587"/>
  <c r="C16" i="587"/>
  <c r="C17" i="587"/>
  <c r="C18" i="587"/>
  <c r="C19" i="587"/>
  <c r="C40" i="587"/>
  <c r="C11" i="587"/>
  <c r="H37" i="63"/>
  <c r="H16" i="63"/>
  <c r="H15" i="63"/>
  <c r="H14" i="63"/>
  <c r="H13" i="63"/>
  <c r="H12" i="63"/>
  <c r="H11" i="63"/>
  <c r="H10" i="63"/>
  <c r="H9" i="63"/>
  <c r="H8" i="63"/>
  <c r="F10" i="192"/>
  <c r="G10" i="192"/>
  <c r="H10" i="192"/>
  <c r="I10" i="192"/>
  <c r="J10" i="192"/>
  <c r="K10" i="192"/>
  <c r="L10" i="192"/>
  <c r="M10" i="192"/>
  <c r="F11" i="192"/>
  <c r="G11" i="192"/>
  <c r="H11" i="192"/>
  <c r="I11" i="192"/>
  <c r="J11" i="192"/>
  <c r="K11" i="192"/>
  <c r="L11" i="192"/>
  <c r="M11" i="192"/>
  <c r="F12" i="192"/>
  <c r="G12" i="192"/>
  <c r="H12" i="192"/>
  <c r="I12" i="192"/>
  <c r="J12" i="192"/>
  <c r="K12" i="192"/>
  <c r="L12" i="192"/>
  <c r="M12" i="192"/>
  <c r="F13" i="192"/>
  <c r="G13" i="192"/>
  <c r="H13" i="192"/>
  <c r="I13" i="192"/>
  <c r="J13" i="192"/>
  <c r="K13" i="192"/>
  <c r="L13" i="192"/>
  <c r="M13" i="192"/>
  <c r="F14" i="192"/>
  <c r="G14" i="192"/>
  <c r="H14" i="192"/>
  <c r="I14" i="192"/>
  <c r="J14" i="192"/>
  <c r="K14" i="192"/>
  <c r="L14" i="192"/>
  <c r="M14" i="192"/>
  <c r="F15" i="192"/>
  <c r="G15" i="192"/>
  <c r="H15" i="192"/>
  <c r="I15" i="192"/>
  <c r="J15" i="192"/>
  <c r="K15" i="192"/>
  <c r="L15" i="192"/>
  <c r="M15" i="192"/>
  <c r="F16" i="192"/>
  <c r="G16" i="192"/>
  <c r="H16" i="192"/>
  <c r="I16" i="192"/>
  <c r="J16" i="192"/>
  <c r="K16" i="192"/>
  <c r="L16" i="192"/>
  <c r="M16" i="192"/>
  <c r="F17" i="192"/>
  <c r="G17" i="192"/>
  <c r="H17" i="192"/>
  <c r="I17" i="192"/>
  <c r="J17" i="192"/>
  <c r="K17" i="192"/>
  <c r="L17" i="192"/>
  <c r="M17" i="192"/>
  <c r="F18" i="192"/>
  <c r="G18" i="192"/>
  <c r="H18" i="192"/>
  <c r="I18" i="192"/>
  <c r="J18" i="192"/>
  <c r="K18" i="192"/>
  <c r="L18" i="192"/>
  <c r="M18" i="192"/>
  <c r="F39" i="192"/>
  <c r="G39" i="192"/>
  <c r="H39" i="192"/>
  <c r="I39" i="192"/>
  <c r="J39" i="192"/>
  <c r="K39" i="192"/>
  <c r="L39" i="192"/>
  <c r="M39" i="192"/>
  <c r="F60" i="189"/>
  <c r="G60" i="189"/>
  <c r="H60" i="189"/>
  <c r="I60" i="189"/>
  <c r="J60" i="189"/>
  <c r="K60" i="189"/>
  <c r="L60" i="189"/>
  <c r="M60" i="189"/>
  <c r="F68" i="190"/>
  <c r="G68" i="190"/>
  <c r="J68" i="190"/>
  <c r="K68" i="190"/>
  <c r="L68" i="190"/>
  <c r="M68" i="190"/>
  <c r="F10" i="189"/>
  <c r="G10" i="189"/>
  <c r="H10" i="189"/>
  <c r="I10" i="189"/>
  <c r="J10" i="189"/>
  <c r="K10" i="189"/>
  <c r="L10" i="189"/>
  <c r="M10" i="189"/>
  <c r="F11" i="189"/>
  <c r="G11" i="189"/>
  <c r="H11" i="189"/>
  <c r="I11" i="189"/>
  <c r="J11" i="189"/>
  <c r="K11" i="189"/>
  <c r="L11" i="189"/>
  <c r="M11" i="189"/>
  <c r="F12" i="189"/>
  <c r="G12" i="189"/>
  <c r="H12" i="189"/>
  <c r="I12" i="189"/>
  <c r="J12" i="189"/>
  <c r="K12" i="189"/>
  <c r="L12" i="189"/>
  <c r="M12" i="189"/>
  <c r="F13" i="189"/>
  <c r="G13" i="189"/>
  <c r="H13" i="189"/>
  <c r="I13" i="189"/>
  <c r="J13" i="189"/>
  <c r="K13" i="189"/>
  <c r="L13" i="189"/>
  <c r="M13" i="189"/>
  <c r="F14" i="189"/>
  <c r="F19" i="190" s="1"/>
  <c r="G14" i="189"/>
  <c r="G19" i="190" s="1"/>
  <c r="H14" i="189"/>
  <c r="I14" i="189"/>
  <c r="J14" i="189"/>
  <c r="K14" i="189"/>
  <c r="L14" i="189"/>
  <c r="M14" i="189"/>
  <c r="F15" i="189"/>
  <c r="F20" i="190" s="1"/>
  <c r="G15" i="189"/>
  <c r="G20" i="190" s="1"/>
  <c r="H15" i="189"/>
  <c r="I15" i="189"/>
  <c r="J15" i="189"/>
  <c r="K15" i="189"/>
  <c r="L15" i="189"/>
  <c r="M15" i="189"/>
  <c r="F16" i="189"/>
  <c r="F21" i="190" s="1"/>
  <c r="G16" i="189"/>
  <c r="G21" i="190" s="1"/>
  <c r="H16" i="189"/>
  <c r="I16" i="189"/>
  <c r="J16" i="189"/>
  <c r="K16" i="189"/>
  <c r="L16" i="189"/>
  <c r="M16" i="189"/>
  <c r="F17" i="189"/>
  <c r="F22" i="190" s="1"/>
  <c r="G17" i="189"/>
  <c r="G22" i="190" s="1"/>
  <c r="H17" i="189"/>
  <c r="I17" i="189"/>
  <c r="J17" i="189"/>
  <c r="K17" i="189"/>
  <c r="L17" i="189"/>
  <c r="M17" i="189"/>
  <c r="F18" i="189"/>
  <c r="F23" i="190" s="1"/>
  <c r="G18" i="189"/>
  <c r="G23" i="190" s="1"/>
  <c r="H18" i="189"/>
  <c r="I18" i="189"/>
  <c r="J18" i="189"/>
  <c r="K18" i="189"/>
  <c r="L18" i="189"/>
  <c r="M18" i="189"/>
  <c r="F39" i="189"/>
  <c r="G39" i="189"/>
  <c r="H39" i="189"/>
  <c r="I39" i="189"/>
  <c r="J39" i="189"/>
  <c r="K39" i="189"/>
  <c r="L39" i="189"/>
  <c r="M39" i="189"/>
  <c r="H59" i="190"/>
  <c r="H60" i="190"/>
  <c r="H61" i="190"/>
  <c r="H62" i="190"/>
  <c r="H63" i="190"/>
  <c r="H64" i="190"/>
  <c r="H65" i="190"/>
  <c r="H66" i="190"/>
  <c r="H67" i="190"/>
  <c r="H88" i="190"/>
  <c r="I59" i="190"/>
  <c r="I60" i="190"/>
  <c r="I61" i="190"/>
  <c r="I62" i="190"/>
  <c r="I63" i="190"/>
  <c r="I64" i="190"/>
  <c r="I65" i="190"/>
  <c r="I66" i="190"/>
  <c r="I67" i="190"/>
  <c r="I88" i="190"/>
  <c r="T52" i="587" l="1" a="1"/>
  <c r="T52" i="587" s="1"/>
  <c r="G49" i="190" a="1"/>
  <c r="G49" i="190" s="1"/>
  <c r="G45" i="190"/>
  <c r="G46" i="190"/>
  <c r="G44" i="190"/>
  <c r="G50" i="190" a="1"/>
  <c r="G50" i="190" s="1"/>
  <c r="G53" i="190" a="1"/>
  <c r="G53" i="190" s="1"/>
  <c r="G54" i="190" a="1"/>
  <c r="G54" i="190" s="1"/>
  <c r="G41" i="190"/>
  <c r="G43" i="190"/>
  <c r="G52" i="190" a="1"/>
  <c r="G52" i="190" s="1"/>
  <c r="G42" i="190"/>
  <c r="F50" i="190" a="1"/>
  <c r="F50" i="190" s="1"/>
  <c r="F41" i="190"/>
  <c r="F45" i="190"/>
  <c r="F54" i="190" a="1"/>
  <c r="F54" i="190" s="1"/>
  <c r="F42" i="190"/>
  <c r="F46" i="190"/>
  <c r="F49" i="190" a="1"/>
  <c r="F49" i="190" s="1"/>
  <c r="F43" i="190"/>
  <c r="F52" i="190" a="1"/>
  <c r="F52" i="190" s="1"/>
  <c r="F44" i="190"/>
  <c r="F53" i="190" a="1"/>
  <c r="F53" i="190" s="1"/>
  <c r="R10" i="189"/>
  <c r="R53" i="189" s="1" a="1"/>
  <c r="R53" i="189" s="1"/>
  <c r="I45" i="587"/>
  <c r="I103" i="190" a="1"/>
  <c r="I103" i="190" s="1"/>
  <c r="I93" i="190"/>
  <c r="I104" i="190" a="1"/>
  <c r="I104" i="190" s="1"/>
  <c r="I94" i="190"/>
  <c r="I91" i="190"/>
  <c r="I95" i="190"/>
  <c r="I96" i="190"/>
  <c r="I99" i="190" a="1"/>
  <c r="I99" i="190" s="1"/>
  <c r="I100" i="190" a="1"/>
  <c r="I100" i="190" s="1"/>
  <c r="I101" i="190"/>
  <c r="I102" i="190" a="1"/>
  <c r="I102" i="190" s="1"/>
  <c r="I92" i="190"/>
  <c r="H102" i="190" a="1"/>
  <c r="H102" i="190" s="1"/>
  <c r="H92" i="190"/>
  <c r="H103" i="190" a="1"/>
  <c r="H103" i="190" s="1"/>
  <c r="H93" i="190"/>
  <c r="H104" i="190" a="1"/>
  <c r="H104" i="190" s="1"/>
  <c r="H94" i="190"/>
  <c r="H95" i="190"/>
  <c r="H96" i="190"/>
  <c r="H99" i="190" a="1"/>
  <c r="H99" i="190" s="1"/>
  <c r="H100" i="190" a="1"/>
  <c r="H100" i="190" s="1"/>
  <c r="H101" i="190"/>
  <c r="H91" i="190"/>
  <c r="F51" i="192"/>
  <c r="F41" i="192"/>
  <c r="F50" i="192" a="1"/>
  <c r="F50" i="192" s="1"/>
  <c r="F49" i="192" a="1"/>
  <c r="F49" i="192" s="1"/>
  <c r="F46" i="192"/>
  <c r="F52" i="192" a="1"/>
  <c r="F52" i="192" s="1"/>
  <c r="F45" i="192"/>
  <c r="F54" i="192" a="1"/>
  <c r="F54" i="192" s="1"/>
  <c r="F44" i="192"/>
  <c r="F42" i="192"/>
  <c r="F53" i="192" a="1"/>
  <c r="F53" i="192" s="1"/>
  <c r="F43" i="192"/>
  <c r="M50" i="192" a="1"/>
  <c r="M50" i="192" s="1"/>
  <c r="M43" i="192"/>
  <c r="M53" i="192" a="1"/>
  <c r="M53" i="192" s="1"/>
  <c r="M52" i="192" a="1"/>
  <c r="M52" i="192" s="1"/>
  <c r="M51" i="192"/>
  <c r="M44" i="192"/>
  <c r="M54" i="192" a="1"/>
  <c r="M54" i="192" s="1"/>
  <c r="M49" i="192" a="1"/>
  <c r="M49" i="192" s="1"/>
  <c r="M45" i="192"/>
  <c r="M46" i="192"/>
  <c r="M42" i="192"/>
  <c r="M41" i="192"/>
  <c r="L42" i="192"/>
  <c r="L43" i="192"/>
  <c r="L53" i="192" a="1"/>
  <c r="L53" i="192" s="1"/>
  <c r="L52" i="192" a="1"/>
  <c r="L52" i="192" s="1"/>
  <c r="L51" i="192"/>
  <c r="L50" i="192" a="1"/>
  <c r="L50" i="192" s="1"/>
  <c r="L44" i="192"/>
  <c r="L54" i="192" a="1"/>
  <c r="L54" i="192" s="1"/>
  <c r="L49" i="192" a="1"/>
  <c r="L49" i="192" s="1"/>
  <c r="L45" i="192"/>
  <c r="L46" i="192"/>
  <c r="L41" i="192"/>
  <c r="K41" i="192"/>
  <c r="K42" i="192"/>
  <c r="K43" i="192"/>
  <c r="K53" i="192" a="1"/>
  <c r="K53" i="192" s="1"/>
  <c r="K52" i="192" a="1"/>
  <c r="K52" i="192" s="1"/>
  <c r="K51" i="192"/>
  <c r="K50" i="192" a="1"/>
  <c r="K50" i="192" s="1"/>
  <c r="K44" i="192"/>
  <c r="K54" i="192" a="1"/>
  <c r="K54" i="192" s="1"/>
  <c r="K45" i="192"/>
  <c r="K49" i="192" a="1"/>
  <c r="K49" i="192" s="1"/>
  <c r="K46" i="192"/>
  <c r="J41" i="192"/>
  <c r="J49" i="192" a="1"/>
  <c r="J49" i="192" s="1"/>
  <c r="J42" i="192"/>
  <c r="J43" i="192"/>
  <c r="J53" i="192" a="1"/>
  <c r="J53" i="192" s="1"/>
  <c r="J51" i="192"/>
  <c r="J50" i="192" a="1"/>
  <c r="J50" i="192" s="1"/>
  <c r="J44" i="192"/>
  <c r="J54" i="192" a="1"/>
  <c r="J54" i="192" s="1"/>
  <c r="J52" i="192" a="1"/>
  <c r="J52" i="192" s="1"/>
  <c r="J45" i="192"/>
  <c r="J46" i="192"/>
  <c r="I49" i="192" a="1"/>
  <c r="I49" i="192" s="1"/>
  <c r="I41" i="192"/>
  <c r="I42" i="192"/>
  <c r="I43" i="192"/>
  <c r="I53" i="192" a="1"/>
  <c r="I53" i="192" s="1"/>
  <c r="I51" i="192"/>
  <c r="I50" i="192" a="1"/>
  <c r="I50" i="192" s="1"/>
  <c r="I44" i="192"/>
  <c r="I46" i="192"/>
  <c r="I54" i="192" a="1"/>
  <c r="I54" i="192" s="1"/>
  <c r="I52" i="192" a="1"/>
  <c r="I52" i="192" s="1"/>
  <c r="I45" i="192"/>
  <c r="H46" i="192"/>
  <c r="H52" i="192" a="1"/>
  <c r="H52" i="192" s="1"/>
  <c r="H49" i="192" a="1"/>
  <c r="H49" i="192" s="1"/>
  <c r="H54" i="192" a="1"/>
  <c r="H54" i="192" s="1"/>
  <c r="H41" i="192"/>
  <c r="H42" i="192"/>
  <c r="H43" i="192"/>
  <c r="H45" i="192"/>
  <c r="H53" i="192" a="1"/>
  <c r="H53" i="192" s="1"/>
  <c r="H51" i="192"/>
  <c r="H50" i="192" a="1"/>
  <c r="H50" i="192" s="1"/>
  <c r="H44" i="192"/>
  <c r="G54" i="192" a="1"/>
  <c r="G54" i="192" s="1"/>
  <c r="G53" i="192" a="1"/>
  <c r="G53" i="192" s="1"/>
  <c r="G52" i="192" a="1"/>
  <c r="G52" i="192" s="1"/>
  <c r="G50" i="192" a="1"/>
  <c r="G50" i="192" s="1"/>
  <c r="G45" i="192"/>
  <c r="G46" i="192"/>
  <c r="G49" i="192" a="1"/>
  <c r="G49" i="192" s="1"/>
  <c r="G51" i="192"/>
  <c r="G44" i="192"/>
  <c r="G41" i="192"/>
  <c r="G42" i="192"/>
  <c r="G43" i="192"/>
  <c r="P60" i="189"/>
  <c r="S39" i="189"/>
  <c r="P39" i="189"/>
  <c r="P18" i="189"/>
  <c r="P17" i="189"/>
  <c r="P15" i="189"/>
  <c r="P14" i="189"/>
  <c r="P12" i="189"/>
  <c r="P11" i="189"/>
  <c r="P10" i="189"/>
  <c r="U18" i="189"/>
  <c r="W18" i="189" s="1"/>
  <c r="U39" i="189"/>
  <c r="W39" i="189" s="1"/>
  <c r="U17" i="189"/>
  <c r="W17" i="189" s="1"/>
  <c r="U16" i="189"/>
  <c r="W16" i="189" s="1"/>
  <c r="U15" i="189"/>
  <c r="W15" i="189" s="1"/>
  <c r="U14" i="189"/>
  <c r="W14" i="189" s="1"/>
  <c r="U13" i="189"/>
  <c r="W13" i="189" s="1"/>
  <c r="U12" i="189"/>
  <c r="W12" i="189" s="1"/>
  <c r="U11" i="189"/>
  <c r="W11" i="189" s="1"/>
  <c r="U60" i="189"/>
  <c r="U10" i="189"/>
  <c r="Q18" i="189"/>
  <c r="Q14" i="189"/>
  <c r="Q10" i="189"/>
  <c r="R60" i="189"/>
  <c r="T17" i="189"/>
  <c r="T14" i="189"/>
  <c r="T13" i="189"/>
  <c r="T10" i="189"/>
  <c r="O60" i="189"/>
  <c r="R17" i="189"/>
  <c r="R15" i="189"/>
  <c r="T60" i="189"/>
  <c r="R16" i="189"/>
  <c r="O15" i="189"/>
  <c r="S60" i="189"/>
  <c r="O16" i="189"/>
  <c r="Q60" i="189"/>
  <c r="S18" i="189"/>
  <c r="S16" i="189"/>
  <c r="S11" i="189"/>
  <c r="T18" i="189"/>
  <c r="Q16" i="189"/>
  <c r="Q13" i="189"/>
  <c r="S10" i="189"/>
  <c r="O39" i="189"/>
  <c r="O18" i="189"/>
  <c r="O17" i="189"/>
  <c r="O14" i="189"/>
  <c r="O13" i="189"/>
  <c r="O12" i="189"/>
  <c r="O11" i="189"/>
  <c r="O10" i="189"/>
  <c r="R39" i="189"/>
  <c r="R14" i="189"/>
  <c r="R13" i="189"/>
  <c r="R12" i="189"/>
  <c r="R11" i="189"/>
  <c r="S15" i="189"/>
  <c r="R18" i="189"/>
  <c r="T39" i="189"/>
  <c r="T16" i="189"/>
  <c r="T15" i="189"/>
  <c r="T12" i="189"/>
  <c r="T11" i="189"/>
  <c r="S17" i="189"/>
  <c r="S14" i="189"/>
  <c r="S13" i="189"/>
  <c r="S12" i="189"/>
  <c r="Q11" i="189"/>
  <c r="Q39" i="189"/>
  <c r="Q12" i="189"/>
  <c r="P13" i="189"/>
  <c r="Q17" i="189"/>
  <c r="Q15" i="189"/>
  <c r="P16" i="189"/>
  <c r="C329" i="827"/>
  <c r="C330" i="827" s="1"/>
  <c r="C331" i="827" s="1"/>
  <c r="C332" i="827" s="1"/>
  <c r="C333" i="827" s="1"/>
  <c r="C334" i="827" s="1"/>
  <c r="C335" i="827" s="1"/>
  <c r="C336" i="827" s="1"/>
  <c r="B2" i="587"/>
  <c r="B2" i="63"/>
  <c r="B2" i="192"/>
  <c r="B2" i="190"/>
  <c r="B2" i="189"/>
  <c r="B2" i="22"/>
  <c r="J34" i="825" l="1"/>
  <c r="S68" i="840"/>
  <c r="Q94" i="189" a="1"/>
  <c r="Q94" i="189" s="1"/>
  <c r="Q86" i="189"/>
  <c r="Q93" i="189"/>
  <c r="Q85" i="189"/>
  <c r="Q92" i="189" a="1"/>
  <c r="Q92" i="189" s="1"/>
  <c r="Q84" i="189"/>
  <c r="Q95" i="189" a="1"/>
  <c r="Q95" i="189" s="1"/>
  <c r="Q88" i="189"/>
  <c r="Q91" i="189" a="1"/>
  <c r="Q91" i="189" s="1"/>
  <c r="Q87" i="189"/>
  <c r="Q96" i="189" a="1"/>
  <c r="Q96" i="189" s="1"/>
  <c r="Q89" i="189"/>
  <c r="Q50" i="189" a="1"/>
  <c r="Q50" i="189" s="1"/>
  <c r="Q42" i="189"/>
  <c r="S92" i="189" a="1"/>
  <c r="S92" i="189" s="1"/>
  <c r="S84" i="189"/>
  <c r="S86" i="189"/>
  <c r="S93" i="189"/>
  <c r="S91" i="189" a="1"/>
  <c r="S91" i="189" s="1"/>
  <c r="S96" i="189" a="1"/>
  <c r="S96" i="189" s="1"/>
  <c r="S89" i="189"/>
  <c r="S85" i="189"/>
  <c r="S95" i="189" a="1"/>
  <c r="S95" i="189" s="1"/>
  <c r="S88" i="189"/>
  <c r="S87" i="189"/>
  <c r="S94" i="189" a="1"/>
  <c r="S94" i="189" s="1"/>
  <c r="W60" i="189"/>
  <c r="U96" i="189" a="1"/>
  <c r="U96" i="189" s="1"/>
  <c r="U89" i="189"/>
  <c r="U92" i="189" a="1"/>
  <c r="U92" i="189" s="1"/>
  <c r="U95" i="189" a="1"/>
  <c r="U95" i="189" s="1"/>
  <c r="U88" i="189"/>
  <c r="U91" i="189" a="1"/>
  <c r="U91" i="189" s="1"/>
  <c r="U94" i="189" a="1"/>
  <c r="U94" i="189" s="1"/>
  <c r="U87" i="189"/>
  <c r="U86" i="189"/>
  <c r="U93" i="189"/>
  <c r="U85" i="189"/>
  <c r="U84" i="189"/>
  <c r="O50" i="189" a="1"/>
  <c r="O50" i="189" s="1"/>
  <c r="O51" i="189"/>
  <c r="O49" i="189" a="1"/>
  <c r="O49" i="189" s="1"/>
  <c r="W10" i="189"/>
  <c r="V10" i="189"/>
  <c r="V43" i="189" s="1"/>
  <c r="O95" i="189" a="1"/>
  <c r="O95" i="189" s="1"/>
  <c r="O88" i="189"/>
  <c r="O87" i="189"/>
  <c r="O94" i="189" a="1"/>
  <c r="O94" i="189" s="1"/>
  <c r="O86" i="189"/>
  <c r="O93" i="189"/>
  <c r="O85" i="189"/>
  <c r="O89" i="189"/>
  <c r="O92" i="189" a="1"/>
  <c r="O92" i="189" s="1"/>
  <c r="O84" i="189"/>
  <c r="O91" i="189" a="1"/>
  <c r="O91" i="189" s="1"/>
  <c r="O96" i="189" a="1"/>
  <c r="O96" i="189" s="1"/>
  <c r="T91" i="189" a="1"/>
  <c r="T91" i="189" s="1"/>
  <c r="T93" i="189"/>
  <c r="T92" i="189" a="1"/>
  <c r="T92" i="189" s="1"/>
  <c r="T96" i="189" a="1"/>
  <c r="T96" i="189" s="1"/>
  <c r="T89" i="189"/>
  <c r="T95" i="189" a="1"/>
  <c r="T95" i="189" s="1"/>
  <c r="T88" i="189"/>
  <c r="T85" i="189"/>
  <c r="T87" i="189"/>
  <c r="T94" i="189" a="1"/>
  <c r="T94" i="189" s="1"/>
  <c r="T86" i="189"/>
  <c r="T84" i="189"/>
  <c r="R93" i="189"/>
  <c r="R85" i="189"/>
  <c r="R92" i="189" a="1"/>
  <c r="R92" i="189" s="1"/>
  <c r="R84" i="189"/>
  <c r="R94" i="189" a="1"/>
  <c r="R94" i="189" s="1"/>
  <c r="R91" i="189" a="1"/>
  <c r="R91" i="189" s="1"/>
  <c r="R86" i="189"/>
  <c r="R96" i="189" a="1"/>
  <c r="R96" i="189" s="1"/>
  <c r="R89" i="189"/>
  <c r="R87" i="189"/>
  <c r="R95" i="189" a="1"/>
  <c r="R95" i="189" s="1"/>
  <c r="R88" i="189"/>
  <c r="P87" i="189"/>
  <c r="P94" i="189" a="1"/>
  <c r="P94" i="189" s="1"/>
  <c r="P86" i="189"/>
  <c r="P93" i="189"/>
  <c r="P85" i="189"/>
  <c r="P92" i="189" a="1"/>
  <c r="P92" i="189" s="1"/>
  <c r="P84" i="189"/>
  <c r="P89" i="189"/>
  <c r="P88" i="189"/>
  <c r="P91" i="189" a="1"/>
  <c r="P91" i="189" s="1"/>
  <c r="P96" i="189" a="1"/>
  <c r="P96" i="189" s="1"/>
  <c r="P95" i="189" a="1"/>
  <c r="P95" i="189" s="1"/>
  <c r="C337" i="827"/>
  <c r="C338" i="827" s="1"/>
  <c r="C339" i="827" s="1"/>
  <c r="C340" i="827" s="1"/>
  <c r="C341" i="827" s="1"/>
  <c r="C342" i="827" s="1"/>
  <c r="C343" i="827" s="1"/>
  <c r="C344" i="827" s="1"/>
  <c r="C345" i="827" s="1"/>
  <c r="C346" i="827" s="1"/>
  <c r="C347" i="827" s="1"/>
  <c r="C348" i="827" s="1"/>
  <c r="C349" i="827" s="1"/>
  <c r="C350" i="827" s="1"/>
  <c r="C351" i="827" s="1"/>
  <c r="C352" i="827" s="1"/>
  <c r="C353" i="827" s="1"/>
  <c r="C354" i="827" s="1"/>
  <c r="C355" i="827" s="1"/>
  <c r="C356" i="827" s="1"/>
  <c r="C357" i="827" s="1"/>
  <c r="V16" i="189"/>
  <c r="V17" i="189"/>
  <c r="V14" i="189"/>
  <c r="V60" i="189"/>
  <c r="V12" i="189"/>
  <c r="V11" i="189"/>
  <c r="V13" i="189"/>
  <c r="V39" i="189"/>
  <c r="V15" i="189"/>
  <c r="V18" i="189"/>
  <c r="W95" i="189" l="1" a="1"/>
  <c r="W95" i="189" s="1"/>
  <c r="W88" i="189"/>
  <c r="W94" i="189" a="1"/>
  <c r="W94" i="189" s="1"/>
  <c r="W87" i="189"/>
  <c r="W86" i="189"/>
  <c r="W93" i="189"/>
  <c r="W85" i="189"/>
  <c r="W96" i="189" a="1"/>
  <c r="W96" i="189" s="1"/>
  <c r="W89" i="189"/>
  <c r="W92" i="189" a="1"/>
  <c r="W92" i="189" s="1"/>
  <c r="W84" i="189"/>
  <c r="W91" i="189" a="1"/>
  <c r="W91" i="189" s="1"/>
  <c r="V96" i="189" a="1"/>
  <c r="V96" i="189" s="1"/>
  <c r="V89" i="189"/>
  <c r="V95" i="189" a="1"/>
  <c r="V95" i="189" s="1"/>
  <c r="V88" i="189"/>
  <c r="V94" i="189" a="1"/>
  <c r="V94" i="189" s="1"/>
  <c r="V87" i="189"/>
  <c r="V86" i="189"/>
  <c r="V91" i="189" a="1"/>
  <c r="V91" i="189" s="1"/>
  <c r="V93" i="189"/>
  <c r="V85" i="189"/>
  <c r="V92" i="189" a="1"/>
  <c r="V92" i="189" s="1"/>
  <c r="V84" i="189"/>
  <c r="P71" i="829"/>
  <c r="P61" i="829" s="1"/>
  <c r="Q71" i="829"/>
  <c r="Q61" i="829" s="1"/>
  <c r="R71" i="829"/>
  <c r="E21" i="92"/>
  <c r="E20" i="92"/>
  <c r="E18" i="92"/>
  <c r="D16" i="92"/>
  <c r="D17" i="92" s="1"/>
  <c r="E16" i="92"/>
  <c r="D11" i="92"/>
  <c r="R61" i="829" l="1"/>
  <c r="T61" i="829" s="1"/>
  <c r="T71" i="829"/>
  <c r="N14" i="834"/>
  <c r="X105" i="840"/>
  <c r="X107" i="840" s="1"/>
  <c r="O26" i="825"/>
  <c r="Y105" i="840"/>
  <c r="Y107" i="840" s="1"/>
  <c r="P26" i="825"/>
  <c r="O14" i="834"/>
  <c r="O71" i="829"/>
  <c r="O104" i="829"/>
  <c r="E17" i="92"/>
  <c r="Q26" i="825" l="1"/>
  <c r="Z105" i="840"/>
  <c r="Z107" i="840" s="1"/>
  <c r="P14" i="834"/>
  <c r="P102" i="829"/>
  <c r="O61" i="829"/>
  <c r="O75" i="829"/>
  <c r="O60" i="829" s="1"/>
  <c r="M14" i="834" l="1"/>
  <c r="W105" i="840"/>
  <c r="W107" i="840" s="1"/>
  <c r="N26" i="825"/>
  <c r="P104" i="829"/>
  <c r="P66" i="829"/>
  <c r="P75" i="829" s="1"/>
  <c r="P60" i="829" s="1"/>
  <c r="C8" i="832"/>
  <c r="C7" i="832"/>
  <c r="B3" i="845"/>
  <c r="F21" i="832"/>
  <c r="C14" i="832"/>
  <c r="B3" i="839" l="1"/>
  <c r="B3" i="844"/>
  <c r="B3" i="834"/>
  <c r="B3" i="835"/>
  <c r="Q102" i="829"/>
  <c r="B3" i="822"/>
  <c r="B3" i="63"/>
  <c r="B3" i="22"/>
  <c r="B3" i="825"/>
  <c r="B3" i="829"/>
  <c r="B3" i="824"/>
  <c r="B3" i="122"/>
  <c r="B3" i="826"/>
  <c r="B3" i="192"/>
  <c r="B3" i="190"/>
  <c r="B3" i="2"/>
  <c r="B3" i="830"/>
  <c r="B3" i="189"/>
  <c r="B3" i="28"/>
  <c r="B3" i="832"/>
  <c r="B3" i="587"/>
  <c r="E22" i="832"/>
  <c r="D21" i="832"/>
  <c r="D22" i="832" s="1"/>
  <c r="B3" i="92"/>
  <c r="F22" i="832"/>
  <c r="Q104" i="829" l="1"/>
  <c r="Q66" i="829"/>
  <c r="Q75" i="829" s="1"/>
  <c r="Q60" i="829" s="1"/>
  <c r="R102" i="829" l="1"/>
  <c r="T102" i="829" s="1"/>
  <c r="B2" i="816"/>
  <c r="R104" i="829" l="1"/>
  <c r="T104" i="829" s="1"/>
  <c r="R66" i="829"/>
  <c r="R75" i="829" l="1"/>
  <c r="T66" i="829"/>
  <c r="G37" i="63"/>
  <c r="C37" i="63"/>
  <c r="G16" i="63"/>
  <c r="C16" i="63"/>
  <c r="G15" i="63"/>
  <c r="C15" i="63"/>
  <c r="G14" i="63"/>
  <c r="C14" i="63"/>
  <c r="G13" i="63"/>
  <c r="C13" i="63"/>
  <c r="G12" i="63"/>
  <c r="C12" i="63"/>
  <c r="G11" i="63"/>
  <c r="C11" i="63"/>
  <c r="G10" i="63"/>
  <c r="C10" i="63"/>
  <c r="G9" i="63"/>
  <c r="C9" i="63"/>
  <c r="G8" i="63"/>
  <c r="C8" i="63"/>
  <c r="J29" i="92"/>
  <c r="J30" i="92"/>
  <c r="J31" i="92"/>
  <c r="J32" i="92"/>
  <c r="J33" i="92"/>
  <c r="J34" i="92"/>
  <c r="J35" i="92"/>
  <c r="J36" i="92"/>
  <c r="J37" i="92"/>
  <c r="J58" i="92"/>
  <c r="F58" i="92"/>
  <c r="F37" i="92"/>
  <c r="F36" i="92"/>
  <c r="F35" i="92"/>
  <c r="F34" i="92"/>
  <c r="F33" i="92"/>
  <c r="F32" i="92"/>
  <c r="F31" i="92"/>
  <c r="F30" i="92"/>
  <c r="F29" i="92"/>
  <c r="AC9" i="22"/>
  <c r="AD9" i="22"/>
  <c r="AE9" i="22"/>
  <c r="AC10" i="22"/>
  <c r="AD10" i="22"/>
  <c r="AE10" i="22"/>
  <c r="AC11" i="22"/>
  <c r="AD11" i="22"/>
  <c r="AE11" i="22"/>
  <c r="AC12" i="22"/>
  <c r="AD12" i="22"/>
  <c r="AE12" i="22"/>
  <c r="AC13" i="22"/>
  <c r="AD13" i="22"/>
  <c r="AE13" i="22"/>
  <c r="AC14" i="22"/>
  <c r="AD14" i="22"/>
  <c r="AE14" i="22"/>
  <c r="AC15" i="22"/>
  <c r="AD15" i="22"/>
  <c r="AE15" i="22"/>
  <c r="AC16" i="22"/>
  <c r="AD16" i="22"/>
  <c r="AE16" i="22"/>
  <c r="AC17" i="22"/>
  <c r="AD17" i="22"/>
  <c r="AE17" i="22"/>
  <c r="Z9" i="22"/>
  <c r="AA9" i="22"/>
  <c r="AB9" i="22"/>
  <c r="Z10" i="22"/>
  <c r="AA10" i="22"/>
  <c r="AB10" i="22"/>
  <c r="Z11" i="22"/>
  <c r="AA11" i="22"/>
  <c r="AB11" i="22"/>
  <c r="Z12" i="22"/>
  <c r="AA12" i="22"/>
  <c r="AB12" i="22"/>
  <c r="Z13" i="22"/>
  <c r="AA13" i="22"/>
  <c r="AB13" i="22"/>
  <c r="Z14" i="22"/>
  <c r="AA14" i="22"/>
  <c r="AB14" i="22"/>
  <c r="Z15" i="22"/>
  <c r="AA15" i="22"/>
  <c r="AB15" i="22"/>
  <c r="Z16" i="22"/>
  <c r="AA16" i="22"/>
  <c r="AB16" i="22"/>
  <c r="Z17" i="22"/>
  <c r="AA17" i="22"/>
  <c r="AB17" i="22"/>
  <c r="W9" i="22"/>
  <c r="X9" i="22"/>
  <c r="Y9" i="22"/>
  <c r="W10" i="22"/>
  <c r="X10" i="22"/>
  <c r="Y10" i="22"/>
  <c r="W11" i="22"/>
  <c r="X11" i="22"/>
  <c r="Y11" i="22"/>
  <c r="W12" i="22"/>
  <c r="X12" i="22"/>
  <c r="Y12" i="22"/>
  <c r="W13" i="22"/>
  <c r="X13" i="22"/>
  <c r="Y13" i="22"/>
  <c r="W14" i="22"/>
  <c r="X14" i="22"/>
  <c r="Y14" i="22"/>
  <c r="W15" i="22"/>
  <c r="X15" i="22"/>
  <c r="Y15" i="22"/>
  <c r="W16" i="22"/>
  <c r="X16" i="22"/>
  <c r="Y16" i="22"/>
  <c r="W17" i="22"/>
  <c r="X17" i="22"/>
  <c r="Y17" i="22"/>
  <c r="T9" i="22"/>
  <c r="U9" i="22"/>
  <c r="V9" i="22"/>
  <c r="T10" i="22"/>
  <c r="U10" i="22"/>
  <c r="V10" i="22"/>
  <c r="T11" i="22"/>
  <c r="U11" i="22"/>
  <c r="V11" i="22"/>
  <c r="T12" i="22"/>
  <c r="U12" i="22"/>
  <c r="V12" i="22"/>
  <c r="T13" i="22"/>
  <c r="U13" i="22"/>
  <c r="V13" i="22"/>
  <c r="T14" i="22"/>
  <c r="U14" i="22"/>
  <c r="V14" i="22"/>
  <c r="T15" i="22"/>
  <c r="U15" i="22"/>
  <c r="V15" i="22"/>
  <c r="T16" i="22"/>
  <c r="U16" i="22"/>
  <c r="V16" i="22"/>
  <c r="T17" i="22"/>
  <c r="U17" i="22"/>
  <c r="V17" i="22"/>
  <c r="S17" i="22"/>
  <c r="R17" i="22"/>
  <c r="Q17" i="22"/>
  <c r="S16" i="22"/>
  <c r="R16" i="22"/>
  <c r="Q16" i="22"/>
  <c r="S15" i="22"/>
  <c r="R15" i="22"/>
  <c r="Q15" i="22"/>
  <c r="S14" i="22"/>
  <c r="R14" i="22"/>
  <c r="Q14" i="22"/>
  <c r="S13" i="22"/>
  <c r="R13" i="22"/>
  <c r="Q13" i="22"/>
  <c r="S12" i="22"/>
  <c r="R12" i="22"/>
  <c r="Q12" i="22"/>
  <c r="S11" i="22"/>
  <c r="R11" i="22"/>
  <c r="Q11" i="22"/>
  <c r="S10" i="22"/>
  <c r="R10" i="22"/>
  <c r="Q10" i="22"/>
  <c r="S9" i="22"/>
  <c r="R9" i="22"/>
  <c r="Q9" i="22"/>
  <c r="M9" i="22"/>
  <c r="L9" i="22"/>
  <c r="K9" i="22"/>
  <c r="J17" i="22"/>
  <c r="J16" i="22"/>
  <c r="J15" i="22"/>
  <c r="J14" i="22"/>
  <c r="J13" i="22"/>
  <c r="J12" i="22"/>
  <c r="J11" i="22"/>
  <c r="J10" i="22"/>
  <c r="J9" i="22"/>
  <c r="I17" i="22"/>
  <c r="I16" i="22"/>
  <c r="I15" i="22"/>
  <c r="I14" i="22"/>
  <c r="I13" i="22"/>
  <c r="I12" i="22"/>
  <c r="I11" i="22"/>
  <c r="I10" i="22"/>
  <c r="I9" i="22"/>
  <c r="C190" i="827"/>
  <c r="D190" i="827"/>
  <c r="E190" i="827"/>
  <c r="H17" i="22"/>
  <c r="H16" i="22"/>
  <c r="H15" i="22"/>
  <c r="H14" i="22"/>
  <c r="H13" i="22"/>
  <c r="H12" i="22"/>
  <c r="H11" i="22"/>
  <c r="H10" i="22"/>
  <c r="H9" i="22"/>
  <c r="F17" i="22"/>
  <c r="F16" i="22"/>
  <c r="F15" i="22"/>
  <c r="F14" i="22"/>
  <c r="F13" i="22"/>
  <c r="F12" i="22"/>
  <c r="F11" i="22"/>
  <c r="F10" i="22"/>
  <c r="F9" i="22"/>
  <c r="E9" i="22"/>
  <c r="D17" i="22"/>
  <c r="D16" i="22"/>
  <c r="D15" i="22"/>
  <c r="D14" i="22"/>
  <c r="D13" i="22"/>
  <c r="D12" i="22"/>
  <c r="D11" i="22"/>
  <c r="D10" i="22"/>
  <c r="D9" i="22"/>
  <c r="C10" i="28"/>
  <c r="D10" i="28"/>
  <c r="E10" i="28"/>
  <c r="F10" i="28"/>
  <c r="G10" i="28"/>
  <c r="H10" i="28"/>
  <c r="I10" i="28"/>
  <c r="J10" i="28"/>
  <c r="K10" i="28"/>
  <c r="C11" i="28"/>
  <c r="D11" i="28"/>
  <c r="E11" i="28"/>
  <c r="F11" i="28"/>
  <c r="G11" i="28"/>
  <c r="H11" i="28"/>
  <c r="I11" i="28"/>
  <c r="J11" i="28"/>
  <c r="K11" i="28"/>
  <c r="C12" i="28"/>
  <c r="D12" i="28"/>
  <c r="E12" i="28"/>
  <c r="F12" i="28"/>
  <c r="G12" i="28"/>
  <c r="H12" i="28"/>
  <c r="I12" i="28"/>
  <c r="J12" i="28"/>
  <c r="K12" i="28"/>
  <c r="C13" i="28"/>
  <c r="D13" i="28"/>
  <c r="E13" i="28"/>
  <c r="F13" i="28"/>
  <c r="G13" i="28"/>
  <c r="H13" i="28"/>
  <c r="I13" i="28"/>
  <c r="J13" i="28"/>
  <c r="K13" i="28"/>
  <c r="C14" i="28"/>
  <c r="D14" i="28"/>
  <c r="E14" i="28"/>
  <c r="F14" i="28"/>
  <c r="G14" i="28"/>
  <c r="H14" i="28"/>
  <c r="I14" i="28"/>
  <c r="J14" i="28"/>
  <c r="K14" i="28"/>
  <c r="C15" i="28"/>
  <c r="D15" i="28"/>
  <c r="E15" i="28"/>
  <c r="F15" i="28"/>
  <c r="G15" i="28"/>
  <c r="H15" i="28"/>
  <c r="I15" i="28"/>
  <c r="J15" i="28"/>
  <c r="K15" i="28"/>
  <c r="C16" i="28"/>
  <c r="D16" i="28"/>
  <c r="E16" i="28"/>
  <c r="F16" i="28"/>
  <c r="G16" i="28"/>
  <c r="H16" i="28"/>
  <c r="I16" i="28"/>
  <c r="J16" i="28"/>
  <c r="K16" i="28"/>
  <c r="C17" i="28"/>
  <c r="D17" i="28"/>
  <c r="E17" i="28"/>
  <c r="F17" i="28"/>
  <c r="G17" i="28"/>
  <c r="H17" i="28"/>
  <c r="I17" i="28"/>
  <c r="J17" i="28"/>
  <c r="K17" i="28"/>
  <c r="C18" i="28"/>
  <c r="D18" i="28"/>
  <c r="E18" i="28"/>
  <c r="F18" i="28"/>
  <c r="G18" i="28"/>
  <c r="H18" i="28"/>
  <c r="I18" i="28"/>
  <c r="J18" i="28"/>
  <c r="K18" i="28"/>
  <c r="C39" i="28"/>
  <c r="D39" i="28"/>
  <c r="E39" i="28"/>
  <c r="F39" i="28"/>
  <c r="G39" i="28"/>
  <c r="H39" i="28"/>
  <c r="I39" i="28"/>
  <c r="J39" i="28"/>
  <c r="K39" i="28"/>
  <c r="I32" i="829"/>
  <c r="I33" i="829" s="1"/>
  <c r="I21" i="835" s="1"/>
  <c r="I22" i="835" s="1"/>
  <c r="C46" i="829"/>
  <c r="O91" i="840"/>
  <c r="O90" i="840"/>
  <c r="O73" i="840"/>
  <c r="O89" i="840" s="1"/>
  <c r="C39" i="829"/>
  <c r="M53" i="829"/>
  <c r="J53" i="829"/>
  <c r="I53" i="829"/>
  <c r="J32" i="829"/>
  <c r="O95" i="840"/>
  <c r="O96" i="840"/>
  <c r="O97" i="840"/>
  <c r="O98" i="840"/>
  <c r="O99" i="840"/>
  <c r="O100" i="840"/>
  <c r="O93" i="840"/>
  <c r="O92" i="840"/>
  <c r="M77" i="122"/>
  <c r="M65" i="122"/>
  <c r="M57" i="122"/>
  <c r="M43" i="122"/>
  <c r="M20" i="122"/>
  <c r="K58" i="92"/>
  <c r="K37" i="92"/>
  <c r="K36" i="92"/>
  <c r="K35" i="92"/>
  <c r="K34" i="92"/>
  <c r="K33" i="92"/>
  <c r="K32" i="92"/>
  <c r="K31" i="92"/>
  <c r="K30" i="92"/>
  <c r="K29" i="92"/>
  <c r="C59" i="92"/>
  <c r="C58" i="92"/>
  <c r="D140" i="192" s="1"/>
  <c r="C37" i="92"/>
  <c r="D119" i="192" s="1"/>
  <c r="C36" i="92"/>
  <c r="D118" i="192" s="1"/>
  <c r="C35" i="92"/>
  <c r="D117" i="192" s="1"/>
  <c r="C34" i="92"/>
  <c r="D116" i="192" s="1"/>
  <c r="C33" i="92"/>
  <c r="D115" i="192" s="1"/>
  <c r="C32" i="92"/>
  <c r="D114" i="192" s="1"/>
  <c r="C31" i="92"/>
  <c r="D113" i="192" s="1"/>
  <c r="C30" i="92"/>
  <c r="D112" i="192" s="1"/>
  <c r="C29" i="92"/>
  <c r="D111" i="192" s="1"/>
  <c r="B2" i="829"/>
  <c r="J171" i="826"/>
  <c r="I171" i="826"/>
  <c r="B2" i="122"/>
  <c r="B2" i="28" s="1"/>
  <c r="D44" i="2"/>
  <c r="D38" i="853" s="1"/>
  <c r="D45" i="2"/>
  <c r="D39" i="853" s="1"/>
  <c r="D46" i="2"/>
  <c r="D40" i="853" s="1"/>
  <c r="D47" i="2"/>
  <c r="D41" i="853" s="1"/>
  <c r="D48" i="2"/>
  <c r="D42" i="853" s="1"/>
  <c r="D49" i="2"/>
  <c r="D43" i="853" s="1"/>
  <c r="D43" i="2"/>
  <c r="D37" i="853" s="1"/>
  <c r="J19" i="2"/>
  <c r="M19" i="2"/>
  <c r="U19" i="2" s="1"/>
  <c r="J20" i="2"/>
  <c r="M20" i="2"/>
  <c r="U20" i="2" s="1"/>
  <c r="J21" i="2"/>
  <c r="M21" i="2"/>
  <c r="U21" i="2" s="1"/>
  <c r="J22" i="2"/>
  <c r="M22" i="2"/>
  <c r="U22" i="2" s="1"/>
  <c r="I20" i="2"/>
  <c r="I21" i="2"/>
  <c r="I22" i="2"/>
  <c r="I19" i="2"/>
  <c r="J15" i="2"/>
  <c r="M15" i="2"/>
  <c r="U15" i="2" s="1"/>
  <c r="J16" i="2"/>
  <c r="M16" i="2"/>
  <c r="U16" i="2" s="1"/>
  <c r="J17" i="2"/>
  <c r="M17" i="2"/>
  <c r="U17" i="2" s="1"/>
  <c r="J18" i="2"/>
  <c r="M18" i="2"/>
  <c r="U18" i="2" s="1"/>
  <c r="I16" i="2"/>
  <c r="I17" i="2"/>
  <c r="I18" i="2"/>
  <c r="I15" i="2"/>
  <c r="B2" i="2"/>
  <c r="I20" i="22" l="1"/>
  <c r="F62" i="92"/>
  <c r="F69" i="92" a="1"/>
  <c r="F69" i="92" s="1"/>
  <c r="R60" i="829"/>
  <c r="T60" i="829" s="1"/>
  <c r="T75" i="829"/>
  <c r="H23" i="22"/>
  <c r="H31" i="22" a="1"/>
  <c r="H31" i="22" s="1"/>
  <c r="H29" i="22" a="1"/>
  <c r="H29" i="22" s="1"/>
  <c r="H28" i="22" a="1"/>
  <c r="H28" i="22" s="1"/>
  <c r="H22" i="22"/>
  <c r="H33" i="22" a="1"/>
  <c r="H33" i="22" s="1"/>
  <c r="H30" i="22" a="1"/>
  <c r="H30" i="22" s="1"/>
  <c r="H25" i="22"/>
  <c r="H21" i="22"/>
  <c r="H24" i="22"/>
  <c r="H20" i="22"/>
  <c r="H32" i="22" a="1"/>
  <c r="H32" i="22" s="1"/>
  <c r="J28" i="22" a="1"/>
  <c r="J28" i="22" s="1"/>
  <c r="J33" i="22" a="1"/>
  <c r="J33" i="22" s="1"/>
  <c r="J29" i="22" a="1"/>
  <c r="J29" i="22" s="1"/>
  <c r="J30" i="22" a="1"/>
  <c r="J30" i="22" s="1"/>
  <c r="J24" i="22"/>
  <c r="J22" i="22"/>
  <c r="J20" i="22"/>
  <c r="J21" i="22"/>
  <c r="J32" i="22" a="1"/>
  <c r="J32" i="22" s="1"/>
  <c r="J31" i="22" a="1"/>
  <c r="J31" i="22" s="1"/>
  <c r="J25" i="22"/>
  <c r="J23" i="22"/>
  <c r="I31" i="22" a="1"/>
  <c r="I31" i="22" s="1"/>
  <c r="I32" i="22" a="1"/>
  <c r="I32" i="22" s="1"/>
  <c r="I25" i="22"/>
  <c r="I23" i="22"/>
  <c r="I21" i="22"/>
  <c r="I33" i="22" a="1"/>
  <c r="I33" i="22" s="1"/>
  <c r="I24" i="22"/>
  <c r="I22" i="22"/>
  <c r="I30" i="22" a="1"/>
  <c r="I30" i="22" s="1"/>
  <c r="I28" i="22" a="1"/>
  <c r="I28" i="22" s="1"/>
  <c r="I29" i="22" a="1"/>
  <c r="I29" i="22" s="1"/>
  <c r="L10" i="22"/>
  <c r="L11" i="22" s="1"/>
  <c r="L12" i="22" s="1"/>
  <c r="L13" i="22" s="1"/>
  <c r="L14" i="22" s="1"/>
  <c r="L15" i="22" s="1"/>
  <c r="L16" i="22" s="1"/>
  <c r="L17" i="22" s="1"/>
  <c r="M10" i="22"/>
  <c r="M11" i="22" s="1"/>
  <c r="M12" i="22" s="1"/>
  <c r="M13" i="22" s="1"/>
  <c r="M14" i="22" s="1"/>
  <c r="M15" i="22" s="1"/>
  <c r="M16" i="22" s="1"/>
  <c r="M17" i="22" s="1"/>
  <c r="K10" i="22"/>
  <c r="K11" i="22" s="1"/>
  <c r="K12" i="22" s="1"/>
  <c r="K13" i="22" s="1"/>
  <c r="K14" i="22" s="1"/>
  <c r="K15" i="22" s="1"/>
  <c r="K16" i="22" s="1"/>
  <c r="K17" i="22" s="1"/>
  <c r="Z28" i="22" a="1"/>
  <c r="Z28" i="22" s="1"/>
  <c r="X20" i="22"/>
  <c r="J69" i="92" a="1"/>
  <c r="J69" i="92" s="1"/>
  <c r="J71" i="92" a="1"/>
  <c r="J71" i="92" s="1"/>
  <c r="J70" i="92"/>
  <c r="J68" i="92" a="1"/>
  <c r="J68" i="92" s="1"/>
  <c r="K71" i="92" a="1"/>
  <c r="K71" i="92" s="1"/>
  <c r="K69" i="92" a="1"/>
  <c r="K69" i="92" s="1"/>
  <c r="K70" i="92"/>
  <c r="K68" i="92" a="1"/>
  <c r="K68" i="92" s="1"/>
  <c r="F68" i="92" a="1"/>
  <c r="F68" i="92" s="1"/>
  <c r="F70" i="92"/>
  <c r="F71" i="92" a="1"/>
  <c r="F71" i="92" s="1"/>
  <c r="K33" i="829"/>
  <c r="K21" i="835" s="1"/>
  <c r="K22" i="835" s="1"/>
  <c r="K24" i="835" s="1"/>
  <c r="K41" i="835" s="1"/>
  <c r="J33" i="829"/>
  <c r="J21" i="835" s="1"/>
  <c r="J22" i="835" s="1"/>
  <c r="M57" i="2"/>
  <c r="U57" i="2" s="1"/>
  <c r="J57" i="2"/>
  <c r="J64" i="2"/>
  <c r="I57" i="2"/>
  <c r="I64" i="2"/>
  <c r="Y23" i="22"/>
  <c r="I42" i="28"/>
  <c r="E11" i="22"/>
  <c r="E25" i="587"/>
  <c r="E38" i="587"/>
  <c r="E37" i="587"/>
  <c r="E22" i="587"/>
  <c r="E26" i="587"/>
  <c r="E27" i="587"/>
  <c r="E29" i="587"/>
  <c r="E30" i="587"/>
  <c r="E39" i="587"/>
  <c r="E18" i="22"/>
  <c r="E20" i="587" s="1"/>
  <c r="E28" i="587"/>
  <c r="E31" i="587"/>
  <c r="E21" i="587"/>
  <c r="E32" i="587"/>
  <c r="E33" i="587"/>
  <c r="E23" i="587"/>
  <c r="E34" i="587"/>
  <c r="E35" i="587"/>
  <c r="E24" i="587"/>
  <c r="E36" i="587"/>
  <c r="W28" i="22" a="1"/>
  <c r="W28" i="22" s="1"/>
  <c r="W20" i="22"/>
  <c r="M45" i="122"/>
  <c r="M67" i="122"/>
  <c r="M79" i="122" s="1"/>
  <c r="M50" i="2"/>
  <c r="U50" i="2" s="1"/>
  <c r="L29" i="92"/>
  <c r="F46" i="28" a="1"/>
  <c r="F46" i="28" s="1"/>
  <c r="L31" i="92"/>
  <c r="E10" i="22"/>
  <c r="E17" i="22"/>
  <c r="E16" i="22"/>
  <c r="E14" i="22"/>
  <c r="E15" i="22"/>
  <c r="E13" i="22"/>
  <c r="E12" i="22"/>
  <c r="N53" i="829"/>
  <c r="J50" i="2"/>
  <c r="J12" i="829" s="1"/>
  <c r="I50" i="2"/>
  <c r="I12" i="829" s="1"/>
  <c r="J35" i="2"/>
  <c r="M111" i="826"/>
  <c r="M113" i="826"/>
  <c r="U113" i="826" s="1"/>
  <c r="R165" i="826"/>
  <c r="Q165" i="826"/>
  <c r="P165" i="826"/>
  <c r="O165" i="826"/>
  <c r="N165" i="826"/>
  <c r="M154" i="826"/>
  <c r="U154" i="826" s="1"/>
  <c r="J154" i="826"/>
  <c r="I154" i="826"/>
  <c r="C65" i="826"/>
  <c r="C64" i="826"/>
  <c r="C63" i="826"/>
  <c r="C62" i="826"/>
  <c r="M112" i="826"/>
  <c r="J36" i="2"/>
  <c r="I36" i="2"/>
  <c r="I35" i="2"/>
  <c r="M110" i="826"/>
  <c r="J34" i="2"/>
  <c r="I34" i="2"/>
  <c r="R57" i="826"/>
  <c r="Q57" i="826"/>
  <c r="P57" i="826"/>
  <c r="O57" i="826"/>
  <c r="N57" i="826"/>
  <c r="M106" i="826"/>
  <c r="R56" i="826"/>
  <c r="Q56" i="826"/>
  <c r="P56" i="826"/>
  <c r="O56" i="826"/>
  <c r="N56" i="826"/>
  <c r="M105" i="826"/>
  <c r="J32" i="2"/>
  <c r="I32" i="2"/>
  <c r="R55" i="826"/>
  <c r="Q55" i="826"/>
  <c r="P55" i="826"/>
  <c r="O55" i="826"/>
  <c r="N55" i="826"/>
  <c r="M104" i="826"/>
  <c r="J31" i="2"/>
  <c r="I31" i="2"/>
  <c r="R54" i="826"/>
  <c r="Q54" i="826"/>
  <c r="P54" i="826"/>
  <c r="O54" i="826"/>
  <c r="N54" i="826"/>
  <c r="M103" i="826"/>
  <c r="J30" i="2"/>
  <c r="I49" i="826"/>
  <c r="R49" i="826"/>
  <c r="Q49" i="826"/>
  <c r="P49" i="826"/>
  <c r="O49" i="826"/>
  <c r="N49" i="826"/>
  <c r="M49" i="826"/>
  <c r="J49" i="826"/>
  <c r="R48" i="826"/>
  <c r="Q48" i="826"/>
  <c r="P48" i="826"/>
  <c r="O48" i="826"/>
  <c r="N48" i="826"/>
  <c r="M48" i="826"/>
  <c r="J48" i="826"/>
  <c r="I48" i="826"/>
  <c r="R47" i="826"/>
  <c r="Q47" i="826"/>
  <c r="P47" i="826"/>
  <c r="O47" i="826"/>
  <c r="N47" i="826"/>
  <c r="M47" i="826"/>
  <c r="J47" i="826"/>
  <c r="I47" i="826"/>
  <c r="R46" i="826"/>
  <c r="Q46" i="826"/>
  <c r="P46" i="826"/>
  <c r="O46" i="826"/>
  <c r="N46" i="826"/>
  <c r="M46" i="826"/>
  <c r="J46" i="826"/>
  <c r="I46" i="826"/>
  <c r="D29" i="826"/>
  <c r="C89" i="826" s="1"/>
  <c r="D28" i="826"/>
  <c r="C88" i="826" s="1"/>
  <c r="D27" i="826"/>
  <c r="C87" i="826" s="1"/>
  <c r="D26" i="826"/>
  <c r="C86" i="826" s="1"/>
  <c r="D25" i="826"/>
  <c r="C85" i="826" s="1"/>
  <c r="D24" i="826"/>
  <c r="C84" i="826" s="1"/>
  <c r="D23" i="826"/>
  <c r="C83" i="826" s="1"/>
  <c r="D22" i="826"/>
  <c r="C82" i="826" s="1"/>
  <c r="D21" i="826"/>
  <c r="D20" i="826"/>
  <c r="D19" i="826"/>
  <c r="D18" i="826"/>
  <c r="C57" i="826"/>
  <c r="C56" i="826"/>
  <c r="C55" i="826"/>
  <c r="C54" i="826"/>
  <c r="C49" i="826"/>
  <c r="C28" i="853" s="1"/>
  <c r="C48" i="826"/>
  <c r="C27" i="853" s="1"/>
  <c r="C47" i="826"/>
  <c r="C26" i="853" s="1"/>
  <c r="C46" i="826"/>
  <c r="C25" i="853" s="1"/>
  <c r="I12" i="826"/>
  <c r="I8" i="826" s="1"/>
  <c r="I7" i="826"/>
  <c r="I8" i="853" s="1"/>
  <c r="J11" i="826"/>
  <c r="J7" i="826" s="1"/>
  <c r="J8" i="853" s="1"/>
  <c r="D295" i="827"/>
  <c r="E295" i="827"/>
  <c r="D11" i="189" s="1"/>
  <c r="D296" i="827"/>
  <c r="E296" i="827"/>
  <c r="D12" i="189" s="1"/>
  <c r="D297" i="827"/>
  <c r="E297" i="827"/>
  <c r="D13" i="189" s="1"/>
  <c r="D298" i="827"/>
  <c r="E298" i="827"/>
  <c r="D14" i="189" s="1"/>
  <c r="D299" i="827"/>
  <c r="E299" i="827"/>
  <c r="D15" i="189" s="1"/>
  <c r="D300" i="827"/>
  <c r="E300" i="827"/>
  <c r="D16" i="189" s="1"/>
  <c r="D301" i="827"/>
  <c r="E301" i="827"/>
  <c r="D17" i="189" s="1"/>
  <c r="D302" i="827"/>
  <c r="E302" i="827"/>
  <c r="D18" i="189" s="1"/>
  <c r="D39" i="189"/>
  <c r="E294" i="827"/>
  <c r="D10" i="189" s="1"/>
  <c r="D294" i="827"/>
  <c r="D124" i="827"/>
  <c r="D125" i="827"/>
  <c r="E125" i="827"/>
  <c r="D126" i="827"/>
  <c r="E126" i="827"/>
  <c r="D127" i="827"/>
  <c r="E127" i="827"/>
  <c r="D128" i="827"/>
  <c r="E128" i="827"/>
  <c r="D129" i="827"/>
  <c r="E129" i="827"/>
  <c r="D130" i="827"/>
  <c r="E130" i="827"/>
  <c r="D131" i="827"/>
  <c r="E131" i="827"/>
  <c r="D132" i="827"/>
  <c r="E132" i="827"/>
  <c r="D153" i="827"/>
  <c r="E153" i="827"/>
  <c r="D38" i="190" s="1"/>
  <c r="S38" i="190" s="1"/>
  <c r="E124" i="827"/>
  <c r="C295" i="827"/>
  <c r="C124" i="827"/>
  <c r="C158" i="827" s="1"/>
  <c r="C226" i="827" s="1"/>
  <c r="C260" i="827" s="1"/>
  <c r="C23" i="827"/>
  <c r="C24" i="827" s="1"/>
  <c r="C25" i="827" s="1"/>
  <c r="C26" i="827" s="1"/>
  <c r="C27" i="827" s="1"/>
  <c r="C28" i="827" s="1"/>
  <c r="C130" i="827" s="1"/>
  <c r="C164" i="827" s="1"/>
  <c r="C232" i="827" s="1"/>
  <c r="C266" i="827" s="1"/>
  <c r="B3" i="827"/>
  <c r="B2" i="827"/>
  <c r="L49" i="826" l="1"/>
  <c r="L47" i="826"/>
  <c r="L48" i="826"/>
  <c r="D13" i="853"/>
  <c r="C78" i="826"/>
  <c r="D14" i="853"/>
  <c r="C79" i="826"/>
  <c r="D16" i="853"/>
  <c r="C81" i="826"/>
  <c r="D15" i="853"/>
  <c r="C80" i="826"/>
  <c r="H8" i="847"/>
  <c r="I168" i="826"/>
  <c r="I174" i="826"/>
  <c r="L46" i="826"/>
  <c r="J167" i="826"/>
  <c r="J173" i="826"/>
  <c r="I167" i="826"/>
  <c r="I173" i="826"/>
  <c r="D11" i="190"/>
  <c r="S11" i="190" s="1"/>
  <c r="D62" i="189"/>
  <c r="D10" i="190"/>
  <c r="S10" i="190" s="1"/>
  <c r="D61" i="189"/>
  <c r="D14" i="190"/>
  <c r="S14" i="190" s="1"/>
  <c r="D65" i="189"/>
  <c r="D15" i="190"/>
  <c r="S15" i="190" s="1"/>
  <c r="D66" i="189"/>
  <c r="D17" i="190"/>
  <c r="S17" i="190" s="1"/>
  <c r="D68" i="189"/>
  <c r="D13" i="190"/>
  <c r="S13" i="190" s="1"/>
  <c r="D64" i="189"/>
  <c r="D12" i="190"/>
  <c r="S12" i="190" s="1"/>
  <c r="D63" i="189"/>
  <c r="D60" i="189"/>
  <c r="D9" i="190"/>
  <c r="S9" i="190" s="1"/>
  <c r="D16" i="190"/>
  <c r="S16" i="190" s="1"/>
  <c r="D67" i="189"/>
  <c r="T132" i="826"/>
  <c r="T133" i="826"/>
  <c r="T134" i="826"/>
  <c r="T135" i="826"/>
  <c r="T136" i="826"/>
  <c r="T137" i="826"/>
  <c r="T138" i="826"/>
  <c r="T139" i="826"/>
  <c r="T140" i="826"/>
  <c r="T141" i="826"/>
  <c r="T142" i="826"/>
  <c r="T143" i="826"/>
  <c r="T165" i="826"/>
  <c r="T54" i="826"/>
  <c r="T55" i="826"/>
  <c r="T56" i="826"/>
  <c r="T46" i="826"/>
  <c r="T48" i="826"/>
  <c r="T49" i="826"/>
  <c r="T47" i="826"/>
  <c r="T57" i="826"/>
  <c r="L18" i="22"/>
  <c r="L30" i="22" s="1" a="1"/>
  <c r="L30" i="22" s="1"/>
  <c r="M18" i="22"/>
  <c r="M30" i="22" s="1" a="1"/>
  <c r="M30" i="22" s="1"/>
  <c r="K18" i="22"/>
  <c r="K30" i="22" s="1" a="1"/>
  <c r="K30" i="22" s="1"/>
  <c r="M32" i="2"/>
  <c r="M34" i="2"/>
  <c r="U34" i="2" s="1"/>
  <c r="U110" i="826"/>
  <c r="M31" i="2"/>
  <c r="M36" i="2"/>
  <c r="U36" i="2" s="1"/>
  <c r="U112" i="826"/>
  <c r="M35" i="2"/>
  <c r="U35" i="2" s="1"/>
  <c r="U111" i="826"/>
  <c r="J7" i="835"/>
  <c r="I7" i="847"/>
  <c r="I7" i="835"/>
  <c r="H7" i="847"/>
  <c r="M12" i="829"/>
  <c r="V85" i="840"/>
  <c r="C110" i="826"/>
  <c r="O44" i="840"/>
  <c r="C111" i="826"/>
  <c r="O45" i="840"/>
  <c r="C112" i="826"/>
  <c r="O46" i="840"/>
  <c r="M37" i="2"/>
  <c r="U37" i="2" s="1"/>
  <c r="I8" i="829"/>
  <c r="I56" i="829" s="1"/>
  <c r="I8" i="835"/>
  <c r="C97" i="826"/>
  <c r="O37" i="840"/>
  <c r="C113" i="826"/>
  <c r="O47" i="840"/>
  <c r="J37" i="2"/>
  <c r="C105" i="826"/>
  <c r="O42" i="840"/>
  <c r="I37" i="2"/>
  <c r="C96" i="826"/>
  <c r="O36" i="840"/>
  <c r="C98" i="826"/>
  <c r="O38" i="840"/>
  <c r="C99" i="826"/>
  <c r="O39" i="840"/>
  <c r="I33" i="2"/>
  <c r="C106" i="826"/>
  <c r="O43" i="840"/>
  <c r="C103" i="826"/>
  <c r="O40" i="840"/>
  <c r="J33" i="2"/>
  <c r="C104" i="826"/>
  <c r="O41" i="840"/>
  <c r="M33" i="2"/>
  <c r="AM18" i="22"/>
  <c r="AQ18" i="22"/>
  <c r="AO18" i="22"/>
  <c r="AL18" i="22"/>
  <c r="AP18" i="22"/>
  <c r="I7" i="122"/>
  <c r="I7" i="829"/>
  <c r="I55" i="829" s="1"/>
  <c r="C12" i="22"/>
  <c r="C15" i="22"/>
  <c r="C9" i="22"/>
  <c r="C11" i="22"/>
  <c r="C14" i="22"/>
  <c r="C10" i="22"/>
  <c r="C16" i="22"/>
  <c r="C296" i="827"/>
  <c r="C17" i="22"/>
  <c r="C13" i="22"/>
  <c r="J7" i="122"/>
  <c r="J7" i="829"/>
  <c r="J55" i="829" s="1"/>
  <c r="D197" i="827"/>
  <c r="D163" i="827"/>
  <c r="D231" i="827" s="1"/>
  <c r="D265" i="827" s="1"/>
  <c r="D193" i="827"/>
  <c r="D159" i="827"/>
  <c r="D227" i="827" s="1"/>
  <c r="D261" i="827" s="1"/>
  <c r="E200" i="827"/>
  <c r="E166" i="827"/>
  <c r="E234" i="827" s="1"/>
  <c r="E268" i="827" s="1"/>
  <c r="E196" i="827"/>
  <c r="E162" i="827"/>
  <c r="E230" i="827" s="1"/>
  <c r="E264" i="827" s="1"/>
  <c r="D192" i="827"/>
  <c r="D158" i="827"/>
  <c r="D226" i="827" s="1"/>
  <c r="D260" i="827" s="1"/>
  <c r="E192" i="827"/>
  <c r="E158" i="827"/>
  <c r="E226" i="827" s="1"/>
  <c r="E260" i="827" s="1"/>
  <c r="D194" i="827"/>
  <c r="D160" i="827"/>
  <c r="D228" i="827" s="1"/>
  <c r="D262" i="827" s="1"/>
  <c r="E193" i="827"/>
  <c r="E159" i="827"/>
  <c r="E227" i="827" s="1"/>
  <c r="E261" i="827" s="1"/>
  <c r="D221" i="827"/>
  <c r="D187" i="827"/>
  <c r="D255" i="827" s="1"/>
  <c r="D289" i="827" s="1"/>
  <c r="D196" i="827"/>
  <c r="D162" i="827"/>
  <c r="D230" i="827" s="1"/>
  <c r="D264" i="827" s="1"/>
  <c r="E199" i="827"/>
  <c r="E165" i="827"/>
  <c r="E233" i="827" s="1"/>
  <c r="E267" i="827" s="1"/>
  <c r="E195" i="827"/>
  <c r="E161" i="827"/>
  <c r="E229" i="827" s="1"/>
  <c r="E263" i="827" s="1"/>
  <c r="D199" i="827"/>
  <c r="D165" i="827"/>
  <c r="D233" i="827" s="1"/>
  <c r="D267" i="827" s="1"/>
  <c r="D198" i="827"/>
  <c r="D164" i="827"/>
  <c r="D232" i="827" s="1"/>
  <c r="D266" i="827" s="1"/>
  <c r="E221" i="827"/>
  <c r="D88" i="190" s="1"/>
  <c r="E187" i="827"/>
  <c r="E255" i="827" s="1"/>
  <c r="E289" i="827" s="1"/>
  <c r="D200" i="827"/>
  <c r="D166" i="827"/>
  <c r="D234" i="827" s="1"/>
  <c r="D268" i="827" s="1"/>
  <c r="D195" i="827"/>
  <c r="D161" i="827"/>
  <c r="D229" i="827" s="1"/>
  <c r="D263" i="827" s="1"/>
  <c r="E198" i="827"/>
  <c r="E164" i="827"/>
  <c r="E232" i="827" s="1"/>
  <c r="E266" i="827" s="1"/>
  <c r="E194" i="827"/>
  <c r="E160" i="827"/>
  <c r="E228" i="827" s="1"/>
  <c r="E262" i="827" s="1"/>
  <c r="E197" i="827"/>
  <c r="E163" i="827"/>
  <c r="E231" i="827" s="1"/>
  <c r="E265" i="827" s="1"/>
  <c r="C198" i="827"/>
  <c r="C192" i="827"/>
  <c r="O53" i="829"/>
  <c r="Q96" i="826"/>
  <c r="Q26" i="2" s="1"/>
  <c r="Q11" i="2"/>
  <c r="R99" i="826"/>
  <c r="R14" i="2"/>
  <c r="R105" i="826"/>
  <c r="R17" i="2"/>
  <c r="T17" i="2" s="1"/>
  <c r="R96" i="826"/>
  <c r="R11" i="2"/>
  <c r="R97" i="826"/>
  <c r="R12" i="2"/>
  <c r="R98" i="826"/>
  <c r="R13" i="2"/>
  <c r="I99" i="826"/>
  <c r="I29" i="2" s="1"/>
  <c r="I14" i="2"/>
  <c r="J99" i="826"/>
  <c r="J29" i="2" s="1"/>
  <c r="J14" i="2"/>
  <c r="J96" i="826"/>
  <c r="J26" i="2" s="1"/>
  <c r="J11" i="2"/>
  <c r="J97" i="826"/>
  <c r="J27" i="2" s="1"/>
  <c r="J12" i="2"/>
  <c r="J98" i="826"/>
  <c r="J28" i="2" s="1"/>
  <c r="J13" i="2"/>
  <c r="M99" i="826"/>
  <c r="L99" i="826" s="1"/>
  <c r="M14" i="2"/>
  <c r="M107" i="826"/>
  <c r="M30" i="2"/>
  <c r="M96" i="826"/>
  <c r="L96" i="826" s="1"/>
  <c r="M11" i="2"/>
  <c r="M97" i="826"/>
  <c r="L97" i="826" s="1"/>
  <c r="M12" i="2"/>
  <c r="M98" i="826"/>
  <c r="L98" i="826" s="1"/>
  <c r="M13" i="2"/>
  <c r="N99" i="826"/>
  <c r="N14" i="2"/>
  <c r="N58" i="826"/>
  <c r="N15" i="2"/>
  <c r="N104" i="826"/>
  <c r="N16" i="2"/>
  <c r="N105" i="826"/>
  <c r="N17" i="2"/>
  <c r="N106" i="826"/>
  <c r="N18" i="2"/>
  <c r="I97" i="826"/>
  <c r="I27" i="2" s="1"/>
  <c r="I12" i="2"/>
  <c r="I157" i="826"/>
  <c r="I8" i="2"/>
  <c r="I8" i="122"/>
  <c r="N96" i="826"/>
  <c r="N11" i="2"/>
  <c r="N97" i="826"/>
  <c r="N12" i="2"/>
  <c r="N98" i="826"/>
  <c r="N13" i="2"/>
  <c r="O99" i="826"/>
  <c r="O29" i="2" s="1"/>
  <c r="O14" i="2"/>
  <c r="O103" i="826"/>
  <c r="O15" i="2"/>
  <c r="O104" i="826"/>
  <c r="O31" i="2" s="1"/>
  <c r="O16" i="2"/>
  <c r="O105" i="826"/>
  <c r="O32" i="2" s="1"/>
  <c r="O17" i="2"/>
  <c r="O106" i="826"/>
  <c r="O18" i="2"/>
  <c r="Q97" i="826"/>
  <c r="Q27" i="2" s="1"/>
  <c r="Q12" i="2"/>
  <c r="R58" i="826"/>
  <c r="R15" i="2"/>
  <c r="T15" i="2" s="1"/>
  <c r="O96" i="826"/>
  <c r="O26" i="2" s="1"/>
  <c r="O11" i="2"/>
  <c r="O97" i="826"/>
  <c r="O27" i="2" s="1"/>
  <c r="O12" i="2"/>
  <c r="O98" i="826"/>
  <c r="O28" i="2" s="1"/>
  <c r="O13" i="2"/>
  <c r="P99" i="826"/>
  <c r="P29" i="2" s="1"/>
  <c r="P14" i="2"/>
  <c r="P103" i="826"/>
  <c r="P15" i="2"/>
  <c r="P104" i="826"/>
  <c r="P31" i="2" s="1"/>
  <c r="P16" i="2"/>
  <c r="P105" i="826"/>
  <c r="P32" i="2" s="1"/>
  <c r="P17" i="2"/>
  <c r="P106" i="826"/>
  <c r="P18" i="2"/>
  <c r="I15" i="826"/>
  <c r="Q98" i="826"/>
  <c r="Q28" i="2" s="1"/>
  <c r="Q13" i="2"/>
  <c r="R104" i="826"/>
  <c r="R16" i="2"/>
  <c r="T16" i="2" s="1"/>
  <c r="R106" i="826"/>
  <c r="R18" i="2"/>
  <c r="T18" i="2" s="1"/>
  <c r="I96" i="826"/>
  <c r="I26" i="2" s="1"/>
  <c r="I11" i="2"/>
  <c r="I98" i="826"/>
  <c r="I28" i="2" s="1"/>
  <c r="I13" i="2"/>
  <c r="P96" i="826"/>
  <c r="P26" i="2" s="1"/>
  <c r="P11" i="2"/>
  <c r="P97" i="826"/>
  <c r="P27" i="2" s="1"/>
  <c r="P12" i="2"/>
  <c r="P98" i="826"/>
  <c r="P28" i="2" s="1"/>
  <c r="P13" i="2"/>
  <c r="Q99" i="826"/>
  <c r="Q29" i="2" s="1"/>
  <c r="Q14" i="2"/>
  <c r="Q103" i="826"/>
  <c r="Q15" i="2"/>
  <c r="Q104" i="826"/>
  <c r="Q31" i="2" s="1"/>
  <c r="Q16" i="2"/>
  <c r="Q105" i="826"/>
  <c r="Q32" i="2" s="1"/>
  <c r="Q17" i="2"/>
  <c r="Q106" i="826"/>
  <c r="Q18" i="2"/>
  <c r="D40" i="826"/>
  <c r="D19" i="2"/>
  <c r="D34" i="2" s="1"/>
  <c r="D33" i="826"/>
  <c r="D20" i="853" s="1"/>
  <c r="D12" i="2"/>
  <c r="D34" i="826"/>
  <c r="D21" i="853" s="1"/>
  <c r="D13" i="2"/>
  <c r="D42" i="826"/>
  <c r="D21" i="2"/>
  <c r="D36" i="2" s="1"/>
  <c r="D41" i="826"/>
  <c r="D20" i="2"/>
  <c r="D35" i="2" s="1"/>
  <c r="D35" i="826"/>
  <c r="D22" i="853" s="1"/>
  <c r="D14" i="2"/>
  <c r="D43" i="826"/>
  <c r="D22" i="2"/>
  <c r="D37" i="2" s="1"/>
  <c r="D32" i="826"/>
  <c r="D19" i="853" s="1"/>
  <c r="D11" i="2"/>
  <c r="D36" i="826"/>
  <c r="D15" i="2"/>
  <c r="D30" i="2" s="1"/>
  <c r="I19" i="825"/>
  <c r="J7" i="2"/>
  <c r="B87" i="844" s="1"/>
  <c r="D37" i="826"/>
  <c r="D16" i="2"/>
  <c r="D31" i="2" s="1"/>
  <c r="H19" i="825"/>
  <c r="I7" i="2"/>
  <c r="D38" i="826"/>
  <c r="D17" i="2"/>
  <c r="D32" i="2" s="1"/>
  <c r="D39" i="826"/>
  <c r="D18" i="2"/>
  <c r="D33" i="2" s="1"/>
  <c r="J14" i="826"/>
  <c r="I14" i="826"/>
  <c r="I93" i="826"/>
  <c r="I94" i="826"/>
  <c r="J93" i="826"/>
  <c r="I114" i="826"/>
  <c r="J114" i="826"/>
  <c r="J145" i="826"/>
  <c r="J156" i="826"/>
  <c r="I146" i="826"/>
  <c r="I145" i="826"/>
  <c r="I156" i="826"/>
  <c r="J107" i="826"/>
  <c r="M114" i="826"/>
  <c r="N103" i="826"/>
  <c r="R103" i="826"/>
  <c r="C129" i="826"/>
  <c r="C143" i="826" s="1"/>
  <c r="C128" i="826"/>
  <c r="C142" i="826" s="1"/>
  <c r="C126" i="826"/>
  <c r="C140" i="826" s="1"/>
  <c r="C125" i="826"/>
  <c r="C139" i="826" s="1"/>
  <c r="C124" i="826"/>
  <c r="C138" i="826" s="1"/>
  <c r="C123" i="826"/>
  <c r="C137" i="826" s="1"/>
  <c r="C122" i="826"/>
  <c r="C136" i="826" s="1"/>
  <c r="C121" i="826"/>
  <c r="C135" i="826" s="1"/>
  <c r="C118" i="826"/>
  <c r="C132" i="826" s="1"/>
  <c r="C120" i="826"/>
  <c r="C134" i="826" s="1"/>
  <c r="C127" i="826"/>
  <c r="C141" i="826" s="1"/>
  <c r="C119" i="826"/>
  <c r="C133" i="826" s="1"/>
  <c r="P58" i="826"/>
  <c r="O58" i="826"/>
  <c r="Q58" i="826"/>
  <c r="O50" i="826"/>
  <c r="R50" i="826"/>
  <c r="P50" i="826"/>
  <c r="Q50" i="826"/>
  <c r="J50" i="826"/>
  <c r="N50" i="826"/>
  <c r="M50" i="826"/>
  <c r="I50" i="826"/>
  <c r="J12" i="826"/>
  <c r="J8" i="826" s="1"/>
  <c r="M10" i="826"/>
  <c r="M11" i="826" s="1"/>
  <c r="C129" i="827"/>
  <c r="C163" i="827" s="1"/>
  <c r="C231" i="827" s="1"/>
  <c r="C265" i="827" s="1"/>
  <c r="C127" i="827"/>
  <c r="C161" i="827" s="1"/>
  <c r="C229" i="827" s="1"/>
  <c r="C263" i="827" s="1"/>
  <c r="C128" i="827"/>
  <c r="C162" i="827" s="1"/>
  <c r="C230" i="827" s="1"/>
  <c r="C264" i="827" s="1"/>
  <c r="C126" i="827"/>
  <c r="C160" i="827" s="1"/>
  <c r="C228" i="827" s="1"/>
  <c r="C262" i="827" s="1"/>
  <c r="C125" i="827"/>
  <c r="C159" i="827" s="1"/>
  <c r="C227" i="827" s="1"/>
  <c r="C261" i="827" s="1"/>
  <c r="C29" i="827"/>
  <c r="B2" i="826"/>
  <c r="R4" i="834"/>
  <c r="T13" i="2" l="1"/>
  <c r="T14" i="2"/>
  <c r="T12" i="2"/>
  <c r="T11" i="2"/>
  <c r="J174" i="826"/>
  <c r="J168" i="826"/>
  <c r="H3" i="841"/>
  <c r="C5" i="855"/>
  <c r="I28" i="825"/>
  <c r="D4" i="855"/>
  <c r="Q102" i="840"/>
  <c r="R102" i="840"/>
  <c r="H28" i="825"/>
  <c r="C4" i="855"/>
  <c r="M31" i="829"/>
  <c r="U100" i="840" s="1"/>
  <c r="M29" i="829"/>
  <c r="U98" i="840" s="1"/>
  <c r="M23" i="829"/>
  <c r="U93" i="840" s="1"/>
  <c r="T106" i="826"/>
  <c r="R27" i="2"/>
  <c r="T97" i="826"/>
  <c r="R32" i="2"/>
  <c r="T32" i="2" s="1"/>
  <c r="T105" i="826"/>
  <c r="T50" i="826"/>
  <c r="R28" i="2"/>
  <c r="T98" i="826"/>
  <c r="R31" i="2"/>
  <c r="T31" i="2" s="1"/>
  <c r="T104" i="826"/>
  <c r="R26" i="2"/>
  <c r="T96" i="826"/>
  <c r="R29" i="2"/>
  <c r="T99" i="826"/>
  <c r="J8" i="122"/>
  <c r="I8" i="847"/>
  <c r="T103" i="826"/>
  <c r="T58" i="826"/>
  <c r="AN18" i="22"/>
  <c r="M28" i="2"/>
  <c r="M29" i="2"/>
  <c r="U49" i="826"/>
  <c r="L14" i="2"/>
  <c r="U14" i="2" s="1"/>
  <c r="M27" i="2"/>
  <c r="U47" i="826"/>
  <c r="L12" i="2"/>
  <c r="U12" i="2" s="1"/>
  <c r="L13" i="2"/>
  <c r="U13" i="2" s="1"/>
  <c r="U48" i="826"/>
  <c r="M26" i="2"/>
  <c r="L50" i="826"/>
  <c r="U46" i="826"/>
  <c r="L11" i="2"/>
  <c r="U114" i="826"/>
  <c r="B69" i="844"/>
  <c r="B18" i="844"/>
  <c r="B55" i="844"/>
  <c r="B60" i="844"/>
  <c r="R30" i="840"/>
  <c r="R35" i="840" s="1"/>
  <c r="R54" i="840" s="1"/>
  <c r="I2" i="841"/>
  <c r="K51" i="826"/>
  <c r="Q30" i="840"/>
  <c r="Q35" i="840" s="1"/>
  <c r="Q54" i="840" s="1"/>
  <c r="H2" i="841"/>
  <c r="W85" i="840"/>
  <c r="M7" i="826"/>
  <c r="M7" i="835" s="1"/>
  <c r="L11" i="826"/>
  <c r="L7" i="826" s="1"/>
  <c r="K11" i="826"/>
  <c r="K7" i="826" s="1"/>
  <c r="C17" i="829"/>
  <c r="C56" i="829"/>
  <c r="N28" i="2"/>
  <c r="N27" i="2"/>
  <c r="N29" i="2"/>
  <c r="N26" i="2"/>
  <c r="N32" i="2"/>
  <c r="N31" i="2"/>
  <c r="P33" i="2"/>
  <c r="J8" i="829"/>
  <c r="J56" i="829" s="1"/>
  <c r="J8" i="835"/>
  <c r="N33" i="2"/>
  <c r="Q33" i="2"/>
  <c r="O33" i="2"/>
  <c r="R33" i="2"/>
  <c r="T33" i="2" s="1"/>
  <c r="C9" i="834" a="1"/>
  <c r="C9" i="834" s="1"/>
  <c r="J33" i="834"/>
  <c r="J38" i="2"/>
  <c r="K8" i="834"/>
  <c r="L19" i="834"/>
  <c r="C7" i="829"/>
  <c r="C15" i="826"/>
  <c r="C94" i="826"/>
  <c r="C168" i="826"/>
  <c r="C157" i="826"/>
  <c r="C146" i="826"/>
  <c r="C7" i="826"/>
  <c r="D65" i="190"/>
  <c r="D59" i="190"/>
  <c r="D61" i="190"/>
  <c r="D66" i="190"/>
  <c r="D64" i="190"/>
  <c r="D62" i="190"/>
  <c r="D60" i="190"/>
  <c r="D63" i="190"/>
  <c r="D67" i="190"/>
  <c r="O59" i="826"/>
  <c r="R59" i="826"/>
  <c r="I37" i="829"/>
  <c r="I16" i="829"/>
  <c r="J37" i="829"/>
  <c r="J16" i="829"/>
  <c r="M100" i="826"/>
  <c r="I23" i="2"/>
  <c r="I38" i="829"/>
  <c r="I17" i="829"/>
  <c r="C297" i="827"/>
  <c r="C197" i="827"/>
  <c r="C193" i="827"/>
  <c r="C195" i="827"/>
  <c r="C194" i="827"/>
  <c r="C196" i="827"/>
  <c r="P53" i="829"/>
  <c r="N100" i="826"/>
  <c r="Q100" i="826"/>
  <c r="I100" i="826"/>
  <c r="Q107" i="826"/>
  <c r="Q30" i="2"/>
  <c r="M23" i="2"/>
  <c r="D45" i="854" s="1"/>
  <c r="I23" i="854" s="1"/>
  <c r="P107" i="826"/>
  <c r="P30" i="2"/>
  <c r="J100" i="826"/>
  <c r="P100" i="826"/>
  <c r="N107" i="826"/>
  <c r="N30" i="2"/>
  <c r="O107" i="826"/>
  <c r="O30" i="2"/>
  <c r="R100" i="826"/>
  <c r="I107" i="826"/>
  <c r="I30" i="2"/>
  <c r="I38" i="2" s="1"/>
  <c r="J23" i="2"/>
  <c r="R107" i="826"/>
  <c r="R30" i="2"/>
  <c r="T30" i="2" s="1"/>
  <c r="O100" i="826"/>
  <c r="J8" i="2"/>
  <c r="J15" i="826"/>
  <c r="J157" i="826"/>
  <c r="J146" i="826"/>
  <c r="J94" i="826"/>
  <c r="P59" i="826"/>
  <c r="J69" i="826"/>
  <c r="R40" i="840" s="1"/>
  <c r="N59" i="826"/>
  <c r="M69" i="826"/>
  <c r="Q59" i="826"/>
  <c r="I69" i="826"/>
  <c r="Q40" i="840" s="1"/>
  <c r="O51" i="826"/>
  <c r="P51" i="826"/>
  <c r="M51" i="826"/>
  <c r="N51" i="826"/>
  <c r="Q51" i="826"/>
  <c r="R51" i="826"/>
  <c r="J51" i="826"/>
  <c r="N10" i="826"/>
  <c r="M8" i="826"/>
  <c r="C131" i="827"/>
  <c r="C165" i="827" s="1"/>
  <c r="C233" i="827" s="1"/>
  <c r="C267" i="827" s="1"/>
  <c r="C30" i="827"/>
  <c r="C31" i="827" s="1"/>
  <c r="T28" i="2" l="1"/>
  <c r="M73" i="826"/>
  <c r="U32" i="840" s="1"/>
  <c r="M74" i="826"/>
  <c r="U33" i="840" s="1"/>
  <c r="T29" i="2"/>
  <c r="T26" i="2"/>
  <c r="T27" i="2"/>
  <c r="M72" i="826"/>
  <c r="D27" i="854"/>
  <c r="D37" i="854"/>
  <c r="D36" i="854"/>
  <c r="U40" i="840"/>
  <c r="M83" i="826"/>
  <c r="M86" i="826"/>
  <c r="M82" i="826"/>
  <c r="M88" i="826"/>
  <c r="M89" i="826"/>
  <c r="M87" i="826"/>
  <c r="M85" i="826"/>
  <c r="M84" i="826"/>
  <c r="M78" i="826"/>
  <c r="M79" i="826"/>
  <c r="M81" i="826"/>
  <c r="M80" i="826"/>
  <c r="R41" i="840"/>
  <c r="I73" i="2"/>
  <c r="I3" i="841"/>
  <c r="D5" i="855"/>
  <c r="K8" i="853"/>
  <c r="K7" i="835"/>
  <c r="L8" i="847"/>
  <c r="M8" i="835"/>
  <c r="M168" i="826"/>
  <c r="M174" i="826"/>
  <c r="L173" i="826"/>
  <c r="L7" i="835"/>
  <c r="I21" i="825"/>
  <c r="R44" i="840"/>
  <c r="R46" i="840"/>
  <c r="R42" i="840"/>
  <c r="R47" i="840"/>
  <c r="R43" i="840"/>
  <c r="R45" i="840"/>
  <c r="R36" i="840"/>
  <c r="R39" i="840"/>
  <c r="R37" i="840"/>
  <c r="R38" i="840"/>
  <c r="J73" i="2"/>
  <c r="V51" i="826"/>
  <c r="S41" i="840"/>
  <c r="S48" i="840" s="1"/>
  <c r="I34" i="829"/>
  <c r="Q51" i="840"/>
  <c r="I72" i="2"/>
  <c r="I82" i="2" s="1"/>
  <c r="I75" i="2"/>
  <c r="H31" i="825" s="1"/>
  <c r="I77" i="2"/>
  <c r="H33" i="825" s="1"/>
  <c r="Q42" i="840"/>
  <c r="Q36" i="840"/>
  <c r="Q43" i="840"/>
  <c r="Q41" i="840"/>
  <c r="Q45" i="840"/>
  <c r="Q39" i="840"/>
  <c r="Q44" i="840"/>
  <c r="Q46" i="840"/>
  <c r="Q47" i="840"/>
  <c r="Q37" i="840"/>
  <c r="Q38" i="840"/>
  <c r="J75" i="2"/>
  <c r="I31" i="825" s="1"/>
  <c r="J77" i="2"/>
  <c r="I33" i="825" s="1"/>
  <c r="R51" i="840"/>
  <c r="K72" i="2"/>
  <c r="J72" i="2"/>
  <c r="Q65" i="840"/>
  <c r="Q72" i="840" s="1"/>
  <c r="Q87" i="840" s="1"/>
  <c r="Q104" i="840" s="1"/>
  <c r="Q50" i="840"/>
  <c r="R65" i="840"/>
  <c r="R72" i="840" s="1"/>
  <c r="R87" i="840" s="1"/>
  <c r="R104" i="840" s="1"/>
  <c r="R50" i="840"/>
  <c r="U45" i="840"/>
  <c r="U37" i="840"/>
  <c r="U43" i="840"/>
  <c r="U42" i="840"/>
  <c r="U47" i="840"/>
  <c r="U44" i="840"/>
  <c r="U39" i="840"/>
  <c r="U38" i="840"/>
  <c r="U46" i="840"/>
  <c r="U36" i="840"/>
  <c r="U41" i="840"/>
  <c r="U51" i="840"/>
  <c r="M75" i="2"/>
  <c r="L31" i="825" s="1"/>
  <c r="H21" i="825"/>
  <c r="I158" i="826"/>
  <c r="M163" i="826"/>
  <c r="M162" i="826"/>
  <c r="M161" i="826"/>
  <c r="M160" i="826"/>
  <c r="M159" i="826"/>
  <c r="M164" i="826"/>
  <c r="M158" i="826"/>
  <c r="K167" i="826"/>
  <c r="K173" i="826"/>
  <c r="M167" i="826"/>
  <c r="M173" i="826"/>
  <c r="K7" i="847"/>
  <c r="L167" i="826"/>
  <c r="T59" i="826"/>
  <c r="J11" i="829"/>
  <c r="T51" i="826"/>
  <c r="T107" i="826"/>
  <c r="T100" i="826"/>
  <c r="M38" i="2"/>
  <c r="M73" i="2" s="1"/>
  <c r="U99" i="826"/>
  <c r="L29" i="2"/>
  <c r="U29" i="2" s="1"/>
  <c r="L28" i="2"/>
  <c r="U28" i="2" s="1"/>
  <c r="U98" i="826"/>
  <c r="L27" i="2"/>
  <c r="U27" i="2" s="1"/>
  <c r="U97" i="826"/>
  <c r="L23" i="2"/>
  <c r="M72" i="2" s="1"/>
  <c r="U11" i="2"/>
  <c r="U50" i="826"/>
  <c r="L69" i="826"/>
  <c r="L51" i="826"/>
  <c r="L26" i="2"/>
  <c r="L100" i="826"/>
  <c r="U96" i="826"/>
  <c r="L21" i="825"/>
  <c r="C7" i="835"/>
  <c r="C7" i="847"/>
  <c r="J19" i="825"/>
  <c r="J7" i="847"/>
  <c r="K19" i="825"/>
  <c r="L7" i="847"/>
  <c r="K7" i="122"/>
  <c r="K7" i="2"/>
  <c r="K7" i="829"/>
  <c r="K55" i="829" s="1"/>
  <c r="L7" i="122"/>
  <c r="L7" i="829"/>
  <c r="L55" i="829" s="1"/>
  <c r="L7" i="2"/>
  <c r="F4" i="855" s="1"/>
  <c r="M4" i="855" s="1"/>
  <c r="J34" i="829"/>
  <c r="X85" i="840"/>
  <c r="T51" i="829"/>
  <c r="T50" i="829"/>
  <c r="T52" i="829"/>
  <c r="T40" i="829"/>
  <c r="T47" i="829"/>
  <c r="T44" i="829"/>
  <c r="T43" i="829"/>
  <c r="T42" i="829"/>
  <c r="T49" i="829"/>
  <c r="M14" i="826"/>
  <c r="M37" i="829" s="1"/>
  <c r="M7" i="2"/>
  <c r="G4" i="855" s="1"/>
  <c r="N4" i="855" s="1"/>
  <c r="M7" i="829"/>
  <c r="M55" i="829" s="1"/>
  <c r="M93" i="826"/>
  <c r="L19" i="825"/>
  <c r="M7" i="122"/>
  <c r="M145" i="826"/>
  <c r="M156" i="826"/>
  <c r="L14" i="826"/>
  <c r="L93" i="826"/>
  <c r="L156" i="826"/>
  <c r="L145" i="826"/>
  <c r="K93" i="826"/>
  <c r="K145" i="826"/>
  <c r="K156" i="826"/>
  <c r="K14" i="826"/>
  <c r="N12" i="826"/>
  <c r="N8" i="826" s="1"/>
  <c r="N11" i="826"/>
  <c r="N7" i="826" s="1"/>
  <c r="M8" i="829"/>
  <c r="M56" i="829" s="1"/>
  <c r="M115" i="826"/>
  <c r="U55" i="840" s="1"/>
  <c r="U63" i="840" s="1"/>
  <c r="J115" i="826"/>
  <c r="C32" i="827"/>
  <c r="C133" i="827"/>
  <c r="J40" i="2"/>
  <c r="J74" i="2" s="1"/>
  <c r="M10" i="829"/>
  <c r="M27" i="829" s="1"/>
  <c r="U96" i="840" s="1"/>
  <c r="I10" i="829"/>
  <c r="I40" i="2"/>
  <c r="I74" i="2" s="1"/>
  <c r="M19" i="834"/>
  <c r="C7" i="122"/>
  <c r="C7" i="2"/>
  <c r="I115" i="826"/>
  <c r="C298" i="827"/>
  <c r="I11" i="829"/>
  <c r="J38" i="829"/>
  <c r="J17" i="829"/>
  <c r="J10" i="829"/>
  <c r="C199" i="827"/>
  <c r="Q53" i="829"/>
  <c r="M8" i="2"/>
  <c r="G5" i="855" s="1"/>
  <c r="N5" i="855" s="1"/>
  <c r="M8" i="122"/>
  <c r="M15" i="826"/>
  <c r="I161" i="826"/>
  <c r="I162" i="826"/>
  <c r="I163" i="826"/>
  <c r="I164" i="826"/>
  <c r="I160" i="826"/>
  <c r="I159" i="826"/>
  <c r="J164" i="826"/>
  <c r="J160" i="826"/>
  <c r="J163" i="826"/>
  <c r="J159" i="826"/>
  <c r="J162" i="826"/>
  <c r="J158" i="826"/>
  <c r="J161" i="826"/>
  <c r="M157" i="826"/>
  <c r="M146" i="826"/>
  <c r="U146" i="826" s="1"/>
  <c r="M94" i="826"/>
  <c r="U94" i="826" s="1"/>
  <c r="O10" i="826"/>
  <c r="O12" i="826" s="1"/>
  <c r="O8" i="826" s="1"/>
  <c r="C132" i="827"/>
  <c r="C166" i="827" s="1"/>
  <c r="C234" i="827" s="1"/>
  <c r="C268" i="827" s="1"/>
  <c r="I22" i="854" l="1"/>
  <c r="L73" i="826"/>
  <c r="L74" i="826"/>
  <c r="U31" i="840"/>
  <c r="M75" i="826"/>
  <c r="I22" i="825"/>
  <c r="I23" i="825" s="1"/>
  <c r="R55" i="840"/>
  <c r="R63" i="840" s="1"/>
  <c r="L72" i="826"/>
  <c r="H22" i="825"/>
  <c r="H23" i="825" s="1"/>
  <c r="Q55" i="840"/>
  <c r="Q63" i="840" s="1"/>
  <c r="K82" i="2"/>
  <c r="M90" i="826"/>
  <c r="L88" i="826"/>
  <c r="L83" i="826"/>
  <c r="L85" i="826"/>
  <c r="L84" i="826"/>
  <c r="L82" i="826"/>
  <c r="L89" i="826"/>
  <c r="L87" i="826"/>
  <c r="L86" i="826"/>
  <c r="L81" i="826"/>
  <c r="L80" i="826"/>
  <c r="N8" i="847"/>
  <c r="O8" i="835"/>
  <c r="O174" i="826"/>
  <c r="O168" i="826"/>
  <c r="M8" i="847"/>
  <c r="N8" i="835"/>
  <c r="N168" i="826"/>
  <c r="N174" i="826"/>
  <c r="R48" i="840"/>
  <c r="N173" i="826"/>
  <c r="N7" i="835"/>
  <c r="Q48" i="840"/>
  <c r="J28" i="825"/>
  <c r="E4" i="855"/>
  <c r="U48" i="840"/>
  <c r="U51" i="826"/>
  <c r="T41" i="840"/>
  <c r="T46" i="840"/>
  <c r="T38" i="840"/>
  <c r="T42" i="840"/>
  <c r="T45" i="840"/>
  <c r="T37" i="840"/>
  <c r="T44" i="840"/>
  <c r="T43" i="840"/>
  <c r="T39" i="840"/>
  <c r="T47" i="840"/>
  <c r="T36" i="840"/>
  <c r="U23" i="2"/>
  <c r="T51" i="840"/>
  <c r="L75" i="2"/>
  <c r="K31" i="825" s="1"/>
  <c r="L72" i="2"/>
  <c r="T40" i="840"/>
  <c r="M165" i="826"/>
  <c r="M19" i="829"/>
  <c r="U89" i="840" s="1"/>
  <c r="M21" i="829"/>
  <c r="U91" i="840" s="1"/>
  <c r="M7" i="847"/>
  <c r="N167" i="826"/>
  <c r="M40" i="2"/>
  <c r="H18" i="849"/>
  <c r="I18" i="849" s="1"/>
  <c r="U168" i="826"/>
  <c r="U157" i="826"/>
  <c r="N94" i="826"/>
  <c r="L29" i="825"/>
  <c r="M82" i="2"/>
  <c r="I29" i="825"/>
  <c r="J82" i="2"/>
  <c r="L28" i="825"/>
  <c r="M11" i="829"/>
  <c r="L160" i="826"/>
  <c r="U160" i="826" s="1"/>
  <c r="L158" i="826"/>
  <c r="U158" i="826" s="1"/>
  <c r="L163" i="826"/>
  <c r="L164" i="826"/>
  <c r="U164" i="826" s="1"/>
  <c r="L161" i="826"/>
  <c r="U161" i="826" s="1"/>
  <c r="L159" i="826"/>
  <c r="U159" i="826" s="1"/>
  <c r="K21" i="825"/>
  <c r="L162" i="826"/>
  <c r="U69" i="826"/>
  <c r="U26" i="2"/>
  <c r="U100" i="826"/>
  <c r="L34" i="829"/>
  <c r="L10" i="829"/>
  <c r="J29" i="825"/>
  <c r="L22" i="825"/>
  <c r="L23" i="825" s="1"/>
  <c r="U156" i="826"/>
  <c r="V145" i="826"/>
  <c r="U145" i="826"/>
  <c r="T30" i="840"/>
  <c r="T35" i="840" s="1"/>
  <c r="T54" i="840" s="1"/>
  <c r="K28" i="825"/>
  <c r="V93" i="826"/>
  <c r="U93" i="826"/>
  <c r="J2" i="841"/>
  <c r="S30" i="840"/>
  <c r="S35" i="840" s="1"/>
  <c r="S54" i="840" s="1"/>
  <c r="V156" i="826"/>
  <c r="K9" i="834"/>
  <c r="K37" i="829"/>
  <c r="K16" i="829"/>
  <c r="U30" i="840"/>
  <c r="U35" i="840" s="1"/>
  <c r="U54" i="840" s="1"/>
  <c r="L37" i="829"/>
  <c r="L16" i="829"/>
  <c r="Y85" i="840"/>
  <c r="M16" i="829"/>
  <c r="N157" i="826"/>
  <c r="N146" i="826"/>
  <c r="N8" i="829"/>
  <c r="N56" i="829" s="1"/>
  <c r="N15" i="826"/>
  <c r="N17" i="829" s="1"/>
  <c r="N8" i="2"/>
  <c r="H5" i="855" s="1"/>
  <c r="O5" i="855" s="1"/>
  <c r="N57" i="2"/>
  <c r="O8" i="829"/>
  <c r="O56" i="829" s="1"/>
  <c r="O57" i="2"/>
  <c r="J52" i="2"/>
  <c r="J59" i="2" s="1"/>
  <c r="J76" i="2" s="1"/>
  <c r="I52" i="2"/>
  <c r="I59" i="2" s="1"/>
  <c r="I76" i="2" s="1"/>
  <c r="C167" i="827"/>
  <c r="C235" i="827" s="1"/>
  <c r="C269" i="827" s="1"/>
  <c r="C201" i="827"/>
  <c r="C33" i="827"/>
  <c r="C134" i="827"/>
  <c r="N19" i="834"/>
  <c r="O19" i="834" s="1"/>
  <c r="M38" i="829"/>
  <c r="M17" i="829"/>
  <c r="C299" i="827"/>
  <c r="N7" i="829"/>
  <c r="N55" i="829" s="1"/>
  <c r="C200" i="827"/>
  <c r="R53" i="829"/>
  <c r="T53" i="829" s="1"/>
  <c r="O8" i="2"/>
  <c r="I5" i="855" s="1"/>
  <c r="P5" i="855" s="1"/>
  <c r="O15" i="826"/>
  <c r="N7" i="2"/>
  <c r="N14" i="826"/>
  <c r="I165" i="826"/>
  <c r="J165" i="826"/>
  <c r="M19" i="825"/>
  <c r="N156" i="826"/>
  <c r="N145" i="826"/>
  <c r="N93" i="826"/>
  <c r="O157" i="826"/>
  <c r="O94" i="826"/>
  <c r="O146" i="826"/>
  <c r="O11" i="826"/>
  <c r="O7" i="826" s="1"/>
  <c r="P10" i="826"/>
  <c r="P12" i="826" s="1"/>
  <c r="P8" i="826" s="1"/>
  <c r="F10" i="816"/>
  <c r="L75" i="826" l="1"/>
  <c r="U75" i="826" s="1"/>
  <c r="T31" i="840"/>
  <c r="U72" i="826"/>
  <c r="T33" i="840"/>
  <c r="U74" i="826"/>
  <c r="T32" i="840"/>
  <c r="U73" i="826"/>
  <c r="L90" i="826"/>
  <c r="O8" i="847"/>
  <c r="P8" i="835"/>
  <c r="P168" i="826"/>
  <c r="P174" i="826"/>
  <c r="O173" i="826"/>
  <c r="O7" i="835"/>
  <c r="M28" i="825"/>
  <c r="H4" i="855"/>
  <c r="O4" i="855" s="1"/>
  <c r="S65" i="840"/>
  <c r="S72" i="840" s="1"/>
  <c r="S87" i="840" s="1"/>
  <c r="S104" i="840" s="1"/>
  <c r="S50" i="840"/>
  <c r="U65" i="840"/>
  <c r="U72" i="840" s="1"/>
  <c r="U87" i="840" s="1"/>
  <c r="U104" i="840" s="1"/>
  <c r="U50" i="840"/>
  <c r="T65" i="840"/>
  <c r="T72" i="840" s="1"/>
  <c r="T87" i="840" s="1"/>
  <c r="T104" i="840" s="1"/>
  <c r="T50" i="840"/>
  <c r="T48" i="840"/>
  <c r="M52" i="2"/>
  <c r="M74" i="2"/>
  <c r="L30" i="825" s="1"/>
  <c r="M26" i="829"/>
  <c r="U95" i="840" s="1"/>
  <c r="M20" i="829"/>
  <c r="U90" i="840" s="1"/>
  <c r="M22" i="829"/>
  <c r="U92" i="840" s="1"/>
  <c r="N7" i="847"/>
  <c r="O167" i="826"/>
  <c r="U162" i="826"/>
  <c r="U163" i="826"/>
  <c r="K29" i="825"/>
  <c r="L82" i="2"/>
  <c r="L165" i="826"/>
  <c r="U165" i="826" s="1"/>
  <c r="Q66" i="840"/>
  <c r="H30" i="825"/>
  <c r="R66" i="840"/>
  <c r="I30" i="825"/>
  <c r="V167" i="826"/>
  <c r="U167" i="826"/>
  <c r="V30" i="840"/>
  <c r="V35" i="840" s="1"/>
  <c r="V54" i="840" s="1"/>
  <c r="L9" i="834"/>
  <c r="N38" i="829"/>
  <c r="P19" i="834"/>
  <c r="Z85" i="840"/>
  <c r="R57" i="2"/>
  <c r="P8" i="829"/>
  <c r="P56" i="829" s="1"/>
  <c r="Q57" i="2"/>
  <c r="P57" i="2"/>
  <c r="I62" i="2"/>
  <c r="J62" i="2"/>
  <c r="C168" i="827"/>
  <c r="C236" i="827" s="1"/>
  <c r="C270" i="827" s="1"/>
  <c r="C202" i="827"/>
  <c r="C34" i="827"/>
  <c r="C135" i="827"/>
  <c r="N37" i="829"/>
  <c r="N16" i="829"/>
  <c r="C300" i="827"/>
  <c r="O7" i="829"/>
  <c r="O55" i="829" s="1"/>
  <c r="O38" i="829"/>
  <c r="O17" i="829"/>
  <c r="P8" i="2"/>
  <c r="J5" i="855" s="1"/>
  <c r="Q5" i="855" s="1"/>
  <c r="P15" i="826"/>
  <c r="O7" i="2"/>
  <c r="O14" i="826"/>
  <c r="N19" i="825"/>
  <c r="O156" i="826"/>
  <c r="O93" i="826"/>
  <c r="O145" i="826"/>
  <c r="P157" i="826"/>
  <c r="P146" i="826"/>
  <c r="P94" i="826"/>
  <c r="P11" i="826"/>
  <c r="P7" i="826" s="1"/>
  <c r="Q10" i="826"/>
  <c r="Q12" i="826" s="1"/>
  <c r="Q8" i="826" s="1"/>
  <c r="D16" i="63"/>
  <c r="F37" i="63"/>
  <c r="D14" i="63"/>
  <c r="D15" i="63"/>
  <c r="D12" i="63"/>
  <c r="D13" i="63"/>
  <c r="D9" i="63"/>
  <c r="B34" i="238"/>
  <c r="L1" i="188"/>
  <c r="P1" i="188" s="1"/>
  <c r="AX7" i="188"/>
  <c r="AY7" i="188"/>
  <c r="AX8" i="188"/>
  <c r="AY8" i="188"/>
  <c r="AX9" i="188"/>
  <c r="AY9" i="188"/>
  <c r="D26" i="2"/>
  <c r="D31" i="853" s="1"/>
  <c r="D27" i="2"/>
  <c r="D32" i="853" s="1"/>
  <c r="D28" i="2"/>
  <c r="D33" i="853" s="1"/>
  <c r="D29" i="2"/>
  <c r="D34" i="853" s="1"/>
  <c r="C9" i="587"/>
  <c r="B12" i="587"/>
  <c r="B13" i="587" s="1"/>
  <c r="B14" i="587" s="1"/>
  <c r="B15" i="587" s="1"/>
  <c r="B16" i="587" s="1"/>
  <c r="B17" i="587" s="1"/>
  <c r="B18" i="587" s="1"/>
  <c r="B19" i="587" s="1"/>
  <c r="C11" i="189"/>
  <c r="C12" i="189" s="1"/>
  <c r="C13" i="189" s="1"/>
  <c r="C14" i="189" s="1"/>
  <c r="C15" i="189" s="1"/>
  <c r="C16" i="189" s="1"/>
  <c r="C17" i="189" s="1"/>
  <c r="C18" i="189" s="1"/>
  <c r="B2" i="589"/>
  <c r="B3" i="589"/>
  <c r="AH3" i="589"/>
  <c r="M11" i="589"/>
  <c r="M75" i="589" s="1"/>
  <c r="M16" i="589"/>
  <c r="M61" i="589"/>
  <c r="M19" i="589"/>
  <c r="M62" i="589" s="1"/>
  <c r="M23" i="589"/>
  <c r="M24" i="589"/>
  <c r="M25" i="589"/>
  <c r="M26" i="589"/>
  <c r="M27" i="589"/>
  <c r="M28" i="589"/>
  <c r="N61" i="589"/>
  <c r="N19" i="589"/>
  <c r="N62" i="589" s="1"/>
  <c r="N23" i="589"/>
  <c r="N24" i="589"/>
  <c r="N25" i="589"/>
  <c r="N26" i="589"/>
  <c r="N27" i="589"/>
  <c r="N28" i="589"/>
  <c r="O61" i="589"/>
  <c r="O19" i="589"/>
  <c r="O62" i="589" s="1"/>
  <c r="O23" i="589"/>
  <c r="O24" i="589"/>
  <c r="O25" i="589"/>
  <c r="O26" i="589"/>
  <c r="O27" i="589"/>
  <c r="O28" i="589"/>
  <c r="P61" i="589"/>
  <c r="P19" i="589"/>
  <c r="P62" i="589" s="1"/>
  <c r="P23" i="589"/>
  <c r="P24" i="589"/>
  <c r="P25" i="589"/>
  <c r="P26" i="589"/>
  <c r="P27" i="589"/>
  <c r="P28" i="589"/>
  <c r="Q61" i="589"/>
  <c r="Q19" i="589"/>
  <c r="Q62" i="589" s="1"/>
  <c r="Q24" i="589"/>
  <c r="Q25" i="589"/>
  <c r="Q26" i="589"/>
  <c r="Q27" i="589"/>
  <c r="Q28" i="589"/>
  <c r="R61" i="589"/>
  <c r="R19" i="589"/>
  <c r="R62" i="589" s="1"/>
  <c r="R24" i="589"/>
  <c r="R25" i="589"/>
  <c r="R26" i="589"/>
  <c r="R27" i="589"/>
  <c r="R28" i="589"/>
  <c r="S61" i="589"/>
  <c r="S19" i="589"/>
  <c r="L41" i="589" s="1"/>
  <c r="S25" i="589"/>
  <c r="S26" i="589"/>
  <c r="S27" i="589"/>
  <c r="S28" i="589"/>
  <c r="T61" i="589"/>
  <c r="T19" i="589"/>
  <c r="T62" i="589" s="1"/>
  <c r="T25" i="589"/>
  <c r="T26" i="589"/>
  <c r="T27" i="589"/>
  <c r="T28" i="589"/>
  <c r="U61" i="589"/>
  <c r="U19" i="589"/>
  <c r="U62" i="589" s="1"/>
  <c r="U26" i="589"/>
  <c r="U27" i="589"/>
  <c r="U28" i="589"/>
  <c r="V61" i="589"/>
  <c r="V19" i="589"/>
  <c r="L44" i="589" s="1"/>
  <c r="V26" i="589"/>
  <c r="V27" i="589"/>
  <c r="V28" i="589"/>
  <c r="W61" i="589"/>
  <c r="W19" i="589"/>
  <c r="W62" i="589" s="1"/>
  <c r="W26" i="589"/>
  <c r="W27" i="589"/>
  <c r="W28" i="589"/>
  <c r="X61" i="589"/>
  <c r="X19" i="589"/>
  <c r="X62" i="589" s="1"/>
  <c r="X27" i="589"/>
  <c r="X28" i="589"/>
  <c r="Y61" i="589"/>
  <c r="Y19" i="589"/>
  <c r="L47" i="589" s="1"/>
  <c r="Y27" i="589"/>
  <c r="Y28" i="589"/>
  <c r="Z61" i="589"/>
  <c r="Z19" i="589"/>
  <c r="Z62" i="589" s="1"/>
  <c r="Z27" i="589"/>
  <c r="Z28" i="589"/>
  <c r="AA61" i="589"/>
  <c r="AA19" i="589"/>
  <c r="AA62" i="589" s="1"/>
  <c r="AA27" i="589"/>
  <c r="AA28" i="589"/>
  <c r="AB61" i="589"/>
  <c r="AB19" i="589"/>
  <c r="AB62" i="589" s="1"/>
  <c r="AB27" i="589"/>
  <c r="AB28" i="589"/>
  <c r="AC61" i="589"/>
  <c r="AC19" i="589"/>
  <c r="AC62" i="589" s="1"/>
  <c r="AC28" i="589"/>
  <c r="AC32" i="589" s="1"/>
  <c r="AD61" i="589"/>
  <c r="AD19" i="589"/>
  <c r="L52" i="589" s="1"/>
  <c r="AD28" i="589"/>
  <c r="AD32" i="589" s="1"/>
  <c r="AE61" i="589"/>
  <c r="AE19" i="589"/>
  <c r="AE62" i="589" s="1"/>
  <c r="AE28" i="589"/>
  <c r="AE32" i="589" s="1"/>
  <c r="AF61" i="589"/>
  <c r="AF19" i="589"/>
  <c r="L54" i="589" s="1"/>
  <c r="AF28" i="589"/>
  <c r="AF32" i="589" s="1"/>
  <c r="AG19" i="589"/>
  <c r="AG62" i="589" s="1"/>
  <c r="AG28" i="589"/>
  <c r="AG32" i="589" s="1"/>
  <c r="K32" i="589"/>
  <c r="L32" i="589"/>
  <c r="D71" i="589" s="1"/>
  <c r="AG61" i="589"/>
  <c r="D69" i="589"/>
  <c r="D70" i="589"/>
  <c r="AI76" i="589"/>
  <c r="M82" i="589"/>
  <c r="N82" i="589"/>
  <c r="O82" i="589"/>
  <c r="P82" i="589"/>
  <c r="Q82" i="589"/>
  <c r="R82" i="589"/>
  <c r="S82" i="589"/>
  <c r="T82" i="589"/>
  <c r="U82" i="589"/>
  <c r="V82" i="589"/>
  <c r="W82" i="589"/>
  <c r="X82" i="589"/>
  <c r="AI77" i="589"/>
  <c r="AI78" i="589"/>
  <c r="AI79" i="589"/>
  <c r="AI80" i="589"/>
  <c r="AI81" i="589"/>
  <c r="Y82" i="589"/>
  <c r="Z82" i="589"/>
  <c r="AA82" i="589"/>
  <c r="AB82" i="589"/>
  <c r="AC82" i="589"/>
  <c r="AD82" i="589"/>
  <c r="AE82" i="589"/>
  <c r="AF82" i="589"/>
  <c r="AG82" i="589"/>
  <c r="B5" i="192"/>
  <c r="S58" i="190"/>
  <c r="D89" i="190"/>
  <c r="X4" i="189"/>
  <c r="AC9" i="189"/>
  <c r="B10" i="22"/>
  <c r="B11" i="22" s="1"/>
  <c r="B12" i="22" s="1"/>
  <c r="B13" i="22" s="1"/>
  <c r="B14" i="22" s="1"/>
  <c r="B15" i="22" s="1"/>
  <c r="B16" i="22" s="1"/>
  <c r="B17" i="22" s="1"/>
  <c r="AR15" i="22"/>
  <c r="AR16" i="22"/>
  <c r="AR17" i="22"/>
  <c r="C8" i="28"/>
  <c r="S41" i="28" a="1"/>
  <c r="S42" i="28" s="1"/>
  <c r="F42" i="28"/>
  <c r="G42" i="28"/>
  <c r="H42" i="28"/>
  <c r="J42" i="28"/>
  <c r="K42" i="28"/>
  <c r="F43" i="28"/>
  <c r="G43" i="28"/>
  <c r="H43" i="28"/>
  <c r="I43" i="28"/>
  <c r="J43" i="28"/>
  <c r="K43" i="28"/>
  <c r="F44" i="28"/>
  <c r="G44" i="28"/>
  <c r="H44" i="28"/>
  <c r="I44" i="28"/>
  <c r="J44" i="28"/>
  <c r="K44" i="28"/>
  <c r="F45" i="28"/>
  <c r="G45" i="28"/>
  <c r="H45" i="28"/>
  <c r="I45" i="28"/>
  <c r="J45" i="28"/>
  <c r="K45" i="28"/>
  <c r="G46" i="28" a="1"/>
  <c r="G46" i="28" s="1"/>
  <c r="H46" i="28" a="1"/>
  <c r="H46" i="28" s="1"/>
  <c r="I46" i="28" a="1"/>
  <c r="I46" i="28" s="1"/>
  <c r="J46" i="28" a="1"/>
  <c r="J46" i="28" s="1"/>
  <c r="K46" i="28" a="1"/>
  <c r="K46" i="28" s="1"/>
  <c r="F47" i="28"/>
  <c r="G47" i="28"/>
  <c r="H47" i="28"/>
  <c r="I47" i="28"/>
  <c r="J47" i="28"/>
  <c r="K47" i="28"/>
  <c r="F48" i="28" a="1"/>
  <c r="F48" i="28" s="1"/>
  <c r="G48" i="28" a="1"/>
  <c r="G48" i="28" s="1"/>
  <c r="H48" i="28" a="1"/>
  <c r="H48" i="28" s="1"/>
  <c r="I48" i="28" a="1"/>
  <c r="I48" i="28" s="1"/>
  <c r="J48" i="28" a="1"/>
  <c r="J48" i="28" s="1"/>
  <c r="K48" i="28" a="1"/>
  <c r="K48" i="28" s="1"/>
  <c r="F49" i="28" a="1"/>
  <c r="F49" i="28" s="1"/>
  <c r="G49" i="28" a="1"/>
  <c r="G49" i="28" s="1"/>
  <c r="H49" i="28" a="1"/>
  <c r="H49" i="28" s="1"/>
  <c r="I49" i="28" a="1"/>
  <c r="I49" i="28" s="1"/>
  <c r="J49" i="28" a="1"/>
  <c r="J49" i="28" s="1"/>
  <c r="K49" i="28" a="1"/>
  <c r="K49" i="28" s="1"/>
  <c r="O56" i="28"/>
  <c r="B2" i="178"/>
  <c r="B3" i="178"/>
  <c r="S3" i="178"/>
  <c r="S4" i="178"/>
  <c r="B5" i="178"/>
  <c r="D12" i="178"/>
  <c r="G12" i="178"/>
  <c r="G18" i="178" s="1"/>
  <c r="H12" i="178"/>
  <c r="H18" i="178" s="1"/>
  <c r="I12" i="178"/>
  <c r="I18" i="178" s="1"/>
  <c r="J12" i="178"/>
  <c r="J18" i="178" s="1"/>
  <c r="K12" i="178"/>
  <c r="K18" i="178" s="1"/>
  <c r="L12" i="178"/>
  <c r="L18" i="178" s="1"/>
  <c r="M12" i="178"/>
  <c r="M18" i="178" s="1"/>
  <c r="N12" i="178"/>
  <c r="N18" i="178" s="1"/>
  <c r="O12" i="178"/>
  <c r="O18" i="178" s="1"/>
  <c r="P12" i="178"/>
  <c r="P18" i="178" s="1"/>
  <c r="Q12" i="178"/>
  <c r="Q18" i="178" s="1"/>
  <c r="G29" i="178"/>
  <c r="H29" i="178"/>
  <c r="I29" i="178"/>
  <c r="J29" i="178"/>
  <c r="K29" i="178"/>
  <c r="L29" i="178"/>
  <c r="M29" i="178"/>
  <c r="N29" i="178"/>
  <c r="O29" i="178"/>
  <c r="P29" i="178"/>
  <c r="Q29" i="178"/>
  <c r="D14" i="178"/>
  <c r="G14" i="178"/>
  <c r="H14" i="178"/>
  <c r="I14" i="178"/>
  <c r="J14" i="178"/>
  <c r="K14" i="178"/>
  <c r="L14" i="178"/>
  <c r="M14" i="178"/>
  <c r="N14" i="178"/>
  <c r="O14" i="178"/>
  <c r="P14" i="178"/>
  <c r="Q14" i="178"/>
  <c r="D15" i="178"/>
  <c r="G15" i="178"/>
  <c r="G16" i="178" s="1"/>
  <c r="H15" i="178"/>
  <c r="H16" i="178" s="1"/>
  <c r="I15" i="178"/>
  <c r="I16" i="178" s="1"/>
  <c r="J15" i="178"/>
  <c r="J16" i="178" s="1"/>
  <c r="K15" i="178"/>
  <c r="K16" i="178" s="1"/>
  <c r="L15" i="178"/>
  <c r="L16" i="178" s="1"/>
  <c r="M15" i="178"/>
  <c r="M16" i="178" s="1"/>
  <c r="N15" i="178"/>
  <c r="N16" i="178" s="1"/>
  <c r="O15" i="178"/>
  <c r="O16" i="178" s="1"/>
  <c r="P15" i="178"/>
  <c r="P16" i="178" s="1"/>
  <c r="Q15" i="178"/>
  <c r="Q16" i="178" s="1"/>
  <c r="G17" i="178"/>
  <c r="H17" i="178"/>
  <c r="I17" i="178"/>
  <c r="J17" i="178"/>
  <c r="K17" i="178"/>
  <c r="L17" i="178"/>
  <c r="M17" i="178"/>
  <c r="N17" i="178"/>
  <c r="O17" i="178"/>
  <c r="P17" i="178"/>
  <c r="Q17" i="178"/>
  <c r="C18" i="178"/>
  <c r="G21" i="178"/>
  <c r="G22" i="178" s="1"/>
  <c r="H21" i="178"/>
  <c r="H25" i="178" s="1"/>
  <c r="H27" i="178" s="1"/>
  <c r="I21" i="178"/>
  <c r="I22" i="178" s="1"/>
  <c r="J21" i="178"/>
  <c r="J22" i="178" s="1"/>
  <c r="K21" i="178"/>
  <c r="K22" i="178" s="1"/>
  <c r="L21" i="178"/>
  <c r="L22" i="178" s="1"/>
  <c r="M21" i="178"/>
  <c r="M22" i="178" s="1"/>
  <c r="N21" i="178"/>
  <c r="N22" i="178" s="1"/>
  <c r="O21" i="178"/>
  <c r="O22" i="178" s="1"/>
  <c r="P21" i="178"/>
  <c r="P22" i="178" s="1"/>
  <c r="Q21" i="178"/>
  <c r="Q25" i="178" s="1"/>
  <c r="G23" i="178"/>
  <c r="H23" i="178"/>
  <c r="I23" i="178"/>
  <c r="J23" i="178"/>
  <c r="K23" i="178"/>
  <c r="L23" i="178"/>
  <c r="M23" i="178"/>
  <c r="N23" i="178"/>
  <c r="O23" i="178"/>
  <c r="P23" i="178"/>
  <c r="Q23" i="178"/>
  <c r="G24" i="178"/>
  <c r="H24" i="178"/>
  <c r="I24" i="178"/>
  <c r="J24" i="178"/>
  <c r="K24" i="178"/>
  <c r="L24" i="178"/>
  <c r="M24" i="178"/>
  <c r="N24" i="178"/>
  <c r="O24" i="178"/>
  <c r="P24" i="178"/>
  <c r="Q24" i="178"/>
  <c r="C34" i="178"/>
  <c r="C35" i="178"/>
  <c r="B2" i="588"/>
  <c r="B3" i="588"/>
  <c r="O3" i="588"/>
  <c r="H12" i="588"/>
  <c r="I12" i="588"/>
  <c r="K12" i="588"/>
  <c r="M12" i="588"/>
  <c r="H13" i="588"/>
  <c r="I13" i="588"/>
  <c r="K13" i="588"/>
  <c r="M13" i="588"/>
  <c r="H14" i="588"/>
  <c r="I14" i="588"/>
  <c r="K14" i="588"/>
  <c r="M14" i="588"/>
  <c r="H17" i="588"/>
  <c r="I17" i="588"/>
  <c r="K17" i="588"/>
  <c r="M17" i="588"/>
  <c r="H18" i="588"/>
  <c r="I18" i="588"/>
  <c r="K18" i="588"/>
  <c r="M18" i="588"/>
  <c r="H19" i="588"/>
  <c r="I19" i="588"/>
  <c r="K19" i="588"/>
  <c r="M19" i="588"/>
  <c r="H21" i="588"/>
  <c r="I21" i="588"/>
  <c r="H22" i="588"/>
  <c r="I22" i="588"/>
  <c r="H23" i="588"/>
  <c r="I23" i="588"/>
  <c r="H24" i="588"/>
  <c r="I24" i="588"/>
  <c r="C26" i="588"/>
  <c r="C29" i="588"/>
  <c r="N31" i="588"/>
  <c r="C32" i="588"/>
  <c r="M4" i="92"/>
  <c r="K28" i="92"/>
  <c r="L28" i="92"/>
  <c r="C1" i="125"/>
  <c r="D1" i="125"/>
  <c r="C2" i="125"/>
  <c r="D2" i="125"/>
  <c r="C3" i="125"/>
  <c r="D3" i="125"/>
  <c r="C4" i="125"/>
  <c r="D4" i="125"/>
  <c r="C5" i="125"/>
  <c r="D5" i="125"/>
  <c r="C6" i="125"/>
  <c r="D6" i="125"/>
  <c r="C7" i="125"/>
  <c r="D7" i="125"/>
  <c r="C8" i="125"/>
  <c r="D8" i="125"/>
  <c r="C9" i="125"/>
  <c r="D9" i="125"/>
  <c r="C10" i="125"/>
  <c r="D10" i="125"/>
  <c r="C11" i="125"/>
  <c r="D11" i="125"/>
  <c r="C12" i="125"/>
  <c r="D12" i="125"/>
  <c r="C13" i="125"/>
  <c r="D13" i="125"/>
  <c r="C14" i="125"/>
  <c r="D14" i="125"/>
  <c r="C15" i="125"/>
  <c r="D15" i="125"/>
  <c r="C16" i="125"/>
  <c r="D16" i="125"/>
  <c r="C17" i="125"/>
  <c r="D17" i="125"/>
  <c r="C18" i="125"/>
  <c r="D18" i="125"/>
  <c r="C19" i="125"/>
  <c r="D19" i="125"/>
  <c r="C20" i="125"/>
  <c r="D20" i="125"/>
  <c r="C21" i="125"/>
  <c r="D21" i="125"/>
  <c r="C22" i="125"/>
  <c r="D22" i="125"/>
  <c r="C23" i="125"/>
  <c r="D23" i="125"/>
  <c r="C24" i="125"/>
  <c r="D24" i="125"/>
  <c r="C25" i="125"/>
  <c r="D25" i="125"/>
  <c r="C26" i="125"/>
  <c r="D26" i="125"/>
  <c r="C27" i="125"/>
  <c r="D27" i="125"/>
  <c r="C28" i="125"/>
  <c r="D28" i="125"/>
  <c r="C29" i="125"/>
  <c r="D29" i="125"/>
  <c r="C30" i="125"/>
  <c r="D30" i="125"/>
  <c r="C31" i="125"/>
  <c r="D31" i="125"/>
  <c r="C32" i="125"/>
  <c r="D32" i="125"/>
  <c r="C33" i="125"/>
  <c r="D33" i="125"/>
  <c r="C34" i="125"/>
  <c r="D34" i="125"/>
  <c r="C35" i="125"/>
  <c r="D35" i="125"/>
  <c r="C36" i="125"/>
  <c r="D36" i="125"/>
  <c r="C37" i="125"/>
  <c r="D37" i="125"/>
  <c r="C38" i="125"/>
  <c r="D38" i="125"/>
  <c r="C39" i="125"/>
  <c r="D39" i="125"/>
  <c r="C40" i="125"/>
  <c r="D40" i="125"/>
  <c r="C41" i="125"/>
  <c r="D41" i="125"/>
  <c r="C42" i="125"/>
  <c r="D42" i="125"/>
  <c r="C43" i="125"/>
  <c r="D43" i="125"/>
  <c r="C44" i="125"/>
  <c r="D44" i="125"/>
  <c r="C45" i="125"/>
  <c r="D45" i="125"/>
  <c r="C46" i="125"/>
  <c r="D46" i="125"/>
  <c r="C47" i="125"/>
  <c r="D47" i="125"/>
  <c r="C48" i="125"/>
  <c r="D48" i="125"/>
  <c r="C49" i="125"/>
  <c r="D49" i="125"/>
  <c r="C50" i="125"/>
  <c r="D50" i="125"/>
  <c r="C51" i="125"/>
  <c r="D51" i="125"/>
  <c r="C52" i="125"/>
  <c r="D52" i="125"/>
  <c r="C53" i="125"/>
  <c r="D53" i="125"/>
  <c r="C54" i="125"/>
  <c r="D54" i="125"/>
  <c r="C55" i="125"/>
  <c r="D55" i="125"/>
  <c r="C56" i="125"/>
  <c r="D56" i="125"/>
  <c r="C57" i="125"/>
  <c r="D57" i="125"/>
  <c r="C58" i="125"/>
  <c r="D58" i="125"/>
  <c r="C59" i="125"/>
  <c r="D59" i="125"/>
  <c r="C60" i="125"/>
  <c r="D60" i="125"/>
  <c r="C61" i="125"/>
  <c r="D61" i="125"/>
  <c r="C62" i="125"/>
  <c r="D62" i="125"/>
  <c r="C63" i="125"/>
  <c r="D63" i="125"/>
  <c r="C64" i="125"/>
  <c r="D64" i="125"/>
  <c r="C65" i="125"/>
  <c r="D65" i="125"/>
  <c r="C66" i="125"/>
  <c r="D66" i="125"/>
  <c r="C67" i="125"/>
  <c r="D67" i="125"/>
  <c r="C68" i="125"/>
  <c r="D68" i="125"/>
  <c r="C69" i="125"/>
  <c r="D69" i="125"/>
  <c r="C70" i="125"/>
  <c r="D70" i="125"/>
  <c r="C71" i="125"/>
  <c r="D71" i="125"/>
  <c r="C72" i="125"/>
  <c r="D72" i="125"/>
  <c r="C73" i="125"/>
  <c r="D73" i="125"/>
  <c r="C74" i="125"/>
  <c r="D74" i="125"/>
  <c r="C75" i="125"/>
  <c r="D75" i="125"/>
  <c r="C76" i="125"/>
  <c r="D76" i="125"/>
  <c r="C77" i="125"/>
  <c r="D77" i="125"/>
  <c r="C78" i="125"/>
  <c r="D78" i="125"/>
  <c r="C79" i="125"/>
  <c r="D79" i="125"/>
  <c r="C80" i="125"/>
  <c r="D80" i="125"/>
  <c r="C81" i="125"/>
  <c r="D81" i="125"/>
  <c r="C82" i="125"/>
  <c r="D82" i="125"/>
  <c r="C83" i="125"/>
  <c r="D83" i="125"/>
  <c r="C84" i="125"/>
  <c r="D84" i="125"/>
  <c r="C85" i="125"/>
  <c r="D85" i="125"/>
  <c r="C86" i="125"/>
  <c r="D86" i="125"/>
  <c r="C87" i="125"/>
  <c r="D87" i="125"/>
  <c r="C88" i="125"/>
  <c r="D88" i="125"/>
  <c r="C89" i="125"/>
  <c r="D89" i="125"/>
  <c r="C90" i="125"/>
  <c r="D90" i="125"/>
  <c r="C91" i="125"/>
  <c r="D91" i="125"/>
  <c r="C92" i="125"/>
  <c r="D92" i="125"/>
  <c r="C93" i="125"/>
  <c r="D93" i="125"/>
  <c r="C94" i="125"/>
  <c r="D94" i="125"/>
  <c r="C95" i="125"/>
  <c r="D95" i="125"/>
  <c r="C96" i="125"/>
  <c r="D96" i="125"/>
  <c r="C97" i="125"/>
  <c r="D97" i="125"/>
  <c r="C98" i="125"/>
  <c r="D98" i="125"/>
  <c r="C99" i="125"/>
  <c r="D99" i="125"/>
  <c r="C100" i="125"/>
  <c r="D100" i="125"/>
  <c r="C101" i="125"/>
  <c r="D101" i="125"/>
  <c r="C102" i="125"/>
  <c r="D102" i="125"/>
  <c r="C103" i="125"/>
  <c r="D103" i="125"/>
  <c r="C104" i="125"/>
  <c r="D104" i="125"/>
  <c r="C105" i="125"/>
  <c r="D105" i="125"/>
  <c r="E3" i="125"/>
  <c r="E2" i="125"/>
  <c r="T102" i="840" l="1"/>
  <c r="J65" i="2"/>
  <c r="J183" i="826" s="1"/>
  <c r="J184" i="826" s="1"/>
  <c r="J67" i="2" s="1"/>
  <c r="J10" i="835"/>
  <c r="J18" i="835" s="1"/>
  <c r="J24" i="835" s="1"/>
  <c r="J41" i="835" s="1"/>
  <c r="I65" i="2"/>
  <c r="I183" i="826" s="1"/>
  <c r="I184" i="826" s="1"/>
  <c r="I67" i="2" s="1"/>
  <c r="I10" i="835"/>
  <c r="I18" i="835" s="1"/>
  <c r="I24" i="835" s="1"/>
  <c r="I41" i="835" s="1"/>
  <c r="I43" i="835" s="1"/>
  <c r="J42" i="835" s="1"/>
  <c r="P8" i="847"/>
  <c r="Q8" i="835"/>
  <c r="Q168" i="826"/>
  <c r="Q174" i="826"/>
  <c r="P173" i="826"/>
  <c r="P7" i="835"/>
  <c r="N28" i="825"/>
  <c r="I4" i="855"/>
  <c r="P4" i="855" s="1"/>
  <c r="V65" i="840"/>
  <c r="V72" i="840" s="1"/>
  <c r="V87" i="840" s="1"/>
  <c r="V104" i="840" s="1"/>
  <c r="V50" i="840"/>
  <c r="O7" i="847"/>
  <c r="P167" i="826"/>
  <c r="U66" i="840"/>
  <c r="R67" i="840"/>
  <c r="I32" i="825"/>
  <c r="Q67" i="840"/>
  <c r="H32" i="825"/>
  <c r="W30" i="840"/>
  <c r="W35" i="840" s="1"/>
  <c r="W54" i="840" s="1"/>
  <c r="M9" i="834"/>
  <c r="N19" i="2"/>
  <c r="N110" i="826"/>
  <c r="N66" i="826"/>
  <c r="N112" i="826"/>
  <c r="N36" i="2" s="1"/>
  <c r="N21" i="2"/>
  <c r="N22" i="2"/>
  <c r="N113" i="826"/>
  <c r="N111" i="826"/>
  <c r="N35" i="2" s="1"/>
  <c r="N20" i="2"/>
  <c r="Q8" i="829"/>
  <c r="Q56" i="829" s="1"/>
  <c r="B40" i="587"/>
  <c r="B20" i="587"/>
  <c r="B21" i="587" s="1"/>
  <c r="B22" i="587" s="1"/>
  <c r="B23" i="587" s="1"/>
  <c r="B24" i="587" s="1"/>
  <c r="B25" i="587" s="1"/>
  <c r="B26" i="587" s="1"/>
  <c r="B27" i="587" s="1"/>
  <c r="B28" i="587" s="1"/>
  <c r="B29" i="587" s="1"/>
  <c r="B30" i="587" s="1"/>
  <c r="B31" i="587" s="1"/>
  <c r="B32" i="587" s="1"/>
  <c r="B33" i="587" s="1"/>
  <c r="B34" i="587" s="1"/>
  <c r="B35" i="587" s="1"/>
  <c r="B36" i="587" s="1"/>
  <c r="B37" i="587" s="1"/>
  <c r="B38" i="587" s="1"/>
  <c r="B39" i="587" s="1"/>
  <c r="C39" i="189"/>
  <c r="C19" i="189"/>
  <c r="C20" i="189" s="1"/>
  <c r="C21" i="189" s="1"/>
  <c r="C22" i="189" s="1"/>
  <c r="C23" i="189" s="1"/>
  <c r="C24" i="189" s="1"/>
  <c r="C25" i="189" s="1"/>
  <c r="C26" i="189" s="1"/>
  <c r="C27" i="189" s="1"/>
  <c r="C28" i="189" s="1"/>
  <c r="C29" i="189" s="1"/>
  <c r="C30" i="189" s="1"/>
  <c r="C31" i="189" s="1"/>
  <c r="C32" i="189" s="1"/>
  <c r="C33" i="189" s="1"/>
  <c r="C34" i="189" s="1"/>
  <c r="C35" i="189" s="1"/>
  <c r="C36" i="189" s="1"/>
  <c r="C37" i="189" s="1"/>
  <c r="C38" i="189" s="1"/>
  <c r="B18" i="22"/>
  <c r="C169" i="827"/>
  <c r="C237" i="827" s="1"/>
  <c r="C271" i="827" s="1"/>
  <c r="C203" i="827"/>
  <c r="C35" i="827"/>
  <c r="C136" i="827"/>
  <c r="X32" i="589"/>
  <c r="AG44" i="589" s="1"/>
  <c r="AB32" i="589"/>
  <c r="M32" i="589"/>
  <c r="AD52" i="589" s="1"/>
  <c r="AI52" i="589" s="1"/>
  <c r="AJ52" i="589" s="1"/>
  <c r="N32" i="589"/>
  <c r="Z47" i="589" s="1"/>
  <c r="Y32" i="589"/>
  <c r="AE41" i="589" s="1"/>
  <c r="N22" i="588"/>
  <c r="W32" i="589"/>
  <c r="AC41" i="589" s="1"/>
  <c r="AI25" i="589"/>
  <c r="AI26" i="589"/>
  <c r="N24" i="588"/>
  <c r="T32" i="589"/>
  <c r="Z41" i="589" s="1"/>
  <c r="AI82" i="589"/>
  <c r="AJ77" i="589" s="1"/>
  <c r="AK77" i="589" s="1"/>
  <c r="AI27" i="589"/>
  <c r="AI28" i="589"/>
  <c r="S57" i="28"/>
  <c r="Z32" i="589"/>
  <c r="AF41" i="589" s="1"/>
  <c r="U32" i="589"/>
  <c r="AD44" i="589" s="1"/>
  <c r="S56" i="28"/>
  <c r="V32" i="589"/>
  <c r="AB41" i="589" s="1"/>
  <c r="Q32" i="589"/>
  <c r="AC47" i="589" s="1"/>
  <c r="R32" i="589"/>
  <c r="AA44" i="589" s="1"/>
  <c r="P32" i="589"/>
  <c r="V41" i="589" s="1"/>
  <c r="AI23" i="589"/>
  <c r="AI24" i="589"/>
  <c r="Q13" i="178"/>
  <c r="I13" i="178"/>
  <c r="AA32" i="589"/>
  <c r="AG41" i="589" s="1"/>
  <c r="S32" i="589"/>
  <c r="AB44" i="589" s="1"/>
  <c r="T1" i="188"/>
  <c r="X1" i="188" s="1"/>
  <c r="AB1" i="188" s="1"/>
  <c r="AF1" i="188" s="1"/>
  <c r="AJ1" i="188" s="1"/>
  <c r="AN1" i="188" s="1"/>
  <c r="AR1" i="188" s="1"/>
  <c r="AV1" i="188" s="1"/>
  <c r="AZ1" i="188" s="1"/>
  <c r="BD1" i="188" s="1"/>
  <c r="BH1" i="188" s="1"/>
  <c r="BL1" i="188" s="1"/>
  <c r="K25" i="178"/>
  <c r="K27" i="178" s="1"/>
  <c r="K30" i="178" s="1"/>
  <c r="H22" i="178"/>
  <c r="N21" i="588"/>
  <c r="J18" i="588"/>
  <c r="L18" i="588" s="1"/>
  <c r="N18" i="588" s="1"/>
  <c r="J14" i="588"/>
  <c r="L14" i="588" s="1"/>
  <c r="N14" i="588" s="1"/>
  <c r="J12" i="588"/>
  <c r="L12" i="588" s="1"/>
  <c r="O32" i="589"/>
  <c r="AF52" i="589" s="1"/>
  <c r="D10" i="63"/>
  <c r="D37" i="63"/>
  <c r="S49" i="28"/>
  <c r="N23" i="588"/>
  <c r="J19" i="588"/>
  <c r="L19" i="588" s="1"/>
  <c r="N19" i="588" s="1"/>
  <c r="J17" i="588"/>
  <c r="L17" i="588" s="1"/>
  <c r="N17" i="588" s="1"/>
  <c r="J13" i="588"/>
  <c r="L13" i="588" s="1"/>
  <c r="N13" i="588" s="1"/>
  <c r="S48" i="28"/>
  <c r="S41" i="28"/>
  <c r="D11" i="63"/>
  <c r="C301" i="827"/>
  <c r="P38" i="829"/>
  <c r="P17" i="829"/>
  <c r="P7" i="829"/>
  <c r="P55" i="829" s="1"/>
  <c r="O37" i="829"/>
  <c r="O16" i="829"/>
  <c r="S55" i="28"/>
  <c r="S47" i="28"/>
  <c r="S54" i="28"/>
  <c r="S46" i="28"/>
  <c r="S53" i="28"/>
  <c r="S45" i="28"/>
  <c r="S52" i="28"/>
  <c r="S44" i="28"/>
  <c r="S59" i="28"/>
  <c r="S51" i="28"/>
  <c r="S43" i="28"/>
  <c r="S58" i="28"/>
  <c r="S50" i="28"/>
  <c r="Q8" i="2"/>
  <c r="K5" i="855" s="1"/>
  <c r="R5" i="855" s="1"/>
  <c r="Q15" i="826"/>
  <c r="P13" i="178"/>
  <c r="J13" i="178"/>
  <c r="P25" i="178"/>
  <c r="M13" i="178"/>
  <c r="M25" i="178"/>
  <c r="J25" i="178"/>
  <c r="J27" i="178" s="1"/>
  <c r="I25" i="178"/>
  <c r="I27" i="178" s="1"/>
  <c r="I31" i="178" s="1"/>
  <c r="I32" i="178" s="1"/>
  <c r="Q22" i="178"/>
  <c r="K13" i="178"/>
  <c r="O25" i="178"/>
  <c r="G25" i="178"/>
  <c r="G27" i="178" s="1"/>
  <c r="G30" i="178" s="1"/>
  <c r="H30" i="178"/>
  <c r="N25" i="178"/>
  <c r="O13" i="178"/>
  <c r="N13" i="178"/>
  <c r="L25" i="178"/>
  <c r="L27" i="178" s="1"/>
  <c r="P7" i="2"/>
  <c r="P14" i="826"/>
  <c r="L35" i="589"/>
  <c r="AC35" i="589" s="1"/>
  <c r="AC56" i="589" s="1"/>
  <c r="L55" i="589"/>
  <c r="G13" i="178"/>
  <c r="AD9" i="189"/>
  <c r="L45" i="589"/>
  <c r="AF62" i="589"/>
  <c r="L39" i="589"/>
  <c r="L53" i="589"/>
  <c r="L40" i="589"/>
  <c r="L48" i="589"/>
  <c r="L38" i="589"/>
  <c r="L49" i="589"/>
  <c r="AD62" i="589"/>
  <c r="L36" i="589"/>
  <c r="L51" i="589"/>
  <c r="L50" i="589"/>
  <c r="L37" i="589"/>
  <c r="Y62" i="589"/>
  <c r="V62" i="589"/>
  <c r="L46" i="589"/>
  <c r="L43" i="589"/>
  <c r="S62" i="589"/>
  <c r="L13" i="178"/>
  <c r="H13" i="178"/>
  <c r="L42" i="589"/>
  <c r="O19" i="825"/>
  <c r="P93" i="826"/>
  <c r="P145" i="826"/>
  <c r="P156" i="826"/>
  <c r="Q94" i="826"/>
  <c r="Q157" i="826"/>
  <c r="Q146" i="826"/>
  <c r="Q11" i="826"/>
  <c r="Q7" i="826" s="1"/>
  <c r="R10" i="826"/>
  <c r="L24" i="437"/>
  <c r="L22" i="437"/>
  <c r="L18" i="437"/>
  <c r="L8" i="437"/>
  <c r="F11" i="63"/>
  <c r="L27" i="437"/>
  <c r="L31" i="437"/>
  <c r="M16" i="437"/>
  <c r="L21" i="437"/>
  <c r="F12" i="63"/>
  <c r="E15" i="63"/>
  <c r="F15" i="63"/>
  <c r="E14" i="63"/>
  <c r="M11" i="437"/>
  <c r="F8" i="63"/>
  <c r="E8" i="63"/>
  <c r="E37" i="63"/>
  <c r="D8" i="63"/>
  <c r="F14" i="63"/>
  <c r="F10" i="63"/>
  <c r="E10" i="63"/>
  <c r="F9" i="63"/>
  <c r="E16" i="63"/>
  <c r="F16" i="63"/>
  <c r="M22" i="437"/>
  <c r="M18" i="437"/>
  <c r="AD56" i="22"/>
  <c r="M21" i="437"/>
  <c r="M32" i="437"/>
  <c r="D13" i="192"/>
  <c r="D64" i="192" s="1"/>
  <c r="AC13" i="189"/>
  <c r="L33" i="437"/>
  <c r="F13" i="63"/>
  <c r="E12" i="63"/>
  <c r="L32" i="437"/>
  <c r="AC56" i="22"/>
  <c r="E9" i="63"/>
  <c r="E13" i="63"/>
  <c r="L9" i="178"/>
  <c r="M8" i="437"/>
  <c r="AE56" i="22"/>
  <c r="L15" i="437"/>
  <c r="J9" i="178"/>
  <c r="K9" i="178"/>
  <c r="N11" i="589"/>
  <c r="O11" i="589" s="1"/>
  <c r="K35" i="589"/>
  <c r="M9" i="178"/>
  <c r="AQ4" i="587"/>
  <c r="N4" i="190"/>
  <c r="I4" i="63"/>
  <c r="N4" i="192"/>
  <c r="AH4" i="589"/>
  <c r="L4" i="28"/>
  <c r="AT4" i="22"/>
  <c r="O4" i="588"/>
  <c r="M10" i="589"/>
  <c r="M57" i="589"/>
  <c r="J43" i="835" l="1"/>
  <c r="K42" i="835" s="1"/>
  <c r="K43" i="835" s="1"/>
  <c r="L42" i="835" s="1"/>
  <c r="Q173" i="826"/>
  <c r="Q7" i="835"/>
  <c r="O28" i="825"/>
  <c r="J4" i="855"/>
  <c r="Q4" i="855" s="1"/>
  <c r="W65" i="840"/>
  <c r="W72" i="840" s="1"/>
  <c r="W87" i="840" s="1"/>
  <c r="W104" i="840" s="1"/>
  <c r="W50" i="840"/>
  <c r="I68" i="2"/>
  <c r="I14" i="829"/>
  <c r="J68" i="2"/>
  <c r="J14" i="829"/>
  <c r="P7" i="847"/>
  <c r="Q167" i="826"/>
  <c r="X30" i="840"/>
  <c r="X35" i="840" s="1"/>
  <c r="X54" i="840" s="1"/>
  <c r="N9" i="834"/>
  <c r="O21" i="2"/>
  <c r="O112" i="826"/>
  <c r="O36" i="2" s="1"/>
  <c r="O113" i="826"/>
  <c r="O37" i="2" s="1"/>
  <c r="O22" i="2"/>
  <c r="N69" i="826"/>
  <c r="N67" i="826"/>
  <c r="O20" i="2"/>
  <c r="O111" i="826"/>
  <c r="O35" i="2" s="1"/>
  <c r="N34" i="2"/>
  <c r="N114" i="826"/>
  <c r="N23" i="2"/>
  <c r="O66" i="826"/>
  <c r="O19" i="2"/>
  <c r="O110" i="826"/>
  <c r="N37" i="2"/>
  <c r="C170" i="827"/>
  <c r="C238" i="827" s="1"/>
  <c r="C272" i="827" s="1"/>
  <c r="C204" i="827"/>
  <c r="C36" i="827"/>
  <c r="C137" i="827"/>
  <c r="R11" i="826"/>
  <c r="R7" i="826" s="1"/>
  <c r="AG47" i="589"/>
  <c r="AA47" i="589"/>
  <c r="AF44" i="589"/>
  <c r="AA41" i="589"/>
  <c r="Z44" i="589"/>
  <c r="AD41" i="589"/>
  <c r="W41" i="589"/>
  <c r="AE52" i="589"/>
  <c r="X41" i="589"/>
  <c r="W44" i="589"/>
  <c r="T41" i="589"/>
  <c r="AF53" i="589"/>
  <c r="AC51" i="589"/>
  <c r="AI51" i="589" s="1"/>
  <c r="AJ51" i="589" s="1"/>
  <c r="AB38" i="589"/>
  <c r="AB40" i="589"/>
  <c r="V44" i="589"/>
  <c r="AI44" i="589" s="1"/>
  <c r="AJ44" i="589" s="1"/>
  <c r="W37" i="589"/>
  <c r="AJ82" i="589"/>
  <c r="AK82" i="589" s="1"/>
  <c r="AG54" i="589"/>
  <c r="AG55" i="589"/>
  <c r="AI55" i="589" s="1"/>
  <c r="AJ55" i="589" s="1"/>
  <c r="Y47" i="589"/>
  <c r="AI47" i="589" s="1"/>
  <c r="AJ47" i="589" s="1"/>
  <c r="AJ79" i="589"/>
  <c r="AK79" i="589" s="1"/>
  <c r="J26" i="588"/>
  <c r="N28" i="588" s="1"/>
  <c r="U41" i="589"/>
  <c r="W43" i="589"/>
  <c r="AC44" i="589"/>
  <c r="AF54" i="589"/>
  <c r="AI54" i="589" s="1"/>
  <c r="AJ54" i="589" s="1"/>
  <c r="S41" i="589"/>
  <c r="AI41" i="589" s="1"/>
  <c r="AJ41" i="589" s="1"/>
  <c r="Y45" i="589"/>
  <c r="X44" i="589"/>
  <c r="AF47" i="589"/>
  <c r="AC49" i="589"/>
  <c r="AB39" i="589"/>
  <c r="AD47" i="589"/>
  <c r="AE44" i="589"/>
  <c r="AE48" i="589"/>
  <c r="AJ78" i="589"/>
  <c r="AK78" i="589" s="1"/>
  <c r="AG52" i="589"/>
  <c r="AG50" i="589"/>
  <c r="AJ80" i="589"/>
  <c r="AK80" i="589" s="1"/>
  <c r="AB47" i="589"/>
  <c r="AE47" i="589"/>
  <c r="Y44" i="589"/>
  <c r="AI32" i="589"/>
  <c r="Y41" i="589"/>
  <c r="AJ81" i="589"/>
  <c r="AK81" i="589" s="1"/>
  <c r="AJ76" i="589"/>
  <c r="AK76" i="589" s="1"/>
  <c r="Q7" i="829"/>
  <c r="Q55" i="829" s="1"/>
  <c r="L31" i="178"/>
  <c r="L32" i="178" s="1"/>
  <c r="Q38" i="829"/>
  <c r="Q17" i="829"/>
  <c r="E11" i="63"/>
  <c r="O35" i="589"/>
  <c r="O56" i="589" s="1"/>
  <c r="C302" i="827"/>
  <c r="C303" i="827" s="1"/>
  <c r="C304" i="827" s="1"/>
  <c r="C305" i="827" s="1"/>
  <c r="C306" i="827" s="1"/>
  <c r="C307" i="827" s="1"/>
  <c r="C308" i="827" s="1"/>
  <c r="C309" i="827" s="1"/>
  <c r="C310" i="827" s="1"/>
  <c r="C311" i="827" s="1"/>
  <c r="C312" i="827" s="1"/>
  <c r="C313" i="827" s="1"/>
  <c r="C314" i="827" s="1"/>
  <c r="C315" i="827" s="1"/>
  <c r="C316" i="827" s="1"/>
  <c r="C317" i="827" s="1"/>
  <c r="C318" i="827" s="1"/>
  <c r="C319" i="827" s="1"/>
  <c r="C320" i="827" s="1"/>
  <c r="C321" i="827" s="1"/>
  <c r="C322" i="827" s="1"/>
  <c r="C323" i="827" s="1"/>
  <c r="P37" i="829"/>
  <c r="P16" i="829"/>
  <c r="J31" i="178"/>
  <c r="J32" i="178" s="1"/>
  <c r="L30" i="178"/>
  <c r="I30" i="178"/>
  <c r="H31" i="178"/>
  <c r="H32" i="178" s="1"/>
  <c r="K31" i="178"/>
  <c r="K32" i="178" s="1"/>
  <c r="J30" i="178"/>
  <c r="Q7" i="2"/>
  <c r="K4" i="855" s="1"/>
  <c r="R4" i="855" s="1"/>
  <c r="Q14" i="826"/>
  <c r="W35" i="589"/>
  <c r="W56" i="589" s="1"/>
  <c r="AD45" i="589"/>
  <c r="AF35" i="589"/>
  <c r="AF56" i="589" s="1"/>
  <c r="AG35" i="589"/>
  <c r="AG56" i="589" s="1"/>
  <c r="AD39" i="589"/>
  <c r="P35" i="589"/>
  <c r="P56" i="589" s="1"/>
  <c r="AE35" i="589"/>
  <c r="AE56" i="589" s="1"/>
  <c r="AB35" i="589"/>
  <c r="AB56" i="589" s="1"/>
  <c r="Q35" i="589"/>
  <c r="Q56" i="589" s="1"/>
  <c r="V35" i="589"/>
  <c r="V56" i="589" s="1"/>
  <c r="Y35" i="589"/>
  <c r="Y56" i="589" s="1"/>
  <c r="S35" i="589"/>
  <c r="S56" i="589" s="1"/>
  <c r="AD35" i="589"/>
  <c r="AD56" i="589" s="1"/>
  <c r="AE45" i="589"/>
  <c r="R35" i="589"/>
  <c r="R56" i="589" s="1"/>
  <c r="AB45" i="589"/>
  <c r="Q39" i="589"/>
  <c r="AI39" i="589" s="1"/>
  <c r="AJ39" i="589" s="1"/>
  <c r="AA35" i="589"/>
  <c r="AA56" i="589" s="1"/>
  <c r="N35" i="589"/>
  <c r="N56" i="589" s="1"/>
  <c r="X35" i="589"/>
  <c r="X56" i="589" s="1"/>
  <c r="Z35" i="589"/>
  <c r="Z56" i="589" s="1"/>
  <c r="U39" i="589"/>
  <c r="AA45" i="589"/>
  <c r="U35" i="589"/>
  <c r="U56" i="589" s="1"/>
  <c r="T35" i="589"/>
  <c r="T56" i="589" s="1"/>
  <c r="M35" i="589"/>
  <c r="AA39" i="589"/>
  <c r="R39" i="589"/>
  <c r="W45" i="589"/>
  <c r="AI45" i="589" s="1"/>
  <c r="AJ45" i="589" s="1"/>
  <c r="Y39" i="589"/>
  <c r="AC43" i="589"/>
  <c r="AD43" i="589"/>
  <c r="AC45" i="589"/>
  <c r="X45" i="589"/>
  <c r="AG45" i="589"/>
  <c r="Z45" i="589"/>
  <c r="AA43" i="589"/>
  <c r="AF45" i="589"/>
  <c r="V43" i="589"/>
  <c r="V37" i="589"/>
  <c r="AC37" i="589"/>
  <c r="Y43" i="589"/>
  <c r="AB43" i="589"/>
  <c r="AE43" i="589"/>
  <c r="AG43" i="589"/>
  <c r="Z43" i="589"/>
  <c r="U37" i="589"/>
  <c r="Z40" i="589"/>
  <c r="AF39" i="589"/>
  <c r="T40" i="589"/>
  <c r="S40" i="589"/>
  <c r="X40" i="589"/>
  <c r="X38" i="589"/>
  <c r="Z38" i="589"/>
  <c r="AC40" i="589"/>
  <c r="S39" i="589"/>
  <c r="AF38" i="589"/>
  <c r="AG38" i="589"/>
  <c r="V40" i="589"/>
  <c r="P38" i="589"/>
  <c r="AI38" i="589" s="1"/>
  <c r="AJ38" i="589" s="1"/>
  <c r="T39" i="589"/>
  <c r="X39" i="589"/>
  <c r="AG39" i="589"/>
  <c r="Q37" i="589"/>
  <c r="AE39" i="589"/>
  <c r="W39" i="589"/>
  <c r="Z39" i="589"/>
  <c r="V39" i="589"/>
  <c r="X37" i="589"/>
  <c r="AC39" i="589"/>
  <c r="Y37" i="589"/>
  <c r="R38" i="589"/>
  <c r="AE38" i="589"/>
  <c r="AD48" i="589"/>
  <c r="S38" i="589"/>
  <c r="U38" i="589"/>
  <c r="Y38" i="589"/>
  <c r="U40" i="589"/>
  <c r="W40" i="589"/>
  <c r="Z48" i="589"/>
  <c r="AI48" i="589" s="1"/>
  <c r="AJ48" i="589" s="1"/>
  <c r="AF48" i="589"/>
  <c r="AG48" i="589"/>
  <c r="AB48" i="589"/>
  <c r="AA48" i="589"/>
  <c r="AE51" i="589"/>
  <c r="AA40" i="589"/>
  <c r="AC48" i="589"/>
  <c r="AD49" i="589"/>
  <c r="AB49" i="589"/>
  <c r="R40" i="589"/>
  <c r="AI40" i="589" s="1"/>
  <c r="AJ40" i="589" s="1"/>
  <c r="Y40" i="589"/>
  <c r="AF40" i="589"/>
  <c r="AG40" i="589"/>
  <c r="AE40" i="589"/>
  <c r="AD40" i="589"/>
  <c r="AE53" i="589"/>
  <c r="AI53" i="589" s="1"/>
  <c r="AJ53" i="589" s="1"/>
  <c r="AG53" i="589"/>
  <c r="T37" i="589"/>
  <c r="AD50" i="589"/>
  <c r="AB50" i="589"/>
  <c r="AI50" i="589" s="1"/>
  <c r="AJ50" i="589" s="1"/>
  <c r="AF50" i="589"/>
  <c r="AE49" i="589"/>
  <c r="Q36" i="589"/>
  <c r="Z36" i="589"/>
  <c r="AE36" i="589"/>
  <c r="AA36" i="589"/>
  <c r="U36" i="589"/>
  <c r="V36" i="589"/>
  <c r="N36" i="589"/>
  <c r="AI36" i="589" s="1"/>
  <c r="AJ36" i="589" s="1"/>
  <c r="P36" i="589"/>
  <c r="R36" i="589"/>
  <c r="AB36" i="589"/>
  <c r="AG36" i="589"/>
  <c r="W36" i="589"/>
  <c r="Y36" i="589"/>
  <c r="AF36" i="589"/>
  <c r="X36" i="589"/>
  <c r="AC36" i="589"/>
  <c r="T36" i="589"/>
  <c r="O36" i="589"/>
  <c r="S36" i="589"/>
  <c r="AD36" i="589"/>
  <c r="AA37" i="589"/>
  <c r="Q38" i="589"/>
  <c r="AD38" i="589"/>
  <c r="T38" i="589"/>
  <c r="AA38" i="589"/>
  <c r="V38" i="589"/>
  <c r="W38" i="589"/>
  <c r="AC38" i="589"/>
  <c r="P37" i="589"/>
  <c r="AG37" i="589"/>
  <c r="AE37" i="589"/>
  <c r="AF37" i="589"/>
  <c r="Z37" i="589"/>
  <c r="AG49" i="589"/>
  <c r="AF49" i="589"/>
  <c r="S37" i="589"/>
  <c r="AC50" i="589"/>
  <c r="AE50" i="589"/>
  <c r="O37" i="589"/>
  <c r="AI37" i="589" s="1"/>
  <c r="AJ37" i="589" s="1"/>
  <c r="AA49" i="589"/>
  <c r="AI49" i="589" s="1"/>
  <c r="AJ49" i="589" s="1"/>
  <c r="AD37" i="589"/>
  <c r="AB37" i="589"/>
  <c r="R37" i="589"/>
  <c r="AG51" i="589"/>
  <c r="AD51" i="589"/>
  <c r="AF51" i="589"/>
  <c r="U43" i="589"/>
  <c r="AI43" i="589" s="1"/>
  <c r="AJ43" i="589" s="1"/>
  <c r="X43" i="589"/>
  <c r="AF43" i="589"/>
  <c r="X46" i="589"/>
  <c r="AI46" i="589" s="1"/>
  <c r="AJ46" i="589" s="1"/>
  <c r="Z46" i="589"/>
  <c r="Y46" i="589"/>
  <c r="AD46" i="589"/>
  <c r="AE46" i="589"/>
  <c r="AF46" i="589"/>
  <c r="AA46" i="589"/>
  <c r="AC46" i="589"/>
  <c r="AG46" i="589"/>
  <c r="AB46" i="589"/>
  <c r="V42" i="589"/>
  <c r="Y42" i="589"/>
  <c r="W42" i="589"/>
  <c r="AC42" i="589"/>
  <c r="AD42" i="589"/>
  <c r="AB42" i="589"/>
  <c r="AE42" i="589"/>
  <c r="AA42" i="589"/>
  <c r="T42" i="589"/>
  <c r="AI42" i="589" s="1"/>
  <c r="AJ42" i="589" s="1"/>
  <c r="U42" i="589"/>
  <c r="X42" i="589"/>
  <c r="AF42" i="589"/>
  <c r="AG42" i="589"/>
  <c r="Z42" i="589"/>
  <c r="P19" i="825"/>
  <c r="Q93" i="826"/>
  <c r="Q156" i="826"/>
  <c r="Q145" i="826"/>
  <c r="R12" i="826"/>
  <c r="R8" i="826" s="1"/>
  <c r="AE52" i="22"/>
  <c r="M24" i="437"/>
  <c r="L7" i="437"/>
  <c r="L14" i="437"/>
  <c r="L9" i="437"/>
  <c r="AC66" i="22"/>
  <c r="AD66" i="22"/>
  <c r="AE66" i="22"/>
  <c r="L10" i="437"/>
  <c r="M30" i="437"/>
  <c r="M14" i="437"/>
  <c r="M27" i="437"/>
  <c r="M15" i="437"/>
  <c r="M31" i="437"/>
  <c r="K88" i="190"/>
  <c r="U88" i="190" s="1"/>
  <c r="L16" i="437"/>
  <c r="L12" i="437"/>
  <c r="L5" i="437"/>
  <c r="AC10" i="189"/>
  <c r="M5" i="437"/>
  <c r="L30" i="437"/>
  <c r="M19" i="437"/>
  <c r="L20" i="437"/>
  <c r="M29" i="437"/>
  <c r="M34" i="437"/>
  <c r="L26" i="437"/>
  <c r="L28" i="437"/>
  <c r="L29" i="437"/>
  <c r="L11" i="437"/>
  <c r="AC12" i="189"/>
  <c r="D12" i="192"/>
  <c r="D63" i="192" s="1"/>
  <c r="M20" i="437"/>
  <c r="M7" i="437"/>
  <c r="L6" i="437"/>
  <c r="L25" i="437"/>
  <c r="L19" i="437"/>
  <c r="AC16" i="189"/>
  <c r="M25" i="437"/>
  <c r="AC17" i="189"/>
  <c r="M12" i="437"/>
  <c r="M26" i="437"/>
  <c r="AC39" i="189"/>
  <c r="L34" i="437"/>
  <c r="M28" i="437"/>
  <c r="E18" i="587"/>
  <c r="L23" i="437"/>
  <c r="L17" i="437"/>
  <c r="S62" i="190"/>
  <c r="S64" i="190"/>
  <c r="L13" i="437"/>
  <c r="M13" i="437"/>
  <c r="AC18" i="189"/>
  <c r="D10" i="192"/>
  <c r="D61" i="192" s="1"/>
  <c r="M9" i="437"/>
  <c r="AC15" i="189"/>
  <c r="M10" i="437"/>
  <c r="AC11" i="189"/>
  <c r="M6" i="437"/>
  <c r="E19" i="587"/>
  <c r="AC14" i="189"/>
  <c r="M23" i="437"/>
  <c r="M17" i="437"/>
  <c r="M33" i="437"/>
  <c r="O75" i="589"/>
  <c r="P11" i="589"/>
  <c r="K38" i="589" s="1"/>
  <c r="K36" i="589"/>
  <c r="N75" i="589"/>
  <c r="K37" i="589"/>
  <c r="M88" i="190"/>
  <c r="K67" i="190"/>
  <c r="E15" i="587"/>
  <c r="I9" i="178"/>
  <c r="N12" i="588"/>
  <c r="N26" i="588" s="1"/>
  <c r="N29" i="588" s="1"/>
  <c r="N32" i="588" s="1"/>
  <c r="L26" i="588"/>
  <c r="J88" i="190"/>
  <c r="N9" i="178"/>
  <c r="N57" i="589"/>
  <c r="N88" i="826" l="1"/>
  <c r="N86" i="826"/>
  <c r="N89" i="826"/>
  <c r="N87" i="826"/>
  <c r="N82" i="826"/>
  <c r="N79" i="826"/>
  <c r="N83" i="826"/>
  <c r="N80" i="826"/>
  <c r="N84" i="826"/>
  <c r="N85" i="826"/>
  <c r="N81" i="826"/>
  <c r="N78" i="826"/>
  <c r="Q8" i="847"/>
  <c r="R8" i="835"/>
  <c r="R174" i="826"/>
  <c r="R168" i="826"/>
  <c r="R173" i="826"/>
  <c r="R7" i="835"/>
  <c r="J78" i="2"/>
  <c r="I34" i="825" s="1"/>
  <c r="I78" i="2"/>
  <c r="Q68" i="840" s="1"/>
  <c r="X65" i="840"/>
  <c r="X72" i="840" s="1"/>
  <c r="X87" i="840" s="1"/>
  <c r="X104" i="840" s="1"/>
  <c r="X50" i="840"/>
  <c r="V44" i="840"/>
  <c r="V47" i="840"/>
  <c r="V38" i="840"/>
  <c r="V43" i="840"/>
  <c r="V42" i="840"/>
  <c r="V39" i="840"/>
  <c r="V46" i="840"/>
  <c r="V45" i="840"/>
  <c r="V37" i="840"/>
  <c r="V36" i="840"/>
  <c r="V40" i="840"/>
  <c r="V41" i="840"/>
  <c r="N72" i="2"/>
  <c r="V51" i="840"/>
  <c r="Q7" i="847"/>
  <c r="R167" i="826"/>
  <c r="P28" i="825"/>
  <c r="Y30" i="840"/>
  <c r="Y35" i="840" s="1"/>
  <c r="Y54" i="840" s="1"/>
  <c r="O9" i="834"/>
  <c r="O23" i="2"/>
  <c r="O34" i="2"/>
  <c r="O38" i="2" s="1"/>
  <c r="O114" i="826"/>
  <c r="N46" i="2"/>
  <c r="N45" i="2"/>
  <c r="N44" i="2"/>
  <c r="N72" i="826"/>
  <c r="N73" i="826"/>
  <c r="M21" i="825"/>
  <c r="N49" i="2"/>
  <c r="N48" i="2"/>
  <c r="N47" i="2"/>
  <c r="P20" i="2"/>
  <c r="P111" i="826"/>
  <c r="P35" i="2" s="1"/>
  <c r="N10" i="829"/>
  <c r="N27" i="829" s="1"/>
  <c r="V96" i="840" s="1"/>
  <c r="P112" i="826"/>
  <c r="P36" i="2" s="1"/>
  <c r="P21" i="2"/>
  <c r="O69" i="826"/>
  <c r="O67" i="826"/>
  <c r="P113" i="826"/>
  <c r="P37" i="2" s="1"/>
  <c r="P22" i="2"/>
  <c r="R7" i="2"/>
  <c r="D48" i="854" s="1"/>
  <c r="P66" i="826"/>
  <c r="P110" i="826"/>
  <c r="P19" i="2"/>
  <c r="N74" i="826"/>
  <c r="N115" i="826"/>
  <c r="N38" i="2"/>
  <c r="N73" i="2" s="1"/>
  <c r="R8" i="829"/>
  <c r="R56" i="829" s="1"/>
  <c r="T56" i="829" s="1"/>
  <c r="C171" i="827"/>
  <c r="C239" i="827" s="1"/>
  <c r="C273" i="827" s="1"/>
  <c r="C205" i="827"/>
  <c r="C37" i="827"/>
  <c r="C138" i="827"/>
  <c r="R14" i="826"/>
  <c r="R37" i="829" s="1"/>
  <c r="T37" i="829" s="1"/>
  <c r="R145" i="826"/>
  <c r="T145" i="826" s="1"/>
  <c r="R156" i="826"/>
  <c r="R7" i="829"/>
  <c r="R55" i="829" s="1"/>
  <c r="T55" i="829" s="1"/>
  <c r="R93" i="826"/>
  <c r="T93" i="826" s="1"/>
  <c r="Q19" i="825"/>
  <c r="Q37" i="829"/>
  <c r="Q16" i="829"/>
  <c r="R8" i="2"/>
  <c r="L5" i="855" s="1"/>
  <c r="S5" i="855" s="1"/>
  <c r="R15" i="826"/>
  <c r="N58" i="589"/>
  <c r="N63" i="589" s="1"/>
  <c r="N64" i="589" s="1"/>
  <c r="O16" i="589" s="1"/>
  <c r="M56" i="589"/>
  <c r="M58" i="589" s="1"/>
  <c r="M63" i="589" s="1"/>
  <c r="M64" i="589" s="1"/>
  <c r="N16" i="589" s="1"/>
  <c r="AI35" i="589"/>
  <c r="AJ35" i="589" s="1"/>
  <c r="R94" i="826"/>
  <c r="T94" i="826" s="1"/>
  <c r="R157" i="826"/>
  <c r="R146" i="826"/>
  <c r="T146" i="826" s="1"/>
  <c r="E13" i="587"/>
  <c r="AC52" i="22"/>
  <c r="AD52" i="22"/>
  <c r="E11" i="587"/>
  <c r="E14" i="587"/>
  <c r="E17" i="587"/>
  <c r="D16" i="192"/>
  <c r="D67" i="192" s="1"/>
  <c r="AC49" i="22"/>
  <c r="AE49" i="22"/>
  <c r="AD49" i="22"/>
  <c r="S59" i="190"/>
  <c r="AE61" i="22"/>
  <c r="AC61" i="22"/>
  <c r="AD61" i="22"/>
  <c r="AE65" i="22"/>
  <c r="AC65" i="22"/>
  <c r="AD65" i="22"/>
  <c r="S61" i="190"/>
  <c r="G9" i="238"/>
  <c r="G8" i="238"/>
  <c r="G10" i="238"/>
  <c r="S65" i="190"/>
  <c r="E12" i="587"/>
  <c r="G11" i="238"/>
  <c r="AD58" i="22"/>
  <c r="AE58" i="22"/>
  <c r="AC58" i="22"/>
  <c r="G12" i="238"/>
  <c r="G13" i="238"/>
  <c r="AE54" i="22"/>
  <c r="AD54" i="22"/>
  <c r="AC54" i="22"/>
  <c r="AC62" i="22"/>
  <c r="AE62" i="22"/>
  <c r="AD62" i="22"/>
  <c r="S88" i="190"/>
  <c r="AD53" i="22"/>
  <c r="AC53" i="22"/>
  <c r="AE53" i="22"/>
  <c r="AC64" i="22"/>
  <c r="AD64" i="22"/>
  <c r="AE64" i="22"/>
  <c r="AC68" i="22"/>
  <c r="AE68" i="22"/>
  <c r="AD68" i="22"/>
  <c r="AE63" i="22"/>
  <c r="AD63" i="22"/>
  <c r="AC63" i="22"/>
  <c r="AD59" i="22"/>
  <c r="AC59" i="22"/>
  <c r="AE59" i="22"/>
  <c r="AE55" i="22"/>
  <c r="AD55" i="22"/>
  <c r="AC55" i="22"/>
  <c r="G5" i="238"/>
  <c r="AE60" i="22"/>
  <c r="AD60" i="22"/>
  <c r="AC60" i="22"/>
  <c r="S66" i="190"/>
  <c r="AD50" i="22"/>
  <c r="AC50" i="22"/>
  <c r="AE50" i="22"/>
  <c r="D17" i="192"/>
  <c r="D68" i="192" s="1"/>
  <c r="D39" i="192"/>
  <c r="D90" i="192" s="1"/>
  <c r="G7" i="238"/>
  <c r="J64" i="92"/>
  <c r="E16" i="587"/>
  <c r="AC47" i="22"/>
  <c r="D18" i="192"/>
  <c r="D69" i="192" s="1"/>
  <c r="AD47" i="22"/>
  <c r="S67" i="190"/>
  <c r="R29" i="178"/>
  <c r="D11" i="192"/>
  <c r="D62" i="192" s="1"/>
  <c r="D15" i="192"/>
  <c r="D66" i="192" s="1"/>
  <c r="AD57" i="22"/>
  <c r="AE57" i="22"/>
  <c r="AC57" i="22"/>
  <c r="D14" i="192"/>
  <c r="D65" i="192" s="1"/>
  <c r="AD67" i="22"/>
  <c r="AE67" i="22"/>
  <c r="AC67" i="22"/>
  <c r="AD51" i="22"/>
  <c r="AE51" i="22"/>
  <c r="AC51" i="22"/>
  <c r="S60" i="190"/>
  <c r="S63" i="190"/>
  <c r="E40" i="587"/>
  <c r="D58" i="92"/>
  <c r="H32" i="92"/>
  <c r="I31" i="92"/>
  <c r="I32" i="92"/>
  <c r="H31" i="92"/>
  <c r="Q11" i="589"/>
  <c r="Q75" i="589" s="1"/>
  <c r="J67" i="190"/>
  <c r="P75" i="589"/>
  <c r="L88" i="190"/>
  <c r="G35" i="92"/>
  <c r="G33" i="92"/>
  <c r="H9" i="178"/>
  <c r="G9" i="178"/>
  <c r="K66" i="190"/>
  <c r="L66" i="190"/>
  <c r="M66" i="190"/>
  <c r="M67" i="190"/>
  <c r="U67" i="190"/>
  <c r="G32" i="92"/>
  <c r="O9" i="178"/>
  <c r="O57" i="589"/>
  <c r="V31" i="840" l="1"/>
  <c r="D49" i="854"/>
  <c r="M22" i="825"/>
  <c r="M23" i="825" s="1"/>
  <c r="V55" i="840"/>
  <c r="V63" i="840" s="1"/>
  <c r="V33" i="840"/>
  <c r="V32" i="840"/>
  <c r="N90" i="826"/>
  <c r="O87" i="826"/>
  <c r="O86" i="826"/>
  <c r="O89" i="826"/>
  <c r="O88" i="826"/>
  <c r="O78" i="826"/>
  <c r="O79" i="826"/>
  <c r="O80" i="826"/>
  <c r="O81" i="826"/>
  <c r="O84" i="826"/>
  <c r="O82" i="826"/>
  <c r="O83" i="826"/>
  <c r="O85" i="826"/>
  <c r="N75" i="826"/>
  <c r="H34" i="825"/>
  <c r="R68" i="840"/>
  <c r="Q28" i="825"/>
  <c r="L4" i="855"/>
  <c r="S4" i="855" s="1"/>
  <c r="Y65" i="840"/>
  <c r="Y72" i="840" s="1"/>
  <c r="Y87" i="840" s="1"/>
  <c r="Y104" i="840" s="1"/>
  <c r="Y50" i="840"/>
  <c r="V48" i="840"/>
  <c r="O72" i="2"/>
  <c r="W51" i="840"/>
  <c r="W43" i="840"/>
  <c r="W39" i="840"/>
  <c r="W38" i="840"/>
  <c r="W45" i="840"/>
  <c r="W42" i="840"/>
  <c r="W47" i="840"/>
  <c r="W46" i="840"/>
  <c r="W44" i="840"/>
  <c r="W37" i="840"/>
  <c r="W36" i="840"/>
  <c r="W40" i="840"/>
  <c r="W41" i="840"/>
  <c r="O73" i="2"/>
  <c r="N21" i="829"/>
  <c r="V91" i="840" s="1"/>
  <c r="N19" i="829"/>
  <c r="V89" i="840" s="1"/>
  <c r="H12" i="849"/>
  <c r="I12" i="849" s="1"/>
  <c r="T72" i="826"/>
  <c r="T168" i="826"/>
  <c r="T157" i="826"/>
  <c r="T167" i="826"/>
  <c r="T156" i="826"/>
  <c r="M29" i="825"/>
  <c r="N82" i="2"/>
  <c r="Z30" i="840"/>
  <c r="Z35" i="840" s="1"/>
  <c r="Z54" i="840" s="1"/>
  <c r="P9" i="834"/>
  <c r="O10" i="829"/>
  <c r="O27" i="829" s="1"/>
  <c r="W96" i="840" s="1"/>
  <c r="O46" i="2"/>
  <c r="O73" i="826"/>
  <c r="W32" i="840" s="1"/>
  <c r="O44" i="2"/>
  <c r="N21" i="825"/>
  <c r="O49" i="2"/>
  <c r="O45" i="2"/>
  <c r="O47" i="2"/>
  <c r="O48" i="2"/>
  <c r="T65" i="826"/>
  <c r="T63" i="826"/>
  <c r="T62" i="826"/>
  <c r="T64" i="826"/>
  <c r="N11" i="829"/>
  <c r="Q112" i="826"/>
  <c r="Q36" i="2" s="1"/>
  <c r="Q21" i="2"/>
  <c r="P23" i="2"/>
  <c r="Q110" i="826"/>
  <c r="Q19" i="2"/>
  <c r="Q66" i="826"/>
  <c r="Q20" i="2"/>
  <c r="Q111" i="826"/>
  <c r="Q35" i="2" s="1"/>
  <c r="P34" i="2"/>
  <c r="P38" i="2" s="1"/>
  <c r="P114" i="826"/>
  <c r="N40" i="2"/>
  <c r="N74" i="2" s="1"/>
  <c r="O115" i="826"/>
  <c r="Q22" i="2"/>
  <c r="Q113" i="826"/>
  <c r="Q37" i="2" s="1"/>
  <c r="P69" i="826"/>
  <c r="P67" i="826"/>
  <c r="O74" i="826"/>
  <c r="W33" i="840" s="1"/>
  <c r="N154" i="826"/>
  <c r="N43" i="2"/>
  <c r="N13" i="829" s="1"/>
  <c r="N28" i="829" s="1"/>
  <c r="V97" i="840" s="1"/>
  <c r="O40" i="2"/>
  <c r="O74" i="2" s="1"/>
  <c r="O11" i="829"/>
  <c r="O20" i="829" s="1"/>
  <c r="W90" i="840" s="1"/>
  <c r="C172" i="827"/>
  <c r="C240" i="827" s="1"/>
  <c r="C274" i="827" s="1"/>
  <c r="C206" i="827"/>
  <c r="C38" i="827"/>
  <c r="C139" i="827"/>
  <c r="R16" i="829"/>
  <c r="N45" i="587"/>
  <c r="H29" i="92"/>
  <c r="I29" i="92"/>
  <c r="G6" i="238"/>
  <c r="R38" i="829"/>
  <c r="T38" i="829" s="1"/>
  <c r="R17" i="829"/>
  <c r="AE31" i="22" a="1"/>
  <c r="AE31" i="22" s="1"/>
  <c r="AO16" i="22"/>
  <c r="AI16" i="22"/>
  <c r="AF16" i="22"/>
  <c r="AP16" i="22"/>
  <c r="AG16" i="22"/>
  <c r="AE46" i="22"/>
  <c r="AJ16" i="22"/>
  <c r="AE47" i="22"/>
  <c r="AK16" i="22"/>
  <c r="AD46" i="22"/>
  <c r="AQ16" i="22"/>
  <c r="AC46" i="22"/>
  <c r="J63" i="190"/>
  <c r="I33" i="92"/>
  <c r="H33" i="92"/>
  <c r="K39" i="589"/>
  <c r="R11" i="589"/>
  <c r="K40" i="589" s="1"/>
  <c r="J59" i="190"/>
  <c r="F65" i="190"/>
  <c r="AN9" i="22"/>
  <c r="AL10" i="22"/>
  <c r="AQ11" i="22"/>
  <c r="F62" i="190"/>
  <c r="I35" i="92"/>
  <c r="I37" i="92"/>
  <c r="AM16" i="22"/>
  <c r="H30" i="92"/>
  <c r="H35" i="92"/>
  <c r="H37" i="92"/>
  <c r="AL16" i="22"/>
  <c r="I36" i="92"/>
  <c r="H36" i="92"/>
  <c r="AH16" i="22"/>
  <c r="AN16" i="22"/>
  <c r="I30" i="92"/>
  <c r="G62" i="190"/>
  <c r="G61" i="190"/>
  <c r="I34" i="92"/>
  <c r="H34" i="92"/>
  <c r="Q46" i="587"/>
  <c r="V55" i="587" a="1"/>
  <c r="V55" i="587" s="1"/>
  <c r="V47" i="587"/>
  <c r="V51" i="587" a="1"/>
  <c r="V51" i="587" s="1"/>
  <c r="K52" i="587" a="1"/>
  <c r="K52" i="587" s="1"/>
  <c r="G34" i="92"/>
  <c r="AN56" i="587" a="1"/>
  <c r="AN56" i="587" s="1"/>
  <c r="V53" i="587" a="1"/>
  <c r="V53" i="587" s="1"/>
  <c r="K54" i="587" a="1"/>
  <c r="K54" i="587" s="1"/>
  <c r="V54" i="587" a="1"/>
  <c r="V54" i="587" s="1"/>
  <c r="K51" i="587" a="1"/>
  <c r="K51" i="587" s="1"/>
  <c r="K56" i="587" a="1"/>
  <c r="K56" i="587" s="1"/>
  <c r="V52" i="587" a="1"/>
  <c r="V52" i="587" s="1"/>
  <c r="V46" i="587"/>
  <c r="K43" i="587"/>
  <c r="K44" i="587"/>
  <c r="K45" i="587"/>
  <c r="V45" i="587"/>
  <c r="K55" i="587" a="1"/>
  <c r="K55" i="587" s="1"/>
  <c r="K53" i="587" a="1"/>
  <c r="K53" i="587" s="1"/>
  <c r="V48" i="587"/>
  <c r="K47" i="587"/>
  <c r="K48" i="587"/>
  <c r="V44" i="587"/>
  <c r="V43" i="587"/>
  <c r="V56" i="587" a="1"/>
  <c r="V56" i="587" s="1"/>
  <c r="K46" i="587"/>
  <c r="F56" i="587" a="1"/>
  <c r="F56" i="587" s="1"/>
  <c r="T46" i="587"/>
  <c r="AI45" i="587"/>
  <c r="T56" i="587" a="1"/>
  <c r="T56" i="587" s="1"/>
  <c r="F53" i="587" a="1"/>
  <c r="F53" i="587" s="1"/>
  <c r="F52" i="587" a="1"/>
  <c r="F52" i="587" s="1"/>
  <c r="F54" i="587" a="1"/>
  <c r="F54" i="587" s="1"/>
  <c r="I48" i="587"/>
  <c r="AD53" i="587" a="1"/>
  <c r="AD53" i="587" s="1"/>
  <c r="AO55" i="587" a="1"/>
  <c r="AO55" i="587" s="1"/>
  <c r="G56" i="587" a="1"/>
  <c r="G56" i="587" s="1"/>
  <c r="H51" i="587" a="1"/>
  <c r="H51" i="587" s="1"/>
  <c r="AO43" i="587"/>
  <c r="AO54" i="587" a="1"/>
  <c r="AO54" i="587" s="1"/>
  <c r="AP43" i="587"/>
  <c r="AH48" i="587"/>
  <c r="J44" i="587"/>
  <c r="S52" i="587" a="1"/>
  <c r="S52" i="587" s="1"/>
  <c r="S53" i="587" a="1"/>
  <c r="S53" i="587" s="1"/>
  <c r="S54" i="587" a="1"/>
  <c r="S54" i="587" s="1"/>
  <c r="T51" i="587" a="1"/>
  <c r="T51" i="587" s="1"/>
  <c r="AN43" i="587"/>
  <c r="L56" i="587" a="1"/>
  <c r="L56" i="587" s="1"/>
  <c r="U51" i="587" a="1"/>
  <c r="U51" i="587" s="1"/>
  <c r="T43" i="587"/>
  <c r="AH51" i="587" a="1"/>
  <c r="AH51" i="587" s="1"/>
  <c r="H44" i="587"/>
  <c r="AO48" i="587"/>
  <c r="S45" i="587"/>
  <c r="S43" i="587"/>
  <c r="AN46" i="587"/>
  <c r="AH52" i="587" a="1"/>
  <c r="AH52" i="587" s="1"/>
  <c r="AP54" i="587" a="1"/>
  <c r="AP54" i="587" s="1"/>
  <c r="T54" i="587" a="1"/>
  <c r="T54" i="587" s="1"/>
  <c r="X45" i="587"/>
  <c r="S56" i="587" a="1"/>
  <c r="S56" i="587" s="1"/>
  <c r="S51" i="587" a="1"/>
  <c r="S51" i="587" s="1"/>
  <c r="H43" i="587"/>
  <c r="AI55" i="587" a="1"/>
  <c r="AI55" i="587" s="1"/>
  <c r="AJ54" i="587" a="1"/>
  <c r="AJ54" i="587" s="1"/>
  <c r="O45" i="587"/>
  <c r="J47" i="587"/>
  <c r="S55" i="587" a="1"/>
  <c r="S55" i="587" s="1"/>
  <c r="S48" i="587"/>
  <c r="H53" i="587" a="1"/>
  <c r="H53" i="587" s="1"/>
  <c r="Q44" i="587"/>
  <c r="S46" i="587"/>
  <c r="S47" i="587"/>
  <c r="T55" i="587" a="1"/>
  <c r="T55" i="587" s="1"/>
  <c r="T44" i="587"/>
  <c r="AO51" i="587" a="1"/>
  <c r="AO51" i="587" s="1"/>
  <c r="T53" i="587" a="1"/>
  <c r="T53" i="587" s="1"/>
  <c r="L54" i="587" a="1"/>
  <c r="L54" i="587" s="1"/>
  <c r="AO46" i="587"/>
  <c r="AO53" i="587" a="1"/>
  <c r="AO53" i="587" s="1"/>
  <c r="T47" i="587"/>
  <c r="T48" i="587"/>
  <c r="AO52" i="587" a="1"/>
  <c r="AO52" i="587" s="1"/>
  <c r="T45" i="587"/>
  <c r="AO56" i="587" a="1"/>
  <c r="AO56" i="587" s="1"/>
  <c r="AO44" i="587"/>
  <c r="AO45" i="587"/>
  <c r="AO47" i="587"/>
  <c r="L43" i="587"/>
  <c r="U44" i="587"/>
  <c r="L44" i="587"/>
  <c r="L51" i="587" a="1"/>
  <c r="L51" i="587" s="1"/>
  <c r="L52" i="587" a="1"/>
  <c r="L52" i="587" s="1"/>
  <c r="L47" i="587"/>
  <c r="L46" i="587"/>
  <c r="L48" i="587"/>
  <c r="L45" i="587"/>
  <c r="L55" i="587" a="1"/>
  <c r="L55" i="587" s="1"/>
  <c r="L53" i="587" a="1"/>
  <c r="L53" i="587" s="1"/>
  <c r="AJ53" i="587" a="1"/>
  <c r="AJ53" i="587" s="1"/>
  <c r="O44" i="587"/>
  <c r="AJ56" i="587" a="1"/>
  <c r="AJ56" i="587" s="1"/>
  <c r="AJ48" i="587"/>
  <c r="AD46" i="587"/>
  <c r="AB48" i="587"/>
  <c r="F46" i="587"/>
  <c r="J55" i="587" a="1"/>
  <c r="J55" i="587" s="1"/>
  <c r="AJ43" i="587"/>
  <c r="AJ47" i="587"/>
  <c r="AJ46" i="587"/>
  <c r="J46" i="587"/>
  <c r="AJ55" i="587" a="1"/>
  <c r="AJ55" i="587" s="1"/>
  <c r="O52" i="587" a="1"/>
  <c r="O52" i="587" s="1"/>
  <c r="J54" i="587" a="1"/>
  <c r="J54" i="587" s="1"/>
  <c r="J43" i="587"/>
  <c r="AJ44" i="587"/>
  <c r="AJ52" i="587" a="1"/>
  <c r="AJ52" i="587" s="1"/>
  <c r="J53" i="587" a="1"/>
  <c r="J53" i="587" s="1"/>
  <c r="J51" i="587" a="1"/>
  <c r="J51" i="587" s="1"/>
  <c r="J56" i="587" a="1"/>
  <c r="J56" i="587" s="1"/>
  <c r="J52" i="587" a="1"/>
  <c r="J52" i="587" s="1"/>
  <c r="J48" i="587"/>
  <c r="J45" i="587"/>
  <c r="AJ51" i="587" a="1"/>
  <c r="AJ51" i="587" s="1"/>
  <c r="AJ45" i="587"/>
  <c r="S44" i="587"/>
  <c r="O51" i="587" a="1"/>
  <c r="O51" i="587" s="1"/>
  <c r="X54" i="587" a="1"/>
  <c r="X54" i="587" s="1"/>
  <c r="F55" i="587" a="1"/>
  <c r="F55" i="587" s="1"/>
  <c r="F51" i="587" a="1"/>
  <c r="F51" i="587" s="1"/>
  <c r="X43" i="587"/>
  <c r="X52" i="587" a="1"/>
  <c r="X52" i="587" s="1"/>
  <c r="X53" i="587" a="1"/>
  <c r="X53" i="587" s="1"/>
  <c r="AC56" i="587" a="1"/>
  <c r="AC56" i="587" s="1"/>
  <c r="I44" i="587"/>
  <c r="F45" i="587"/>
  <c r="H55" i="587" a="1"/>
  <c r="H55" i="587" s="1"/>
  <c r="X47" i="587"/>
  <c r="I46" i="587"/>
  <c r="I51" i="587" a="1"/>
  <c r="I51" i="587" s="1"/>
  <c r="H54" i="587" a="1"/>
  <c r="H54" i="587" s="1"/>
  <c r="H46" i="587"/>
  <c r="H52" i="587" a="1"/>
  <c r="H52" i="587" s="1"/>
  <c r="X48" i="587"/>
  <c r="F43" i="587"/>
  <c r="F48" i="587"/>
  <c r="I43" i="587"/>
  <c r="I47" i="587"/>
  <c r="I54" i="587" a="1"/>
  <c r="I54" i="587" s="1"/>
  <c r="H47" i="587"/>
  <c r="H48" i="587"/>
  <c r="X44" i="587"/>
  <c r="X55" i="587" a="1"/>
  <c r="X55" i="587" s="1"/>
  <c r="F47" i="587"/>
  <c r="F44" i="587"/>
  <c r="I52" i="587" a="1"/>
  <c r="I52" i="587" s="1"/>
  <c r="I53" i="587" a="1"/>
  <c r="I53" i="587" s="1"/>
  <c r="I56" i="587" a="1"/>
  <c r="I56" i="587" s="1"/>
  <c r="H56" i="587" a="1"/>
  <c r="H56" i="587" s="1"/>
  <c r="X56" i="587" a="1"/>
  <c r="X56" i="587" s="1"/>
  <c r="X51" i="587" a="1"/>
  <c r="X51" i="587" s="1"/>
  <c r="X46" i="587"/>
  <c r="I55" i="587" a="1"/>
  <c r="I55" i="587" s="1"/>
  <c r="H45" i="587"/>
  <c r="Q56" i="587" a="1"/>
  <c r="Q56" i="587" s="1"/>
  <c r="Q53" i="587" a="1"/>
  <c r="Q53" i="587" s="1"/>
  <c r="Q45" i="587"/>
  <c r="AC48" i="587"/>
  <c r="Q54" i="587" a="1"/>
  <c r="Q54" i="587" s="1"/>
  <c r="Q48" i="587"/>
  <c r="P46" i="587"/>
  <c r="P56" i="587" a="1"/>
  <c r="P56" i="587" s="1"/>
  <c r="AC55" i="587" a="1"/>
  <c r="AC55" i="587" s="1"/>
  <c r="Q55" i="587" a="1"/>
  <c r="Q55" i="587" s="1"/>
  <c r="Q51" i="587" a="1"/>
  <c r="Q51" i="587" s="1"/>
  <c r="P43" i="587"/>
  <c r="P51" i="587" a="1"/>
  <c r="P51" i="587" s="1"/>
  <c r="AC45" i="587"/>
  <c r="AC47" i="587"/>
  <c r="Q52" i="587" a="1"/>
  <c r="Q52" i="587" s="1"/>
  <c r="P48" i="587"/>
  <c r="P44" i="587"/>
  <c r="AC54" i="587" a="1"/>
  <c r="AC54" i="587" s="1"/>
  <c r="AC46" i="587"/>
  <c r="Q43" i="587"/>
  <c r="P53" i="587" a="1"/>
  <c r="P53" i="587" s="1"/>
  <c r="P45" i="587"/>
  <c r="AC44" i="587"/>
  <c r="AC51" i="587" a="1"/>
  <c r="AC51" i="587" s="1"/>
  <c r="AC53" i="587" a="1"/>
  <c r="AC53" i="587" s="1"/>
  <c r="AC52" i="587" a="1"/>
  <c r="AC52" i="587" s="1"/>
  <c r="Q47" i="587"/>
  <c r="G31" i="92"/>
  <c r="P47" i="587"/>
  <c r="P55" i="587" a="1"/>
  <c r="P55" i="587" s="1"/>
  <c r="P52" i="587" a="1"/>
  <c r="P52" i="587" s="1"/>
  <c r="AC43" i="587"/>
  <c r="G53" i="587" a="1"/>
  <c r="G53" i="587" s="1"/>
  <c r="P54" i="587" a="1"/>
  <c r="P54" i="587" s="1"/>
  <c r="AN53" i="587" a="1"/>
  <c r="AN53" i="587" s="1"/>
  <c r="AH45" i="587"/>
  <c r="AA51" i="587" a="1"/>
  <c r="AA51" i="587" s="1"/>
  <c r="U43" i="587"/>
  <c r="W56" i="587" a="1"/>
  <c r="W56" i="587" s="1"/>
  <c r="M53" i="587" a="1"/>
  <c r="M53" i="587" s="1"/>
  <c r="AD51" i="587" a="1"/>
  <c r="AD51" i="587" s="1"/>
  <c r="AP53" i="587" a="1"/>
  <c r="AP53" i="587" s="1"/>
  <c r="AB55" i="587" a="1"/>
  <c r="AB55" i="587" s="1"/>
  <c r="AI47" i="587"/>
  <c r="AD43" i="587"/>
  <c r="AD47" i="587"/>
  <c r="U56" i="587" a="1"/>
  <c r="U56" i="587" s="1"/>
  <c r="O48" i="587"/>
  <c r="G47" i="587"/>
  <c r="AA43" i="587"/>
  <c r="AA54" i="587" a="1"/>
  <c r="AA54" i="587" s="1"/>
  <c r="AI43" i="587"/>
  <c r="M44" i="587"/>
  <c r="M56" i="587" a="1"/>
  <c r="M56" i="587" s="1"/>
  <c r="AP46" i="587"/>
  <c r="AB54" i="587" a="1"/>
  <c r="AB54" i="587" s="1"/>
  <c r="AB52" i="587" a="1"/>
  <c r="AB52" i="587" s="1"/>
  <c r="AH56" i="587" a="1"/>
  <c r="AH56" i="587" s="1"/>
  <c r="AA45" i="587"/>
  <c r="AH46" i="587"/>
  <c r="AH47" i="587"/>
  <c r="W53" i="587" a="1"/>
  <c r="W53" i="587" s="1"/>
  <c r="AN44" i="587"/>
  <c r="AB43" i="587"/>
  <c r="AI56" i="587" a="1"/>
  <c r="AI56" i="587" s="1"/>
  <c r="AN47" i="587"/>
  <c r="R44" i="587"/>
  <c r="AD55" i="587" a="1"/>
  <c r="AD55" i="587" s="1"/>
  <c r="AD54" i="587" a="1"/>
  <c r="AD54" i="587" s="1"/>
  <c r="AD52" i="587" a="1"/>
  <c r="AD52" i="587" s="1"/>
  <c r="O46" i="587"/>
  <c r="O55" i="587" a="1"/>
  <c r="O55" i="587" s="1"/>
  <c r="AA53" i="587" a="1"/>
  <c r="AA53" i="587" s="1"/>
  <c r="G55" i="587" a="1"/>
  <c r="G55" i="587" s="1"/>
  <c r="AA46" i="587"/>
  <c r="AP47" i="587"/>
  <c r="AI46" i="587"/>
  <c r="AB47" i="587"/>
  <c r="AB53" i="587" a="1"/>
  <c r="AB53" i="587" s="1"/>
  <c r="AN52" i="587" a="1"/>
  <c r="AN52" i="587" s="1"/>
  <c r="AN51" i="587" a="1"/>
  <c r="AN51" i="587" s="1"/>
  <c r="AN55" i="587" a="1"/>
  <c r="AN55" i="587" s="1"/>
  <c r="M54" i="587" a="1"/>
  <c r="M54" i="587" s="1"/>
  <c r="U53" i="587" a="1"/>
  <c r="U53" i="587" s="1"/>
  <c r="U46" i="587"/>
  <c r="U48" i="587"/>
  <c r="G51" i="587" a="1"/>
  <c r="G51" i="587" s="1"/>
  <c r="AA48" i="587"/>
  <c r="G43" i="587"/>
  <c r="AP52" i="587" a="1"/>
  <c r="AP52" i="587" s="1"/>
  <c r="AI53" i="587" a="1"/>
  <c r="AI53" i="587" s="1"/>
  <c r="AI54" i="587" a="1"/>
  <c r="AI54" i="587" s="1"/>
  <c r="M55" i="587" a="1"/>
  <c r="M55" i="587" s="1"/>
  <c r="AP44" i="587"/>
  <c r="AB51" i="587" a="1"/>
  <c r="AB51" i="587" s="1"/>
  <c r="AH44" i="587"/>
  <c r="W45" i="587"/>
  <c r="G54" i="587" a="1"/>
  <c r="G54" i="587" s="1"/>
  <c r="W44" i="587"/>
  <c r="AI48" i="587"/>
  <c r="Y54" i="587" a="1"/>
  <c r="Y54" i="587" s="1"/>
  <c r="O43" i="587"/>
  <c r="U54" i="587" a="1"/>
  <c r="U54" i="587" s="1"/>
  <c r="AA55" i="587" a="1"/>
  <c r="AA55" i="587" s="1"/>
  <c r="AA56" i="587" a="1"/>
  <c r="AA56" i="587" s="1"/>
  <c r="AD45" i="587"/>
  <c r="G46" i="587"/>
  <c r="AI52" i="587" a="1"/>
  <c r="AI52" i="587" s="1"/>
  <c r="M46" i="587"/>
  <c r="AB44" i="587"/>
  <c r="AH55" i="587" a="1"/>
  <c r="AH55" i="587" s="1"/>
  <c r="W51" i="587" a="1"/>
  <c r="W51" i="587" s="1"/>
  <c r="AN54" i="587" a="1"/>
  <c r="AN54" i="587" s="1"/>
  <c r="W54" i="587" a="1"/>
  <c r="W54" i="587" s="1"/>
  <c r="AN45" i="587"/>
  <c r="AP51" i="587" a="1"/>
  <c r="AP51" i="587" s="1"/>
  <c r="AP48" i="587"/>
  <c r="AP55" i="587" a="1"/>
  <c r="AP55" i="587" s="1"/>
  <c r="W52" i="587" a="1"/>
  <c r="W52" i="587" s="1"/>
  <c r="O53" i="587" a="1"/>
  <c r="O53" i="587" s="1"/>
  <c r="AD48" i="587"/>
  <c r="AD56" i="587" a="1"/>
  <c r="AD56" i="587" s="1"/>
  <c r="O47" i="587"/>
  <c r="AA44" i="587"/>
  <c r="G45" i="587"/>
  <c r="AA52" i="587" a="1"/>
  <c r="AA52" i="587" s="1"/>
  <c r="M51" i="587" a="1"/>
  <c r="M51" i="587" s="1"/>
  <c r="AI51" i="587" a="1"/>
  <c r="AI51" i="587" s="1"/>
  <c r="AB46" i="587"/>
  <c r="M48" i="587"/>
  <c r="AH54" i="587" a="1"/>
  <c r="AH54" i="587" s="1"/>
  <c r="AH53" i="587" a="1"/>
  <c r="AH53" i="587" s="1"/>
  <c r="O56" i="587" a="1"/>
  <c r="O56" i="587" s="1"/>
  <c r="W55" i="587" a="1"/>
  <c r="W55" i="587" s="1"/>
  <c r="M43" i="587"/>
  <c r="U55" i="587" a="1"/>
  <c r="U55" i="587" s="1"/>
  <c r="O54" i="587" a="1"/>
  <c r="O54" i="587" s="1"/>
  <c r="AD44" i="587"/>
  <c r="AA47" i="587"/>
  <c r="G52" i="587" a="1"/>
  <c r="G52" i="587" s="1"/>
  <c r="AI44" i="587"/>
  <c r="AP45" i="587"/>
  <c r="M47" i="587"/>
  <c r="G44" i="587"/>
  <c r="AN48" i="587"/>
  <c r="W43" i="587"/>
  <c r="W47" i="587"/>
  <c r="AP56" i="587" a="1"/>
  <c r="AP56" i="587" s="1"/>
  <c r="M45" i="587"/>
  <c r="U52" i="587" a="1"/>
  <c r="U52" i="587" s="1"/>
  <c r="AH43" i="587"/>
  <c r="U47" i="587"/>
  <c r="U45" i="587"/>
  <c r="G48" i="587"/>
  <c r="M52" i="587" a="1"/>
  <c r="M52" i="587" s="1"/>
  <c r="AB45" i="587"/>
  <c r="AB56" i="587" a="1"/>
  <c r="AB56" i="587" s="1"/>
  <c r="W48" i="587"/>
  <c r="W46" i="587"/>
  <c r="Y46" i="587"/>
  <c r="G30" i="92"/>
  <c r="Y53" i="587" a="1"/>
  <c r="Y53" i="587" s="1"/>
  <c r="Y48" i="587"/>
  <c r="AD18" i="189"/>
  <c r="Y45" i="587"/>
  <c r="G29" i="92"/>
  <c r="Y51" i="587" a="1"/>
  <c r="Y51" i="587" s="1"/>
  <c r="Y47" i="587"/>
  <c r="Y52" i="587" a="1"/>
  <c r="Y52" i="587" s="1"/>
  <c r="Y43" i="587"/>
  <c r="Y55" i="587" a="1"/>
  <c r="Y55" i="587" s="1"/>
  <c r="Y44" i="587"/>
  <c r="Y56" i="587" a="1"/>
  <c r="Y56" i="587" s="1"/>
  <c r="G63" i="190"/>
  <c r="H58" i="92"/>
  <c r="E58" i="92"/>
  <c r="I58" i="92"/>
  <c r="R47" i="587"/>
  <c r="R52" i="587" a="1"/>
  <c r="R52" i="587" s="1"/>
  <c r="R45" i="587"/>
  <c r="R51" i="587" a="1"/>
  <c r="R51" i="587" s="1"/>
  <c r="R43" i="587"/>
  <c r="R55" i="587" a="1"/>
  <c r="R55" i="587" s="1"/>
  <c r="M30" i="178"/>
  <c r="M27" i="178" s="1"/>
  <c r="R53" i="587" a="1"/>
  <c r="R53" i="587" s="1"/>
  <c r="R46" i="587"/>
  <c r="R48" i="587"/>
  <c r="R54" i="587" a="1"/>
  <c r="R54" i="587" s="1"/>
  <c r="R56" i="587" a="1"/>
  <c r="R56" i="587" s="1"/>
  <c r="G65" i="190"/>
  <c r="AR12" i="22"/>
  <c r="F63" i="190"/>
  <c r="T61" i="190"/>
  <c r="AQ9" i="22"/>
  <c r="AO9" i="22"/>
  <c r="AM15" i="22"/>
  <c r="J66" i="190"/>
  <c r="U66" i="190"/>
  <c r="AB54" i="22"/>
  <c r="J65" i="92"/>
  <c r="AE43" i="22"/>
  <c r="J62" i="92"/>
  <c r="J63" i="92"/>
  <c r="J61" i="190"/>
  <c r="AO10" i="22"/>
  <c r="Y29" i="22" a="1"/>
  <c r="Y29" i="22" s="1"/>
  <c r="AD39" i="189"/>
  <c r="AB60" i="22"/>
  <c r="AG11" i="22"/>
  <c r="AB30" i="22" a="1"/>
  <c r="AB30" i="22" s="1"/>
  <c r="V22" i="22"/>
  <c r="AG10" i="22"/>
  <c r="AM10" i="22"/>
  <c r="AE41" i="22"/>
  <c r="AF10" i="22"/>
  <c r="AP10" i="22"/>
  <c r="AQ10" i="22"/>
  <c r="AC45" i="22"/>
  <c r="AA39" i="22"/>
  <c r="AI11" i="22"/>
  <c r="AC41" i="22"/>
  <c r="AC39" i="22"/>
  <c r="AE39" i="22"/>
  <c r="J60" i="190"/>
  <c r="AP11" i="22"/>
  <c r="AL11" i="22"/>
  <c r="AO11" i="22"/>
  <c r="AM11" i="22"/>
  <c r="AN11" i="22"/>
  <c r="AD39" i="22"/>
  <c r="AM9" i="22"/>
  <c r="AH9" i="22"/>
  <c r="AL9" i="22"/>
  <c r="AF9" i="22"/>
  <c r="AP9" i="22"/>
  <c r="AR9" i="22"/>
  <c r="AG9" i="22"/>
  <c r="AG13" i="22"/>
  <c r="AL13" i="22"/>
  <c r="AO13" i="22"/>
  <c r="AA44" i="22"/>
  <c r="Q9" i="178"/>
  <c r="P9" i="178"/>
  <c r="AC43" i="22"/>
  <c r="AH11" i="22"/>
  <c r="J64" i="190"/>
  <c r="AE22" i="22"/>
  <c r="J65" i="190"/>
  <c r="AH10" i="22"/>
  <c r="AD43" i="22"/>
  <c r="AB68" i="22"/>
  <c r="AB65" i="22"/>
  <c r="J62" i="190"/>
  <c r="O58" i="589"/>
  <c r="O63" i="589" s="1"/>
  <c r="O64" i="589" s="1"/>
  <c r="P16" i="589" s="1"/>
  <c r="P57" i="589"/>
  <c r="AE45" i="22"/>
  <c r="AM12" i="22"/>
  <c r="N22" i="825" l="1"/>
  <c r="W55" i="840"/>
  <c r="W63" i="840" s="1"/>
  <c r="O90" i="826"/>
  <c r="P88" i="826"/>
  <c r="P86" i="826"/>
  <c r="P89" i="826"/>
  <c r="P87" i="826"/>
  <c r="P81" i="826"/>
  <c r="P80" i="826"/>
  <c r="P84" i="826"/>
  <c r="P79" i="826"/>
  <c r="P85" i="826"/>
  <c r="P78" i="826"/>
  <c r="P83" i="826"/>
  <c r="P82" i="826"/>
  <c r="O75" i="826"/>
  <c r="Z65" i="840"/>
  <c r="Z72" i="840" s="1"/>
  <c r="Z87" i="840" s="1"/>
  <c r="Z104" i="840" s="1"/>
  <c r="Z50" i="840"/>
  <c r="P73" i="2"/>
  <c r="X51" i="840"/>
  <c r="P72" i="2"/>
  <c r="X42" i="840"/>
  <c r="X46" i="840"/>
  <c r="X45" i="840"/>
  <c r="X37" i="840"/>
  <c r="X47" i="840"/>
  <c r="X39" i="840"/>
  <c r="X38" i="840"/>
  <c r="X44" i="840"/>
  <c r="X43" i="840"/>
  <c r="X36" i="840"/>
  <c r="X40" i="840"/>
  <c r="X41" i="840"/>
  <c r="W48" i="840"/>
  <c r="N26" i="829"/>
  <c r="V95" i="840" s="1"/>
  <c r="N20" i="829"/>
  <c r="V90" i="840" s="1"/>
  <c r="O26" i="829"/>
  <c r="W95" i="840" s="1"/>
  <c r="N22" i="829"/>
  <c r="V92" i="840" s="1"/>
  <c r="N29" i="825"/>
  <c r="O82" i="2"/>
  <c r="J104" i="190" a="1"/>
  <c r="J104" i="190" s="1"/>
  <c r="J94" i="190"/>
  <c r="J95" i="190"/>
  <c r="J96" i="190"/>
  <c r="J92" i="190"/>
  <c r="J99" i="190" a="1"/>
  <c r="J99" i="190" s="1"/>
  <c r="J100" i="190" a="1"/>
  <c r="J100" i="190" s="1"/>
  <c r="J101" i="190"/>
  <c r="J91" i="190"/>
  <c r="J102" i="190" a="1"/>
  <c r="J102" i="190" s="1"/>
  <c r="J103" i="190" a="1"/>
  <c r="J103" i="190" s="1"/>
  <c r="J93" i="190"/>
  <c r="H70" i="92"/>
  <c r="H68" i="92" a="1"/>
  <c r="H68" i="92" s="1"/>
  <c r="H69" i="92" a="1"/>
  <c r="H69" i="92" s="1"/>
  <c r="H71" i="92" a="1"/>
  <c r="H71" i="92" s="1"/>
  <c r="I68" i="92" a="1"/>
  <c r="I68" i="92" s="1"/>
  <c r="I71" i="92" a="1"/>
  <c r="I71" i="92" s="1"/>
  <c r="I70" i="92"/>
  <c r="I69" i="92" a="1"/>
  <c r="I69" i="92" s="1"/>
  <c r="P74" i="826"/>
  <c r="X33" i="840" s="1"/>
  <c r="P47" i="2"/>
  <c r="O19" i="829"/>
  <c r="W89" i="840" s="1"/>
  <c r="O21" i="829"/>
  <c r="W91" i="840" s="1"/>
  <c r="O22" i="829"/>
  <c r="W92" i="840" s="1"/>
  <c r="O43" i="2"/>
  <c r="O154" i="826"/>
  <c r="N50" i="2"/>
  <c r="R110" i="826"/>
  <c r="T110" i="826" s="1"/>
  <c r="R66" i="826"/>
  <c r="R19" i="2"/>
  <c r="T19" i="2" s="1"/>
  <c r="R112" i="826"/>
  <c r="R21" i="2"/>
  <c r="T21" i="2" s="1"/>
  <c r="P49" i="2"/>
  <c r="P45" i="2"/>
  <c r="P73" i="826"/>
  <c r="P46" i="2"/>
  <c r="P48" i="2"/>
  <c r="P44" i="2"/>
  <c r="O21" i="825"/>
  <c r="Q69" i="826"/>
  <c r="Q67" i="826"/>
  <c r="R111" i="826"/>
  <c r="R20" i="2"/>
  <c r="T20" i="2" s="1"/>
  <c r="N23" i="825"/>
  <c r="Q23" i="2"/>
  <c r="P115" i="826"/>
  <c r="Q34" i="2"/>
  <c r="Q38" i="2" s="1"/>
  <c r="Q114" i="826"/>
  <c r="P10" i="829"/>
  <c r="P27" i="829" s="1"/>
  <c r="X96" i="840" s="1"/>
  <c r="P40" i="2"/>
  <c r="P74" i="2" s="1"/>
  <c r="P11" i="829"/>
  <c r="P20" i="829" s="1"/>
  <c r="X90" i="840" s="1"/>
  <c r="M30" i="825"/>
  <c r="R113" i="826"/>
  <c r="R22" i="2"/>
  <c r="T22" i="2" s="1"/>
  <c r="C173" i="827"/>
  <c r="C241" i="827" s="1"/>
  <c r="C275" i="827" s="1"/>
  <c r="C207" i="827"/>
  <c r="C39" i="827"/>
  <c r="C140" i="827"/>
  <c r="N47" i="587"/>
  <c r="N53" i="587" a="1"/>
  <c r="N53" i="587" s="1"/>
  <c r="N46" i="587"/>
  <c r="N54" i="587" a="1"/>
  <c r="N54" i="587" s="1"/>
  <c r="N48" i="587"/>
  <c r="N43" i="587"/>
  <c r="N55" i="587" a="1"/>
  <c r="N55" i="587" s="1"/>
  <c r="N56" i="587" a="1"/>
  <c r="N56" i="587" s="1"/>
  <c r="N44" i="587"/>
  <c r="N52" i="587" a="1"/>
  <c r="N52" i="587" s="1"/>
  <c r="N51" i="587" a="1"/>
  <c r="N51" i="587" s="1"/>
  <c r="S11" i="589"/>
  <c r="K41" i="589" s="1"/>
  <c r="AQ13" i="22"/>
  <c r="R75" i="589"/>
  <c r="F61" i="190"/>
  <c r="AB39" i="22"/>
  <c r="F60" i="190"/>
  <c r="AR10" i="22"/>
  <c r="Z52" i="587" a="1"/>
  <c r="Z52" i="587" s="1"/>
  <c r="AE28" i="22" a="1"/>
  <c r="AE28" i="22" s="1"/>
  <c r="AE32" i="22" a="1"/>
  <c r="AE32" i="22" s="1"/>
  <c r="AE25" i="22"/>
  <c r="AE24" i="22"/>
  <c r="AE23" i="22"/>
  <c r="AE30" i="22" a="1"/>
  <c r="AE30" i="22" s="1"/>
  <c r="AE33" i="22" a="1"/>
  <c r="AE33" i="22" s="1"/>
  <c r="AE21" i="22"/>
  <c r="AE29" i="22" a="1"/>
  <c r="AE29" i="22" s="1"/>
  <c r="AE20" i="22"/>
  <c r="H62" i="92"/>
  <c r="Q29" i="22" a="1"/>
  <c r="Q29" i="22" s="1"/>
  <c r="H64" i="92"/>
  <c r="H63" i="92"/>
  <c r="AI13" i="22"/>
  <c r="AM13" i="22"/>
  <c r="AF11" i="22"/>
  <c r="AN13" i="22"/>
  <c r="AH13" i="22"/>
  <c r="AP13" i="22"/>
  <c r="AF13" i="22"/>
  <c r="AR13" i="22"/>
  <c r="AO15" i="22"/>
  <c r="AG15" i="22"/>
  <c r="AL15" i="22"/>
  <c r="AQ15" i="22"/>
  <c r="AN10" i="22"/>
  <c r="AH15" i="22"/>
  <c r="AI15" i="22"/>
  <c r="AN15" i="22"/>
  <c r="AP15" i="22"/>
  <c r="AF15" i="22"/>
  <c r="AG17" i="22"/>
  <c r="AF17" i="22"/>
  <c r="AN17" i="22"/>
  <c r="AL17" i="22"/>
  <c r="AH17" i="22"/>
  <c r="AO17" i="22"/>
  <c r="AQ17" i="22"/>
  <c r="AK17" i="22"/>
  <c r="AM17" i="22"/>
  <c r="AJ17" i="22"/>
  <c r="AI17" i="22"/>
  <c r="AP17" i="22"/>
  <c r="AL12" i="22"/>
  <c r="AD48" i="22"/>
  <c r="AE48" i="22"/>
  <c r="AC48" i="22"/>
  <c r="AH12" i="22"/>
  <c r="AN12" i="22"/>
  <c r="AG12" i="22"/>
  <c r="AP12" i="22"/>
  <c r="AF12" i="22"/>
  <c r="T25" i="22"/>
  <c r="AQ12" i="22"/>
  <c r="AO12" i="22"/>
  <c r="S28" i="22" a="1"/>
  <c r="S28" i="22" s="1"/>
  <c r="I63" i="92"/>
  <c r="I65" i="92"/>
  <c r="I64" i="92"/>
  <c r="I62" i="92"/>
  <c r="H65" i="92"/>
  <c r="G60" i="190"/>
  <c r="G59" i="190"/>
  <c r="F59" i="190"/>
  <c r="N60" i="189"/>
  <c r="F88" i="190"/>
  <c r="AB40" i="22"/>
  <c r="G67" i="190"/>
  <c r="AR11" i="22"/>
  <c r="F67" i="190"/>
  <c r="F66" i="190"/>
  <c r="G66" i="190"/>
  <c r="G64" i="190"/>
  <c r="F64" i="190"/>
  <c r="G47" i="92"/>
  <c r="G39" i="92"/>
  <c r="G51" i="92"/>
  <c r="G41" i="92"/>
  <c r="G38" i="92"/>
  <c r="G50" i="92"/>
  <c r="G44" i="92"/>
  <c r="G54" i="92"/>
  <c r="G56" i="92"/>
  <c r="G42" i="92"/>
  <c r="G45" i="92"/>
  <c r="G43" i="92"/>
  <c r="G52" i="92"/>
  <c r="G57" i="92"/>
  <c r="G46" i="92"/>
  <c r="G53" i="92"/>
  <c r="G40" i="92"/>
  <c r="G55" i="92"/>
  <c r="G49" i="92"/>
  <c r="G48" i="92"/>
  <c r="L67" i="190"/>
  <c r="P30" i="178"/>
  <c r="P27" i="178" s="1"/>
  <c r="Q30" i="178"/>
  <c r="Q27" i="178" s="1"/>
  <c r="G88" i="190"/>
  <c r="L35" i="178"/>
  <c r="L34" i="178" s="1"/>
  <c r="R30" i="178"/>
  <c r="R27" i="178" s="1"/>
  <c r="N30" i="178"/>
  <c r="N27" i="178" s="1"/>
  <c r="N31" i="178" s="1"/>
  <c r="N32" i="178" s="1"/>
  <c r="O30" i="178"/>
  <c r="O27" i="178" s="1"/>
  <c r="AB42" i="22"/>
  <c r="AB41" i="22"/>
  <c r="AB52" i="22"/>
  <c r="AB61" i="22"/>
  <c r="Y21" i="22"/>
  <c r="V29" i="22" a="1"/>
  <c r="V29" i="22" s="1"/>
  <c r="AB22" i="22"/>
  <c r="AB33" i="22" a="1"/>
  <c r="AB33" i="22" s="1"/>
  <c r="AB31" i="22" a="1"/>
  <c r="AB31" i="22" s="1"/>
  <c r="F62" i="844" s="1"/>
  <c r="F64" i="844" s="1"/>
  <c r="AB21" i="22"/>
  <c r="AB24" i="22"/>
  <c r="AB29" i="22" a="1"/>
  <c r="AB29" i="22" s="1"/>
  <c r="AB28" i="22" a="1"/>
  <c r="AB28" i="22" s="1"/>
  <c r="AB32" i="22" a="1"/>
  <c r="AB32" i="22" s="1"/>
  <c r="Y28" i="22" a="1"/>
  <c r="Y28" i="22" s="1"/>
  <c r="Y24" i="22"/>
  <c r="Y32" i="22" a="1"/>
  <c r="Y32" i="22" s="1"/>
  <c r="Y25" i="22"/>
  <c r="Y20" i="22"/>
  <c r="Y22" i="22"/>
  <c r="Y33" i="22" a="1"/>
  <c r="Y33" i="22" s="1"/>
  <c r="Y30" i="22" a="1"/>
  <c r="Y30" i="22" s="1"/>
  <c r="Y31" i="22" a="1"/>
  <c r="Y31" i="22" s="1"/>
  <c r="AB25" i="22"/>
  <c r="AI12" i="22"/>
  <c r="AB20" i="22"/>
  <c r="AB23" i="22"/>
  <c r="V33" i="22" a="1"/>
  <c r="V33" i="22" s="1"/>
  <c r="V23" i="22"/>
  <c r="V20" i="22"/>
  <c r="V24" i="22"/>
  <c r="V28" i="22" a="1"/>
  <c r="V28" i="22" s="1"/>
  <c r="V25" i="22"/>
  <c r="AD16" i="189"/>
  <c r="V21" i="22"/>
  <c r="V31" i="22" a="1"/>
  <c r="V31" i="22" s="1"/>
  <c r="V30" i="22" a="1"/>
  <c r="V30" i="22" s="1"/>
  <c r="V32" i="22" a="1"/>
  <c r="V32" i="22" s="1"/>
  <c r="T88" i="190"/>
  <c r="AB48" i="22"/>
  <c r="AB55" i="22"/>
  <c r="AJ11" i="22"/>
  <c r="K64" i="190"/>
  <c r="AJ13" i="22"/>
  <c r="K65" i="190"/>
  <c r="M65" i="190"/>
  <c r="AJ9" i="22"/>
  <c r="AK9" i="22"/>
  <c r="K59" i="190"/>
  <c r="AJ15" i="22"/>
  <c r="AK15" i="22"/>
  <c r="AD45" i="22"/>
  <c r="L65" i="190"/>
  <c r="AA45" i="22"/>
  <c r="AJ10" i="22"/>
  <c r="AC40" i="22"/>
  <c r="M59" i="190"/>
  <c r="AI10" i="22"/>
  <c r="AD41" i="22"/>
  <c r="AK11" i="22"/>
  <c r="AK10" i="22"/>
  <c r="K61" i="190"/>
  <c r="M61" i="190"/>
  <c r="K60" i="190"/>
  <c r="L60" i="190"/>
  <c r="AA40" i="22"/>
  <c r="L59" i="190"/>
  <c r="M60" i="190"/>
  <c r="AC44" i="22"/>
  <c r="AI9" i="22"/>
  <c r="AA41" i="22"/>
  <c r="L61" i="190"/>
  <c r="L63" i="190"/>
  <c r="AA43" i="22"/>
  <c r="M64" i="190"/>
  <c r="M63" i="190"/>
  <c r="AK13" i="22"/>
  <c r="AN20" i="22"/>
  <c r="AN21" i="22"/>
  <c r="AN22" i="22"/>
  <c r="AN23" i="22"/>
  <c r="AN30" i="22" a="1"/>
  <c r="AN30" i="22" s="1"/>
  <c r="AN31" i="22" a="1"/>
  <c r="AN31" i="22" s="1"/>
  <c r="AN28" i="22" a="1"/>
  <c r="AN28" i="22" s="1"/>
  <c r="AN29" i="22" a="1"/>
  <c r="AN29" i="22" s="1"/>
  <c r="AN33" i="22" a="1"/>
  <c r="AN33" i="22" s="1"/>
  <c r="AN32" i="22" a="1"/>
  <c r="AN32" i="22" s="1"/>
  <c r="AN24" i="22"/>
  <c r="AN25" i="22"/>
  <c r="L64" i="190"/>
  <c r="K63" i="190"/>
  <c r="AH29" i="22" a="1"/>
  <c r="AH29" i="22" s="1"/>
  <c r="AH24" i="22"/>
  <c r="AH25" i="22"/>
  <c r="AH33" i="22" a="1"/>
  <c r="AH33" i="22" s="1"/>
  <c r="AH23" i="22"/>
  <c r="AH22" i="22"/>
  <c r="AH32" i="22" a="1"/>
  <c r="AH32" i="22" s="1"/>
  <c r="AH21" i="22"/>
  <c r="AH30" i="22" a="1"/>
  <c r="AH30" i="22" s="1"/>
  <c r="AH28" i="22" a="1"/>
  <c r="AH28" i="22" s="1"/>
  <c r="AH31" i="22" a="1"/>
  <c r="AH31" i="22" s="1"/>
  <c r="AH20" i="22"/>
  <c r="AD44" i="22"/>
  <c r="AD42" i="22"/>
  <c r="AC42" i="22"/>
  <c r="Z44" i="22"/>
  <c r="AD15" i="189"/>
  <c r="AK12" i="22"/>
  <c r="AB47" i="22"/>
  <c r="T67" i="190"/>
  <c r="L62" i="190"/>
  <c r="T64" i="190"/>
  <c r="AB44" i="22"/>
  <c r="AB49" i="22"/>
  <c r="AB51" i="22"/>
  <c r="AB45" i="22"/>
  <c r="T65" i="190"/>
  <c r="R24" i="22"/>
  <c r="R28" i="22" a="1"/>
  <c r="R28" i="22" s="1"/>
  <c r="R31" i="22" a="1"/>
  <c r="R31" i="22" s="1"/>
  <c r="R32" i="22" a="1"/>
  <c r="R32" i="22" s="1"/>
  <c r="R23" i="22"/>
  <c r="R30" i="22" a="1"/>
  <c r="R30" i="22" s="1"/>
  <c r="R20" i="22"/>
  <c r="R22" i="22"/>
  <c r="R25" i="22"/>
  <c r="R21" i="22"/>
  <c r="R33" i="22" a="1"/>
  <c r="R33" i="22" s="1"/>
  <c r="R29" i="22" a="1"/>
  <c r="R29" i="22" s="1"/>
  <c r="AB56" i="22"/>
  <c r="M62" i="190"/>
  <c r="AB50" i="22"/>
  <c r="AB57" i="22"/>
  <c r="P58" i="589"/>
  <c r="P63" i="589" s="1"/>
  <c r="P64" i="589" s="1"/>
  <c r="Q16" i="589" s="1"/>
  <c r="Q24" i="22"/>
  <c r="Q23" i="22"/>
  <c r="AB62" i="22"/>
  <c r="T66" i="190"/>
  <c r="AB46" i="22"/>
  <c r="U33" i="22" a="1"/>
  <c r="U33" i="22" s="1"/>
  <c r="U28" i="22" a="1"/>
  <c r="U28" i="22" s="1"/>
  <c r="U32" i="22" a="1"/>
  <c r="U32" i="22" s="1"/>
  <c r="U25" i="22"/>
  <c r="U22" i="22"/>
  <c r="U24" i="22"/>
  <c r="U21" i="22"/>
  <c r="U31" i="22" a="1"/>
  <c r="U31" i="22" s="1"/>
  <c r="U30" i="22" a="1"/>
  <c r="U30" i="22" s="1"/>
  <c r="U20" i="22"/>
  <c r="U23" i="22"/>
  <c r="U29" i="22" a="1"/>
  <c r="U29" i="22" s="1"/>
  <c r="K62" i="190"/>
  <c r="AA46" i="22"/>
  <c r="AA58" i="22"/>
  <c r="AA56" i="22"/>
  <c r="AA57" i="22"/>
  <c r="AA60" i="22"/>
  <c r="AA61" i="22"/>
  <c r="AA62" i="22"/>
  <c r="AA63" i="22"/>
  <c r="AA64" i="22"/>
  <c r="AA65" i="22"/>
  <c r="AA66" i="22"/>
  <c r="AA67" i="22"/>
  <c r="AA68" i="22"/>
  <c r="AA48" i="22"/>
  <c r="AA49" i="22"/>
  <c r="AA50" i="22"/>
  <c r="AA51" i="22"/>
  <c r="AA52" i="22"/>
  <c r="AA53" i="22"/>
  <c r="AA54" i="22"/>
  <c r="AA55" i="22"/>
  <c r="AA59" i="22"/>
  <c r="AA47" i="22"/>
  <c r="AB67" i="22"/>
  <c r="AB59" i="22"/>
  <c r="AE42" i="22"/>
  <c r="AJ12" i="22"/>
  <c r="AB63" i="22"/>
  <c r="AB64" i="22"/>
  <c r="Z47" i="22"/>
  <c r="Z59" i="22"/>
  <c r="Z67" i="22"/>
  <c r="Z68" i="22"/>
  <c r="Z55" i="22"/>
  <c r="Z46" i="22"/>
  <c r="Z50" i="22"/>
  <c r="Z54" i="22"/>
  <c r="Z62" i="22"/>
  <c r="Z65" i="22"/>
  <c r="Z58" i="22"/>
  <c r="Z49" i="22"/>
  <c r="Z53" i="22"/>
  <c r="AD17" i="189"/>
  <c r="Z61" i="22"/>
  <c r="Z64" i="22"/>
  <c r="Z48" i="22"/>
  <c r="Z52" i="22"/>
  <c r="Z57" i="22"/>
  <c r="Z63" i="22"/>
  <c r="Z56" i="22"/>
  <c r="Z60" i="22"/>
  <c r="Z51" i="22"/>
  <c r="Z66" i="22"/>
  <c r="Q57" i="589"/>
  <c r="R57" i="589" s="1"/>
  <c r="R58" i="589" s="1"/>
  <c r="R63" i="589" s="1"/>
  <c r="R64" i="589" s="1"/>
  <c r="S16" i="589" s="1"/>
  <c r="P75" i="826" l="1"/>
  <c r="X32" i="840"/>
  <c r="O22" i="825"/>
  <c r="O23" i="825" s="1"/>
  <c r="X55" i="840"/>
  <c r="X63" i="840" s="1"/>
  <c r="P90" i="826"/>
  <c r="Q88" i="826"/>
  <c r="Q87" i="826"/>
  <c r="Q86" i="826"/>
  <c r="Q89" i="826"/>
  <c r="Q82" i="826"/>
  <c r="Q78" i="826"/>
  <c r="Q84" i="826"/>
  <c r="Q81" i="826"/>
  <c r="Q79" i="826"/>
  <c r="Q83" i="826"/>
  <c r="Q85" i="826"/>
  <c r="Q80" i="826"/>
  <c r="N75" i="2"/>
  <c r="M31" i="825" s="1"/>
  <c r="Q72" i="2"/>
  <c r="Y51" i="840"/>
  <c r="X48" i="840"/>
  <c r="Q73" i="2"/>
  <c r="Q74" i="826"/>
  <c r="Y33" i="840" s="1"/>
  <c r="Y39" i="840"/>
  <c r="Y46" i="840"/>
  <c r="Y38" i="840"/>
  <c r="Y45" i="840"/>
  <c r="Y37" i="840"/>
  <c r="Y43" i="840"/>
  <c r="Y47" i="840"/>
  <c r="Y44" i="840"/>
  <c r="Y42" i="840"/>
  <c r="Y36" i="840"/>
  <c r="Y40" i="840"/>
  <c r="Y41" i="840"/>
  <c r="O50" i="2"/>
  <c r="O13" i="829"/>
  <c r="O28" i="829" s="1"/>
  <c r="W97" i="840" s="1"/>
  <c r="P26" i="829"/>
  <c r="X95" i="840" s="1"/>
  <c r="N93" i="189"/>
  <c r="N92" i="189" a="1"/>
  <c r="N92" i="189" s="1"/>
  <c r="N89" i="189"/>
  <c r="N88" i="189"/>
  <c r="N94" i="189" a="1"/>
  <c r="N94" i="189" s="1"/>
  <c r="N87" i="189"/>
  <c r="N86" i="189"/>
  <c r="N95" i="189" a="1"/>
  <c r="N95" i="189" s="1"/>
  <c r="N84" i="189"/>
  <c r="N91" i="189" a="1"/>
  <c r="N91" i="189" s="1"/>
  <c r="N85" i="189"/>
  <c r="N96" i="189" a="1"/>
  <c r="N96" i="189" s="1"/>
  <c r="F96" i="190"/>
  <c r="F93" i="190"/>
  <c r="F95" i="190"/>
  <c r="F99" i="190" a="1"/>
  <c r="F99" i="190" s="1"/>
  <c r="F102" i="190" a="1"/>
  <c r="F102" i="190" s="1"/>
  <c r="F100" i="190" a="1"/>
  <c r="F100" i="190" s="1"/>
  <c r="F92" i="190"/>
  <c r="F103" i="190" a="1"/>
  <c r="F103" i="190" s="1"/>
  <c r="F94" i="190"/>
  <c r="F91" i="190"/>
  <c r="F101" i="190"/>
  <c r="F104" i="190" a="1"/>
  <c r="F104" i="190" s="1"/>
  <c r="T66" i="826"/>
  <c r="R36" i="2"/>
  <c r="T36" i="2" s="1"/>
  <c r="T112" i="826"/>
  <c r="R35" i="2"/>
  <c r="T35" i="2" s="1"/>
  <c r="T111" i="826"/>
  <c r="R37" i="2"/>
  <c r="T37" i="2" s="1"/>
  <c r="T113" i="826"/>
  <c r="O29" i="825"/>
  <c r="P82" i="2"/>
  <c r="L96" i="190"/>
  <c r="L94" i="190"/>
  <c r="L99" i="190" a="1"/>
  <c r="L99" i="190" s="1"/>
  <c r="L100" i="190" a="1"/>
  <c r="L100" i="190" s="1"/>
  <c r="L101" i="190"/>
  <c r="L91" i="190"/>
  <c r="L102" i="190" a="1"/>
  <c r="L102" i="190" s="1"/>
  <c r="L92" i="190"/>
  <c r="L103" i="190" a="1"/>
  <c r="L103" i="190" s="1"/>
  <c r="L93" i="190"/>
  <c r="L104" i="190" a="1"/>
  <c r="L104" i="190" s="1"/>
  <c r="L95" i="190"/>
  <c r="M99" i="190" a="1"/>
  <c r="M99" i="190" s="1"/>
  <c r="M100" i="190" a="1"/>
  <c r="M100" i="190" s="1"/>
  <c r="M101" i="190"/>
  <c r="M91" i="190"/>
  <c r="M102" i="190" a="1"/>
  <c r="M102" i="190" s="1"/>
  <c r="M92" i="190"/>
  <c r="M103" i="190" a="1"/>
  <c r="M103" i="190" s="1"/>
  <c r="M93" i="190"/>
  <c r="M104" i="190" a="1"/>
  <c r="M104" i="190" s="1"/>
  <c r="M94" i="190"/>
  <c r="M95" i="190"/>
  <c r="M96" i="190"/>
  <c r="K95" i="190"/>
  <c r="K96" i="190"/>
  <c r="K99" i="190" a="1"/>
  <c r="K99" i="190" s="1"/>
  <c r="K100" i="190" a="1"/>
  <c r="K100" i="190" s="1"/>
  <c r="K101" i="190"/>
  <c r="K91" i="190"/>
  <c r="K102" i="190" a="1"/>
  <c r="K102" i="190" s="1"/>
  <c r="K92" i="190"/>
  <c r="K103" i="190" a="1"/>
  <c r="K103" i="190" s="1"/>
  <c r="K93" i="190"/>
  <c r="K104" i="190" a="1"/>
  <c r="K104" i="190" s="1"/>
  <c r="K94" i="190"/>
  <c r="G101" i="190"/>
  <c r="G91" i="190"/>
  <c r="G102" i="190" a="1"/>
  <c r="G102" i="190" s="1"/>
  <c r="G92" i="190"/>
  <c r="G103" i="190" a="1"/>
  <c r="G103" i="190" s="1"/>
  <c r="G93" i="190"/>
  <c r="G104" i="190" a="1"/>
  <c r="G104" i="190" s="1"/>
  <c r="G94" i="190"/>
  <c r="G95" i="190"/>
  <c r="G96" i="190"/>
  <c r="G99" i="190" a="1"/>
  <c r="G99" i="190" s="1"/>
  <c r="G100" i="190" a="1"/>
  <c r="G100" i="190" s="1"/>
  <c r="W66" i="840"/>
  <c r="N30" i="825"/>
  <c r="P19" i="829"/>
  <c r="X89" i="840" s="1"/>
  <c r="P21" i="829"/>
  <c r="X91" i="840" s="1"/>
  <c r="P22" i="829"/>
  <c r="X92" i="840" s="1"/>
  <c r="N52" i="2"/>
  <c r="N12" i="829"/>
  <c r="Q115" i="826"/>
  <c r="R34" i="2"/>
  <c r="T34" i="2" s="1"/>
  <c r="R114" i="826"/>
  <c r="T114" i="826" s="1"/>
  <c r="V66" i="840"/>
  <c r="Q11" i="829"/>
  <c r="Q20" i="829" s="1"/>
  <c r="Y90" i="840" s="1"/>
  <c r="P43" i="2"/>
  <c r="P154" i="826"/>
  <c r="R23" i="2"/>
  <c r="Q10" i="829"/>
  <c r="Q27" i="829" s="1"/>
  <c r="Y96" i="840" s="1"/>
  <c r="Q40" i="2"/>
  <c r="Q74" i="2" s="1"/>
  <c r="Q44" i="2"/>
  <c r="Q49" i="2"/>
  <c r="Q47" i="2"/>
  <c r="Q45" i="2"/>
  <c r="Q48" i="2"/>
  <c r="Q46" i="2"/>
  <c r="Q73" i="826"/>
  <c r="P21" i="825"/>
  <c r="R67" i="826"/>
  <c r="T67" i="826" s="1"/>
  <c r="R69" i="826"/>
  <c r="C174" i="827"/>
  <c r="C242" i="827" s="1"/>
  <c r="C276" i="827" s="1"/>
  <c r="C208" i="827"/>
  <c r="C40" i="827"/>
  <c r="C141" i="827"/>
  <c r="S75" i="589"/>
  <c r="T11" i="589"/>
  <c r="U11" i="589" s="1"/>
  <c r="AD14" i="189"/>
  <c r="Z44" i="587"/>
  <c r="Z54" i="587" a="1"/>
  <c r="Z54" i="587" s="1"/>
  <c r="T59" i="190"/>
  <c r="Z47" i="587"/>
  <c r="W53" i="189" a="1"/>
  <c r="W53" i="189" s="1"/>
  <c r="S42" i="189"/>
  <c r="Z55" i="587" a="1"/>
  <c r="Z55" i="587" s="1"/>
  <c r="AK14" i="22"/>
  <c r="AK25" i="22" s="1"/>
  <c r="Z51" i="587" a="1"/>
  <c r="Z51" i="587" s="1"/>
  <c r="Z56" i="587" a="1"/>
  <c r="Z56" i="587" s="1"/>
  <c r="Z46" i="587"/>
  <c r="Z53" i="587" a="1"/>
  <c r="Z53" i="587" s="1"/>
  <c r="Z43" i="587"/>
  <c r="Z48" i="587"/>
  <c r="Z45" i="587"/>
  <c r="Q21" i="22"/>
  <c r="Q22" i="22"/>
  <c r="Q28" i="22" a="1"/>
  <c r="Q28" i="22" s="1"/>
  <c r="Q25" i="22"/>
  <c r="Q33" i="22" a="1"/>
  <c r="Q33" i="22" s="1"/>
  <c r="Q31" i="22" a="1"/>
  <c r="Q31" i="22" s="1"/>
  <c r="Q30" i="22" a="1"/>
  <c r="Q30" i="22" s="1"/>
  <c r="S22" i="22"/>
  <c r="S25" i="22"/>
  <c r="S33" i="22" a="1"/>
  <c r="S33" i="22" s="1"/>
  <c r="S30" i="22" a="1"/>
  <c r="S30" i="22" s="1"/>
  <c r="S24" i="22"/>
  <c r="S21" i="22"/>
  <c r="S23" i="22"/>
  <c r="S31" i="22" a="1"/>
  <c r="S31" i="22" s="1"/>
  <c r="S20" i="22"/>
  <c r="S29" i="22" a="1"/>
  <c r="S29" i="22" s="1"/>
  <c r="S32" i="22" a="1"/>
  <c r="S32" i="22" s="1"/>
  <c r="Q20" i="22"/>
  <c r="Q32" i="22" a="1"/>
  <c r="Q32" i="22" s="1"/>
  <c r="T21" i="22"/>
  <c r="T30" i="22" a="1"/>
  <c r="T30" i="22" s="1"/>
  <c r="T32" i="22" a="1"/>
  <c r="T32" i="22" s="1"/>
  <c r="T22" i="22"/>
  <c r="T28" i="22" a="1"/>
  <c r="T28" i="22" s="1"/>
  <c r="T29" i="22" a="1"/>
  <c r="T29" i="22" s="1"/>
  <c r="T23" i="22"/>
  <c r="T20" i="22"/>
  <c r="T24" i="22"/>
  <c r="T31" i="22" a="1"/>
  <c r="T31" i="22" s="1"/>
  <c r="T33" i="22" a="1"/>
  <c r="T33" i="22" s="1"/>
  <c r="AD40" i="22"/>
  <c r="AR14" i="22"/>
  <c r="AE44" i="22"/>
  <c r="AM14" i="22"/>
  <c r="AO14" i="22"/>
  <c r="AN14" i="22"/>
  <c r="AQ14" i="22"/>
  <c r="AP14" i="22"/>
  <c r="AH14" i="22"/>
  <c r="AG14" i="22"/>
  <c r="AL14" i="22"/>
  <c r="AF14" i="22"/>
  <c r="AF24" i="22" s="1"/>
  <c r="AI14" i="22"/>
  <c r="AI22" i="22" s="1"/>
  <c r="AJ14" i="22"/>
  <c r="AJ29" i="22" s="1" a="1"/>
  <c r="AJ29" i="22" s="1"/>
  <c r="T63" i="190"/>
  <c r="AB43" i="22"/>
  <c r="AG51" i="587" a="1"/>
  <c r="AG51" i="587" s="1"/>
  <c r="T60" i="190"/>
  <c r="AB58" i="22"/>
  <c r="G37" i="92"/>
  <c r="G58" i="92"/>
  <c r="AB53" i="22"/>
  <c r="T62" i="190"/>
  <c r="G36" i="92"/>
  <c r="R31" i="178"/>
  <c r="R32" i="178" s="1"/>
  <c r="Q31" i="178"/>
  <c r="P31" i="178"/>
  <c r="P32" i="178" s="1"/>
  <c r="M31" i="178"/>
  <c r="O31" i="178"/>
  <c r="AM52" i="587" a="1"/>
  <c r="AM52" i="587" s="1"/>
  <c r="U43" i="189"/>
  <c r="O52" i="189" a="1"/>
  <c r="O52" i="189" s="1"/>
  <c r="O45" i="189"/>
  <c r="O43" i="189"/>
  <c r="O46" i="189"/>
  <c r="O44" i="189"/>
  <c r="O47" i="189"/>
  <c r="O54" i="189" a="1"/>
  <c r="O54" i="189" s="1"/>
  <c r="O53" i="189" a="1"/>
  <c r="O53" i="189" s="1"/>
  <c r="O42" i="189"/>
  <c r="N49" i="189" a="1"/>
  <c r="N49" i="189" s="1"/>
  <c r="N47" i="189"/>
  <c r="N43" i="189"/>
  <c r="N51" i="189" a="1"/>
  <c r="N51" i="189" s="1"/>
  <c r="N53" i="189" a="1"/>
  <c r="N53" i="189" s="1"/>
  <c r="N44" i="189"/>
  <c r="N52" i="189" a="1"/>
  <c r="N52" i="189" s="1"/>
  <c r="N46" i="189"/>
  <c r="N45" i="189"/>
  <c r="N42" i="189"/>
  <c r="N54" i="189" a="1"/>
  <c r="N54" i="189" s="1"/>
  <c r="T44" i="189"/>
  <c r="Z45" i="22"/>
  <c r="U64" i="190"/>
  <c r="U59" i="190"/>
  <c r="U65" i="190"/>
  <c r="U61" i="190"/>
  <c r="U60" i="190"/>
  <c r="Z41" i="22"/>
  <c r="AD12" i="189"/>
  <c r="AD11" i="189"/>
  <c r="Z40" i="22"/>
  <c r="Z39" i="22"/>
  <c r="AD10" i="189"/>
  <c r="U63" i="190"/>
  <c r="Z43" i="22"/>
  <c r="U62" i="190"/>
  <c r="AD13" i="189"/>
  <c r="Z42" i="22"/>
  <c r="AA42" i="22"/>
  <c r="Q58" i="589"/>
  <c r="Q63" i="589" s="1"/>
  <c r="Q64" i="589" s="1"/>
  <c r="R16" i="589" s="1"/>
  <c r="S57" i="589"/>
  <c r="Q75" i="826" l="1"/>
  <c r="Y32" i="840"/>
  <c r="P22" i="825"/>
  <c r="Y55" i="840"/>
  <c r="Y63" i="840" s="1"/>
  <c r="T23" i="2"/>
  <c r="D46" i="854" s="1"/>
  <c r="Q90" i="826"/>
  <c r="R88" i="826"/>
  <c r="R89" i="826"/>
  <c r="R87" i="826"/>
  <c r="R86" i="826"/>
  <c r="R81" i="826"/>
  <c r="R82" i="826"/>
  <c r="R78" i="826"/>
  <c r="R85" i="826"/>
  <c r="R83" i="826"/>
  <c r="R84" i="826"/>
  <c r="R79" i="826"/>
  <c r="R80" i="826"/>
  <c r="O52" i="2"/>
  <c r="O75" i="2"/>
  <c r="N31" i="825" s="1"/>
  <c r="Z46" i="840"/>
  <c r="Z45" i="840"/>
  <c r="Z43" i="840"/>
  <c r="Z47" i="840"/>
  <c r="Z39" i="840"/>
  <c r="Z38" i="840"/>
  <c r="Z37" i="840"/>
  <c r="Z44" i="840"/>
  <c r="Z42" i="840"/>
  <c r="Z36" i="840"/>
  <c r="Z40" i="840"/>
  <c r="Z41" i="840"/>
  <c r="R72" i="2"/>
  <c r="Z51" i="840"/>
  <c r="Y48" i="840"/>
  <c r="O12" i="829"/>
  <c r="O31" i="829" s="1"/>
  <c r="W100" i="840" s="1"/>
  <c r="P50" i="2"/>
  <c r="P13" i="829"/>
  <c r="P28" i="829" s="1"/>
  <c r="X97" i="840" s="1"/>
  <c r="Q26" i="829"/>
  <c r="Y95" i="840" s="1"/>
  <c r="N31" i="829"/>
  <c r="V100" i="840" s="1"/>
  <c r="N29" i="829"/>
  <c r="V98" i="840" s="1"/>
  <c r="N23" i="829"/>
  <c r="V93" i="840" s="1"/>
  <c r="H34" i="849"/>
  <c r="I34" i="849" s="1"/>
  <c r="R38" i="2"/>
  <c r="T38" i="2" s="1"/>
  <c r="R74" i="826"/>
  <c r="T69" i="826"/>
  <c r="P29" i="825"/>
  <c r="Q82" i="2"/>
  <c r="H9" i="849" s="1"/>
  <c r="H8" i="849"/>
  <c r="I8" i="849" s="1"/>
  <c r="V9" i="190"/>
  <c r="V10" i="190"/>
  <c r="V8" i="190"/>
  <c r="G69" i="92" a="1"/>
  <c r="G69" i="92" s="1"/>
  <c r="G68" i="92" a="1"/>
  <c r="G68" i="92" s="1"/>
  <c r="G71" i="92" a="1"/>
  <c r="G71" i="92" s="1"/>
  <c r="G75" i="92" s="1"/>
  <c r="G70" i="92"/>
  <c r="X66" i="840"/>
  <c r="O30" i="825"/>
  <c r="Q22" i="829"/>
  <c r="Y92" i="840" s="1"/>
  <c r="Q19" i="829"/>
  <c r="Y89" i="840" s="1"/>
  <c r="Q21" i="829"/>
  <c r="Y91" i="840" s="1"/>
  <c r="R73" i="826"/>
  <c r="T147" i="826"/>
  <c r="Q21" i="825"/>
  <c r="R115" i="826"/>
  <c r="Z55" i="840" s="1"/>
  <c r="Z63" i="840" s="1"/>
  <c r="R10" i="829"/>
  <c r="R27" i="829" s="1"/>
  <c r="Z96" i="840" s="1"/>
  <c r="P23" i="825"/>
  <c r="Q43" i="2"/>
  <c r="Q154" i="826"/>
  <c r="G62" i="92"/>
  <c r="C175" i="827"/>
  <c r="C243" i="827" s="1"/>
  <c r="C277" i="827" s="1"/>
  <c r="C209" i="827"/>
  <c r="C41" i="827"/>
  <c r="C142" i="827"/>
  <c r="T75" i="589"/>
  <c r="K42" i="589"/>
  <c r="W54" i="189" a="1"/>
  <c r="W54" i="189" s="1"/>
  <c r="AK22" i="22"/>
  <c r="AK30" i="22" a="1"/>
  <c r="AK30" i="22" s="1"/>
  <c r="AG43" i="587"/>
  <c r="AK28" i="22" a="1"/>
  <c r="AK28" i="22" s="1"/>
  <c r="AK33" i="22" a="1"/>
  <c r="AK33" i="22" s="1"/>
  <c r="R45" i="189"/>
  <c r="AK31" i="22" a="1"/>
  <c r="AK31" i="22" s="1"/>
  <c r="AK20" i="22"/>
  <c r="AK21" i="22"/>
  <c r="AK29" i="22" a="1"/>
  <c r="AK29" i="22" s="1"/>
  <c r="AG45" i="587"/>
  <c r="AK23" i="22"/>
  <c r="AK24" i="22"/>
  <c r="AK32" i="22" a="1"/>
  <c r="AK32" i="22" s="1"/>
  <c r="AI29" i="22" a="1"/>
  <c r="AI29" i="22" s="1"/>
  <c r="AI32" i="22" a="1"/>
  <c r="AI32" i="22" s="1"/>
  <c r="AI21" i="22"/>
  <c r="AF21" i="22"/>
  <c r="AI31" i="22" a="1"/>
  <c r="AI31" i="22" s="1"/>
  <c r="AJ33" i="22" a="1"/>
  <c r="AJ33" i="22" s="1"/>
  <c r="AI30" i="22" a="1"/>
  <c r="AI30" i="22" s="1"/>
  <c r="AJ32" i="22" a="1"/>
  <c r="AJ32" i="22" s="1"/>
  <c r="AJ25" i="22"/>
  <c r="AI28" i="22" a="1"/>
  <c r="AI28" i="22" s="1"/>
  <c r="AJ28" i="22" a="1"/>
  <c r="AJ28" i="22" s="1"/>
  <c r="AJ24" i="22"/>
  <c r="AI23" i="22"/>
  <c r="AJ20" i="22"/>
  <c r="AJ23" i="22"/>
  <c r="AI33" i="22" a="1"/>
  <c r="AI33" i="22" s="1"/>
  <c r="AI20" i="22"/>
  <c r="AJ21" i="22"/>
  <c r="AJ22" i="22"/>
  <c r="AJ31" i="22" a="1"/>
  <c r="AJ31" i="22" s="1"/>
  <c r="AJ30" i="22" a="1"/>
  <c r="AJ30" i="22" s="1"/>
  <c r="AI24" i="22"/>
  <c r="AI25" i="22"/>
  <c r="AG23" i="22"/>
  <c r="AG22" i="22"/>
  <c r="AG24" i="22"/>
  <c r="AG20" i="22"/>
  <c r="AG25" i="22"/>
  <c r="AG32" i="22" a="1"/>
  <c r="AG32" i="22" s="1"/>
  <c r="AG21" i="22"/>
  <c r="AG29" i="22" a="1"/>
  <c r="AG29" i="22" s="1"/>
  <c r="AG31" i="22" a="1"/>
  <c r="AG31" i="22" s="1"/>
  <c r="AG33" i="22" a="1"/>
  <c r="AG33" i="22" s="1"/>
  <c r="AG28" i="22" a="1"/>
  <c r="AG28" i="22" s="1"/>
  <c r="AG30" i="22" a="1"/>
  <c r="AG30" i="22" s="1"/>
  <c r="AF28" i="22" a="1"/>
  <c r="AF28" i="22" s="1"/>
  <c r="AF23" i="22"/>
  <c r="Z25" i="22"/>
  <c r="Z33" i="22" a="1"/>
  <c r="Z33" i="22" s="1"/>
  <c r="Z32" i="22" a="1"/>
  <c r="Z32" i="22" s="1"/>
  <c r="Z31" i="22" a="1"/>
  <c r="Z31" i="22" s="1"/>
  <c r="D62" i="844" s="1"/>
  <c r="D64" i="844" s="1"/>
  <c r="D21" i="854" s="1"/>
  <c r="Z24" i="22"/>
  <c r="Z23" i="22"/>
  <c r="Z21" i="22"/>
  <c r="Z30" i="22" a="1"/>
  <c r="Z30" i="22" s="1"/>
  <c r="Z22" i="22"/>
  <c r="Z20" i="22"/>
  <c r="Z29" i="22" a="1"/>
  <c r="Z29" i="22" s="1"/>
  <c r="AD28" i="22" a="1"/>
  <c r="AD28" i="22" s="1"/>
  <c r="AD33" i="22" a="1"/>
  <c r="AD33" i="22" s="1"/>
  <c r="AD24" i="22"/>
  <c r="AD20" i="22"/>
  <c r="AD32" i="22" a="1"/>
  <c r="AD32" i="22" s="1"/>
  <c r="AD21" i="22"/>
  <c r="AD30" i="22" a="1"/>
  <c r="AD30" i="22" s="1"/>
  <c r="AD23" i="22"/>
  <c r="AD29" i="22" a="1"/>
  <c r="AD29" i="22" s="1"/>
  <c r="AD25" i="22"/>
  <c r="AD22" i="22"/>
  <c r="AD31" i="22" a="1"/>
  <c r="AD31" i="22" s="1"/>
  <c r="AC33" i="22" a="1"/>
  <c r="AC33" i="22" s="1"/>
  <c r="AC32" i="22" a="1"/>
  <c r="AC32" i="22" s="1"/>
  <c r="AC24" i="22"/>
  <c r="AC29" i="22" a="1"/>
  <c r="AC29" i="22" s="1"/>
  <c r="AC23" i="22"/>
  <c r="AC25" i="22"/>
  <c r="AC30" i="22" a="1"/>
  <c r="AC30" i="22" s="1"/>
  <c r="AC20" i="22"/>
  <c r="AC21" i="22"/>
  <c r="AC31" i="22" a="1"/>
  <c r="AC31" i="22" s="1"/>
  <c r="AC22" i="22"/>
  <c r="AC28" i="22" a="1"/>
  <c r="AC28" i="22" s="1"/>
  <c r="W31" i="22" a="1"/>
  <c r="W31" i="22" s="1"/>
  <c r="W33" i="22" a="1"/>
  <c r="W33" i="22" s="1"/>
  <c r="W32" i="22" a="1"/>
  <c r="W32" i="22" s="1"/>
  <c r="W25" i="22"/>
  <c r="W29" i="22" a="1"/>
  <c r="W29" i="22" s="1"/>
  <c r="W30" i="22" a="1"/>
  <c r="W30" i="22" s="1"/>
  <c r="W21" i="22"/>
  <c r="W22" i="22"/>
  <c r="W24" i="22"/>
  <c r="W23" i="22"/>
  <c r="AE40" i="22"/>
  <c r="AA30" i="22" a="1"/>
  <c r="AA30" i="22" s="1"/>
  <c r="AA28" i="22" a="1"/>
  <c r="AA28" i="22" s="1"/>
  <c r="AA25" i="22"/>
  <c r="AA23" i="22"/>
  <c r="AA32" i="22" a="1"/>
  <c r="AA32" i="22" s="1"/>
  <c r="AA31" i="22" a="1"/>
  <c r="AA31" i="22" s="1"/>
  <c r="E62" i="844" s="1"/>
  <c r="E64" i="844" s="1"/>
  <c r="AA20" i="22"/>
  <c r="AA29" i="22" a="1"/>
  <c r="AA29" i="22" s="1"/>
  <c r="AA21" i="22"/>
  <c r="AA24" i="22"/>
  <c r="AA22" i="22"/>
  <c r="AA33" i="22" a="1"/>
  <c r="AA33" i="22" s="1"/>
  <c r="AF33" i="22" a="1"/>
  <c r="AF33" i="22" s="1"/>
  <c r="AF29" i="22" a="1"/>
  <c r="AF29" i="22" s="1"/>
  <c r="AF30" i="22" a="1"/>
  <c r="AF30" i="22" s="1"/>
  <c r="AF22" i="22"/>
  <c r="X25" i="22"/>
  <c r="X22" i="22"/>
  <c r="X21" i="22"/>
  <c r="X28" i="22" a="1"/>
  <c r="X28" i="22" s="1"/>
  <c r="X30" i="22" a="1"/>
  <c r="X30" i="22" s="1"/>
  <c r="X29" i="22" a="1"/>
  <c r="X29" i="22" s="1"/>
  <c r="X24" i="22"/>
  <c r="X31" i="22" a="1"/>
  <c r="X31" i="22" s="1"/>
  <c r="X23" i="22"/>
  <c r="X33" i="22" a="1"/>
  <c r="X33" i="22" s="1"/>
  <c r="X32" i="22" a="1"/>
  <c r="X32" i="22" s="1"/>
  <c r="AF31" i="22" a="1"/>
  <c r="AF31" i="22" s="1"/>
  <c r="AF20" i="22"/>
  <c r="AF25" i="22"/>
  <c r="AF32" i="22" a="1"/>
  <c r="AF32" i="22" s="1"/>
  <c r="R52" i="189" a="1"/>
  <c r="R52" i="189" s="1"/>
  <c r="AG56" i="587" a="1"/>
  <c r="AG56" i="587" s="1"/>
  <c r="AG55" i="587" a="1"/>
  <c r="AG55" i="587" s="1"/>
  <c r="R47" i="189"/>
  <c r="AG54" i="587" a="1"/>
  <c r="AG54" i="587" s="1"/>
  <c r="AG44" i="587"/>
  <c r="R51" i="189" a="1"/>
  <c r="R51" i="189" s="1"/>
  <c r="AG46" i="587"/>
  <c r="R54" i="189" a="1"/>
  <c r="R54" i="189" s="1"/>
  <c r="AG48" i="587"/>
  <c r="R42" i="189"/>
  <c r="AG47" i="587"/>
  <c r="R44" i="189"/>
  <c r="AG52" i="587" a="1"/>
  <c r="AG52" i="587" s="1"/>
  <c r="AG53" i="587" a="1"/>
  <c r="AG53" i="587" s="1"/>
  <c r="R49" i="189" a="1"/>
  <c r="R49" i="189" s="1"/>
  <c r="R43" i="189"/>
  <c r="R50" i="189" a="1"/>
  <c r="R50" i="189" s="1"/>
  <c r="R46" i="189"/>
  <c r="W52" i="189" a="1"/>
  <c r="W52" i="189" s="1"/>
  <c r="W47" i="189"/>
  <c r="U54" i="189" a="1"/>
  <c r="U54" i="189" s="1"/>
  <c r="W46" i="189"/>
  <c r="W45" i="189"/>
  <c r="G65" i="92"/>
  <c r="G64" i="92"/>
  <c r="G63" i="92"/>
  <c r="L36" i="92"/>
  <c r="W49" i="189" a="1"/>
  <c r="W49" i="189" s="1"/>
  <c r="W44" i="189"/>
  <c r="W42" i="189"/>
  <c r="W43" i="189"/>
  <c r="L58" i="92"/>
  <c r="W50" i="189" a="1"/>
  <c r="W50" i="189" s="1"/>
  <c r="W51" i="189" a="1"/>
  <c r="W51" i="189" s="1"/>
  <c r="L37" i="92"/>
  <c r="AM45" i="587"/>
  <c r="AM51" i="587" a="1"/>
  <c r="AM51" i="587" s="1"/>
  <c r="M32" i="178"/>
  <c r="Q32" i="178"/>
  <c r="O32" i="178"/>
  <c r="S54" i="189" a="1"/>
  <c r="S54" i="189" s="1"/>
  <c r="S50" i="189" a="1"/>
  <c r="S50" i="189" s="1"/>
  <c r="S43" i="189"/>
  <c r="V45" i="189"/>
  <c r="AE10" i="189" s="1"/>
  <c r="V49" i="189" a="1"/>
  <c r="V49" i="189" s="1"/>
  <c r="V46" i="189"/>
  <c r="S49" i="189" a="1"/>
  <c r="S49" i="189" s="1"/>
  <c r="S53" i="189" a="1"/>
  <c r="S53" i="189" s="1"/>
  <c r="S52" i="189" a="1"/>
  <c r="S52" i="189" s="1"/>
  <c r="S45" i="189"/>
  <c r="S47" i="189"/>
  <c r="S51" i="189" a="1"/>
  <c r="S51" i="189" s="1"/>
  <c r="S46" i="189"/>
  <c r="S44" i="189"/>
  <c r="T54" i="189" a="1"/>
  <c r="T54" i="189" s="1"/>
  <c r="T46" i="189"/>
  <c r="AM46" i="587"/>
  <c r="AM56" i="587" a="1"/>
  <c r="AM56" i="587" s="1"/>
  <c r="AM47" i="587"/>
  <c r="AM54" i="587" a="1"/>
  <c r="AM54" i="587" s="1"/>
  <c r="AM48" i="587"/>
  <c r="AM44" i="587"/>
  <c r="AM43" i="587"/>
  <c r="AM55" i="587" a="1"/>
  <c r="AM55" i="587" s="1"/>
  <c r="AM53" i="587" a="1"/>
  <c r="AM53" i="587" s="1"/>
  <c r="V44" i="189"/>
  <c r="V50" i="189" a="1"/>
  <c r="V50" i="189" s="1"/>
  <c r="V51" i="189" a="1"/>
  <c r="V51" i="189" s="1"/>
  <c r="V42" i="189"/>
  <c r="V52" i="189" a="1"/>
  <c r="V52" i="189" s="1"/>
  <c r="V47" i="189"/>
  <c r="V54" i="189" a="1"/>
  <c r="V54" i="189" s="1"/>
  <c r="V53" i="189" a="1"/>
  <c r="V53" i="189" s="1"/>
  <c r="U49" i="189" a="1"/>
  <c r="U49" i="189" s="1"/>
  <c r="U46" i="189"/>
  <c r="U44" i="189"/>
  <c r="U45" i="189"/>
  <c r="U47" i="189"/>
  <c r="U42" i="189"/>
  <c r="U53" i="189" a="1"/>
  <c r="U53" i="189" s="1"/>
  <c r="U52" i="189" a="1"/>
  <c r="U52" i="189" s="1"/>
  <c r="U51" i="189" a="1"/>
  <c r="U51" i="189" s="1"/>
  <c r="U50" i="189" a="1"/>
  <c r="U50" i="189" s="1"/>
  <c r="T49" i="189" a="1"/>
  <c r="T49" i="189" s="1"/>
  <c r="T42" i="189"/>
  <c r="T52" i="189" a="1"/>
  <c r="T52" i="189" s="1"/>
  <c r="T50" i="189" a="1"/>
  <c r="T50" i="189" s="1"/>
  <c r="T53" i="189" a="1"/>
  <c r="T53" i="189" s="1"/>
  <c r="T51" i="189" a="1"/>
  <c r="T51" i="189" s="1"/>
  <c r="T43" i="189"/>
  <c r="T45" i="189"/>
  <c r="T47" i="189"/>
  <c r="P51" i="189" a="1"/>
  <c r="P51" i="189" s="1"/>
  <c r="P44" i="189"/>
  <c r="P43" i="189"/>
  <c r="P54" i="189" a="1"/>
  <c r="P54" i="189" s="1"/>
  <c r="P42" i="189"/>
  <c r="P50" i="189" a="1"/>
  <c r="P50" i="189" s="1"/>
  <c r="P53" i="189" a="1"/>
  <c r="P53" i="189" s="1"/>
  <c r="P45" i="189"/>
  <c r="P46" i="189"/>
  <c r="P52" i="189" a="1"/>
  <c r="P52" i="189" s="1"/>
  <c r="P49" i="189" a="1"/>
  <c r="P49" i="189" s="1"/>
  <c r="P47" i="189"/>
  <c r="AB66" i="22"/>
  <c r="Q44" i="189"/>
  <c r="Q46" i="189"/>
  <c r="Q47" i="189"/>
  <c r="Q49" i="189" a="1"/>
  <c r="Q49" i="189" s="1"/>
  <c r="Q54" i="189" a="1"/>
  <c r="Q54" i="189" s="1"/>
  <c r="Q51" i="189" a="1"/>
  <c r="Q51" i="189" s="1"/>
  <c r="Q53" i="189" a="1"/>
  <c r="Q53" i="189" s="1"/>
  <c r="Q45" i="189"/>
  <c r="Q52" i="189" a="1"/>
  <c r="Q52" i="189" s="1"/>
  <c r="Q43" i="189"/>
  <c r="K43" i="589"/>
  <c r="U75" i="589"/>
  <c r="V11" i="589"/>
  <c r="S58" i="589"/>
  <c r="S63" i="589" s="1"/>
  <c r="S64" i="589" s="1"/>
  <c r="T16" i="589" s="1"/>
  <c r="T57" i="589"/>
  <c r="U57" i="589" s="1"/>
  <c r="U58" i="589" s="1"/>
  <c r="U63" i="589" s="1"/>
  <c r="U64" i="589" s="1"/>
  <c r="V16" i="589" s="1"/>
  <c r="Z33" i="840" l="1"/>
  <c r="D51" i="854"/>
  <c r="R75" i="826"/>
  <c r="T75" i="826" s="1"/>
  <c r="Z32" i="840"/>
  <c r="D50" i="854"/>
  <c r="D52" i="854" s="1"/>
  <c r="D53" i="854" s="1"/>
  <c r="R90" i="826"/>
  <c r="F90" i="826" s="1"/>
  <c r="R73" i="2"/>
  <c r="P75" i="2"/>
  <c r="O31" i="825" s="1"/>
  <c r="Z48" i="840"/>
  <c r="P52" i="2"/>
  <c r="P12" i="829"/>
  <c r="P23" i="829" s="1"/>
  <c r="X93" i="840" s="1"/>
  <c r="O23" i="829"/>
  <c r="W93" i="840" s="1"/>
  <c r="O29" i="829"/>
  <c r="W98" i="840" s="1"/>
  <c r="Q50" i="2"/>
  <c r="Q13" i="829"/>
  <c r="Q28" i="829" s="1"/>
  <c r="Y97" i="840" s="1"/>
  <c r="R11" i="829"/>
  <c r="R40" i="2"/>
  <c r="T40" i="2" s="1"/>
  <c r="R45" i="2"/>
  <c r="T45" i="2" s="1"/>
  <c r="T149" i="826"/>
  <c r="R47" i="2"/>
  <c r="T47" i="2" s="1"/>
  <c r="T151" i="826"/>
  <c r="R49" i="2"/>
  <c r="T49" i="2" s="1"/>
  <c r="T153" i="826"/>
  <c r="R46" i="2"/>
  <c r="T46" i="2" s="1"/>
  <c r="T150" i="826"/>
  <c r="R44" i="2"/>
  <c r="T44" i="2" s="1"/>
  <c r="T148" i="826"/>
  <c r="Q22" i="825"/>
  <c r="Q23" i="825" s="1"/>
  <c r="T115" i="826"/>
  <c r="T73" i="826"/>
  <c r="H13" i="849"/>
  <c r="I13" i="849" s="1"/>
  <c r="T74" i="826"/>
  <c r="H14" i="849"/>
  <c r="I14" i="849" s="1"/>
  <c r="R48" i="2"/>
  <c r="T48" i="2" s="1"/>
  <c r="T152" i="826"/>
  <c r="Q29" i="825"/>
  <c r="R82" i="2"/>
  <c r="D12" i="92"/>
  <c r="Y66" i="840"/>
  <c r="P30" i="825"/>
  <c r="R19" i="829"/>
  <c r="Z89" i="840" s="1"/>
  <c r="R21" i="829"/>
  <c r="Z91" i="840" s="1"/>
  <c r="R43" i="2"/>
  <c r="T43" i="2" s="1"/>
  <c r="R154" i="826"/>
  <c r="T154" i="826" s="1"/>
  <c r="C176" i="827"/>
  <c r="C244" i="827" s="1"/>
  <c r="C278" i="827" s="1"/>
  <c r="C210" i="827"/>
  <c r="C42" i="827"/>
  <c r="C143" i="827"/>
  <c r="AE9" i="189"/>
  <c r="AE11" i="189"/>
  <c r="F63" i="92"/>
  <c r="F65" i="92"/>
  <c r="F64" i="92"/>
  <c r="V60" i="190"/>
  <c r="V58" i="190"/>
  <c r="V59" i="190"/>
  <c r="AF56" i="587" a="1"/>
  <c r="AF56" i="587" s="1"/>
  <c r="AF47" i="587"/>
  <c r="AF48" i="587"/>
  <c r="AF45" i="587"/>
  <c r="AF53" i="587" a="1"/>
  <c r="AF53" i="587" s="1"/>
  <c r="AF43" i="587"/>
  <c r="AF55" i="587" a="1"/>
  <c r="AF55" i="587" s="1"/>
  <c r="AF52" i="587" a="1"/>
  <c r="AF52" i="587" s="1"/>
  <c r="AF51" i="587" a="1"/>
  <c r="AF51" i="587" s="1"/>
  <c r="AF44" i="587"/>
  <c r="AF46" i="587"/>
  <c r="AF54" i="587" a="1"/>
  <c r="AF54" i="587" s="1"/>
  <c r="AL56" i="587" a="1"/>
  <c r="AL56" i="587" s="1"/>
  <c r="AL47" i="587"/>
  <c r="AL44" i="587"/>
  <c r="AL43" i="587"/>
  <c r="AL48" i="587"/>
  <c r="AL54" i="587" a="1"/>
  <c r="AL54" i="587" s="1"/>
  <c r="AL46" i="587"/>
  <c r="AL52" i="587" a="1"/>
  <c r="AL52" i="587" s="1"/>
  <c r="AL51" i="587" a="1"/>
  <c r="AL51" i="587" s="1"/>
  <c r="AL45" i="587"/>
  <c r="AL53" i="587" a="1"/>
  <c r="AL53" i="587" s="1"/>
  <c r="AL55" i="587" a="1"/>
  <c r="AL55" i="587" s="1"/>
  <c r="AE47" i="587"/>
  <c r="AE51" i="587" a="1"/>
  <c r="AE51" i="587" s="1"/>
  <c r="AE56" i="587" a="1"/>
  <c r="AE56" i="587" s="1"/>
  <c r="AE44" i="587"/>
  <c r="AE55" i="587" a="1"/>
  <c r="AE55" i="587" s="1"/>
  <c r="AE46" i="587"/>
  <c r="AE48" i="587"/>
  <c r="AE45" i="587"/>
  <c r="AE43" i="587"/>
  <c r="AE53" i="587" a="1"/>
  <c r="AE53" i="587" s="1"/>
  <c r="AE54" i="587" a="1"/>
  <c r="AE54" i="587" s="1"/>
  <c r="AE52" i="587" a="1"/>
  <c r="AE52" i="587" s="1"/>
  <c r="AK52" i="587" a="1"/>
  <c r="AK52" i="587" s="1"/>
  <c r="AK43" i="587"/>
  <c r="AK54" i="587" a="1"/>
  <c r="AK54" i="587" s="1"/>
  <c r="AK47" i="587"/>
  <c r="AK45" i="587"/>
  <c r="AK56" i="587" a="1"/>
  <c r="AK56" i="587" s="1"/>
  <c r="AK51" i="587" a="1"/>
  <c r="AK51" i="587" s="1"/>
  <c r="AK48" i="587"/>
  <c r="AK53" i="587" a="1"/>
  <c r="AK53" i="587" s="1"/>
  <c r="AK44" i="587"/>
  <c r="AK55" i="587" a="1"/>
  <c r="AK55" i="587" s="1"/>
  <c r="AK46" i="587"/>
  <c r="V57" i="589"/>
  <c r="V58" i="589" s="1"/>
  <c r="V63" i="589" s="1"/>
  <c r="V64" i="589" s="1"/>
  <c r="W16" i="589" s="1"/>
  <c r="K44" i="589"/>
  <c r="V75" i="589"/>
  <c r="W11" i="589"/>
  <c r="T58" i="589"/>
  <c r="T63" i="589" s="1"/>
  <c r="T64" i="589" s="1"/>
  <c r="U16" i="589" s="1"/>
  <c r="D41" i="854" l="1"/>
  <c r="G90" i="826"/>
  <c r="D42" i="854" s="1"/>
  <c r="R13" i="829"/>
  <c r="R28" i="829" s="1"/>
  <c r="Z97" i="840" s="1"/>
  <c r="Q75" i="2"/>
  <c r="P31" i="825" s="1"/>
  <c r="R74" i="2"/>
  <c r="Z66" i="840" s="1"/>
  <c r="R26" i="829"/>
  <c r="Z95" i="840" s="1"/>
  <c r="R20" i="829"/>
  <c r="Z90" i="840" s="1"/>
  <c r="P31" i="829"/>
  <c r="X100" i="840" s="1"/>
  <c r="P29" i="829"/>
  <c r="X98" i="840" s="1"/>
  <c r="Q12" i="829"/>
  <c r="Q29" i="829" s="1"/>
  <c r="Y98" i="840" s="1"/>
  <c r="Q52" i="2"/>
  <c r="R22" i="829"/>
  <c r="Z92" i="840" s="1"/>
  <c r="H20" i="849"/>
  <c r="I20" i="849" s="1"/>
  <c r="H17" i="849"/>
  <c r="I17" i="849" s="1"/>
  <c r="T21" i="829"/>
  <c r="R50" i="2"/>
  <c r="T50" i="2" s="1"/>
  <c r="D24" i="92"/>
  <c r="C177" i="827"/>
  <c r="C245" i="827" s="1"/>
  <c r="C279" i="827" s="1"/>
  <c r="C211" i="827"/>
  <c r="C43" i="827"/>
  <c r="C144" i="827"/>
  <c r="K45" i="589"/>
  <c r="W75" i="589"/>
  <c r="X11" i="589"/>
  <c r="W57" i="589"/>
  <c r="T28" i="829" l="1"/>
  <c r="I24" i="854"/>
  <c r="R52" i="2"/>
  <c r="T52" i="2" s="1"/>
  <c r="R75" i="2"/>
  <c r="Q31" i="825" s="1"/>
  <c r="Q31" i="829"/>
  <c r="Y100" i="840" s="1"/>
  <c r="Q23" i="829"/>
  <c r="Y93" i="840" s="1"/>
  <c r="T22" i="829"/>
  <c r="T26" i="829"/>
  <c r="Q30" i="825"/>
  <c r="R12" i="829"/>
  <c r="E24" i="92"/>
  <c r="C178" i="827"/>
  <c r="C246" i="827" s="1"/>
  <c r="C280" i="827" s="1"/>
  <c r="C212" i="827"/>
  <c r="C44" i="827"/>
  <c r="C145" i="827"/>
  <c r="W58" i="589"/>
  <c r="W63" i="589" s="1"/>
  <c r="W64" i="589" s="1"/>
  <c r="X16" i="589" s="1"/>
  <c r="X57" i="589"/>
  <c r="Y11" i="589"/>
  <c r="X75" i="589"/>
  <c r="K46" i="589"/>
  <c r="R31" i="829" l="1"/>
  <c r="Z100" i="840" s="1"/>
  <c r="R29" i="829"/>
  <c r="Z98" i="840" s="1"/>
  <c r="R23" i="829"/>
  <c r="Z93" i="840" s="1"/>
  <c r="C179" i="827"/>
  <c r="C247" i="827" s="1"/>
  <c r="C281" i="827" s="1"/>
  <c r="C213" i="827"/>
  <c r="C45" i="827"/>
  <c r="C146" i="827"/>
  <c r="K47" i="589"/>
  <c r="Y75" i="589"/>
  <c r="Z11" i="589"/>
  <c r="X58" i="589"/>
  <c r="X63" i="589" s="1"/>
  <c r="X64" i="589" s="1"/>
  <c r="Y16" i="589" s="1"/>
  <c r="Y57" i="589"/>
  <c r="T31" i="829" l="1"/>
  <c r="T29" i="829"/>
  <c r="T23" i="829"/>
  <c r="C180" i="827"/>
  <c r="C248" i="827" s="1"/>
  <c r="C282" i="827" s="1"/>
  <c r="C214" i="827"/>
  <c r="C46" i="827"/>
  <c r="C147" i="827"/>
  <c r="Y58" i="589"/>
  <c r="Y63" i="589" s="1"/>
  <c r="Y64" i="589" s="1"/>
  <c r="Z16" i="589" s="1"/>
  <c r="Z57" i="589"/>
  <c r="K48" i="589"/>
  <c r="Z75" i="589"/>
  <c r="AA11" i="589"/>
  <c r="C181" i="827" l="1"/>
  <c r="C249" i="827" s="1"/>
  <c r="C283" i="827" s="1"/>
  <c r="C215" i="827"/>
  <c r="C47" i="827"/>
  <c r="C148" i="827"/>
  <c r="AB11" i="589"/>
  <c r="AA75" i="589"/>
  <c r="K49" i="589"/>
  <c r="Z58" i="589"/>
  <c r="Z63" i="589" s="1"/>
  <c r="Z64" i="589" s="1"/>
  <c r="AA16" i="589" s="1"/>
  <c r="AA57" i="589"/>
  <c r="L32" i="22" l="1" a="1"/>
  <c r="L32" i="22" s="1"/>
  <c r="M31" i="22" a="1"/>
  <c r="M31" i="22" s="1"/>
  <c r="C182" i="827"/>
  <c r="C250" i="827" s="1"/>
  <c r="C284" i="827" s="1"/>
  <c r="C216" i="827"/>
  <c r="C48" i="827"/>
  <c r="C149" i="827"/>
  <c r="AA58" i="589"/>
  <c r="AA63" i="589" s="1"/>
  <c r="AA64" i="589" s="1"/>
  <c r="AB16" i="589" s="1"/>
  <c r="AB57" i="589"/>
  <c r="K50" i="589"/>
  <c r="AC11" i="589"/>
  <c r="AB75" i="589"/>
  <c r="M28" i="22" l="1" a="1"/>
  <c r="M28" i="22" s="1"/>
  <c r="L28" i="22" a="1"/>
  <c r="L28" i="22" s="1"/>
  <c r="M33" i="22" a="1"/>
  <c r="M33" i="22" s="1"/>
  <c r="L23" i="22"/>
  <c r="L25" i="22"/>
  <c r="L22" i="22"/>
  <c r="L24" i="22"/>
  <c r="L20" i="22"/>
  <c r="L21" i="22"/>
  <c r="L29" i="22" a="1"/>
  <c r="L29" i="22" s="1"/>
  <c r="M24" i="22"/>
  <c r="M21" i="22"/>
  <c r="M25" i="22"/>
  <c r="M22" i="22"/>
  <c r="M20" i="22"/>
  <c r="M23" i="22"/>
  <c r="M32" i="22" a="1"/>
  <c r="M32" i="22" s="1"/>
  <c r="K22" i="22"/>
  <c r="K20" i="22"/>
  <c r="K24" i="22"/>
  <c r="K23" i="22"/>
  <c r="K21" i="22"/>
  <c r="K25" i="22"/>
  <c r="K28" i="22" a="1"/>
  <c r="K28" i="22" s="1"/>
  <c r="K29" i="22" a="1"/>
  <c r="K29" i="22" s="1"/>
  <c r="M29" i="22" a="1"/>
  <c r="M29" i="22" s="1"/>
  <c r="L33" i="22" a="1"/>
  <c r="L33" i="22" s="1"/>
  <c r="K31" i="22" a="1"/>
  <c r="K31" i="22" s="1"/>
  <c r="K32" i="22" a="1"/>
  <c r="K32" i="22" s="1"/>
  <c r="K33" i="22" a="1"/>
  <c r="K33" i="22" s="1"/>
  <c r="L31" i="22" a="1"/>
  <c r="L31" i="22" s="1"/>
  <c r="AM32" i="22" a="1"/>
  <c r="AM32" i="22" s="1"/>
  <c r="AL23" i="22"/>
  <c r="AO20" i="22"/>
  <c r="AO30" i="22" a="1"/>
  <c r="AO30" i="22" s="1"/>
  <c r="AQ23" i="22"/>
  <c r="AP21" i="22"/>
  <c r="AQ21" i="22"/>
  <c r="AP31" i="22" a="1"/>
  <c r="AP31" i="22" s="1"/>
  <c r="AP24" i="22"/>
  <c r="AP28" i="22" a="1"/>
  <c r="AP28" i="22" s="1"/>
  <c r="AP32" i="22" a="1"/>
  <c r="AP32" i="22" s="1"/>
  <c r="AP23" i="22"/>
  <c r="AO33" i="22" a="1"/>
  <c r="AO33" i="22" s="1"/>
  <c r="AQ29" i="22" a="1"/>
  <c r="AQ29" i="22" s="1"/>
  <c r="AQ31" i="22" a="1"/>
  <c r="AQ31" i="22" s="1"/>
  <c r="AQ33" i="22" a="1"/>
  <c r="AQ33" i="22" s="1"/>
  <c r="AQ30" i="22" a="1"/>
  <c r="AQ30" i="22" s="1"/>
  <c r="AQ28" i="22" a="1"/>
  <c r="AQ28" i="22" s="1"/>
  <c r="AQ24" i="22"/>
  <c r="AQ22" i="22"/>
  <c r="AQ20" i="22"/>
  <c r="AO32" i="22" a="1"/>
  <c r="AO32" i="22" s="1"/>
  <c r="AP22" i="22"/>
  <c r="AP29" i="22" a="1"/>
  <c r="AP29" i="22" s="1"/>
  <c r="AP33" i="22" a="1"/>
  <c r="AP33" i="22" s="1"/>
  <c r="AP25" i="22"/>
  <c r="AM30" i="22" a="1"/>
  <c r="AM30" i="22" s="1"/>
  <c r="AQ32" i="22" a="1"/>
  <c r="AQ32" i="22" s="1"/>
  <c r="AO21" i="22"/>
  <c r="AO29" i="22" a="1"/>
  <c r="AO29" i="22" s="1"/>
  <c r="AO31" i="22" a="1"/>
  <c r="AO31" i="22" s="1"/>
  <c r="AO25" i="22"/>
  <c r="AO28" i="22" a="1"/>
  <c r="AO28" i="22" s="1"/>
  <c r="AQ25" i="22"/>
  <c r="AL30" i="22" a="1"/>
  <c r="AL30" i="22" s="1"/>
  <c r="AO22" i="22"/>
  <c r="AO24" i="22"/>
  <c r="AO23" i="22"/>
  <c r="AP30" i="22" a="1"/>
  <c r="AP30" i="22" s="1"/>
  <c r="AP20" i="22"/>
  <c r="C183" i="827"/>
  <c r="C251" i="827" s="1"/>
  <c r="C285" i="827" s="1"/>
  <c r="C217" i="827"/>
  <c r="C49" i="827"/>
  <c r="C150" i="827"/>
  <c r="AD11" i="589"/>
  <c r="K51" i="589"/>
  <c r="AC75" i="589"/>
  <c r="AB58" i="589"/>
  <c r="AB63" i="589" s="1"/>
  <c r="AB64" i="589" s="1"/>
  <c r="AC16" i="589" s="1"/>
  <c r="AC57" i="589"/>
  <c r="AL24" i="22" l="1"/>
  <c r="AL25" i="22"/>
  <c r="AL20" i="22"/>
  <c r="AL22" i="22"/>
  <c r="AL21" i="22"/>
  <c r="AL31" i="22" a="1"/>
  <c r="AL31" i="22" s="1"/>
  <c r="AL28" i="22" a="1"/>
  <c r="AL28" i="22" s="1"/>
  <c r="AL32" i="22" a="1"/>
  <c r="AL32" i="22" s="1"/>
  <c r="AM20" i="22"/>
  <c r="AM24" i="22"/>
  <c r="AM28" i="22" a="1"/>
  <c r="AM28" i="22" s="1"/>
  <c r="AM25" i="22"/>
  <c r="AM23" i="22"/>
  <c r="AM33" i="22" a="1"/>
  <c r="AM33" i="22" s="1"/>
  <c r="AM31" i="22" a="1"/>
  <c r="AM31" i="22" s="1"/>
  <c r="AL33" i="22" a="1"/>
  <c r="AL33" i="22" s="1"/>
  <c r="AL29" i="22" a="1"/>
  <c r="AL29" i="22" s="1"/>
  <c r="AM21" i="22"/>
  <c r="AM29" i="22" a="1"/>
  <c r="AM29" i="22" s="1"/>
  <c r="AM22" i="22"/>
  <c r="C184" i="827"/>
  <c r="C252" i="827" s="1"/>
  <c r="C286" i="827" s="1"/>
  <c r="C218" i="827"/>
  <c r="C50" i="827"/>
  <c r="C151" i="827"/>
  <c r="AC58" i="589"/>
  <c r="AC63" i="589" s="1"/>
  <c r="AC64" i="589" s="1"/>
  <c r="AD16" i="589" s="1"/>
  <c r="AD57" i="589"/>
  <c r="AE11" i="589"/>
  <c r="AD75" i="589"/>
  <c r="K52" i="589"/>
  <c r="C185" i="827" l="1"/>
  <c r="C253" i="827" s="1"/>
  <c r="C287" i="827" s="1"/>
  <c r="C219" i="827"/>
  <c r="C51" i="827"/>
  <c r="C153" i="827" s="1"/>
  <c r="C152" i="827"/>
  <c r="K53" i="589"/>
  <c r="AE75" i="589"/>
  <c r="AF11" i="589"/>
  <c r="AD58" i="589"/>
  <c r="AD63" i="589" s="1"/>
  <c r="AD64" i="589" s="1"/>
  <c r="AE16" i="589" s="1"/>
  <c r="AE57" i="589"/>
  <c r="C186" i="827" l="1"/>
  <c r="C254" i="827" s="1"/>
  <c r="C288" i="827" s="1"/>
  <c r="C220" i="827"/>
  <c r="C187" i="827"/>
  <c r="C255" i="827" s="1"/>
  <c r="C289" i="827" s="1"/>
  <c r="C221" i="827"/>
  <c r="AE58" i="589"/>
  <c r="AE63" i="589" s="1"/>
  <c r="AE64" i="589" s="1"/>
  <c r="AF16" i="589" s="1"/>
  <c r="AF57" i="589"/>
  <c r="AF75" i="589"/>
  <c r="AG11" i="589"/>
  <c r="K54" i="589"/>
  <c r="AG75" i="589" l="1"/>
  <c r="K55" i="589"/>
  <c r="AF58" i="589"/>
  <c r="AF63" i="589" s="1"/>
  <c r="AF64" i="589" s="1"/>
  <c r="AG16" i="589" s="1"/>
  <c r="AG57" i="589"/>
  <c r="AG58" i="589" s="1"/>
  <c r="AG63" i="589" s="1"/>
  <c r="AG64" i="589" s="1"/>
  <c r="AR29" i="22" l="1" a="1"/>
  <c r="AR29" i="22" s="1"/>
  <c r="AR31" i="22" a="1"/>
  <c r="AR31" i="22" s="1"/>
  <c r="AR33" i="22" a="1"/>
  <c r="AR33" i="22" s="1"/>
  <c r="AR28" i="22" a="1"/>
  <c r="AR28" i="22" s="1"/>
  <c r="AR21" i="22" l="1"/>
  <c r="AR30" i="22" a="1"/>
  <c r="AR30" i="22" s="1"/>
  <c r="AR20" i="22"/>
  <c r="AR22" i="22"/>
  <c r="AR25" i="22"/>
  <c r="AR24" i="22"/>
  <c r="AR23" i="22"/>
  <c r="AR32" i="22" a="1"/>
  <c r="AR32" i="22" s="1"/>
  <c r="L33" i="92" l="1"/>
  <c r="L32" i="92"/>
  <c r="L30" i="92" l="1"/>
  <c r="L35" i="92"/>
  <c r="L34" i="92" l="1"/>
  <c r="L71" i="92" s="1" a="1"/>
  <c r="L71" i="92" s="1"/>
  <c r="K65" i="92"/>
  <c r="K62" i="92"/>
  <c r="K64" i="92"/>
  <c r="K63" i="92"/>
  <c r="L69" i="92" l="1" a="1"/>
  <c r="L69" i="92" s="1"/>
  <c r="L70" i="92"/>
  <c r="L68" i="92" a="1"/>
  <c r="L68" i="92" s="1"/>
  <c r="L64" i="92"/>
  <c r="L65" i="92"/>
  <c r="G74" i="92"/>
  <c r="L62" i="92"/>
  <c r="L63" i="92"/>
  <c r="G77" i="92" l="1"/>
  <c r="D19" i="92" s="1"/>
  <c r="G11" i="832"/>
  <c r="F11" i="832"/>
  <c r="E19" i="92" l="1"/>
  <c r="E23" i="92" s="1"/>
  <c r="E25" i="92" s="1"/>
  <c r="J21" i="834" s="1"/>
  <c r="D23" i="92"/>
  <c r="D25" i="92" s="1"/>
  <c r="J20" i="834" s="1"/>
  <c r="F42" i="844" s="1"/>
  <c r="N110" i="829"/>
  <c r="O110" i="829" s="1"/>
  <c r="O111" i="829"/>
  <c r="P112" i="829"/>
  <c r="Q113" i="829"/>
  <c r="R113" i="829" s="1"/>
  <c r="T113" i="829" s="1"/>
  <c r="R114" i="829"/>
  <c r="T114" i="829" s="1"/>
  <c r="L115" i="829"/>
  <c r="L92" i="829" s="1"/>
  <c r="D42" i="844" l="1"/>
  <c r="E42" i="844" s="1"/>
  <c r="K21" i="834"/>
  <c r="L20" i="834"/>
  <c r="M20" i="834"/>
  <c r="K20" i="834"/>
  <c r="G54" i="834"/>
  <c r="F54" i="834" s="1"/>
  <c r="E54" i="834" s="1"/>
  <c r="O20" i="834"/>
  <c r="P20" i="834"/>
  <c r="L30" i="834" s="1"/>
  <c r="N20" i="834"/>
  <c r="L21" i="834"/>
  <c r="M21" i="834"/>
  <c r="O21" i="834"/>
  <c r="N21" i="834"/>
  <c r="P21" i="834"/>
  <c r="K30" i="834" s="1"/>
  <c r="L116" i="829"/>
  <c r="L78" i="829" s="1"/>
  <c r="P111" i="829"/>
  <c r="Q111" i="829" s="1"/>
  <c r="R111" i="829" s="1"/>
  <c r="T111" i="829" s="1"/>
  <c r="Q112" i="829"/>
  <c r="R112" i="829" s="1"/>
  <c r="T112" i="829" s="1"/>
  <c r="P110" i="829"/>
  <c r="H54" i="834" l="1"/>
  <c r="I54" i="834" s="1"/>
  <c r="L117" i="829"/>
  <c r="L85" i="829" s="1"/>
  <c r="Q110" i="829"/>
  <c r="R110" i="829" s="1"/>
  <c r="T110" i="829" s="1"/>
  <c r="N131" i="829" l="1"/>
  <c r="O132" i="829"/>
  <c r="P132" i="829" s="1"/>
  <c r="P133" i="829"/>
  <c r="Q133" i="829" s="1"/>
  <c r="Q134" i="829"/>
  <c r="R134" i="829" s="1"/>
  <c r="T134" i="829" s="1"/>
  <c r="R135" i="829"/>
  <c r="T135" i="829" s="1"/>
  <c r="L93" i="829"/>
  <c r="L137" i="829"/>
  <c r="L138" i="829" s="1"/>
  <c r="L86" i="829" s="1"/>
  <c r="R133" i="829" l="1"/>
  <c r="T133" i="829" s="1"/>
  <c r="Q132" i="829"/>
  <c r="R132" i="829" s="1"/>
  <c r="T132" i="829" s="1"/>
  <c r="O131" i="829"/>
  <c r="P131" i="829" s="1"/>
  <c r="Q131" i="829" s="1"/>
  <c r="R131" i="829" s="1"/>
  <c r="T131" i="829" s="1"/>
  <c r="L79" i="829"/>
  <c r="N152" i="829" l="1"/>
  <c r="O152" i="829" s="1"/>
  <c r="O153" i="829"/>
  <c r="P154" i="829"/>
  <c r="Q154" i="829" s="1"/>
  <c r="R154" i="829" s="1"/>
  <c r="T154" i="829" s="1"/>
  <c r="Q155" i="829"/>
  <c r="R155" i="829" s="1"/>
  <c r="T155" i="829" s="1"/>
  <c r="R156" i="829"/>
  <c r="T156" i="829" s="1"/>
  <c r="L94" i="829"/>
  <c r="L158" i="829"/>
  <c r="L80" i="829" s="1"/>
  <c r="P153" i="829" l="1"/>
  <c r="Q153" i="829" s="1"/>
  <c r="L159" i="829"/>
  <c r="L87" i="829" s="1"/>
  <c r="P152" i="829"/>
  <c r="Q152" i="829" s="1"/>
  <c r="R153" i="829" l="1"/>
  <c r="T153" i="829" s="1"/>
  <c r="R152" i="829"/>
  <c r="T152" i="829" s="1"/>
  <c r="N173" i="829"/>
  <c r="O173" i="829" s="1"/>
  <c r="O174" i="829"/>
  <c r="P175" i="829"/>
  <c r="Q175" i="829" s="1"/>
  <c r="Q176" i="829"/>
  <c r="R176" i="829" s="1"/>
  <c r="T176" i="829" s="1"/>
  <c r="R177" i="829"/>
  <c r="T177" i="829" s="1"/>
  <c r="L95" i="829"/>
  <c r="L96" i="829" s="1"/>
  <c r="L62" i="829" s="1"/>
  <c r="L61" i="2" l="1"/>
  <c r="K13" i="834" s="1"/>
  <c r="P173" i="829"/>
  <c r="Q173" i="829" s="1"/>
  <c r="R173" i="829" s="1"/>
  <c r="T173" i="829" s="1"/>
  <c r="P174" i="829"/>
  <c r="R175" i="829"/>
  <c r="T175" i="829" s="1"/>
  <c r="L179" i="829"/>
  <c r="L77" i="2" l="1"/>
  <c r="K33" i="825" s="1"/>
  <c r="L11" i="835"/>
  <c r="Q174" i="829"/>
  <c r="R174" i="829" s="1"/>
  <c r="T174" i="829" s="1"/>
  <c r="L180" i="829"/>
  <c r="L88" i="829" s="1"/>
  <c r="L89" i="829" s="1"/>
  <c r="L81" i="829"/>
  <c r="L82" i="829" s="1"/>
  <c r="L59" i="829" s="1"/>
  <c r="L169" i="826" l="1"/>
  <c r="U169" i="826" s="1"/>
  <c r="L170" i="826"/>
  <c r="U170" i="826" s="1"/>
  <c r="T170" i="826"/>
  <c r="M171" i="826"/>
  <c r="M64" i="2" s="1"/>
  <c r="L171" i="826" l="1"/>
  <c r="M59" i="2"/>
  <c r="M76" i="2" s="1"/>
  <c r="O171" i="826"/>
  <c r="O64" i="2" s="1"/>
  <c r="O59" i="2" s="1"/>
  <c r="O76" i="2" s="1"/>
  <c r="N171" i="826"/>
  <c r="N64" i="2" s="1"/>
  <c r="N59" i="2" s="1"/>
  <c r="N76" i="2" s="1"/>
  <c r="L64" i="2" l="1"/>
  <c r="U171" i="826"/>
  <c r="D61" i="844"/>
  <c r="P171" i="826"/>
  <c r="P64" i="2" s="1"/>
  <c r="U64" i="2" l="1"/>
  <c r="U67" i="840"/>
  <c r="L32" i="825"/>
  <c r="Q171" i="826"/>
  <c r="Q64" i="2" s="1"/>
  <c r="Q59" i="2" s="1"/>
  <c r="Q76" i="2" s="1"/>
  <c r="N32" i="825"/>
  <c r="W67" i="840"/>
  <c r="E61" i="844"/>
  <c r="D70" i="844"/>
  <c r="D74" i="844" s="1"/>
  <c r="D65" i="844"/>
  <c r="P10" i="840" s="1"/>
  <c r="M32" i="825"/>
  <c r="V67" i="840"/>
  <c r="P59" i="2"/>
  <c r="P76" i="2" s="1"/>
  <c r="F61" i="844" l="1"/>
  <c r="F65" i="844" s="1"/>
  <c r="R10" i="840" s="1"/>
  <c r="Q10" i="840" s="1"/>
  <c r="E65" i="844"/>
  <c r="D21" i="844"/>
  <c r="D79" i="844" s="1"/>
  <c r="D66" i="844"/>
  <c r="T169" i="826"/>
  <c r="R171" i="826"/>
  <c r="E70" i="844"/>
  <c r="E74" i="844" s="1"/>
  <c r="F70" i="844"/>
  <c r="F74" i="844" s="1"/>
  <c r="R11" i="840" s="1"/>
  <c r="P11" i="840"/>
  <c r="Q11" i="840" l="1"/>
  <c r="D22" i="844"/>
  <c r="D80" i="844" s="1"/>
  <c r="D75" i="844"/>
  <c r="O32" i="825"/>
  <c r="X67" i="840"/>
  <c r="F75" i="844"/>
  <c r="F22" i="844"/>
  <c r="F80" i="844" s="1"/>
  <c r="F66" i="844"/>
  <c r="F21" i="844"/>
  <c r="F79" i="844" s="1"/>
  <c r="E79" i="844" s="1"/>
  <c r="E75" i="844"/>
  <c r="E22" i="844"/>
  <c r="R64" i="2"/>
  <c r="T64" i="2" s="1"/>
  <c r="T171" i="826"/>
  <c r="P32" i="825"/>
  <c r="Y67" i="840"/>
  <c r="E21" i="844"/>
  <c r="E66" i="844"/>
  <c r="E80" i="844" l="1"/>
  <c r="R59" i="2"/>
  <c r="H28" i="849"/>
  <c r="I28" i="849" s="1"/>
  <c r="T59" i="2" l="1"/>
  <c r="D49" i="844"/>
  <c r="R76" i="2"/>
  <c r="Z67" i="840" s="1"/>
  <c r="H30" i="849" l="1"/>
  <c r="D51" i="844"/>
  <c r="D52" i="844" s="1"/>
  <c r="E49" i="844"/>
  <c r="Q32" i="825"/>
  <c r="L118" i="826"/>
  <c r="U118" i="826" s="1"/>
  <c r="U132" i="826"/>
  <c r="L119" i="826"/>
  <c r="U119" i="826" s="1"/>
  <c r="L120" i="826"/>
  <c r="U120" i="826" s="1"/>
  <c r="L121" i="826"/>
  <c r="U121" i="826" s="1"/>
  <c r="L122" i="826"/>
  <c r="L103" i="826" s="1"/>
  <c r="L123" i="826"/>
  <c r="L104" i="826" s="1"/>
  <c r="L31" i="2" s="1"/>
  <c r="U31" i="2" s="1"/>
  <c r="L124" i="826"/>
  <c r="L105" i="826" s="1"/>
  <c r="L125" i="826"/>
  <c r="U125" i="826" s="1"/>
  <c r="L126" i="826"/>
  <c r="U126" i="826" s="1"/>
  <c r="L127" i="826"/>
  <c r="U127" i="826" s="1"/>
  <c r="L128" i="826"/>
  <c r="U128" i="826" s="1"/>
  <c r="L129" i="826"/>
  <c r="U129" i="826" s="1"/>
  <c r="U133" i="826"/>
  <c r="U134" i="826"/>
  <c r="U135" i="826"/>
  <c r="U136" i="826"/>
  <c r="U137" i="826"/>
  <c r="U138" i="826"/>
  <c r="U139" i="826"/>
  <c r="U140" i="826"/>
  <c r="U141" i="826"/>
  <c r="U142" i="826"/>
  <c r="U143" i="826"/>
  <c r="E51" i="844" l="1"/>
  <c r="E52" i="844" s="1"/>
  <c r="F49" i="844"/>
  <c r="F51" i="844" s="1"/>
  <c r="F52" i="844" s="1"/>
  <c r="U124" i="826"/>
  <c r="U123" i="826"/>
  <c r="L106" i="826"/>
  <c r="L33" i="2" s="1"/>
  <c r="U33" i="2" s="1"/>
  <c r="U122" i="826"/>
  <c r="U104" i="826"/>
  <c r="L32" i="2"/>
  <c r="U32" i="2" s="1"/>
  <c r="U105" i="826"/>
  <c r="U103" i="826"/>
  <c r="L30" i="2"/>
  <c r="U106" i="826" l="1"/>
  <c r="L107" i="826"/>
  <c r="U107" i="826" s="1"/>
  <c r="L38" i="2"/>
  <c r="L73" i="2" s="1"/>
  <c r="U30" i="2"/>
  <c r="L115" i="826" l="1"/>
  <c r="T55" i="840" s="1"/>
  <c r="T63" i="840" s="1"/>
  <c r="L11" i="829"/>
  <c r="U38" i="2"/>
  <c r="L40" i="2"/>
  <c r="L74" i="2" s="1"/>
  <c r="U115" i="826" l="1"/>
  <c r="K22" i="825"/>
  <c r="K23" i="825" s="1"/>
  <c r="L52" i="2"/>
  <c r="U40" i="2"/>
  <c r="U52" i="2" l="1"/>
  <c r="L59" i="2"/>
  <c r="L76" i="2" s="1"/>
  <c r="T66" i="840"/>
  <c r="K30" i="825"/>
  <c r="L62" i="2" l="1"/>
  <c r="U59" i="2"/>
  <c r="L10" i="835" l="1"/>
  <c r="K10" i="834"/>
  <c r="T67" i="840"/>
  <c r="K32" i="825"/>
  <c r="L65" i="2"/>
  <c r="K11" i="834" l="1"/>
  <c r="K12" i="834" s="1"/>
  <c r="L183" i="826"/>
  <c r="L184" i="826" s="1"/>
  <c r="L185" i="826" s="1"/>
  <c r="L67" i="2" s="1"/>
  <c r="L68" i="2" l="1"/>
  <c r="L78" i="2" s="1"/>
  <c r="L14" i="835"/>
  <c r="L18" i="835" s="1"/>
  <c r="L24" i="835" s="1"/>
  <c r="L41" i="835" s="1"/>
  <c r="L43" i="835" s="1"/>
  <c r="M42" i="835" s="1"/>
  <c r="L14" i="829"/>
  <c r="T68" i="840" l="1"/>
  <c r="K34" i="825"/>
  <c r="K16" i="834"/>
  <c r="E38" i="844" s="1"/>
  <c r="D38" i="844" s="1"/>
  <c r="D40" i="844" s="1"/>
  <c r="D41" i="844" s="1"/>
  <c r="D44" i="844" s="1"/>
  <c r="D45" i="844" s="1"/>
  <c r="F38" i="844" l="1"/>
  <c r="F40" i="844" s="1"/>
  <c r="F41" i="844" s="1"/>
  <c r="F44" i="844" s="1"/>
  <c r="F45" i="844" s="1"/>
  <c r="E40" i="844"/>
  <c r="E41" i="844" s="1"/>
  <c r="E44" i="844" s="1"/>
  <c r="E45" i="844" s="1"/>
  <c r="K23" i="834"/>
  <c r="K26" i="834" s="1"/>
  <c r="K33" i="834" s="1"/>
  <c r="K22" i="834"/>
  <c r="L26" i="834" s="1"/>
  <c r="L33" i="834" s="1"/>
  <c r="D54" i="834" l="1"/>
  <c r="L38" i="834"/>
  <c r="L41" i="834" s="1"/>
  <c r="L34" i="834"/>
  <c r="R9" i="840" s="1"/>
  <c r="E11" i="832"/>
  <c r="F56" i="844"/>
  <c r="E9" i="837"/>
  <c r="K38" i="834"/>
  <c r="K41" i="834" s="1"/>
  <c r="D9" i="837"/>
  <c r="K34" i="834"/>
  <c r="P9" i="840" s="1"/>
  <c r="D11" i="832"/>
  <c r="D56" i="844"/>
  <c r="D20" i="844" l="1"/>
  <c r="D57" i="844"/>
  <c r="Q9" i="840"/>
  <c r="F20" i="844"/>
  <c r="F57" i="844"/>
  <c r="E56" i="844"/>
  <c r="F78" i="844" l="1"/>
  <c r="F23" i="844"/>
  <c r="F26" i="844" s="1"/>
  <c r="F28" i="844" s="1"/>
  <c r="E57" i="844"/>
  <c r="E20" i="844"/>
  <c r="E23" i="844" s="1"/>
  <c r="E26" i="844" s="1"/>
  <c r="E28" i="844" s="1"/>
  <c r="D78" i="844"/>
  <c r="D84" i="844" s="1"/>
  <c r="D23" i="844"/>
  <c r="D26" i="844" s="1"/>
  <c r="D28" i="844" s="1"/>
  <c r="P20" i="840" l="1"/>
  <c r="F84" i="844"/>
  <c r="I12" i="854" s="1"/>
  <c r="E78" i="844"/>
  <c r="E84" i="844" l="1"/>
  <c r="R20" i="840"/>
  <c r="E174" i="856" s="1"/>
  <c r="D15" i="854"/>
  <c r="D16" i="854" l="1"/>
  <c r="Q20" i="840"/>
  <c r="M14" i="829"/>
  <c r="N14" i="829"/>
  <c r="O14" i="829"/>
  <c r="P14" i="829"/>
  <c r="Q14" i="829"/>
  <c r="R14" i="829"/>
  <c r="M30" i="829"/>
  <c r="N30" i="829"/>
  <c r="O30" i="829"/>
  <c r="P30" i="829"/>
  <c r="Q30" i="829"/>
  <c r="R30" i="829"/>
  <c r="T30" i="829"/>
  <c r="M32" i="829"/>
  <c r="N32" i="829"/>
  <c r="O32" i="829"/>
  <c r="P32" i="829"/>
  <c r="Q32" i="829"/>
  <c r="R32" i="829"/>
  <c r="T32" i="829"/>
  <c r="M33" i="829"/>
  <c r="N33" i="829"/>
  <c r="O33" i="829"/>
  <c r="P33" i="829"/>
  <c r="Q33" i="829"/>
  <c r="R33" i="829"/>
  <c r="M34" i="829"/>
  <c r="N34" i="829"/>
  <c r="O34" i="829"/>
  <c r="P34" i="829"/>
  <c r="Q34" i="829"/>
  <c r="R34" i="829"/>
  <c r="M59" i="829"/>
  <c r="N59" i="829"/>
  <c r="O59" i="829"/>
  <c r="P59" i="829"/>
  <c r="Q59" i="829"/>
  <c r="R59" i="829"/>
  <c r="T59" i="829"/>
  <c r="M62" i="829"/>
  <c r="N62" i="829"/>
  <c r="O62" i="829"/>
  <c r="P62" i="829"/>
  <c r="Q62" i="829"/>
  <c r="R62" i="829"/>
  <c r="T62" i="829"/>
  <c r="M78" i="829"/>
  <c r="N78" i="829"/>
  <c r="O78" i="829"/>
  <c r="P78" i="829"/>
  <c r="Q78" i="829"/>
  <c r="R78" i="829"/>
  <c r="T78" i="829"/>
  <c r="M79" i="829"/>
  <c r="N79" i="829"/>
  <c r="O79" i="829"/>
  <c r="P79" i="829"/>
  <c r="Q79" i="829"/>
  <c r="R79" i="829"/>
  <c r="T79" i="829"/>
  <c r="M80" i="829"/>
  <c r="N80" i="829"/>
  <c r="O80" i="829"/>
  <c r="P80" i="829"/>
  <c r="Q80" i="829"/>
  <c r="R80" i="829"/>
  <c r="T80" i="829"/>
  <c r="M81" i="829"/>
  <c r="N81" i="829"/>
  <c r="O81" i="829"/>
  <c r="P81" i="829"/>
  <c r="Q81" i="829"/>
  <c r="R81" i="829"/>
  <c r="T81" i="829"/>
  <c r="M82" i="829"/>
  <c r="N82" i="829"/>
  <c r="O82" i="829"/>
  <c r="P82" i="829"/>
  <c r="Q82" i="829"/>
  <c r="R82" i="829"/>
  <c r="T82" i="829"/>
  <c r="M85" i="829"/>
  <c r="N85" i="829"/>
  <c r="O85" i="829"/>
  <c r="P85" i="829"/>
  <c r="Q85" i="829"/>
  <c r="R85" i="829"/>
  <c r="T85" i="829"/>
  <c r="M86" i="829"/>
  <c r="N86" i="829"/>
  <c r="O86" i="829"/>
  <c r="P86" i="829"/>
  <c r="Q86" i="829"/>
  <c r="R86" i="829"/>
  <c r="T86" i="829"/>
  <c r="M87" i="829"/>
  <c r="N87" i="829"/>
  <c r="O87" i="829"/>
  <c r="P87" i="829"/>
  <c r="Q87" i="829"/>
  <c r="R87" i="829"/>
  <c r="T87" i="829"/>
  <c r="M88" i="829"/>
  <c r="N88" i="829"/>
  <c r="O88" i="829"/>
  <c r="P88" i="829"/>
  <c r="Q88" i="829"/>
  <c r="R88" i="829"/>
  <c r="T88" i="829"/>
  <c r="M89" i="829"/>
  <c r="N89" i="829"/>
  <c r="O89" i="829"/>
  <c r="P89" i="829"/>
  <c r="Q89" i="829"/>
  <c r="R89" i="829"/>
  <c r="T89" i="829"/>
  <c r="M92" i="829"/>
  <c r="N92" i="829"/>
  <c r="O92" i="829"/>
  <c r="P92" i="829"/>
  <c r="Q92" i="829"/>
  <c r="R92" i="829"/>
  <c r="T92" i="829"/>
  <c r="M93" i="829"/>
  <c r="N93" i="829"/>
  <c r="O93" i="829"/>
  <c r="P93" i="829"/>
  <c r="Q93" i="829"/>
  <c r="R93" i="829"/>
  <c r="T93" i="829"/>
  <c r="M94" i="829"/>
  <c r="N94" i="829"/>
  <c r="O94" i="829"/>
  <c r="P94" i="829"/>
  <c r="Q94" i="829"/>
  <c r="R94" i="829"/>
  <c r="T94" i="829"/>
  <c r="M95" i="829"/>
  <c r="N95" i="829"/>
  <c r="O95" i="829"/>
  <c r="P95" i="829"/>
  <c r="Q95" i="829"/>
  <c r="R95" i="829"/>
  <c r="T95" i="829"/>
  <c r="M96" i="829"/>
  <c r="N96" i="829"/>
  <c r="O96" i="829"/>
  <c r="P96" i="829"/>
  <c r="Q96" i="829"/>
  <c r="R96" i="829"/>
  <c r="T96" i="829"/>
  <c r="N107" i="829"/>
  <c r="O107" i="829"/>
  <c r="P107" i="829"/>
  <c r="Q107" i="829"/>
  <c r="R107" i="829"/>
  <c r="T107" i="829"/>
  <c r="M109" i="829"/>
  <c r="N109" i="829"/>
  <c r="O109" i="829"/>
  <c r="P109" i="829"/>
  <c r="Q109" i="829"/>
  <c r="R109" i="829"/>
  <c r="T109" i="829"/>
  <c r="M115" i="829"/>
  <c r="N115" i="829"/>
  <c r="O115" i="829"/>
  <c r="P115" i="829"/>
  <c r="Q115" i="829"/>
  <c r="R115" i="829"/>
  <c r="T115" i="829"/>
  <c r="M116" i="829"/>
  <c r="N116" i="829"/>
  <c r="O116" i="829"/>
  <c r="P116" i="829"/>
  <c r="Q116" i="829"/>
  <c r="R116" i="829"/>
  <c r="T116" i="829"/>
  <c r="M117" i="829"/>
  <c r="N117" i="829"/>
  <c r="O117" i="829"/>
  <c r="P117" i="829"/>
  <c r="Q117" i="829"/>
  <c r="R117" i="829"/>
  <c r="T117" i="829"/>
  <c r="N128" i="829"/>
  <c r="O128" i="829"/>
  <c r="P128" i="829"/>
  <c r="Q128" i="829"/>
  <c r="R128" i="829"/>
  <c r="T128" i="829"/>
  <c r="M130" i="829"/>
  <c r="N130" i="829"/>
  <c r="O130" i="829"/>
  <c r="P130" i="829"/>
  <c r="Q130" i="829"/>
  <c r="R130" i="829"/>
  <c r="T130" i="829"/>
  <c r="M136" i="829"/>
  <c r="N136" i="829"/>
  <c r="O136" i="829"/>
  <c r="P136" i="829"/>
  <c r="Q136" i="829"/>
  <c r="R136" i="829"/>
  <c r="T136" i="829"/>
  <c r="M137" i="829"/>
  <c r="N137" i="829"/>
  <c r="O137" i="829"/>
  <c r="P137" i="829"/>
  <c r="Q137" i="829"/>
  <c r="R137" i="829"/>
  <c r="T137" i="829"/>
  <c r="M138" i="829"/>
  <c r="N138" i="829"/>
  <c r="O138" i="829"/>
  <c r="P138" i="829"/>
  <c r="Q138" i="829"/>
  <c r="R138" i="829"/>
  <c r="T138" i="829"/>
  <c r="N149" i="829"/>
  <c r="O149" i="829"/>
  <c r="P149" i="829"/>
  <c r="Q149" i="829"/>
  <c r="R149" i="829"/>
  <c r="T149" i="829"/>
  <c r="M151" i="829"/>
  <c r="N151" i="829"/>
  <c r="O151" i="829"/>
  <c r="P151" i="829"/>
  <c r="Q151" i="829"/>
  <c r="R151" i="829"/>
  <c r="T151" i="829"/>
  <c r="M157" i="829"/>
  <c r="N157" i="829"/>
  <c r="O157" i="829"/>
  <c r="P157" i="829"/>
  <c r="Q157" i="829"/>
  <c r="R157" i="829"/>
  <c r="T157" i="829"/>
  <c r="M158" i="829"/>
  <c r="N158" i="829"/>
  <c r="O158" i="829"/>
  <c r="P158" i="829"/>
  <c r="Q158" i="829"/>
  <c r="R158" i="829"/>
  <c r="T158" i="829"/>
  <c r="M159" i="829"/>
  <c r="N159" i="829"/>
  <c r="O159" i="829"/>
  <c r="P159" i="829"/>
  <c r="Q159" i="829"/>
  <c r="R159" i="829"/>
  <c r="T159" i="829"/>
  <c r="N170" i="829"/>
  <c r="O170" i="829"/>
  <c r="P170" i="829"/>
  <c r="Q170" i="829"/>
  <c r="R170" i="829"/>
  <c r="T170" i="829"/>
  <c r="M172" i="829"/>
  <c r="N172" i="829"/>
  <c r="O172" i="829"/>
  <c r="P172" i="829"/>
  <c r="Q172" i="829"/>
  <c r="R172" i="829"/>
  <c r="T172" i="829"/>
  <c r="M178" i="829"/>
  <c r="N178" i="829"/>
  <c r="O178" i="829"/>
  <c r="P178" i="829"/>
  <c r="Q178" i="829"/>
  <c r="R178" i="829"/>
  <c r="T178" i="829"/>
  <c r="M179" i="829"/>
  <c r="N179" i="829"/>
  <c r="O179" i="829"/>
  <c r="P179" i="829"/>
  <c r="Q179" i="829"/>
  <c r="R179" i="829"/>
  <c r="T179" i="829"/>
  <c r="M180" i="829"/>
  <c r="N180" i="829"/>
  <c r="O180" i="829"/>
  <c r="P180" i="829"/>
  <c r="Q180" i="829"/>
  <c r="R180" i="829"/>
  <c r="T180" i="829"/>
  <c r="M10" i="835"/>
  <c r="N10" i="835"/>
  <c r="O10" i="835"/>
  <c r="P10" i="835"/>
  <c r="Q10" i="835"/>
  <c r="R10" i="835"/>
  <c r="M11" i="835"/>
  <c r="N11" i="835"/>
  <c r="O11" i="835"/>
  <c r="P11" i="835"/>
  <c r="Q11" i="835"/>
  <c r="R11" i="835"/>
  <c r="T11" i="835"/>
  <c r="M14" i="835"/>
  <c r="N14" i="835"/>
  <c r="O14" i="835"/>
  <c r="P14" i="835"/>
  <c r="Q14" i="835"/>
  <c r="R14" i="835"/>
  <c r="T14" i="835"/>
  <c r="M18" i="835"/>
  <c r="N18" i="835"/>
  <c r="O18" i="835"/>
  <c r="P18" i="835"/>
  <c r="Q18" i="835"/>
  <c r="R18" i="835"/>
  <c r="T18" i="835"/>
  <c r="M21" i="835"/>
  <c r="N21" i="835"/>
  <c r="O21" i="835"/>
  <c r="P21" i="835"/>
  <c r="Q21" i="835"/>
  <c r="R21" i="835"/>
  <c r="T21" i="835"/>
  <c r="M22" i="835"/>
  <c r="N22" i="835"/>
  <c r="O22" i="835"/>
  <c r="P22" i="835"/>
  <c r="Q22" i="835"/>
  <c r="R22" i="835"/>
  <c r="T22" i="835"/>
  <c r="M24" i="835"/>
  <c r="N24" i="835"/>
  <c r="O24" i="835"/>
  <c r="P24" i="835"/>
  <c r="Q24" i="835"/>
  <c r="R24" i="835"/>
  <c r="T24" i="835"/>
  <c r="M41" i="835"/>
  <c r="N41" i="835"/>
  <c r="O41" i="835"/>
  <c r="P41" i="835"/>
  <c r="Q41" i="835"/>
  <c r="R41" i="835"/>
  <c r="T41" i="835"/>
  <c r="N42" i="835"/>
  <c r="O42" i="835"/>
  <c r="P42" i="835"/>
  <c r="Q42" i="835"/>
  <c r="R42" i="835"/>
  <c r="T42" i="835"/>
  <c r="M43" i="835"/>
  <c r="N43" i="835"/>
  <c r="O43" i="835"/>
  <c r="P43" i="835"/>
  <c r="Q43" i="835"/>
  <c r="R43" i="835"/>
  <c r="T43" i="835"/>
  <c r="L10" i="834"/>
  <c r="M10" i="834"/>
  <c r="N10" i="834"/>
  <c r="O10" i="834"/>
  <c r="P10" i="834"/>
  <c r="Q10" i="834"/>
  <c r="L11" i="834"/>
  <c r="M11" i="834"/>
  <c r="N11" i="834"/>
  <c r="O11" i="834"/>
  <c r="P11" i="834"/>
  <c r="Q11" i="834"/>
  <c r="L12" i="834"/>
  <c r="M12" i="834"/>
  <c r="N12" i="834"/>
  <c r="O12" i="834"/>
  <c r="P12" i="834"/>
  <c r="Q12" i="834"/>
  <c r="L13" i="834"/>
  <c r="M13" i="834"/>
  <c r="N13" i="834"/>
  <c r="O13" i="834"/>
  <c r="P13" i="834"/>
  <c r="Q13" i="834"/>
  <c r="Q14" i="834"/>
  <c r="K15" i="834"/>
  <c r="L15" i="834"/>
  <c r="M15" i="834"/>
  <c r="N15" i="834"/>
  <c r="O15" i="834"/>
  <c r="P15" i="834"/>
  <c r="Q15" i="834"/>
  <c r="L16" i="834"/>
  <c r="M16" i="834"/>
  <c r="N16" i="834"/>
  <c r="O16" i="834"/>
  <c r="P16" i="834"/>
  <c r="Q16" i="834"/>
  <c r="L22" i="834"/>
  <c r="M22" i="834"/>
  <c r="N22" i="834"/>
  <c r="O22" i="834"/>
  <c r="P22" i="834"/>
  <c r="L23" i="834"/>
  <c r="M23" i="834"/>
  <c r="N23" i="834"/>
  <c r="O23" i="834"/>
  <c r="P23" i="834"/>
  <c r="K29" i="834"/>
  <c r="L29" i="834"/>
  <c r="K31" i="834"/>
  <c r="L31" i="834"/>
  <c r="H26" i="849"/>
  <c r="I26" i="849"/>
  <c r="H32" i="849"/>
  <c r="M61" i="2"/>
  <c r="N61" i="2"/>
  <c r="O61" i="2"/>
  <c r="P61" i="2"/>
  <c r="Q61" i="2"/>
  <c r="R61" i="2"/>
  <c r="T61" i="2"/>
  <c r="U61" i="2"/>
  <c r="M62" i="2"/>
  <c r="N62" i="2"/>
  <c r="O62" i="2"/>
  <c r="P62" i="2"/>
  <c r="Q62" i="2"/>
  <c r="R62" i="2"/>
  <c r="T62" i="2"/>
  <c r="U62" i="2"/>
  <c r="M65" i="2"/>
  <c r="N65" i="2"/>
  <c r="O65" i="2"/>
  <c r="P65" i="2"/>
  <c r="Q65" i="2"/>
  <c r="R65" i="2"/>
  <c r="T65" i="2"/>
  <c r="U65" i="2"/>
  <c r="M67" i="2"/>
  <c r="N67" i="2"/>
  <c r="O67" i="2"/>
  <c r="P67" i="2"/>
  <c r="Q67" i="2"/>
  <c r="R67" i="2"/>
  <c r="T67" i="2"/>
  <c r="U67" i="2"/>
  <c r="M68" i="2"/>
  <c r="N68" i="2"/>
  <c r="O68" i="2"/>
  <c r="P68" i="2"/>
  <c r="Q68" i="2"/>
  <c r="R68" i="2"/>
  <c r="T68" i="2"/>
  <c r="U68" i="2"/>
  <c r="M77" i="2"/>
  <c r="N77" i="2"/>
  <c r="O77" i="2"/>
  <c r="P77" i="2"/>
  <c r="Q77" i="2"/>
  <c r="R77" i="2"/>
  <c r="M78" i="2"/>
  <c r="N78" i="2"/>
  <c r="O78" i="2"/>
  <c r="P78" i="2"/>
  <c r="Q78" i="2"/>
  <c r="R78" i="2"/>
  <c r="M183" i="826"/>
  <c r="N183" i="826"/>
  <c r="O183" i="826"/>
  <c r="P183" i="826"/>
  <c r="Q183" i="826"/>
  <c r="R183" i="826"/>
  <c r="M184" i="826"/>
  <c r="N184" i="826"/>
  <c r="O184" i="826"/>
  <c r="P184" i="826"/>
  <c r="Q184" i="826"/>
  <c r="R184" i="826"/>
  <c r="M185" i="826"/>
  <c r="N185" i="826"/>
  <c r="O185" i="826"/>
  <c r="P185" i="826"/>
  <c r="Q185" i="826"/>
  <c r="R185" i="826"/>
  <c r="L33" i="825"/>
  <c r="M33" i="825"/>
  <c r="N33" i="825"/>
  <c r="O33" i="825"/>
  <c r="P33" i="825"/>
  <c r="Q33" i="825"/>
  <c r="L34" i="825"/>
  <c r="M34" i="825"/>
  <c r="N34" i="825"/>
  <c r="O34" i="825"/>
  <c r="P34" i="825"/>
  <c r="Q34" i="825"/>
  <c r="U68" i="840"/>
  <c r="V68" i="840"/>
  <c r="W68" i="840"/>
  <c r="X68" i="840"/>
  <c r="Y68" i="840"/>
  <c r="Z68" i="840"/>
  <c r="U99" i="840"/>
  <c r="V99" i="840"/>
  <c r="W99" i="840"/>
  <c r="X99" i="840"/>
  <c r="Y99" i="840"/>
  <c r="Z99" i="840"/>
  <c r="U101" i="840"/>
  <c r="V101" i="840"/>
  <c r="W101" i="840"/>
  <c r="X101" i="840"/>
  <c r="Y101" i="840"/>
  <c r="Z101" i="840"/>
  <c r="U102" i="840"/>
  <c r="V102" i="840"/>
  <c r="W102" i="840"/>
  <c r="X102" i="840"/>
  <c r="Y102" i="840"/>
  <c r="Z102" i="8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29" authorId="0" shapeId="0" xr:uid="{00000000-0006-0000-0300-000003000000}">
      <text>
        <r>
          <rPr>
            <b/>
            <sz val="9"/>
            <color indexed="81"/>
            <rFont val="Tahoma"/>
            <family val="2"/>
          </rPr>
          <t>Admin:</t>
        </r>
        <r>
          <rPr>
            <sz val="9"/>
            <color indexed="81"/>
            <rFont val="Tahoma"/>
            <family val="2"/>
          </rPr>
          <t xml:space="preserve">
Determines valuation date and data downloaded as of date</t>
        </r>
      </text>
    </comment>
    <comment ref="E30" authorId="0" shapeId="0" xr:uid="{00000000-0006-0000-0300-000004000000}">
      <text>
        <r>
          <rPr>
            <b/>
            <sz val="9"/>
            <color indexed="81"/>
            <rFont val="Tahoma"/>
            <family val="2"/>
          </rPr>
          <t>Admin:</t>
        </r>
        <r>
          <rPr>
            <sz val="9"/>
            <color indexed="81"/>
            <rFont val="Tahoma"/>
            <family val="2"/>
          </rPr>
          <t xml:space="preserve">
Determines stub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R4" authorId="0" shapeId="0" xr:uid="{00000000-0006-0000-0700-000001000000}">
      <text>
        <r>
          <rPr>
            <b/>
            <sz val="9"/>
            <color indexed="81"/>
            <rFont val="Tahoma"/>
            <family val="2"/>
          </rPr>
          <t>Admin:</t>
        </r>
        <r>
          <rPr>
            <sz val="9"/>
            <color indexed="81"/>
            <rFont val="Tahoma"/>
            <family val="2"/>
          </rPr>
          <t xml:space="preserve">
Option to adjust the capital structure used to determine Asset Beta from the spot rate to the 5 year or 2 year average (thereby matching the data points used in the beta derivation). Please see D|E tab for calculation.</t>
        </r>
      </text>
    </comment>
    <comment ref="T4" authorId="0" shapeId="0" xr:uid="{25ED83B2-6094-486E-832D-7B900BA4CA85}">
      <text>
        <r>
          <rPr>
            <b/>
            <sz val="9"/>
            <color indexed="81"/>
            <rFont val="Tahoma"/>
            <family val="2"/>
          </rPr>
          <t>Admin:</t>
        </r>
        <r>
          <rPr>
            <sz val="9"/>
            <color indexed="81"/>
            <rFont val="Tahoma"/>
            <family val="2"/>
          </rPr>
          <t xml:space="preserve">
Option to Blume adjust the beta, i.e. implement a mean reversion towards the overall market beta of 1.
Or
Option to Vasicek adjust the beta, i.e. implement a reversion to an expected beta. The expected beta is based on the average raw beta of the GPCs selected.</t>
        </r>
      </text>
    </comment>
    <comment ref="Q28" authorId="0" shapeId="0" xr:uid="{00000000-0006-0000-0700-000002000000}">
      <text>
        <r>
          <rPr>
            <b/>
            <sz val="9"/>
            <color indexed="81"/>
            <rFont val="Tahoma"/>
            <family val="2"/>
          </rPr>
          <t>Admin:</t>
        </r>
        <r>
          <rPr>
            <sz val="9"/>
            <color indexed="81"/>
            <rFont val="Tahoma"/>
            <family val="2"/>
          </rPr>
          <t xml:space="preserve">
If this cell is less than 60 on a 5-year Beta (or less than 104 on a 2 year Beta) you MUST go to the BetaData tab and adjust the formula for that particular GPC to ensure it does not include empty cells. If this is not performed your Beta willl be wrong!</t>
        </r>
      </text>
    </comment>
    <comment ref="R28" authorId="0" shapeId="0" xr:uid="{00000000-0006-0000-0700-000003000000}">
      <text>
        <r>
          <rPr>
            <b/>
            <sz val="9"/>
            <color indexed="81"/>
            <rFont val="Tahoma"/>
            <family val="2"/>
          </rPr>
          <t>Admin:</t>
        </r>
        <r>
          <rPr>
            <sz val="9"/>
            <color indexed="81"/>
            <rFont val="Tahoma"/>
            <family val="2"/>
          </rPr>
          <t xml:space="preserve">
Approximate average daily trading volume over last year</t>
        </r>
      </text>
    </comment>
    <comment ref="V28" authorId="0" shapeId="0" xr:uid="{24C47331-393F-4BC6-AA7F-42D1E55DB97C}">
      <text>
        <r>
          <rPr>
            <b/>
            <sz val="9"/>
            <color indexed="81"/>
            <rFont val="Tahoma"/>
            <family val="2"/>
          </rPr>
          <t xml:space="preserve">Admin:
</t>
        </r>
        <r>
          <rPr>
            <sz val="9"/>
            <color indexed="81"/>
            <rFont val="Tahoma"/>
            <family val="2"/>
          </rPr>
          <t>Indicates if GPC has adopted IFRS 16. May have implications for debt to capital structure in some industries.</t>
        </r>
      </text>
    </comment>
    <comment ref="L67" authorId="0" shapeId="0" xr:uid="{ED7CCD56-F530-4D6F-A6E6-3A420D98FC72}">
      <text>
        <r>
          <rPr>
            <b/>
            <sz val="9"/>
            <color indexed="81"/>
            <rFont val="Tahoma"/>
            <family val="2"/>
          </rPr>
          <t>Admin:</t>
        </r>
        <r>
          <rPr>
            <sz val="9"/>
            <color indexed="81"/>
            <rFont val="Tahoma"/>
            <family val="2"/>
          </rPr>
          <t xml:space="preserve">
These are array formulas, if you edit these cells make sure to press contol-shift-enter (not just enter)
</t>
        </r>
      </text>
    </comment>
    <comment ref="G76" authorId="0" shapeId="0" xr:uid="{66FF6915-3ADF-4B8E-B662-899F1D1BD550}">
      <text>
        <r>
          <rPr>
            <b/>
            <sz val="9"/>
            <color indexed="81"/>
            <rFont val="Tahoma"/>
            <family val="2"/>
          </rPr>
          <t xml:space="preserve">Admin:
</t>
        </r>
        <r>
          <rPr>
            <sz val="9"/>
            <color indexed="81"/>
            <rFont val="Tahoma"/>
            <family val="2"/>
          </rPr>
          <t>This is a default selection based on the UK Statutory tax rate. Please consider the applicable rate to the target business.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8" authorId="0" shapeId="0" xr:uid="{5F7BB79F-1D42-4F04-BD46-F98E856BC9C0}">
      <text>
        <r>
          <rPr>
            <b/>
            <sz val="9"/>
            <color indexed="81"/>
            <rFont val="Tahoma"/>
            <family val="2"/>
          </rPr>
          <t>Admin:</t>
        </r>
        <r>
          <rPr>
            <sz val="9"/>
            <color indexed="81"/>
            <rFont val="Tahoma"/>
            <family val="2"/>
          </rPr>
          <t xml:space="preserve">
If highlighted in orange, consider the need to offset multiples to ensure like-for-like comparison</t>
        </r>
      </text>
    </comment>
    <comment ref="AR8" authorId="0" shapeId="0" xr:uid="{8BBDEE0C-6EAA-4E4D-B633-F55C724DC20B}">
      <text>
        <r>
          <rPr>
            <b/>
            <sz val="9"/>
            <color indexed="81"/>
            <rFont val="Tahoma"/>
            <family val="2"/>
          </rPr>
          <t>Admin:</t>
        </r>
        <r>
          <rPr>
            <sz val="9"/>
            <color indexed="81"/>
            <rFont val="Tahoma"/>
            <family val="2"/>
          </rPr>
          <t xml:space="preserve">
Offsetting does not impact P/BV</t>
        </r>
      </text>
    </comment>
    <comment ref="F27" authorId="0" shapeId="0" xr:uid="{1E62BD39-4903-4E75-A983-E5884603AFFF}">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C46" authorId="0" shapeId="0" xr:uid="{00000000-0006-0000-0A00-000001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48" authorId="0" shapeId="0" xr:uid="{00000000-0006-0000-0B00-000001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 ref="E90" authorId="0" shapeId="0" xr:uid="{CD6582DC-646A-4F63-B879-3185E45FE77B}">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48" authorId="0" shapeId="0" xr:uid="{7270D4BD-A52F-4DB4-8DCA-496B3D26363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 ref="E98" authorId="0" shapeId="0" xr:uid="{00000000-0006-0000-0C00-000003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48" authorId="0" shapeId="0" xr:uid="{00000000-0006-0000-0D00-000001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 ref="E99" authorId="0" shapeId="0" xr:uid="{00000000-0006-0000-0E00-000001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 ref="E149" authorId="0" shapeId="0" xr:uid="{00000000-0006-0000-0F00-000001000000}">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F50" authorId="0" shapeId="0" xr:uid="{6E5B1D6A-6DD6-4D7A-8E0D-61E5C803B964}">
      <text>
        <r>
          <rPr>
            <b/>
            <sz val="9"/>
            <color indexed="81"/>
            <rFont val="Tahoma"/>
            <family val="2"/>
          </rPr>
          <t xml:space="preserve">Admin:
</t>
        </r>
        <r>
          <rPr>
            <sz val="9"/>
            <color indexed="81"/>
            <rFont val="Tahoma"/>
            <family val="2"/>
          </rPr>
          <t xml:space="preserve">These are array formulas, if you edit these cells make sure to press contol-shift-enter (not just enter)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Samuel J Beesley</author>
  </authors>
  <commentList>
    <comment ref="E31" authorId="0" shapeId="0" xr:uid="{00000000-0006-0000-1700-000001000000}">
      <text>
        <r>
          <rPr>
            <b/>
            <sz val="9"/>
            <color indexed="81"/>
            <rFont val="Tahoma"/>
            <family val="2"/>
          </rPr>
          <t>Admin:</t>
        </r>
        <r>
          <rPr>
            <sz val="9"/>
            <color indexed="81"/>
            <rFont val="Tahoma"/>
            <family val="2"/>
          </rPr>
          <t xml:space="preserve">
Ensure this is consistent with the valuation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<sst xmlns="http://schemas.openxmlformats.org/spreadsheetml/2006/main" count="6548" uniqueCount="3208">
  <si>
    <t>NavigationList</t>
  </si>
  <si>
    <t>New</t>
  </si>
  <si>
    <t>GT_Custom</t>
  </si>
  <si>
    <t>MasterCIQ (Val Currency)</t>
  </si>
  <si>
    <t>MasterCIQ (Analysis Currency)</t>
  </si>
  <si>
    <t>TickerEntry</t>
  </si>
  <si>
    <t>Inputs</t>
  </si>
  <si>
    <t>VSGStyles</t>
  </si>
  <si>
    <t>Glossary</t>
  </si>
  <si>
    <t>Guidance</t>
  </si>
  <si>
    <t>BEVDCF</t>
  </si>
  <si>
    <t>DiscRate</t>
  </si>
  <si>
    <t>GPC Trading Data</t>
  </si>
  <si>
    <t>VC DiscRates</t>
  </si>
  <si>
    <t>BOE 20YR Gilt</t>
  </si>
  <si>
    <t>SBBI</t>
  </si>
  <si>
    <t>GPC Debt Yields</t>
  </si>
  <si>
    <t>Yields</t>
  </si>
  <si>
    <t>NCDFWC</t>
  </si>
  <si>
    <t>BS</t>
  </si>
  <si>
    <t>IS</t>
  </si>
  <si>
    <t>CF</t>
  </si>
  <si>
    <t>CFCap</t>
  </si>
  <si>
    <t>NOL</t>
  </si>
  <si>
    <t>CapXDepTax</t>
  </si>
  <si>
    <t>LongDesc</t>
  </si>
  <si>
    <t>GPC Rev Growth</t>
  </si>
  <si>
    <t>GPC EBITDA</t>
  </si>
  <si>
    <t>GPC Mgn Analysis</t>
  </si>
  <si>
    <t>GPC CapEx</t>
  </si>
  <si>
    <t>GPC WC</t>
  </si>
  <si>
    <t>GPC Turnover</t>
  </si>
  <si>
    <t>Supp Sch&gt;&gt;</t>
  </si>
  <si>
    <t>CompLtmBS</t>
  </si>
  <si>
    <t>CompLtmIS</t>
  </si>
  <si>
    <t>CompLtmCF</t>
  </si>
  <si>
    <t>MarketData</t>
  </si>
  <si>
    <t>BetaData</t>
  </si>
  <si>
    <t>Indices</t>
  </si>
  <si>
    <t>HistBS</t>
  </si>
  <si>
    <t>HistIS</t>
  </si>
  <si>
    <t>HistCF</t>
  </si>
  <si>
    <t>BEVSum</t>
  </si>
  <si>
    <t>Ratios</t>
  </si>
  <si>
    <t>Dupont</t>
  </si>
  <si>
    <t>CompCommon</t>
  </si>
  <si>
    <t>CompRatios</t>
  </si>
  <si>
    <t>Multiples</t>
  </si>
  <si>
    <t>New (2)</t>
  </si>
  <si>
    <t>PubCoValue</t>
  </si>
  <si>
    <t>TransSum</t>
  </si>
  <si>
    <t>TransValue</t>
  </si>
  <si>
    <t>DLOM</t>
  </si>
  <si>
    <t>DLOMSum</t>
  </si>
  <si>
    <t>LongstaffLookback</t>
  </si>
  <si>
    <t>Euro</t>
  </si>
  <si>
    <t>GARPMAsian</t>
  </si>
  <si>
    <t>FinnertyAASPMAsian</t>
  </si>
  <si>
    <t>ASC805</t>
  </si>
  <si>
    <t>Inventory</t>
  </si>
  <si>
    <t>DeferredRevenue</t>
  </si>
  <si>
    <t>Agreements</t>
  </si>
  <si>
    <t>Workforce</t>
  </si>
  <si>
    <t>WorkforceInputs</t>
  </si>
  <si>
    <t>Leases</t>
  </si>
  <si>
    <t>NonCompete</t>
  </si>
  <si>
    <t>Royalties</t>
  </si>
  <si>
    <t>Tradename Scorecard</t>
  </si>
  <si>
    <t>TrademarkRelief</t>
  </si>
  <si>
    <t>CustRevMap</t>
  </si>
  <si>
    <t>Backlog1Excess</t>
  </si>
  <si>
    <t>Cust1Excess</t>
  </si>
  <si>
    <t>Backlog2Excess</t>
  </si>
  <si>
    <t>Cust2Excess</t>
  </si>
  <si>
    <t>Attrition</t>
  </si>
  <si>
    <t>Tech Royalties</t>
  </si>
  <si>
    <t>Tech Scorecard</t>
  </si>
  <si>
    <t>Tech Relief from Royalty</t>
  </si>
  <si>
    <t>TechRevMap</t>
  </si>
  <si>
    <t>Tech1Excess</t>
  </si>
  <si>
    <t>Tech2Excess</t>
  </si>
  <si>
    <t>IPRDProjects</t>
  </si>
  <si>
    <t>IPRD1Excess</t>
  </si>
  <si>
    <t>IPRD2Excess</t>
  </si>
  <si>
    <t>AssetReturns</t>
  </si>
  <si>
    <t>ContributoryAssets</t>
  </si>
  <si>
    <t>WARA</t>
  </si>
  <si>
    <t>PFIvsIndustry</t>
  </si>
  <si>
    <t>CapStructure</t>
  </si>
  <si>
    <t>DiscRateSynth</t>
  </si>
  <si>
    <t>DCFComparison</t>
  </si>
  <si>
    <t>AssetGroupUCF</t>
  </si>
  <si>
    <t>Grant Thornton - UAE Valuation Services</t>
  </si>
  <si>
    <t>Ticker</t>
  </si>
  <si>
    <t>Company Name</t>
  </si>
  <si>
    <t>Exchange</t>
  </si>
  <si>
    <t>Country</t>
  </si>
  <si>
    <t xml:space="preserve"> </t>
  </si>
  <si>
    <t>Dates</t>
  </si>
  <si>
    <t>Named Cell</t>
  </si>
  <si>
    <t>Date of valuation</t>
  </si>
  <si>
    <t>valuation.date</t>
  </si>
  <si>
    <t>Fiscal year-end date (projected)</t>
  </si>
  <si>
    <t>projected.year1.end</t>
  </si>
  <si>
    <t>Is there a stub period?</t>
  </si>
  <si>
    <t>stub.toggle</t>
  </si>
  <si>
    <t>Yes</t>
  </si>
  <si>
    <t>Length of stub period (months)</t>
  </si>
  <si>
    <t>stub.period</t>
  </si>
  <si>
    <t>Valuation header</t>
  </si>
  <si>
    <t>valuation.date.header</t>
  </si>
  <si>
    <t>Currency</t>
  </si>
  <si>
    <t>currency.type</t>
  </si>
  <si>
    <t>AED</t>
  </si>
  <si>
    <t>currency.denomination</t>
  </si>
  <si>
    <t>000s</t>
  </si>
  <si>
    <t>Currency heading</t>
  </si>
  <si>
    <t>currency.heading1</t>
  </si>
  <si>
    <t>Project title</t>
  </si>
  <si>
    <t>project.title</t>
  </si>
  <si>
    <t>Value Premise</t>
  </si>
  <si>
    <t>value.premise.toggle</t>
  </si>
  <si>
    <t>Fair Value</t>
  </si>
  <si>
    <t>Valuation Assumptions</t>
  </si>
  <si>
    <t>Forecast/Assumptions for Growth?</t>
  </si>
  <si>
    <t>growth.assumption</t>
  </si>
  <si>
    <t>Forecast</t>
  </si>
  <si>
    <t>Long-term growth rate</t>
  </si>
  <si>
    <t>long.term.growth</t>
  </si>
  <si>
    <t>tax.rate</t>
  </si>
  <si>
    <t>capex.assumption</t>
  </si>
  <si>
    <t>nwc.assumption</t>
  </si>
  <si>
    <t>C</t>
  </si>
  <si>
    <t>(assumes Dec 31 Fiscal year-ends)</t>
  </si>
  <si>
    <t>Reporting Period Defined</t>
  </si>
  <si>
    <t>For Example - Valuation Date May 15 2017</t>
  </si>
  <si>
    <t>TTM</t>
  </si>
  <si>
    <t>March 31 '17 OR December 31 '16</t>
  </si>
  <si>
    <t>FYE</t>
  </si>
  <si>
    <t>Latest Fiscal Year Ended</t>
  </si>
  <si>
    <t>December 31 '16</t>
  </si>
  <si>
    <t>FYE-1</t>
  </si>
  <si>
    <t>Prior Fiscal Year Ended</t>
  </si>
  <si>
    <t>December 31 '15</t>
  </si>
  <si>
    <t>FYE-2</t>
  </si>
  <si>
    <t>December 31 '14</t>
  </si>
  <si>
    <t>FYE-3</t>
  </si>
  <si>
    <t>December 31 '13</t>
  </si>
  <si>
    <t>FYE-4</t>
  </si>
  <si>
    <t>December 31 '12</t>
  </si>
  <si>
    <t>NTM +1</t>
  </si>
  <si>
    <t>Next Twelve Months</t>
  </si>
  <si>
    <t>March 31 '18 OR December 31 '17</t>
  </si>
  <si>
    <t>NTM +2</t>
  </si>
  <si>
    <t>Next Twelve Months  +1</t>
  </si>
  <si>
    <t>March 31 '19 OR December 31 '18</t>
  </si>
  <si>
    <t>FYE +1</t>
  </si>
  <si>
    <t>December 31 '17</t>
  </si>
  <si>
    <t>FYE +2</t>
  </si>
  <si>
    <t>December 31 '18</t>
  </si>
  <si>
    <t>Argentina</t>
  </si>
  <si>
    <t>Australia</t>
  </si>
  <si>
    <t>Austria</t>
  </si>
  <si>
    <t>Belgium</t>
  </si>
  <si>
    <t>Brazil</t>
  </si>
  <si>
    <t>Bulgaria</t>
  </si>
  <si>
    <t>Canada</t>
  </si>
  <si>
    <t>Chile</t>
  </si>
  <si>
    <t>China</t>
  </si>
  <si>
    <t>Croatia</t>
  </si>
  <si>
    <t>Czech Republic</t>
  </si>
  <si>
    <t>Denmark</t>
  </si>
  <si>
    <t>Egypt</t>
  </si>
  <si>
    <t>France</t>
  </si>
  <si>
    <t>Germany</t>
  </si>
  <si>
    <t>Hong Kong</t>
  </si>
  <si>
    <t>Hungary</t>
  </si>
  <si>
    <t>Iceland</t>
  </si>
  <si>
    <t>India</t>
  </si>
  <si>
    <t>Indonesia</t>
  </si>
  <si>
    <t>Ireland</t>
  </si>
  <si>
    <t>Israel</t>
  </si>
  <si>
    <t>Italy</t>
  </si>
  <si>
    <t>Japan</t>
  </si>
  <si>
    <t>Kenya</t>
  </si>
  <si>
    <t>Luxembourg</t>
  </si>
  <si>
    <t>Malaysia</t>
  </si>
  <si>
    <t>Mexico</t>
  </si>
  <si>
    <t>Morocco</t>
  </si>
  <si>
    <t>Netherlands</t>
  </si>
  <si>
    <t>New Zealand</t>
  </si>
  <si>
    <t>Nigeria</t>
  </si>
  <si>
    <t>Norway</t>
  </si>
  <si>
    <t>Philippines</t>
  </si>
  <si>
    <t>Poland</t>
  </si>
  <si>
    <t>Qatar</t>
  </si>
  <si>
    <t>Romania</t>
  </si>
  <si>
    <t>Russia</t>
  </si>
  <si>
    <t>Saudi Arabia</t>
  </si>
  <si>
    <t>Singapore</t>
  </si>
  <si>
    <t>South Africa</t>
  </si>
  <si>
    <t>Spain</t>
  </si>
  <si>
    <t>Sri Lanka</t>
  </si>
  <si>
    <t>Sweden</t>
  </si>
  <si>
    <t>Switzerland</t>
  </si>
  <si>
    <t>Taiwan</t>
  </si>
  <si>
    <t>Thailand</t>
  </si>
  <si>
    <t>Turkey</t>
  </si>
  <si>
    <t>United Kingdom</t>
  </si>
  <si>
    <t>United States</t>
  </si>
  <si>
    <t>Vietnam</t>
  </si>
  <si>
    <t>Zambia</t>
  </si>
  <si>
    <t>Internal Schedule</t>
  </si>
  <si>
    <t>Valuation Summary</t>
  </si>
  <si>
    <t>GBP</t>
  </si>
  <si>
    <t>Low</t>
  </si>
  <si>
    <t>High</t>
  </si>
  <si>
    <t>Enterprise value</t>
  </si>
  <si>
    <t>Discounted Cash Flow analysis</t>
  </si>
  <si>
    <t>Guideline Public Company Method</t>
  </si>
  <si>
    <t>Guideline Transaction Method</t>
  </si>
  <si>
    <t>Concluded value range</t>
  </si>
  <si>
    <t>Less: Net debt</t>
  </si>
  <si>
    <t>Plus: Cash</t>
  </si>
  <si>
    <t xml:space="preserve">Total Equity value </t>
  </si>
  <si>
    <t>Less: Preference share holding</t>
  </si>
  <si>
    <t>Equity value of ordinary shares</t>
  </si>
  <si>
    <t>Selected multiple from GPC's (undiscounted)</t>
  </si>
  <si>
    <t>Discount adjustment</t>
  </si>
  <si>
    <t>Adjusted EBITDA multiple</t>
  </si>
  <si>
    <t>Selected multiple from comparable transactions (undiscounted)</t>
  </si>
  <si>
    <t>Business Enterprise Valuation: Income Approach - Discounted Debt-Free Cash Flow ("DCF") Method</t>
  </si>
  <si>
    <t>Terminal</t>
  </si>
  <si>
    <t>Net Revenue</t>
  </si>
  <si>
    <t>Gross Profit</t>
  </si>
  <si>
    <t>Depreciation</t>
  </si>
  <si>
    <t>Amortisation</t>
  </si>
  <si>
    <t>Capital Expenditures</t>
  </si>
  <si>
    <t>Implied Enterprise Value from Operations Multiples:</t>
  </si>
  <si>
    <t>Sensitivity control</t>
  </si>
  <si>
    <t>Discount rate change</t>
  </si>
  <si>
    <t>Terminal growth rate change</t>
  </si>
  <si>
    <t>Enterprise value from operations sensitivity</t>
  </si>
  <si>
    <t>Discount rate</t>
  </si>
  <si>
    <t>AwABTAVMT0NBTAFI/////wFQmRoAADRDSVEuTllTRTpLTy5JUV9UT1RBTF9BU1NFVFMuMjAwMC4zMS8xMi8yMDE5Li5GLlVTRC5DAQAAABJoAAACAAAABTg3NDMzAQgAAAAFAAAAATEBAAAACjE5ODg4MDE1MjYDAAAAAzE2MAIAAAAEMTAwNwQAAAABMQcAAAAKMTIvMzEvMjAxOQgAAAAJOC8xNi8yMDIwCQAAAAEwO4YXePJB2AhFmft48kHYCCBDSVEuTllTRTpLTy5JUV9WT0xVTUUuMzAvMTEvMjAxOAEAAAASaAAAAgAAAAgyNS41MzgxNwDH4n9T8kHYCAt5H3HyQdgIO0NJUS5OWVNFOlJBQ0UuSVFfVE9UQUxfREVCVF9DVVJSRU5ULjk5OC4zMS8xMi8yMDE5Li5GLkVVUi5DAQAAAD2CsBACAAAABzM5OS44NzYBCAAAAAUAAAABMQEAAAAKMTk0NzQ0NDE4NAMAAAACNTACAAAABTI1MjIzBAAAAAExBwAAAAoxMi8zMS8yMDE5CAAAAAk4LzE2LzIwMjAJAAAAATAcrRd48kHYCFUr+XjyQdgIKUNJUS5OWVNFOlJBQ0UuSVFfTEFTVFNBTEVQUklDRS4wMy8wMS8yMDIwAQAAAD2CsBACAAAABjE2Ni43MwAID35T8kHYCD2XW1nyQdgIMUNJUS5OWVNFOlJBQ0UuSVFfU0hBUkVTT1VUU1RBTkRJTkcuMzAvMDQvMjAyMC5FVVIBAAAAPYKwEAIAAAAJMTg0Ljc0Nzg5ALNDw1ryQdgIUlfRWvJB2AggQ0lRLk5ZU0U6S08uSVFfVk9MVU1FLjAyLzAzLzIwMTgBAAAAEmgAAAIAAAAIMTQuMDUwMDgAKCtCdfJB2Aj3Nld28kHY</t>
  </si>
  <si>
    <t>CCBDSVEuLklRX0xBU1RTQUxFUFJJQ0UuMDQvMDUvMjAxOAUAAAAAAAAACAAAABQoSW52YWxpZCBJZGVudGlmaWVyKYrFN1HyQdgI1rR5c/JB2AgoQ0lRLkxTRTpUU0NPLklRX0xBU1RTQUxFUFJJQ0UuMzEvMDMvMjAxOAEAAAAwUAYAAgAAAAUyLjA1OQAFXX5T8kHYCK8NKXHyQdgIKENJUS5MU0U6VFNDTy5JUV9MQVNUU0FMRVBSSUNFLjI1LzA1LzIwMTgBAAAAMFAGAAIAAAAFMi40NTgAKeaFUvJB2AiyBAlx8kHYCCJDSVEuTllTRTpNQU5VLklRX1ZPTFVNRS4yNS8wNS8yMDE4AQAAAN1rDQACAAAACDAuMDE1NzQ3ACnmhVLyQdgIsgQJcfJB2Ag5Q0lRLk5BU0RBUUdTOlRTTEEuSVFfVE9UQUxfQVNTRVRTLjk5Ni4zMC8wNC8yMDIwLi5GLlVTRC5DAQAAABDGogECAAAACDgwNjcuOTM5AQgAAAAFAAAAATEBAAAACjE4NzU3NjkwODIDAAAAAzE2MAIAAAAEMTAwNwQAAAABMQcAAAAJNC8zMC8yMDIwCAAAAAk4LzE2LzIwMjAJAAAAATC8WAdL8kHYCMzklFnyQdgIIENJUS5OWVNFOktPLklRX1ZPTFVNRS4wNi8wMy8yMDIwAQAAABJoAAACAAAACDIyLjM1MzkzAKPWJFXyQdgIg3d8WfJB2AggQ0lRLk5ZU0U6S08uSVFfVk9MVU1FLjI3LzA0LzIwMTgBAAAAEmgAAAIAAAAIOS43Nzc5MTIAKeaFUvJB2AjsTQVx8kHYCC1DSVEuTkFTREFRR1M6VFNMQS5JUV9MQVNUU0FMRVBSSUNFLjA3LzA2LzIwMTkBAAAAEMai</t>
  </si>
  <si>
    <t>AQIAAAAFMjA0LjUAwap+U/JB2AjbYidx8kHYCERDSVEuTkFTREFRR1M6VFNMQS5JUV9NSU5PUklUWV9JTlRFUkVTVF9UT1RBTC45OTYuMzAvMDQvMjAyMC4uRi5VU0QuQwEAAAAQxqIBAwAAAAAAvFgHS/JB2Agt6ZlZ8kHYCCJDSVEuTllTRTpSQUNFLklRX1ZPTFVNRS4wMS8xMS8yMDE5AQAAAD2CsBACAAAACDAuMzk3OTE3ACVhtVPyQdgI+US8cvJB2AgyQ0lRLk5ZU0U6S08uSVFfUFJFRl9FUVVJVFkuOTk4LjMwLzA0LzIwMjAuLkYuVVNELkMBAAAAEmgAAAMAAAAAAANJykzyQdgIyG6bWfJB2Ag1Q0lRLkFVRC5JUV9GVUxMX0NVUlZFX0FOTlVBTC5BTExDT1JQLkEuMjBZLjMwLzA0LzIwMjABAAAAAAAAAAIAAAAJMC4wMzgyMDYyAKokJVXyQdgIeW6GWfJB2AgnQ0lRLiRBRURCR04uSVFfTEFTVFNBTEVQUklDRS4zMC8wNC8yMDE5AQAAACXrWgACAAAACzIuMTAzNjY1NTIxAKokJVXyQdgIMdiDWfJB2AggQ0lRLk5ZU0U6S08uSVFfVk9MVU1FLjI4LzEyLzIwMTgBAAAAEmgAAAIAAAAIMTMuMjE4MTcAx+J/U/JB2AgyXSJx8kHYCDZDSVEuTllTRTpSQUNFLklRX0VRVUlUWV9NRVRIT0QuOTk5LjMwLzA0LzIwMjAuLkYuRVVSLkMBAAAAPYKwEAIAAAAGMjUuOTcyAQgAAAAFAAAAATEBAAAACjIwMTU2Mzk4MTgDAAAAAjUwAgAAAAQzMDYzBAAAAAExBwAAAAk0LzMwLzIwMjAIAAAACTgvMTYvMjAyMAkAAAAB</t>
  </si>
  <si>
    <t>MODjBkvyQdgI3QSQWfJB2AgmQ0lRLk5BU0RBUUdTOkNBS0UuSVFfVk9MVU1FLjE5LzEwLzIwMTgBAAAACOAEAAIAAAAIMC43NzM5NjQAQ5iFUvJB2AhtGxZx8kHYCDBDSVEuTllTRTpLTy5JUV9UT1RBTF9SRVYuOTk4LjMxLzEyLzIwMTkuLkYuVVNELkMBAAAAEmgAAAIAAAAFNDE4NjMBCAAAAAUAAAABMQEAAAAKMTk0NjQzMDc4MgMAAAADMTYwAgAAAAIyOAQAAAABMQcAAAAKMTIvMzEvMjAxOQgAAAAJOC8xNi8yMDIwCQAAAAEwHvsXePJB2Ai/OfJ48kHYCCRDSVEuXkFTWC5JUV9MQVNUU0FMRVBSSUNFLjEzLzAzLzIwMjABAAAAH1PrAQIAAAALMjk5NC40MDQ4NTIASQUzUvJB2AgBC79Z8kHYCC1DSVEuTllTRTpNQU5VLklRX1BFUklPRERBVEUuOTk1LjMwLzA0LzIwMjAuLkYBAAAA3WsNAAUAAAAKMzAvMDYvMjAxNACxryRV8kHYCDcdgFnyQdgIKENJUS5MU0U6U0ZPUi5JUV9MQVNUU0FMRVBSSUNFLjE5LzA3LzIwMTkBAAAAy1PkIQIAAAAFMS41OTUA0YN+U/JB2AiHwChx8kHYCCFDSVEuTFNFOlNGT1IuSVFfVk9MVU1FLjE4LzEwLzIwMTkBAAAAy1PkIQIAAAAIMC4xMTU2ODMAlf0kVfJB2Ai3fL1y8kHYCCZDSVEuTkFTREFRR1M6VFNMQS5JUV9WT0xVTUUuMTQvMDYvMjAxOQEAAAAQxqIBAgAAAAg3LjQzMzQwMgCj1iRV8kHYCIO/wXLyQdgILENJUS5MU0U6VFNDTy5JUV9QRVJJT0REQVRFLjk5OC4z</t>
  </si>
  <si>
    <t>MC8wNC8yMDIwLi5GAQAAADBQBgAFAAAACjI0LzAyLzIwMTgAsa8kVfJB2AjqVIFZ8kHYCChDSVEuTFNFOlRTQ08uSVFfTEFTVFNBTEVQUklDRS4yOC8wMi8yMDE4AQAAADBQBgACAAAABTIuMTA4AAVdflPyQdgIOOgocfJB2AgwQ0lRLk5ZU0U6TUFOVS5JUV9JTkNfVEFYLjk5Ny4zMS8xMi8yMDE5Li5GLkdCUC5DAQAAAN1rDQACAAAABjEyLjQ2MgEIAAAABQAAAAExAQAAAAoxOTEwMjQ3NDAzAwAAAAI1NQIAAAACNzUEAAAAATEHAAAACjEyLzMxLzIwMTkIAAAACTgvMTYvMjAyMAkAAAABMNztlXfyQdgICo3pePJB2Ag6Q0lRLk5BU0RBUUdTOkNBS0UuSVFfSU5URVJFU1RfRVhQLjIwMDAuMzAvMDQvMjAyMC4uRi5VU0QuQwEAAAAI4AQAAgAAAAYtMi40OTcBCAAAAAUAAAABMQEAAAAKMjAyMTU4MjcwNAMAAAADMTYwAgAAAAI4MgQAAAABMQcAAAAJNC8zMC8yMDIwCAAAAAk4LzE2LzIwMjAJAAAAATD/b8pM8kHYCB16rFnyQdgINkNJUS5OQVNEQVFHUzpUU0xBLklRX0xUX0lOVkVTVC45OTguMzEvMTIvMjAxOS4uRi5VU0QuQwEAAAAQxqIBAwAAAAAAO4YXePJB2AixE/p48kHYCDxDSVEuTllTRTpSQUNFLklRX1RPVEFMX0RFQlRfQ1VSUkVOVC4yMDAwLjMxLzEyLzIwMTkuLkYuRVVSLkMBAAAAPYKwEAIAAAAGMTcuNjM0AQgAAAAFAAAAATEBAAAACjE5OTA0MjM2ODcDAAAAAjUwAgAAAAUyNTIyMwQAAAAB</t>
  </si>
  <si>
    <t>MQcAAAAKMTIvMzEvMjAxOQgAAAAJOC8xNi8yMDIwCQAAAAEwO4YXePJB2AhZoPl48kHYCC5DSVEuTFNFOlRTQ08uSVFfREFfQ0YuMTAwMC4zMS8xMi8yMDE5Li5GLkdCUC5DAQAAADBQBgACAAAABDExNjUBCAAAAAUAAAABMQEAAAAKMTk2ODczNjU2MwMAAAACNTUCAAAABDIxNjAEAAAAATEHAAAACjEyLzMxLzIwMTkIAAAACTgvMTYvMjAyMAkAAAABMNoUlnfyQdgIrETnePJB2Ag+Q0lRLk5BU0RBUUdTOlRTTEEuSVFfQ0FQRVhfTUVESUFOX0VTVC4xMDAzLjMwLzA0LzIwMjAuLkYuVVNELkMBAAAAEMaiAQIAAAAFLTMwMDABDgAAAAUAAAABMwEAAAABMAIAAAAKMTAwMTg2ODkxNwMAAAAGMTA0MDkxBAAAAAEyBgAAAAEwBwAAAAMxNjAIAAAAATEJAAAAATEKAAAAATALAAAACzExODk4OTExNzgzDAAAAAExDQAAAAg1LzEvMjAyMBAAAAAJOC8xNi8yMDIwpH8HS/JB2AiYf6pZ8kHYCCdDSVEuTllTRTpLTy5JUV9MQVNUU0FMRVBSSUNFLjI4LzEyLzIwMTgBAAAAEmgAAAIAAAAENDcuMgDH4n9T8kHYCDJdInHyQdgIJ0NJUS4kQUVEQllOLklRX0xBU1RTQUxFUFJJQ0UuMzEvMTIvMjAxOAEAAAAl61oAAgAAAAsxLjcwNDQwODM1MwD+A0J18kHYCArNS3byQdgIOUNJUS5OWVNFOktPLklRX1RPVEFMX0RFQlRfQ1VSUkVOVC45OTYuMzAvMDQvMjAyMC4uRi5VU0QuQwEAAAASaAAAAgAAAAUxNTg1OAEIAAAABQAA</t>
  </si>
  <si>
    <t>AAExAQAAAAoxODc1Nzk3ODA5AwAAAAMxNjACAAAABTI1MjIzBAAAAAExBwAAAAk0LzMwLzIwMjAIAAAACTgvMTYvMjAyMAkAAAABMANJykzyQdgIBd6WWfJB2AgkQ0lRLl5TUFguSVFfTEFTVFNBTEVQUklDRS4yMC8xMi8yMDE5AQAAAJu4KAACAAAAEDMyMjEuMjI0NTgzMTA5NDMACZY3UvJB2Agp6hFz8kHYCEBDSVEuTkFTREFRR1M6Q0FLRS5JUV9UT1RBTF9DT01NT05fRVFVSVRZLjk5Ni4zMS8xMi8yMDE5Li5GLlVTRC5DAQAAAAjgBAACAAAABjU1Ni41MQEIAAAABQAAAAExAQAAAAoxODMwMzg2OTg2AwAAAAMxNjACAAAABDEwMDYEAAAAATEHAAAACjEyLzMxLzIwMTkIAAAACTgvMTYvMjAyMAkAAAABMB77F3jyQdgIr8DzePJB2AguQ0lRLkxTRTpUU0NPLklRX1RPVEFMX1JFVjpDVVJSRU5DWS4uMzAvMDQvMjAyMAEAAAAwUAYAAwAAAANHQlABCAAAAAUAAAABMQEAAAAKMjAzNzQ0NjgyNwMAAAACNTUCAAAAAjI4BAAAAAEwBwAAAAk0LzMwLzIwMjAIAAAACTIvMjkvMjAyMAkAAAABMPw6JFXyQdgIwvCBWfJB2AgpQ0lRLk5ZU0U6UkFDRS5JUV9MQVNUU0FMRVBSSUNFLjI4LzAyLzIwMTUBAAAAPYKwEAMAAAAAAEFSQnXyQdgIiVxQdvJB2Ag1Q0lRLk5ZU0U6S08uSVFfREFfTUVESUFOX0VTVC4xMDAzLjMxLzEyLzIwMTkuLkYuVVNELkMBAAAAEmgAAAIAAAAEMTQzNgEOAAAABQAAAAEzAQAAAAEwAgAA</t>
  </si>
  <si>
    <t>AAoxMDAxNjU2Mjc4AwAAAAYxMTQxOTAEAAAAATIGAAAAATAHAAAAAzE2MAgAAAABMQkAAAABMQoAAAABMAsAAAALMTE2NDA1NTM3MzYMAAAAATENAAAACDEvMS8yMDIwEAAAAAk4LzE2LzIwMjDaFJZ38kHYCF9V6HjyQdgIKENJUS5MU0U6VFNDTy5JUV9MQVNUU0FMRVBSSUNFLjMxLzA1LzIwMTkBAAAAMFAGAAIAAAAFMi4yNjQAwap+U/JB2Aio2yxx8kHYCCFDSVEuTFNFOlRTQ08uSVFfVk9MVU1FLjA2LzA0LzIwMTgBAAAAMFAGAAIAAAAIMzEuMjEzMDYAKCtCdfJB2Agf4lF28kHYCCRDSVEuXkFTWC5JUV9MQVNUU0FMRVBSSUNFLjMwLzA4LzIwMTkBAAAAH1PrAQIAAAALMzk1My4wMjQzMjUAR4WFUfJB2Ajx+hlz8kHYCC1DSVEuTkFTREFRR1M6Q0FLRS5JUV9MQVNUU0FMRVBSSUNFLjA2LzA0LzIwMTgBAAAACOAEAAIAAAAFNTIuMDYAKCtCdfJB2AjUvFF28kHYCCxDSVEuTllTRTpSQUNFLklRX0FQLjIwMDAuMzEvMTIvMjAxOS4uRi5FVVIuQwEAAAA9grAQAgAAAAc2MDcuNzk0AQgAAAAFAAAAATEBAAAACjE5OTA0MjM2ODcDAAAAAjUwAgAAAAQxMDE4BAAAAAExBwAAAAoxMi8zMS8yMDE5CAAAAAk4LzE2LzIwMjAJAAAAATDaFJZ38kHYCLmH5HjyQdgIKENJUS5MU0U6U0ZPUi5JUV9MQVNUU0FMRVBSSUNFLjEyLzAxLzIwMTgBAAAAy1PkIQMAAAAAACgrQnXyQdgIycdbdvJB2AgtQ0lRLk5BU0RBUUdT</t>
  </si>
  <si>
    <t>OlRTTEEuSVFfTEFTVFNBTEVQUklDRS4zMS8wMS8yMDE4AQAAABDGogECAAAABjM1NC4zMQAFXX5T8kHYCIfAKHHyQdgILkNJUS5MU0U6U0ZPUi5JUV9TSEFSRVNPVVRTVEFORElORy4wMDowMDowMC5HQlABAAAAy1PkIQIAAAAKNTEzLjE3NjUyOQAVIspM8kHYCNlCYXbyQdgILUNJUS5OQVNEQVFHUzpUU0xBLklRX0xBU1RTQUxFUFJJQ0UuMTMvMDMvMjAyMAEAAAAQxqIBAgAAAAY1NDYuNjIAAeh9U/JB2AjEBl5Z8kHYCC9DSVEuTkFTREFRR1M6VFNMQS5JUV9GSVNDQUxfUS41MDAuMzAvMDQvMjAyMC4uRgEAAAAQxqIBAwAAAAJRMQD8OiRV8kHYCIbuiVnyQdgIIENJUS4uSVFfTEFTVFNBTEVQUklDRS4yNS8wMS8yMDE5BQAAAAAAAAAIAAAAFChJbnZhbGlkIElkZW50aWZpZXIpp3c3UfJB2Ah95llz8kHYCDpDSVEuTFNFOlRTQ08uSVFfVE9UQUxfREVCVF9DVVJSRU5ULjk5Ni4zMC8wNC8yMDIwLi5GLkdCUC5DAQAAADBQBgACAAAABDI4MjYBCAAAAAUAAAABMQEAAAAKMTg0NzgyNTE0OAMAAAACNTUCAAAABTI1MjIzBAAAAAExBwAAAAk0LzMwLzIwMjAIAAAACTgvMTYvMjAyMAkAAAABMMkxB0vyQdgIBd6WWfJB2AgpQ0lRLk5ZU0U6TUFOVS5JUV9MQVNUU0FMRVBSSUNFLjA2LzA3LzIwMTgBAAAA3WsNAAIAAAAEMjAuOQA6v4VS8kHYCLmrDHHyQdgIJENJUS5eU1BYLklRX0xBU1RTQUxFUFJJQ0UuMTkv</t>
  </si>
  <si>
    <t>MDcvMjAxOQEAAACbuCgAAgAAABAyOTc2LjYwOTA1Njk4NzI4AHyrhVHyQdgI84USc/JB2AgoQ0lRLkxTRTpUU0NPLklRX0xBU1RTQUxFUFJJQ0UuMTkvMDcvMjAxOQEAAAAwUAYAAgAAAAUyLjM4MwDRg35T8kHYCE6aKHHyQdgIIENJUS5OWVNFOktPLklRX1ZPTFVNRS4xOC8wMS8yMDE5AQAAABJoAAACAAAACDEyLjc2MDc4AKS8f1PyQdgIWFvCcvJB2AgpQ0lRLk5ZU0U6UkFDRS5JUV9MQVNUU0FMRVBSSUNFLjMxLzEwLzIwMTUBAAAAPYKwEAIAAAAFNTAuNDMAuZR/U/JB2Aj/qiJx8kHYCCJDSVEuTllTRTpNQU5VLklRX1ZPTFVNRS4xOS8wNy8yMDE5AQAAAN1rDQACAAAACDAuMDE3OTA1AJX9JFXyQdgICXe/cvJB2AgnQ0lRLiRBRURNQUQuSVFfTEFTVFNBTEVQUklDRS4zMC8wNC8yMDE5AQAAACXrWgACAAAACzAuMzgwNjMzNTk1AKokJVXyQdgISRiDWfJB2AgiQ0lRLk5ZU0U6UkFDRS5JUV9WT0xVTUUuMDkvMDgvMjAxOQEAAAA9grAQAgAAAAgwLjQzNzM1MQAlYbVT8kHYCAMevHLyQdgIKENJUS5MU0U6U0ZPUi5JUV9MQVNUU0FMRVBSSUNFLjMxLzEyLzIwMTgBAAAAy1PkIQIAAAAEMS4xOQAID35T8kHYCD+lK3HyQdgIL0NJUS5OWVNFOlJBQ0UuSVFfRUJJVERBLjk5Ni4zMS8xMi8yMDE5Li5GLkVVUi5DAQAAAD2CsBACAAAABzU4OS4zNTIBCAAAAAUAAAABMQEAAAAKMTgzMDQ3NDA5NAMAAAACNTAC</t>
  </si>
  <si>
    <t>AAAABDQwNTEEAAAAATEHAAAACjEyLzMxLzIwMTkIAAAACTgvMTYvMjAyMAkAAAABMB4iGHjyQdgI/R7uePJB2Ag5Q0lRLk5BU0RBUUdTOkNBS0UuSVFfUFJJQ0VfVEFSR0VULjYwMDAuMzAvMDQvMjAyMC4uLlVTRC5DAQAAAAjgBAACAAAACDI3LjY0NzA2AQ4AAAAFAAAAATcBAAAABzI1OTk2OTUCAAAABjI3Mzg4OAMAAAAGMTAwMTYxBAAAAAMyNTUGAAAAATAHAAAAAzE2MAgAAAABMQkAAAABMQoAAAABMAsAAAALMTE5MDIzOTMyMTcMAAAAATgNAAAACDUvMS8yMDIwEAAAAAk4LzE2LzIwMjD/b8pM8kHYCCb0jlnyQdgINUNJUS5OQVNEQVFHUzpUU0xBLklRX1RPVEFMX0NBLjk5OC4zMC8wNC8yMDIwLi5GLlVTRC5DAQAAABDGogECAAAABzY1NzAuNTIBCAAAAAUAAAABMQEAAAAKMjAxMzkwNzQ3MAMAAAADMTYwAgAAAAQxMDA4BAAAAAExBwAAAAk0LzMwLzIwMjAIAAAACTgvMTYvMjAyMAkAAAABMLxYB0vyQdgI59KTWfJB2AgrQ0lRLk5ZU0U6S08uSVFfRUJULjIwMDAuMzEvMTIvMjAxOS4uRi5VU0QuQwEAAAASaAAAAgAAAAQ5NDU2AQgAAAAFAAAAATEBAAAACjE5ODg4MDE1MjYDAAAAAzE2MAIAAAADMTM5BAAAAAExBwAAAAoxMi8zMS8yMDE5CAAAAAk4LzE2LzIwMjAJAAAAATDc7ZV38kHYCKcS63jyQdgILUNJUS5OQVNEQVFHUzpDQUtFLklRX0xBU1RTQUxFUFJJQ0UuMTkvMDQvMjAxOQEAAAAI4AQA</t>
  </si>
  <si>
    <t>AgAAAAU0Ny4wMwC5lH9T8kHYCBrdJXHyQdgIKENJUS5MU0U6VFNDTy5JUV9MQVNUU0FMRVBSSUNFLjAxLzAzLzIwMTkBAAAAMFAGAAIAAAAFMi4yOTMApLx/U/JB2AiBMCRx8kHYCDNDSVEuTllTRTpLTy5JUV9UT1RBTF9BU1NFVFMuOTk2LjMxLzEyLzIwMTkuLkYuVVNELkMBAAAAEmgAAAIAAAAFOTIwMjMBCAAAAAUAAAABMQEAAAAKMTgyOTIzMDk1NgMAAAADMTYwAgAAAAQxMDA3BAAAAAExBwAAAAoxMi8zMS8yMDE5CAAAAAk4LzE2LzIwMjAJAAAAATA7hhd48kHYCMLX+njyQdgIIUNJUS5MU0U6VFNDTy5JUV9WT0xVTUUuMzEvMDUvMjAxOQEAAAAwUAYAAgAAAAgyNC4yNzIxMQCV/SRV8kHYCIcYvnLyQdgIMENJUS5OWVNFOktPLklRX1RPVEFMX0NBLjEwMDAuMzEvMTIvMjAxOS4uRi5VU0QuQwEAAAASaAAAAgAAAAUzMDYzNAEIAAAABQAAAAExAQAAAAoxOTQ2NDMwNzgxAwAAAAMxNjACAAAABDEwMDgEAAAAATEHAAAACjEyLzMxLzIwMTkIAAAACTgvMTYvMjAyMAkAAAABMDuGF3jyQdgIa138ePJB2AgiQ0lRLk5ZU0U6TUFOVS5JUV9WT0xVTUUuMTgvMDEvMjAxOQEAAADdaw0AAgAAAAgwLjAyNTkwMQCkvH9T8kHYCE3bvnLyQdgINUNJUS5OQVNEQVFHUzpUU0xBLklRX0NPU1RfUkVWLjk5OS4zMS8xMi8yMDE5Li5GLlVTRC5DAQAAABDGogECAAAACDk1MzYuMjY0AQgAAAAFAAAAATEBAAAACjE5NDU4</t>
  </si>
  <si>
    <t>NzM1NTADAAAAAzE2MAIAAAABMQQAAAABMQcAAAAKMTIvMzEvMjAxOQgAAAAJOC8xNi8yMDIwCQAAAAEwHvsXePJB2AhZUfF48kHYCChDSVEuTkFTREFRR1M6VFNMQS5JUV9CRVRBXzVZUi4zMS8xMi8yMDE5AQAAABDGogECAAAAEDAuNjUwODcxNTQ5NTAyODUA3wbedPJB2AhW7kZ28kHYCCdDSVEuJEFFREhSSy5JUV9MQVNUU0FMRVBSSUNFLjMwLzA0LzIwMjABAAAAJetaAAIAAAALMC41MzA1ODA5OTYAqiQlVfJB2Ag6sYNZ8kHYCD9DSVEuTFNFOlRTQ08uSVFfTUlOT1JJVFlfSU5URVJFU1RfVE9UQUwuOTk5LjMxLzEyLzIwMTkuLkYuR0JQLkMBAAAAMFAGAAIAAAADLTIyAQgAAAAFAAAAATEBAAAACjE5Njg3MzY1NTkDAAAAAjU1AgAAAAQxMzEyBAAAAAExBwAAAAoxMi8zMS8yMDE5CAAAAAk4LzE2LzIwMjAJAAAAATCE1Bd48kHYCJN89njyQdgINUNJUS5OWVNFOktPLklRX0RBX01FRElBTl9FU1QuMTAwMS4zMS8xMi8yMDE5Li5GLlVTRC5DAQAAABJoAAACAAAABDEyOTQBDgAAAAUAAAABMwEAAAABMAIAAAAKMTAwMTQxNjQxNQMAAAAGMTE0MTkwBAAAAAEyBgAAAAEwBwAAAAMxNjAIAAAAATEJAAAAATEKAAAAATALAAAACzExNjU2NTYzNTg3DAAAAAExDQAAAAgxLzEvMjAyMBAAAAAJOC8xNi8yMDIwOzyWd/JB2AiPued48kHYCDNDSVEuTllTRTpLTy5JUV9TSEFSRVNPVVRTVEFORElOR19PVVQuMzEv</t>
  </si>
  <si>
    <t>MTIvMjAxNS5VU0QBAAAAEmgAAAIAAAALNDQyOS42MzY5MjYAA0nKTPJB2AjOtWF28kHYCDpDSVEuTllTRTpLTy5JUV9SRVZFTlVFX01FRElBTl9FU1QuMTAwMi4zMC8wNC8yMDIwLi5GLlVTRC5DAQAAABJoAAACAAAABTM2NTg4AQ4AAAAFAAAAATMBAAAAATACAAAACjEwMDE2NTYyNzgDAAAABjEwMDE4MQQAAAABMgYAAAABMAcAAAADMTYwCAAAAAExCQAAAAExCgAAAAEwCwAAAAsxMTg5MTUxNjQ1OAwAAAABMQ0AAAAINS8xLzIwMjAQAAAACTgvMTYvMjAyMP9vykzyQdgITPScWfJB2AgmQ0lRLk5BU0RBUUdTOlRTTEEuSVFfVk9MVU1FLjI3LzAzLzIwMjABAAAAEMaiAQIAAAAIMTQuMzc3NDEAo9YkVfJB2AirjXtZ8kHYCDZDSVEuTkFTREFRR1M6VFNMQS5JUV9UT1RBTF9SRVYuOTk5LjMwLzA0LzIwMjAuLkYuVVNELkMBAAAAEMaiAQIAAAAFMjE0NjEBCAAAAAUAAAABMQEAAAAKMjAxMzkwNzQ2MwMAAAADMTYwAgAAAAIyOAQAAAABMQcAAAAJNC8zMC8yMDIwCAAAAAk4LzE2LzIwMjAJAAAAATC8WAdL8kHYCBnenVnyQdgIJ0NJUS5OWVNFOktPLklRX0xBU1RTQUxFUFJJQ0UuMDEvMDIvMjAxOQEAAAASaAAAAgAAAAQ0OC43AKS8f1PyQdgI9m0jcfJB2AgtQ0lRLk5BU0RBUUdTOkNBS0UuSVFfTEFTVFNBTEVQUklDRS4wMS8wNi8yMDE4AQAAAAjgBAACAAAABTUyLjA0ACnmhVLyQdgIgccJcfJB2Ag+Q0lR</t>
  </si>
  <si>
    <t>Lk5BU0RBUUdTOkNBS0UuSVFfQ0FQRVhfTUVESUFOX0VTVC4xMDAxLjMwLzA0LzIwMjAuLkYuVVNELkMBAAAACOAEAAIAAAAFLTQzLjEBDgAAAAUAAAABMwEAAAABMAIAAAAKMTAwMjIyNDIyMgMAAAAGMTA0MDkxBAAAAAEyBgAAAAEwBwAAAAMxNjAIAAAAATEJAAAAATEKAAAAATALAAAACzExODg3NTI4ODA3DAAAAAExDQAAAAg1LzEvMjAyMBAAAAAJOC8xNi8yMDIw/2/KTPJB2AhxG6tZ8kHYCC1DSVEuTllTRTpSQUNFLklRX0VCVC4xMDAyLjMxLzEyLzIwMTkuLkYuRVVSLkMBAAAAPYKwEAMAAAAAANztlXfyQdgImznrePJB2AhAQ0lRLk5ZU0U6TUFOVS5JUV9NSU5PUklUWV9JTlRFUkVTVF9UT1RBTC45OTguMzEvMTIvMjAxOS4uRi5HQlAuQwEAAADdaw0AAwAAAAAAhNQXePJB2AjLVvZ48kHYCClDSVEuTllTRTpSQUNFLklRX0xBU1RTQUxFUFJJQ0UuMzEvMDgvMjAxOAEAAAA9grAQAgAAAAYxMzEuMDkA6DV+U/JB2AhYbCpx8kHYCCZDSVEuTkFTREFRR1M6Q0FLRS5JUV9WT0xVTUUuMTIvMDEvMjAxOAEAAAAI4AQAAgAAAAgwLjgzMjk3NgAoK0J18kHYCMnHW3byQdgIJUNJUS5eQ09NUC5JUV9MQVNUU0FMRVBSSUNFLjAyLzAzLzIwMTgBAAAAibgoAAIAAAAHNzI1Ny44NwDYLd508kHYCLgERnbyQdgIM0NJUUFWRy5JUTQzOTQzODEyLklRX0xBU1RTQUxFUFJJQ0UuNDAyOTguMzAvMDQvMjAyMAEAAACE</t>
  </si>
  <si>
    <t>h54CAgAAABEwLjQzMjc0NDIzNTg5NzQzNgCqJCVV8kHYCKbShVnyQdgILkNJUS5OWVNFOk1BTlUuSVFfUEVSSU9EREFURS4xMDAwLjMwLzA0LzIwMjAuLkYBAAAA3WsNAAUAAAAKMzAvMDYvMjAxOQCxryRV8kHYCJ2MglnyQdgIM0NJUS5OQVNEQVFHUzpUU0xBLklRX1RPVEFMX1JFVjpDVVJSRU5DWS4uMzEvMTIvMjAxOQEAAAAQxqIBAwAAAANVU0QBCAAAAAUAAAABMQEAAAAKMjAxMzkwOTQ0MgMAAAADMTYwAgAAAAIyOAQAAAABMAcAAAAKMTIvMzEvMjAxOQgAAAAKMTIvMzEvMjAxOQkAAAABMP4DQnXyQdgIzA5edvJB2Ag3Q0lRLk5BU0RBUUdTOlRTTEEuSVFfRVNUX0VQU19HUk9XVEhfNVlSLjYwMDAuMzEvMTIvMjAxOQEAAAAQxqIBAgAAAAMxMDUBDgAAAAUAAAABNwEAAAAJMTA4ODAzOTE1AgAAAAoxMDAwODcyOTIzAwAAAAYxMDAxNjcEAAAAATIGAAAAATAHAAAAATAIAAAAATAJAAAAATEKAAAAATALAAAACzExNjY5NzMwMjgxDAAAAAE4DQAAAAgxLzEvMjAyMBAAAAAKMTIvMzEvMjAxOSgrQnXyQdgINBROdvJB2AgoQ0lRLkxTRTpUU0NPLklRX0xBU1RTQUxFUFJJQ0UuMjkvMTEvMjAxOQEAAAAwUAYAAgAAAAUyLjI5NADoNX5T8kHYCH53LXHyQdgIIkNJUS5OWVNFOlJBQ0UuSVFfVk9MVU1FLjMxLzA4LzIwMTgBAAAAPYKwEAIAAAAIMC41MjY4OTgAOr+FUvJB2AhE2BFx8kHYCCBDSVEuLklRX0xB</t>
  </si>
  <si>
    <t>U1RTQUxFUFJJQ0UuMzAvMTEvMjAxNwUAAAAAAAAACAAAABQoSW52YWxpZCBJZGVudGlmaWVyKQmWN1LyQdgIHuU9c/JB2Ag3Q0lRLk5ZU0U6TUFOVS5JUV9EQV9NRURJQU5fRVNULjYwMDAuMzAvMDQvMjAyMC4uRi5HQlAuQwEAAADdaw0AAwAAAAAA6pbKTPJB2AjabqlZ8kHYCCxDSVEuTFNFOlNGT1IuSVFfRUJULjEwMDAuMzEvMTIvMjAxOS4uRi5HQlAuQwEAAADLU+QhAgAAAAotMTUuNjM2MDAzAQgAAAAFAAAAATEBAAAACjE5NjExMTYyNzEDAAAAAjU1AgAAAAMxMzkEAAAAATEHAAAACjEyLzMxLzIwMTkIAAAACTgvMTYvMjAyMAkAAAABMNztlXfyQdgIsevqePJB2AgiQ0lRLi5JUV9DT1NUX0JPUlJPV0lORy4uMzEvMTIvMjAxOQUAAAAAAAAACAAAABQoSW52YWxpZCBJZGVudGlmaWVyKf4DQnXyQdgIJ8JPdvJB2AgpQ0lRLk5ZU0U6UkFDRS5JUV9MQVNUU0FMRVBSSUNFLjA1LzAxLzIwMTgBAAAAPYKwEAIAAAAGMTEyLjEzACgrQnXyQdgImmNcdvJB2Ag1Q0lRLkxTRTpUU0NPLklRX0lOVEVSRVNUX0VYUC4yMDAwLjMwLzA0LzIwMjAuLkYuR0JQLkMBAAAAMFAGAAIAAAAELTc3OAEIAAAABQAAAAExAQAAAAoyMDI2NTA3Mzg4AwAAAAI1NQIAAAACODIEAAAAATEHAAAACTQvMzAvMjAyMAgAAAAJOC8xNi8yMDIwCQAAAAEwyTEHS/JB2AgMoaxZ8kHYCEBDSVEuTFNFOlNGT1IuSVFfTUlOT1JJVFlfSU5U</t>
  </si>
  <si>
    <t>RVJFU1RfVE9UQUwuMjAwMC4zMC8wNC8yMDIwLi5GLkdCUC5DAQAAAMtT5CECAAAAAzAuMQEIAAAABQAAAAExAQAAAAoyMDIyNTk5ODg3AwAAAAI1NQIAAAAEMTMxMgQAAAABMQcAAAAJNC8zMC8yMDIwCAAAAAk4LzE2LzIwMjAJAAAAATDZCgdL8kHYCMpOmVnyQdgIKUNJUS5OWVNFOlJBQ0UuSVFfTEFTVFNBTEVQUklDRS4zMC8wOS8yMDE1AQAAAD2CsBADAAAAAAC5lH9T8kHYCDJdInHyQdgILUNJUS5OQVNEQVFHUzpDQUtFLklRX0xBU1RTQUxFUFJJQ0UuMzAvMDYvMjAxNQEAAAAI4AQAAgAAAAY1NC41MzUApLx/U/JB2Ahr1yBx8kHYCCZDSVEuTkFTREFRR1M6VFNMQS5JUV9WT0xVTUUuMjIvMDIvMjAxOQEAAAAQxqIBAgAAAAg1Ljc0MDU1OACkvH9T8kHYCJlxwXLyQdgIOUNJUS5OWVNFOktPLklRX0VCSVREQV9NRURJQU5fRVNULjEwMDIuMzAvMDQvMjAyMC4uRi5VU0QuQwEAAAASaAAAAgAAAAUxMTk2NAEOAAAABQAAAAEzAQAAAAEwAgAAAAoxMDAxNjU2Mjc4AwAAAAYxMDAxODgEAAAAATIGAAAAATAHAAAAAzE2MAgAAAABMQkAAAABMQoAAAABMAsAAAALMTE4ODQzMTYwNTUMAAAAATENAAAACDUvMS8yMDIwEAAAAAk4LzE2LzIwMjD/b8pM8kHYCCBeoVnyQdgIN0NJUS5OWVNFOlJBQ0UuSVFfTklfTUVESUFOX0VTVC4xMDAxLjMxLzEyLzIwMTkuLkYuRVVSLkMBAAAAPYKwEAIAAAAJNzA1LjA0MzQx</t>
  </si>
  <si>
    <t>AQ4AAAAFAAAAATMBAAAAATACAAAACjEwMDMyMjY4MDIDAAAABjEwMDI1MQQAAAABMwYAAAABMAcAAAACNTAIAAAAATEJAAAAATEKAAAAATALAAAACzExNzA1MjUwOTgzDAAAAAExDQAAAAgxLzEvMjAyMBAAAAAJOC8xNi8yMDIw2hSWd/JB2AgrGOl48kHYCCFDSVEuTFNFOlNGT1IuSVFfVk9MVU1FLjAxLzAzLzIwMTkBAAAAy1PkIQIAAAAIMC4wMzQxMDgApLx/U/JB2Ajaubxy8kHYCDBDSVEuTFNFOlRTQ08uSVFfVEFSR0VUX1BSSUNFX05VTS42MDAwLjMxLzEyLzIwMTkBAAAAMFAGAAEAAAACMTgA/gNCdfJB2AgF10528kHYCCtDSVEuTFNFOlNGT1IuSVFfRklMSU5HX0NVUlJFTkNZLi4zMS8xMi8yMDE5AQAAAMtT5CEDAAAAA0dCUAD+A0J18kHYCPTAXXbyQdgIKENJUS5MU0U6U0ZPUi5JUV9MQVNUU0FMRVBSSUNFLjE1LzA2LzIwMTgBAAAAy1PkIQMAAAAAACnmhVLyQdgIKf8KcfJB2AgoQ0lRLkxTRTpTRk9SLklRX0xBU1RTQUxFUFJJQ0UuMTMvMTIvMjAxOQEAAADLU+QhAgAAAAUxLjgzNQDoNX5T8kHYCFgTLnHyQdgIMUNJUS5OQVNEQVFHUzpUU0xBLklRX1BFUklPRERBVEUuOTk2LjMxLzEyLzIwMTkuLkYBAAAAEMaiAQUAAAAKMzEvMTIvMjAxNAD+A0J18kHYCKWgTXbyQdgIJENJUS5eQVNYLklRX0xBU1RTQUxFUFJJQ0UuMjgvMDIvMjAxNQEAAAAfU+sBAgAAAAczNzQ0LjI2ANgt3nTyQdgIkHlG</t>
  </si>
  <si>
    <t>dvJB2Ag8Q0lRLk5ZU0U6TUFOVS5JUV9UT1RBTF9ERUJUX0NVUlJFTlQuMjAwMC4zMS8xMi8yMDE5Li5GLkdCUC5DAQAAAN1rDQACAAAABTMuOTg0AQgAAAAFAAAAATEBAAAACjE5OTM2MjEzMjIDAAAAAjU1AgAAAAUyNTIyMwQAAAABMQcAAAAKMTIvMzEvMjAxOQgAAAAJOC8xNi8yMDIwCQAAAAEwO4YXePJB2AhZoPl48kHYCCFDSVEuTFNFOlRTQ08uSVFfVk9MVU1FLjI4LzAyLzIwMjABAAAAMFAGAAIAAAAINjAuMzk4NTkAlf0kVfJB2AhuDHhZ8kHYCC9DSVEuTFNFOlRTQ08uSVFfUlVBX05FVC4yMDAwLjMwLzA0LzIwMjAuLi5MT0NBTAEAAAAwUAYAAwAAAAAAsa8kVfJB2AgN1n1Z8kHYCDFDSVEuTllTRTpNQU5VLklRX1RPVEFMX0NBLjk5OS4zMS8xMi8yMDE5Li5GLkdCUC5DAQAAAN1rDQACAAAABzQxMy40NTcBCAAAAAUAAAABMQEAAAAKMTk4NTg0NTAyOQMAAAACNTUCAAAABDEwMDgEAAAAATEHAAAACjEyLzMxLzIwMTkIAAAACTgvMTYvMjAyMAkAAAABMDuGF3jyQdgIiTb8ePJB2AgtQ0lRLk5BU0RBUUdTOlRTTEEuSVFfTEFTVFNBTEVQUklDRS4zMS8xMC8yMDE5AQAAABDGogECAAAABjMxNC45MgAB6H1T8kHYCFgTLnHyQdgIMENJUS5OQVNEQVFHUzpUU0xBLklRX1NHQS45OTkuMzEvMTIvMjAxOS4uRi5VU0QuQwEAAAAQxqIBAgAAAAYyNDUwLjcBCAAAAAUAAAABMQEAAAAKMTk0NTg3MzU1MAMA</t>
  </si>
  <si>
    <t>AAADMTYwAgAAAAIyMwQAAAABMQcAAAAKMTIvMzEvMjAxOQgAAAAJOC8xNi8yMDIwCQAAAAEwHiIYePJB2Ahly+948kHYCDFDSVEuTllTRTpSQUNFLklRX1RPVEFMX0NMLjk5OC4zMC8wNC8yMDIwLi5GLkVVUi5DAQAAAD2CsBACAAAACDEyMTAuNjcxAQgAAAAFAAAAATEBAAAACjIwMTU2Mzk4MDUDAAAAAjUwAgAAAAQxMDA5BAAAAAExBwAAAAk0LzMwLzIwMjAIAAAACTgvMTYvMjAyMAkAAAABMODjBkvyQdgI03mXWfJB2AgZQ0lRLi5JUV9WT0xVTUUuMDEvMDMvMjAxOQUAAAAAAAAACAAAABQoSW52YWxpZCBJZGVudGlmaWVyKccff1PyQdgIfnG6cvJB2Ag6Q0lRLk5ZU0U6UkFDRS5JUV9DQVBFWF9NRURJQU5fRVNULjYwMDAuMzAvMDQvMjAyMC4uRi5FVVIuQwEAAAA9grAQAgAAAAotNzU3LjA1MzQ5AQ4AAAAFAAAAAjExAQAAAAEwAgAAAAoxMDAzMjI2ODA3AwAAAAYxMDQwOTEEAAAAATMGAAAAATAHAAAAAjUwCAAAAAExCQAAAAExCgAAAAEwCwAAAAsxMTg5NTUzNjAxMgwAAAACMTINAAAACDUvMS8yMDIwEAAAAAk4LzE2LzIwMjCkfwdL8kHYCHEbq1nyQdgIM0NJUS5OQVNEQVFHUzpUU0xBLklRX0RBX0NGLjIwMDAuMzAvMDQvMjAyMC4uRi5VU0QuQwEAAAAQxqIBAgAAAAQyMTkyAQgAAAAFAAAAATEBAAAACjIwMzIwNDUzMzQDAAAAAzE2MAIAAAAEMjE2MAQAAAABMQcAAAAJNC8zMC8yMDIwCAAAAAk4</t>
  </si>
  <si>
    <t>LzE2LzIwMjAJAAAAATDJMQdL8kHYCNeVqVnyQdgIQENJUS5OQVNEQVFHUzpUU0xBLklRX1JFVkVOVUVfTUVESUFOX0VTVC4xMDAzLjMxLzEyLzIwMTkuLkYuVVNELkMBAAAAEMaiAQIAAAAHMzY3MzguOAEOAAAABQAAAAEzAQAAAAEwAgAAAAoxMDAxNTU2NjQxAwAAAAYxMDAxODEEAAAAATIGAAAAATAHAAAAAzE2MAgAAAABMQkAAAABMQoAAAABMAsAAAALMTE3MjkwODk5MDMMAAAAATENAAAACDEvMS8yMDIwEAAAAAk4LzE2LzIwMjDzSBh48kHYCJKZ83jyQdgILENJUS5MU0U6U0ZPUi5JUV9FQklULjk5OS4zMC8wNC8yMDIwLi5GLkdCUC5DAQAAAMtT5CECAAAACS01Ljk0MDAwMQEIAAAABQAAAAExAQAAAAoxOTYxMTE2MjcxAwAAAAI1NQIAAAADNDAwBAAAAAExBwAAAAk0LzMwLzIwMjAIAAAACTgvMTYvMjAyMAkAAAABMMkxB0vyQdgISZCkWfJB2AgtQ0lRLk5ZU0U6TUFOVS5JUV9FQlQuMTAwMC4zMS8xMi8yMDE5Li5GLkdCUC5DAQAAAN1rDQACAAAABjI3LjQ3NgEIAAAABQAAAAExAQAAAAoxOTg1ODQ1MDYzAwAAAAI1NQIAAAADMTM5BAAAAAExBwAAAAoxMi8zMS8yMDE5CAAAAAk4LzE2LzIwMjAJAAAAATDc7ZV38kHYCLHr6njyQdgIKENJUS5MU0U6VFNDTy5JUV9MQVNUU0FMRVBSSUNFLjI4LzAyLzIwMjABAAAAMFAGAAIAAAAFMi4yODUACA9+U/JB2AiTaV1Z8kHYCC1DSVEuTkFTREFRR1M6Q0FL</t>
  </si>
  <si>
    <t>RS5JUV9MQVNUU0FMRVBSSUNFLjMwLzA4LzIwMTkBAAAACOAEAAIAAAAFMzcuOTkA0YN+U/JB2AhYbCpx8kHYCDZDSVEuTllTRTpSQUNFLklRX1RPVEFMX1JFQ0VJVi4yMDAwLjMwLzA0LzIwMjAuLkYuRVVSLkMBAAAAPYKwEAIAAAAHMzAxLjIzNgEIAAAABQAAAAExAQAAAAoyMDE1NjQyOTU0AwAAAAI1MAIAAAAEMTAwMQQAAAABMQcAAAAJNC8zMC8yMDIwCAAAAAk4LzE2LzIwMjAJAAAAATDZCgdL8kHYCP7vrFnyQdgIJ0NJUS4kQUVEQVJTLklRX0xBU1RTQUxFUFJJQ0UuMzAvMDQvMjAxOQEAAAAl61oAAgAAAAowLjA4MzY3NTA1AKokJVXyQdgIJP+DWfJB2AgkQ0lRLl5TUFguSVFfTEFTVFNBTEVQUklDRS4zMS8xMi8yMDE0AQAAAJu4KAACAAAAEDIwNTguOTAyMzc4ODU2ODkA2C3edPJB2Ah9oEZ28kHYCBlDSVEuLklRX1ZPTFVNRS4zMS8wNS8yMDE5BQAAAAAAAAAIAAAAFChJbnZhbGlkIElkZW50aWZpZXIp2Tm1U/JB2Ah1mLpy8kHYCCJDSVEuTllTRTpNQU5VLklRX1ZPTFVNRS4yMS8wMi8yMDIwAQAAAN1rDQACAAAACDAuMDI0NTY0AJX9JFXyQdgIDGt5WfJB2AgrQ0lRLklRNTk3MjA5NTM0LklRX0xBU1RTQUxFUFJJQ0UuMzEvMTIvMjAxOQEAAAC+sZgjAgAAAAUxLjIzNADfBt508kHYCDlGSnbyQdgIOUNJUS5OQVNEQVFHUzpDQUtFLklRX1NIQVJFU09VVFNUQU5ESU5HX09VVC4wMi8wMS8yMDE4</t>
  </si>
  <si>
    <t>LlVTRAEAAAAI4AQAAgAAAAk0Ni4wNTc5MDgAW5PiTfJB2Ag6kGF28kHYCDdDSVEuTFNFOlNGT1IuSVFfQ0FTSF9TVF9JTlZFU1QuMjAwMC4zMS8xMi8yMDE5Li5GLkdCUC5DAQAAAMtT5CECAAAABjI1LjAwNQEIAAAABQAAAAExAQAAAAoxOTYxMTE3NDAxAwAAAAI1NQIAAAAEMTAwMgQAAAABMQcAAAAKMTIvMzEvMjAxOQgAAAAJOC8xNi8yMDIwCQAAAAEwO4YXePJB2AhFQP948kHYCCVDSVEuXkNPTVAuSVFfTEFTVFNBTEVQUklDRS4wMi8wOC8yMDE5AQAAAIm4KAACAAAABzgwMDQuMDcAfKuFUfJB2AgDLRZz8kHYCCdDSVEuJEFFREJEVC5JUV9MQVNUU0FMRVBSSUNFLjMxLzEyLzIwMTkBAAAAJetaAAIAAAALMC4wNDMyNTc1NjcA/gNCdfJB2AgKzUt28kHYCCpDSVEuTllTRTpLTy5JUV9FQlQuOTk3LjMxLzEyLzIwMTkuLkYuVVNELkMBAAAAEmgAAAIAAAAEOTYwNQEIAAAABQAAAAExAQAAAAoxODc1Nzk3ODA5AwAAAAMxNjACAAAAAzEzOQQAAAABMQcAAAAKMTIvMzEvMjAxOQgAAAAJOC8xNi8yMDIwCQAAAAEw3O2Vd/JB2AjLdup48kHYCDNDSVEuTkFTREFRR1M6Q0FLRS5JUV9FQklUREEuOTk5LjMxLzEyLzIwMTkuLkYuVVNELkMBAAAACOAEAAIAAAAHMjUzLjQxNwEIAAAABQAAAAExAQAAAAoxOTQ4MTc2NjgwAwAAAAMxNjACAAAABDQwNTEEAAAAATEHAAAACjEyLzMxLzIwMTkIAAAACTgvMTYvMjAy</t>
  </si>
  <si>
    <t>MAkAAAABMB4iGHjyQdgIwmvuePJB2AgnQ0lRLiRBRURLV0QuSVFfTEFTVFNBTEVQUklDRS4zMS8xMi8yMDE4AQAAACXrWgACAAAADDEyLjA5NDU3MDEyMQD+A0J18kHYCNNoTHbyQdgIJENJUS5eQVNYLklRX0xBU1RTQUxFUFJJQ0UuMzEvMDcvMjAxNgEAAAAfU+sBAgAAAAczNjUzLjgzAHyrhVHyQdgIA64Lc/JB2Ag4Q0lRLkxTRTpUU0NPLklRX0VCSVRfTUVESUFOX0VTVC42MDAxLjMxLzEyLzIwMTkuLkYuR0JQLkMBAAAAMFAGAAMAAAAAAPNIGHjyQdgInNDtePJB2Ag4Q0lRLk5ZU0U6S08uSVFfQ0FQRVhfTUVESUFOX0VTVC4xMDAyLjMxLzEyLzIwMTkuLkYuVVNELkMBAAAAEmgAAAIAAAAILTE5MzYuMTUBDgAAAAUAAAABMwEAAAABMAIAAAAKMTAwMTQxNjQyMAMAAAAGMTA0MDkxBAAAAAEyBgAAAAEwBwAAAAMxNjAIAAAAATEJAAAAATEKAAAAATALAAAACzExNjU2NTY1MTYzDAAAAAExDQAAAAgxLzEvMjAyMBAAAAAJOC8xNi8yMDIwOzyWd/JB2AjggeZ48kHYCCFDSVEuTFNFOlNGT1IuSVFfVk9MVU1FLjI2LzAxLzIwMTgBAAAAy1PkIQMAAAAAACgrQnXyQdgICJBadvJB2AggQ0lRLk5ZU0U6S08uSVFfVk9MVU1FLjEwLzA4LzIwMTgBAAAAEmgAAAIAAAAINy41MzU0NDMAOr+FUvJB2AiuUhBx8kHYCDdDSVEuTllTRTpNQU5VLklRX0VRVUlUWV9NRVRIT0QuMTAwMC4zMS8xMi8yMDE5Li5GLkdCUC5D</t>
  </si>
  <si>
    <t>AQAAAN1rDQADAAAAAABHYBd48kHYCBADAHnyQdgILENJUS5OWVNFOk1BTlUuSVFfRUJULjk5OC4zMS8xMi8yMDE5Li5GLkdCUC5DAQAAAN1rDQACAAAABjU2LjU4OAEIAAAABQAAAAExAQAAAAoxOTg1ODQ1MDQ1AwAAAAI1NQIAAAADMTM5BAAAAAExBwAAAAoxMi8zMS8yMDE5CAAAAAk4LzE2LzIwMjAJAAAAATDc7ZV38kHYCMmd6njyQdgIOUNJUS5MU0U6U0ZPUi5JUV9DQVBFWF9NRURJQU5fRVNULjYwMDAuMzAvMDQvMjAyMC4uRi5HQlAuQwEAAADLU+QhAgAAABEtNi40MjAxNzYyODE2NzA0OQEOAAAABQAAAAIxMQEAAAABMAIAAAAKMTAwNDMxNjA1MQMAAAAGMTA0MDkxBAAAAAEzBgAAAAEwBwAAAAI1NQgAAAABMQkAAAABMQoAAAABMAsAAAALMTE4NDgyMDM5NTcMAAAAAjEyDQAAAAg1LzEvMjAyMBAAAAAJOC8xNi8yMDIwpH8HS/JB2AhxG6tZ8kHYCDFDSVEuTFNFOlRTQ08uSVFfVE9UQUxfQ0EuMjAwMC4zMC8wNC8yMDIwLi5GLkdCUC5DAQAAADBQBgACAAAABTEzMTY0AQgAAAAFAAAAATEBAAAACjIwMjY1MDczODgDAAAAAjU1AgAAAAQxMDA4BAAAAAExBwAAAAk0LzMwLzIwMjAIAAAACTgvMTYvMjAyMAkAAAABMMkxB0vyQdgIKl+TWfJB2AgtQ0lRLkxTRTpUU0NPLklRX0VCSVQuMjAwMC4zMS8xMi8yMDE5Li5GLkdCUC5DAQAAADBQBgACAAAABDI0MDcBCAAAAAUAAAABMQEAAAAKMTk4Njc5MzI0</t>
  </si>
  <si>
    <t>MAMAAAACNTUCAAAAAzQwMAQAAAABMQcAAAAKMTIvMzEvMjAxOQgAAAAJOC8xNi8yMDIwCQAAAAEwHiIYePJB2AhBcex48kHYCCVDSVEuSVE0Mzk0MzgyNy5JUV9MQVNUU0FMRVBSSUNFLjQzNDY1AQAAAJOHngICAAAACDAuOTcxOTA3AN8G3nTyQdgIGrtKdvJB2AgxQ0lRLk5ZU0U6S08uSVFfTFRfSU5WRVNULjIwMDAuMzAvMDQvMjAyMC4uRi5VU0QuQwEAAAASaAAAAgAAAAUyMDM1NAEIAAAABQAAAAExAQAAAAoyMDMwMzc2ODk3AwAAAAMxNjACAAAABDEwNTQEAAAAATEHAAAACTQvMzAvMjAyMAgAAAAJOC8xNi8yMDIwCQAAAAEwA0nKTPJB2AiiMpVZ8kHYCCFDSVEuTFNFOlRTQ08uSVFfVk9MVU1FLjIxLzA2LzIwMTkBAAAAMFAGAAIAAAAIODQuMzUzNzYAlf0kVfJB2AhtP75y8kHYCCdDSVEuJEFFRFRSWS5JUV9MQVNUU0FMRVBSSUNFLjMwLzA0LzIwMTkBAAAAJetaAAIAAAAKMC42MTU1NjI1MgCqJCVV8kHYCOXohFnyQdgIJ0NJUS4kQUVEVVNELklRX0xBU1RTQUxFUFJJQ0UuMzEvMTIvMjAxNAEAAAAl61oAAgAAAAYzLjY3MzIAFSLKTPJB2AgK+l528kHYCEBDSVEuTllTRTpNQU5VLklRX1RPVEFMX0RFQlRfTk9OX0NVUlJFTlQuMjAwMC4zMS8xMi8yMDE5Li5GLkdCUC5DAQAAAN1rDQACAAAABzUzMC4xODkBCAAAAAUAAAABMQEAAAAKMTk5MzYyMTMyMgMAAAACNTUCAAAABTI1MjI0BAAAAAExBwAA</t>
  </si>
  <si>
    <t>AAoxMi8zMS8yMDE5CAAAAAk4LzE2LzIwMjAJAAAAATAcrRd48kHYCNTy93jyQdgIO0NJUS5OQVNEQVFHUzpUU0xBLklRX0VRVUlUWV9NRVRIT0QuMjAwMC4zMS8xMi8yMDE5Li5GLlVTRC5DAQAAABDGogEDAAAAAABHYBd48kHYCDhSAHnyQdgIIUNJUS5MU0U6VFNDTy5JUV9WT0xVTUUuMDcvMDkvMjAxOAEAAAAwUAYAAgAAAAgzMS42MTI1MwBDmIVS8kHYCB10EnHyQdgIOENJUS5OWVNFOlJBQ0UuSVFfQ0FTSF9TVF9JTlZFU1QuMTAwMC4zMS8xMi8yMDE5Li5GLkVVUi5DAQAAAD2CsBACAAAABzc5OS41NzUBCAAAAAUAAAABMQEAAAAKMTk0NzQ0NDE4MwMAAAACNTACAAAABDEwMDIEAAAAATEHAAAACjEyLzMxLzIwMTkIAAAACTgvMTYvMjAyMAkAAAABMDuGF3jyQdgIVfL+ePJB2AgwQ0lRLk5BU0RBUUdTOkNBS0UuSVFfR1AuMjAwMC4zMS8xMi8yMDE5Li5GLlVTRC5DAQAAAAjgBAACAAAABzk3Ni44OTcBCAAAAAUAAAABMQEAAAAKMTk5MTMyNzA0MAMAAAADMTYwAgAAAAIxMAQAAAABMQcAAAAKMTIvMzEvMjAxOQgAAAAJOC8xNi8yMDIwCQAAAAEwHvsXePJB2AiXtfB48kHYCD5DSVEuTFNFOlNGT1IuSVFfVE9UQUxfREVCVF9OT05fQ1VSUkVOVC45OTkuMzAvMDQvMjAyMC4uRi5HQlAuQwEAAADLU+QhAgAAAAY0NS42MzgBCAAAAAUAAAABMQEAAAAKMTk2MTExNjI3MQMAAAACNTUCAAAABTI1MjI0BAAA</t>
  </si>
  <si>
    <t>AAExBwAAAAk0LzMwLzIwMjAIAAAACTgvMTYvMjAyMAkAAAABMNkKB0vyQdgIjmOYWfJB2AgkQ0lRLl5BU1guSVFfTEFTVFNBTEVQUklDRS4yMC8wNy8yMDE4AQAAAB9T6wECAAAACzQyMjQuNDk3MjI0AIrFN1HyQdgIcKcbc/JB2AgnQ0lRLiRBRURIVUYuSVFfTEFTVFNBTEVQUklDRS4zMC8wNC8yMDIwAQAAACXrWgACAAAACzAuMDExNDA2ODMyAKokJVXyQdgIRIqDWfJB2AgnQ0lRLiRBRURDTlkuSVFfTEFTVFNBTEVQUklDRS4zMS8xMi8yMDE5AQAAACXrWgACAAAACzAuNTI3NTEwMDg5AN8G3nTyQdgIJpRKdvJB2AgkQ0lRLl5BU1guSVFfTEFTVFNBTEVQUklDRS4xMy8xMi8yMDE5AQAAAB9T6wECAAAACzQwOTUuMDI2NDI4AAmWN1LyQdgIEIYZc/JB2Ag3Q0lRLk5ZU0U6UkFDRS5JUV9DQVNIX1NUX0lOVkVTVC45OTguMzEvMTIvMjAxOS4uRi5FVVIuQwEAAAA9grAQAgAAAAc0NjQuMzUyAQgAAAAFAAAAATEBAAAACjE5NDc0NDQxODQDAAAAAjUwAgAAAAQxMDAyBAAAAAExBwAAAAoxMi8zMS8yMDE5CAAAAAk4LzE2LzIwMjAJAAAAATA7hhd48kHYCEf5/HjyQdgIJkNJUS5OQVNEQVFHUzpUU0xBLklRX1ZPTFVNRS4xMS8xMC8yMDE5AQAAABDGogECAAAACDguNDg4MTU5AKPWJFXyQdgISzTCcvJB2AgpQ0lRLk5ZU0U6TUFOVS5JUV9MQVNUU0FMRVBSSUNFLjA2LzEyLzIwMTkBAAAA3WsNAAIAAAAFMTgu</t>
  </si>
  <si>
    <t>NjkA6DV+U/JB2AinxS1x8kHYCDBDSVEuTllTRTpLTy5JUV9DT1NUX1JFVi4xMDAwLjMxLzEyLzIwMTkuLkYuVVNELkMBAAAAEmgAAAIAAAAFMTE3NzABCAAAAAUAAAABMQEAAAAKMTk0NjQzMDc4MQMAAAADMTYwAgAAAAExBAAAAAExBwAAAAoxMi8zMS8yMDE5CAAAAAk4LzE2LzIwMjAJAAAAATAe+xd48kHYCHx48XjyQdgIK0NJUS5MU0U6U0ZPUi5JUV9OSS4yMDAwLjMxLzEyLzIwMTkuLkYuR0JQLkMBAAAAy1PkIQIAAAAKLTEzLjkwMjg1OQEIAAAABQAAAAExAQAAAAoxOTYxMTE3NDAxAwAAAAI1NQIAAAACMTUEAAAAATEHAAAACjEyLzMxLzIwMTkIAAAACTgvMTYvMjAyMAkAAAABMNztlXfyQdgIOfHoePJB2AgvQ0lRLk5ZU0U6UkFDRS5JUV9FQklUREEuOTk5LjMxLzEyLzIwMTkuLkYuRVVSLkMBAAAAPYKwEAIAAAAHOTMwLjQ5OAEIAAAABQAAAAExAQAAAAoxOTQ3NDQ0MTkwAwAAAAI1MAIAAAAENDA1MQQAAAABMQcAAAAKMTIvMzEvMjAxOQgAAAAJOC8xNi8yMDIwCQAAAAEwHiIYePJB2AjCa+548kHYCCdDSVEuJEFFRFNFSy5JUV9MQVNUU0FMRVBSSUNFLjMxLzEyLzIwMTkBAAAAJetaAAIAAAALMC4zOTMxNzYwOTkA3wbedPJB2Agau0p28kHYCDVDSVEuVVNELklRX0ZVTExfQ1VSVkVfQU5OVUFMLkFMTENPUlAuQS4yMFkuMzAvMDQvMjAyMAEAAAAAAAAAAgAAAAkwLjAzNDU1OTkAqiQlVfJB2Aha</t>
  </si>
  <si>
    <t>44ZZ8kHYCDtDSVEuTllTRTpSQUNFLklRX0VCSVREQV9NRURJQU5fRVNULjYwMDEuMzEvMTIvMjAxOS4uRi5FVVIuQwEAAAA9grAQAwAAAAAA80gYePJB2AiUL+948kHYCDVDSVEuTkFTREFRR1M6Q0FLRS5JUV9TSEFSRVNPVVRTVEFORElORy4zMC8xMi8yMDE0LlVTRAEAAAAI4AQAAgAAAAk0OS40OTM1MjQAR2AXePJB2AjUxQB58kHYCCRDSVEuXkFTWC5JUV9MQVNUU0FMRVBSSUNFLjAxLzA2LzIwMTgBAAAAH1PrAQIAAAALNDIzNy41NDkxOTQAisU3UfJB2Ah69Rtz8kHYCDdDSVEuTllTRTpSQUNFLklRX0VRVUlUWV9NRVRIT0QuMTAwMC4zMC8wNC8yMDIwLi5GLkVVUi5DAQAAAD2CsBACAAAABjMwLjAxMgEIAAAABQAAAAExAQAAAAoyMDE1NjM5ODIyAwAAAAI1MAIAAAAEMzA2MwQAAAABMQcAAAAJNC8zMC8yMDIwCAAAAAk4LzE2LzIwMjAJAAAAATDg4wZL8kHYCOfdj1nyQdgILkNJUS5OWVNFOk1BTlUuSVFfREFfQ0YuOTk2LjMxLzEyLzIwMTkuLkYuR0JQLkMBAAAA3WsNAAIAAAAHMTEwLjAxMQEIAAAABQAAAAExAQAAAAoxODYxNzM2ODY5AwAAAAI1NQIAAAAEMjE2MAQAAAABMQcAAAAKMTIvMzEvMjAxOQgAAAAJOC8xNi8yMDIwCQAAAAEw2hSWd/JB2Ag50OZ48kHYCDBDSVEuTFNFOlNGT1IuSVFfVE9UQUxfQ0wuOTk2LjMxLzEyLzIwMTkuLkYuR0JQLkMBAAAAy1PkIQMAAAAAABytF3jyQdgIZBv4</t>
  </si>
  <si>
    <t>ePJB2AggQ0lRLi5JUV9MQVNUU0FMRVBSSUNFLjMwLzA0LzIwMjAFAAAAAAAAAAgAAAAUKEludmFsaWQgSWRlbnRpZmllcin4XS9S8kHYCCnawlnyQdgIJ0NJUS5OWVNFOktPLklRX0xBU1RTQUxFUFJJQ0UuMzEvMTAvMjAxNQEAAAASaAAAAgAAAAU0Mi4zNQC5lH9T8kHYCObRInHyQdgIKUNJUS5OWVNFOk1BTlUuSVFfTEFTVFNBTEVQUklDRS4xNS8wMy8yMDE5AQAAAN1rDQACAAAABTE5LjkzAKS8f1PyQdgIcqUkcfJB2Ag8Q0lRLkxTRTpTRk9SLklRX1RPVEFMX0NPTU1PTl9FUVVJVFkuMjAwMC4zMS8xMi8yMDE5Li5GLkdCUC5DAQAAAMtT5CECAAAABjMzOS4yMgEIAAAABQAAAAExAQAAAAoxOTYxMTE3NDAxAwAAAAI1NQIAAAAEMTAwNgQAAAABMQcAAAAKMTIvMzEvMjAxOQgAAAAJOC8xNi8yMDIwCQAAAAEwHvsXePJB2AgjW/R48kHYCDJDSVEuTllTRTpSQUNFLklRX0xUX0lOVkVTVC45OTYuMzEvMTIvMjAxOS4uRi5FVVIuQwEAAAA9grAQAgAAAAQxLjMyAQgAAAAFAAAAATEBAAAACjE4MzA0NzQwOTQDAAAAAjUwAgAAAAQxMDU0BAAAAAExBwAAAAoxMi8zMS8yMDE5CAAAAAk4LzE2LzIwMjAJAAAAATA7hhd48kHYCMbF+XjyQdgIJkNJUS5JUTU5NzIwOTUzNC5JUV9MQVNUU0FMRVBSSUNFLjQzNDY1AQAAAL6xmCMCAAAABTEuNzQzAN8G3nTyQdgIfyBKdvJB2AhFQ0lRLk5BU0RBUUdTOkNBS0UuSVFf</t>
  </si>
  <si>
    <t>TUlOT1JJVFlfSU5URVJFU1RfVE9UQUwuMjAwMC4zMS8xMi8yMDE5Li5GLlVTRC5DAQAAAAjgBAADAAAAAACE1Bd48kHYCAUK93jyQdgIPUNJUS5OQVNEQVFHUzpUU0xBLklRX0xPV19UQVJHRVRfUFJJQ0UuNjAwMC4zMC8wNC8yMDIwLi4uVVNELkMBAAAAEMaiAQIAAAADMjQwAQ4AAAAFAAAAATcBAAAACTEwODgwMzkxNQIAAAAKMTAwMDg3MjkyMwMAAAAGMTAwMTY0BAAAAAMyNTUGAAAAATAHAAAAAzE2MAgAAAABMQkAAAABMQoAAAABMAsAAAALMTE4OTkxODM0NTkMAAAAATgNAAAACDUvMS8yMDIwEAAAAAk4LzE2LzIwMjCkfwdL8kHYCAVpj1nyQdgILUNJUS5OQVNEQVFHUzpDQUtFLklRX0xBU1RTQUxFUFJJQ0UuMzEvMDcvMjAxOQEAAAAI4AQAAgAAAAU0My4wOAAID35T8kHYCIhQLXHyQdgIMUNJUS5MU0U6U0ZPUi5JUV9DT1NUX1JFVi4xMDAwLjMxLzEyLzIwMTkuLkYuR0JQLkMBAAAAy1PkIQIAAAAJMzAuMzEwMjkxAQgAAAAFAAAAATEBAAAACjE5NjExMTYyNzEDAAAAAjU1AgAAAAExBAAAAAExBwAAAAoxMi8zMS8yMDE5CAAAAAk4LzE2LzIwMjAJAAAAATAe+xd48kHYCFlR8XjyQdgIIUNJUS5MU0U6VFNDTy5JUV9WT0xVTUUuMTcvMDQvMjAyMAEAAAAwUAYAAgAAAAgzNC40ODgyMgCV/SRV8kHYCGozeFnyQdgIK0NJUS5JUTEwMDg4OTk0My5JUV9MQVNUU0FMRVBSSUNFLjMwLzA0LzIwMjABAAAA</t>
  </si>
  <si>
    <t>V3UDBgIAAAAFMC4wNDgAo9YkVfJB2AhlvIZZ8kHYCDJDSVEuTllTRTpSQUNFLklRX1NIQVJFU09VVFNUQU5ESU5HX09VVC4zMS8xMi8yMDE5LgEAAAA9grAQAgAAAAoxODUuMjgzMzIzACgrQnXyQdgINvNcdfJB2AgxQ0lRLkxTRTpUU0NPLklRX1RPVEFMX1JFVi45OTYuMzEvMTIvMjAxOS4uRi5HQlAuQwEAAAAwUAYAAgAAAAU1NjkyNQEIAAAABQAAAAExAQAAAAoxNzkxNDY4MTQ2AwAAAAI1NQIAAAACMjgEAAAAATEHAAAACjEyLzMxLzIwMTkIAAAACTgvMTYvMjAyMAkAAAABMB77F3jyQdgIY8fxePJB2AgoQ0lRLk5ZU0U6UkFDRS5JUV9GSVNDQUxfUS4uMzAvMDQvMjAyMC4uRgEAAAA9grAQAwAAAAJRNABlHMNa8kHYCGUcw1ryQdgIKENJUS5MU0U6VFNDTy5JUV9MQVNUU0FMRVBSSUNFLjMwLzA5LzIwMTcBAAAAMFAGAAIAAAAGMS44NzE1AAVdflPyQdgIirAncfJB2AgpQ0lRLk5ZU0U6UkFDRS5JUV9MQVNUU0FMRVBSSUNFLjE0LzAyLzIwMjABAAAAPYKwEAIAAAAGMTczLjI2AAgPflPyQdgIpvRcWfJB2AghQ0lRLkxTRTpTRk9SLklRX1ZPTFVNRS4wMi8wMi8yMDE4AQAAAMtT5CEDAAAAAAAoK0J18kHYCCsbWnbyQdgIKENJUS5MU0U6VFNDTy5JUV9MQVNUU0FMRVBSSUNFLjIzLzExLzIwMTgBAAAAMFAGAAIAAAAFMi4wMjEAx+J/U/JB2AiZjR5x8kHYCDBDSVEuTkFTREFRR1M6VFNMQS5JUV9BUC4y</t>
  </si>
  <si>
    <t>MDAwLjMwLzA0LzIwMjAuLkYuVVNELkMBAAAAEMaiAQIAAAAEMzk3MAEIAAAABQAAAAExAQAAAAoyMDMyMDQ1MzM0AwAAAAMxNjACAAAABDEwMTgEAAAAATEHAAAACTQvMzAvMjAyMAgAAAAJOC8xNi8yMDIwCQAAAAEwyTEHS/JB2Aj+76xZ8kHYCClDSVEuTllTRTpNQU5VLklRX0xBU1RTQUxFUFJJQ0UuMTkvMDQvMjAxOQEAAADdaw0AAgAAAAQxOS45ALmUf1PyQdgIE7YlcfJB2AgtQ0lRLk5ZU0U6UkFDRS5JUV9FQlQuMTAwMC4zMS8xMi8yMDE5Li5GLkVVUi5DAQAAAD2CsBACAAAABzgwMi45NDQBCAAAAAUAAAABMQEAAAAKMTk0NzQ0NDE4MwMAAAACNTACAAAAAzEzOQQAAAABMQcAAAAKMTIvMzEvMjAxOQgAAAAJOC8xNi8yMDIwCQAAAAEw3O2Vd/JB2Ai7xOp48kHYCEFDSVEuTllTRTpSQUNFLklRX01JTk9SSVRZX0lOVEVSRVNUX1RPVEFMLjEwMDAuMzEvMTIvMjAxOS4uRi5FVVIuQwEAAAA9grAQAgAAAAU1LjExNwEIAAAABQAAAAExAQAAAAoxOTQ3NDQ0MTgzAwAAAAI1MAIAAAAEMTMxMgQAAAABMQcAAAAKMTIvMzEvMjAxOQgAAAAJOC8xNi8yMDIwCQAAAAEwhNQXePJB2AjupPZ48kHYCCZDSVEuTkFTREFRR1M6Q0FLRS5JUV9WT0xVTUUuMDMvMDgvMjAxOAEAAAAI4AQAAgAAAAgxLjA5MzQzNQA6v4VS8kHYCBaRD3HyQdgIJ0NJUS5OWVNFOktPLklRX0xBU1RTQUxFUFJJQ0UuMzAvMDQvMjAxNwEA</t>
  </si>
  <si>
    <t>AAASaAAAAgAAAAU0My4xNQDRg35T8kHYCErHJnHyQdgILENJUS5MU0U6VFNDTy5JUV9FQlQuMjAwMC4zMS8xMi8yMDE5Li5GLkdCUC5DAQAAADBQBgACAAAABDE3MDUBCAAAAAUAAAABMQEAAAAKMTk4Njc5MzI0MAMAAAACNTUCAAAAAzEzOQQAAAABMQcAAAAKMTIvMzEvMjAxOQgAAAAJOC8xNi8yMDIwCQAAAAEw3O2Vd/JB2Aix6+p48kHYCDJDSVEuTFNFOlRTQ08uSVFfVE9UQUxfTElBQi45OTcuMzEvMTIvMjAxOS4uRi5HQlAuQwEAAAAwUAYAAgAAAAUzNTI4OAEIAAAABQAAAAExAQAAAAoxODQ3ODI1MTQ4AwAAAAI1NQIAAAAEMTI3NgQAAAABMQcAAAAKMTIvMzEvMjAxOQgAAAAJOC8xNi8yMDIwCQAAAAEwhNQXePJB2AgElPV48kHYCCdDSVEuTllTRTpLTy5JUV9MQVNUU0FMRVBSSUNFLjI2LzAxLzIwMTgBAAAAEmgAAAIAAAAFNDguNTMAKCtCdfJB2Aj7aFp28kHYCDRDSVEuTllTRTpNQU5VLklRX1BSRUZfRVFVSVRZLjk5OS4zMC8wNC8yMDIwLi5GLkdCUC5DAQAAAN1rDQADAAAAAAC8WAdL8kHYCMlHm1nyQdgILUNJUS5OQVNEQVFHUzpUU0xBLklRX0xBU1RTQUxFUFJJQ0UuMjkvMDIvMjAxNgEAAAAQxqIBAgAAAAYxOTEuOTMAwap+U/JB2AiflCNx8kHYCCxDSVEuTkFTREFRR1M6VFNMQS5JUV9CRVRBXzJZUl9SU1EuMzAvMDQvMjAyMAEAAAAQxqIBAgAAABAwLjI3ODg0NjMxMDI3MzgzALGvJFXy</t>
  </si>
  <si>
    <t>QdgIkceJWfJB2Ag1Q0lRLk5ZU0U6TUFOVS5JUV9QUkVGX0VRVUlUWS4yMDAwLjMwLzA0LzIwMjAuLkYuR0JQLkMBAAAA3WsNAAMAAAAAALxYB0vyQdgI2vmaWfJB2AgiQ0lRLk5ZU0U6UkFDRS5JUV9WT0xVTUUuMTEvMTAvMjAxOQEAAAA9grAQAgAAAAgwLjQxMDk5MQAlYbVT8kHYCPlEvHLyQdgIKENJUS4lVENNU1kwNy5JUV9MQVNUU0FMRVBSSUNFLjMwLzA0LzIwMjABAAAAGh8oAgIAAAAEMC41MwCj1iRV8kHYCBF0hFnyQdgIJENJUS5eQVNYLklRX0xBU1RTQUxFUFJJQ0UuMzEvMDMvMjAxOQEAAAAfU+sBAgAAAAozOTc4LjI4NDg3AEkFM1LyQdgIH+oKc/JB2AgxQ0lRLk5BU0RBUUdTOlRTTEEuSVFfU0dBLjIwMDAuMzEvMTIvMjAxOS4uRi5VU0QuQwEAAAAQxqIBAgAAAAgyNjE0LjQ5MQEIAAAABQAAAAExAQAAAAoxOTg5NDUzMTMwAwAAAAMxNjACAAAAAjIzBAAAAAExBwAAAAoxMi8zMS8yMDE5CAAAAAk4LzE2LzIwMjAJAAAAATAeIhh48kHYCHwZ8HjyQdgILUNJUS5OQVNEQVFHUzpDQUtFLklRX0xBU1RTQUxFUFJJQ0UuMzAvMDkvMjAxNwEAAAAI4AQAAgAAAAU0Mi4xMgAFXX5T8kHYCI3XJ3HyQdgIJ0NJUS5OWVNFOktPLklRX0xBU1RTQUxFUFJJQ0UuMzEvMDEvMjAxOQEAAAASaAAAAgAAAAU0OC4xMwAID35T8kHYCN8YLHHyQdgIIENJUS4uSVFfTEFTVFNBTEVQUklDRS4zMC8wNi8yMDE5BQAA</t>
  </si>
  <si>
    <t>AAAAAAAIAAAAFChJbnZhbGlkIElkZW50aWZpZXIpDZAyUvJB2AhLXydz8kHYCDNDSVEuTllTRTpSQUNFLklRX1RPVEFMX1JFVi4yMDAwLjMwLzA0LzIwMjAuLkYuRVVSLkMBAAAAPYKwEAIAAAAIMzc2Ni42MTUBCAAAAAUAAAABMQEAAAAKMjAxNTY0Mjk1NAMAAAACNTACAAAAAjI4BAAAAAExBwAAAAk0LzMwLzIwMjAIAAAACTgvMTYvMjAyMAkAAAABMNkKB0vyQdgIKpCdWfJB2AgoQ0lRLkxTRTpTRk9SLklRX0xBU1RTQUxFUFJJQ0UuMjEvMTIvMjAxOAEAAADLU+QhAgAAAAUxLjIxNQDH4n9T8kHYCF5zIXHyQdgIIUNJUS5MU0U6U0ZPUi5JUV9WT0xVTUUuMjMvMTEvMjAxOAEAAADLU+QhAgAAAAgwLjAzOTE4NADH4n9T8kHYCJmNHnHyQdgIIUNJUS5MU0U6U0ZPUi5JUV9WT0xVTUUuMTYvMDgvMjAxOQEAAADLU+QhAgAAAAgwLjAyMzkwNgCV/SRV8kHYCOJVvXLyQdgIO0NJUS5OWVNFOlJBQ0UuSVFfVE9UQUxfREVCVF9DVVJSRU5ULjk5OS4zMS8xMi8yMDE5Li5GLkVVUi5DAQAAAD2CsBACAAAABjMxMi4xOQEIAAAABQAAAAExAQAAAAoxOTQ3NDQ0MTkwAwAAAAI1MAIAAAAFMjUyMjMEAAAAATEHAAAACjEyLzMxLzIwMTkIAAAACTgvMTYvMjAyMAkAAAABMBytF3jyQdgIVSv5ePJB2Ag7Q0lRLk5BU0RBUUdTOkNBS0UuSVFfRVFVSVRZX01FVEhPRC4yMDAwLjMwLzA0LzIwMjAuLkYuVVNELkMBAAAACOAE</t>
  </si>
  <si>
    <t>AAMAAAAAAANJykzyQdgI87aPWfJB2AgnQ0lRLiRBRURCWU4uSVFfTEFTVFNBTEVQUklDRS4zMC8wNC8yMDIwAQAAACXrWgACAAAACzEuNTIwOTEwOTczAKokJVXyQdgIJP+DWfJB2AgmQ0lRLk5BU0RBUUdTOlRTTEEuSVFfVk9MVU1FLjI2LzAxLzIwMTgBAAAAEMaiAQIAAAAINC41MzkzNTYAKCtCdfJB2Aj7aFp28kHYCDJDSVEuTFNFOlNGT1IuSVFfVE9UQUxfTElBQi45OTkuMzAvMDQvMjAyMC4uRi5HQlAuQwEAAADLU+QhAgAAAAcxNTkuNzE0AQgAAAAFAAAAATEBAAAACjE5NjExMTYyNzEDAAAAAjU1AgAAAAQxMjc2BAAAAAExBwAAAAk0LzMwLzIwMjAIAAAACTgvMTYvMjAyMAkAAAABMNkKB0vyQdgIBl6aWfJB2AggQ0lRLk5ZU0U6S08uSVFfVk9MVU1FLjA5LzAyLzIwMTgBAAAAEmgAAAIAAAAIMjIuODUzMTMAKCtCdfJB2AgRV1l28kHYCClDSVEuTllTRTpSQUNFLklRX0xBU1RTQUxFUFJJQ0UuMjUvMTAvMjAxOQEAAAA9grAQAgAAAAYxNTYuMDkABV1+U/JB2AjTPyxx8kHYCDRDSVEuTllTRTpNQU5VLklRX1BSRUZfRVFVSVRZLjk5Ny4zMS8xMi8yMDE5Li5GLkdCUC5DAQAAAN1rDQADAAAAAAAe+xd48kHYCBCp9HjyQdgIJENJUS5eQVNYLklRX0xBU1RTQUxFUFJJQ0UuMjIvMDMvMjAxOQEAAAAfU+sBAgAAAAszOTQyLjU5MTEzNQCgnjdR8kHYCNSWGnPyQdgIOkNJUS5OQVNEQVFHUzpUU0xBLklR</t>
  </si>
  <si>
    <t>X0VRVUlUWV9NRVRIT0QuOTk5LjMxLzEyLzIwMTkuLkYuVVNELkMBAAAAEMaiAQMAAAAAAEdgF3jyQdgIQt3/ePJB2Ag0Q0lRQVZHLklRMTAwODg5OTQzLklRX0xBU1RTQUxFUFJJQ0UuNDAxNzguMzEvMTIvMjAxOQEAAABXdQMGAgAAABEwLjgwMjQ2MjQ4MjQ2ODQ0MwDYLd508kHYCGiDSXbyQdgINENJUS5MU0U6VFNDTy5JUV9UT1RBTF9BU1NFVFMuOTk4LjMxLzEyLzIwMTkuLkYuR0JQLkMBAAAAMFAGAAIAAAAFNDU4NTMBCAAAAAUAAAABMQEAAAAKMTg4ODUyNTA3NAMAAAACNTUCAAAABDEwMDcEAAAAATEHAAAACjEyLzMxLzIwMTkIAAAACTgvMTYvMjAyMAkAAAABMDuGF3jyQdgIef36ePJB2AgtQ0lRLk5ZU0U6S08uSVFfTEFTVFNBTEVQUklDRS4zMC8wNC8yMDIwLlVTRC5DAQAAABJoAAACAAAABTQ1Ljg5AGUcw1ryQdgIO6XRWvJB2Ag/Q0lRLk5BU0RBUUdTOkNBS0UuSVFfRUJJVERBX01FRElBTl9FU1QuNjAwMS4zMC8wNC8yMDIwLi5GLlVTRC5DAQAAAAjgBAADAAAAAAD/b8pM8kHYCCc3oVnyQdgIMENJUS5OWVNFOktPLklRX0xUX0lOVkVTVC45OTkuMzAvMDQvMjAyMC4uRi5VU0QuQwEAAAASaAAAAgAAAAUyMTUzOAEIAAAABQAAAAExAQAAAAoyMDE2NzkxMjUxAwAAAAMxNjACAAAABDEwNTQEAAAAATEHAAAACTQvMzAvMjAyMAgAAAAJOC8xNi8yMDIwCQAAAAEwA0nKTPJB2AiLgJVZ8kHYCDVD</t>
  </si>
  <si>
    <t>SVFBVkcuJEFFRFVTRC5JUV9MQVNUU0FMRVBSSUNFLjAxLzAxLzIwMTkuMzEvMTIvMjAxOQEAAAAl61oAAgAAAAgzLjY3MzAxMgBbk+JN8kHYCBt0i1nyQdgIQUNJUS5OQVNEQVFHUzpDQUtFLklRX1RPVEFMX0NPTU1PTl9FUVVJVFkuMjAwMC4zMS8xMi8yMDE5Li5GLlVTRC5DAQAAAAjgBAACAAAABzUzMy44MTYBCAAAAAUAAAABMQEAAAAKMTk5MTMyNzA0MAMAAAADMTYwAgAAAAQxMDA2BAAAAAExBwAAAAoxMi8zMS8yMDE5CAAAAAk4LzE2LzIwMjAJAAAAATAe+xd48kHYCCNb9HjyQdgIKUNJUS5OWVNFOlJBQ0UuSVFfTEFTVFNBTEVQUklDRS4yNy8xMi8yMDE5AQAAAD2CsBACAAAABjE2OC43MgAID35T8kHYCERhLnHyQdgIJENJUS5eU1BYLklRX0xBU1RTQUxFUFJJQ0UuMDYvMTIvMjAxOQEAAACbuCgAAgAAABAzMTQ1LjkxMTAyNjE2NDAzALW8N1LyQdgIKeoRc/JB2AgoQ0lRLiVUQ01TWTMwLklRX0xBU1RTQUxFUFJJQ0UuMzAvMDQvMjAyMAEAAAAjHygCAgAAAAQxLjI4AKPWJFXyQdgIHCaEWfJB2AguQ0lRLk5ZU0U6TUFOVS5JUV9FQklULjIwMDAuMzAvMDQvMjAyMC4uRi5HQlAuQwEAAADdaw0AAgAAAAYyMS41OTcBCAAAAAUAAAABMQEAAAAKMjAxODYzMjAwMwMAAAACNTUCAAAAAzQwMAQAAAABMQcAAAAJNC8zMC8yMDIwCAAAAAk4LzE2LzIwMjAJAAAAATC8WAdL8kHYCFZDpFnyQdgIQENJUS5O</t>
  </si>
  <si>
    <t>QVNEQVFHUzpUU0xBLklRX01FRElBTl9UQVJHRVRfUFJJQ0UuNjAwMC4zMC8wNC8yMDIwLi4uVVNELkMBAAAAEMaiAQIAAAADNjE1AQ4AAAAFAAAAATcBAAAACTEwODgwMzkxNQIAAAAKMTAwMDg3MjkyMwMAAAAGMTAwMTYyBAAAAAMyNTUGAAAAATAHAAAAAzE2MAgAAAABMQkAAAABMQoAAAABMAsAAAALMTE4OTkxODM0NTcMAAAAATgNAAAACDUvMS8yMDIwEAAAAAk4LzE2LzIwMjCkfwdL8kHYCCb0jlnyQdgII0NJUS4lVENNU00wMy5JUV9MQVNUU0FMRVBSSUNFLjQzNTg1AQAAAAgfKAICAAAABDIuNDMAo9YkVfJB2AjPNoVZ8kHYCCZDSVEuTkFTREFRR1M6Q0FLRS5JUV9WT0xVTUUuMjkvMDMvMjAxOQEAAAAI4AQAAgAAAAgwLjgxNjEzMQC5lH9T8kHYCPE6wHLyQdgINUNJUS5OWVNFOktPLklRX0VTVF9FUFNfR1JPV1RIXzVZUl9MT1cuNjAwMC4zMC8wNC8yMDIwAQAAABJoAAACAAAABy0wLjQ3NjIBDgAAAAUAAAABNwEAAAAHMjYwMTIwMQIAAAAFMjIyMDgDAAAABjEwMDE3MAQAAAABMgYAAAABMAcAAAABMAgAAAABMAkAAAABMQoAAAABMAsAAAALMTE4OTE1MTY3MTUMAAAAATgNAAAACDUvMS8yMDIwEAAAAAk0LzMwLzIwMjCxryRV8kHYCKJbf1nyQdgIIkNJUS5OWVNFOlJBQ0UuSVFfVk9MVU1FLjAzLzA1LzIwMTkBAAAAPYKwEAIAAAAIMC4yNjQ5MjIAJWG1U/JB2Agqqbty8kHYCCJDSVEuTllTRTpS</t>
  </si>
  <si>
    <t>QUNFLklRX1ZPTFVNRS4yNy8wNC8yMDE4AQAAAD2CsBACAAAACDAuMjY1MTYxACnmhVLyQdgIFycFcfJB2AgnQ0lRLiRBRURHQlAuSVFfTEFTVFNBTEVQUklDRS4zMC8wNC8yMDIwAQAAACXrWgACAAAACzQuNjI3NjM0Nzc4AGUcw1ryQdgIMczRWvJB2AgnQ0lRLiRBRURBVUQuSVFfTEFTVFNBTEVQUklDRS4zMC8wNC8yMDIwAQAAACXrWgACAAAACzIuNDAyMDY2NTc1AJX9JFXyQdgIsKuFWfJB2AhBQ0lRLk5ZU0U6TUFOVS5JUV9NSU5PUklUWV9JTlRFUkVTVF9UT1RBTC4yMDAwLjMxLzEyLzIwMTkuLkYuR0JQLkMBAAAA3WsNAAMAAAAAAITUF3jyQdgIBQr3ePJB2AgrQ0lRLkxTRTpTRk9SLklRX0VCVC45OTguMzEvMTIvMjAxOS4uRi5HQlAuQwEAAADLU+QhAwAAAAAA3O2Vd/JB2AjJnep48kHYCChDSVEuTFNFOlRTQ08uSVFfTEFTVFNBTEVQUklDRS4xOC8wMS8yMDE5AQAAADBQBgACAAAABTIuMjQ1AKS8f1PyQdgI5tEicfJB2AgiQ0lRLk5ZU0U6UkFDRS5JUV9WT0xVTUUuMjkvMTEvMjAxOQEAAAA9grAQAgAAAAgwLjE0NzY5NwAlYbVT8kHYCPNrvHLyQdgIN0NJUS5OQVNEQVFHUzpDQUtFLklRX0xUX0lOVkVTVC4xMDAwLjMxLzEyLzIwMTkuLkYuVVNELkMBAAAACOAEAAIAAAAGNzkuNzY3AQgAAAAFAAAAATEBAAAACjE5NDgxNzY2NzUDAAAAAzE2MAIAAAAEMTA1NAQAAAABMQcAAAAKMTIvMzEvMjAx</t>
  </si>
  <si>
    <t>OQgAAAAJOC8xNi8yMDIwCQAAAAEwO4YXePJB2AifYfp48kHYCEBDSVEuTkFTREFRR1M6Q0FLRS5JUV9SRVZFTlVFX01FRElBTl9FU1QuMTAwMy4zMC8wNC8yMDIwLi5GLlVTRC5DAQAAAAjgBAACAAAACjI5OTEuMTcyODcBDgAAAAUAAAABMwEAAAABMAIAAAAKMTAwMjIyNDIyNAMAAAAGMTAwMTgxBAAAAAEyBgAAAAEwBwAAAAMxNjAIAAAAATEJAAAAATEKAAAAATALAAAACzExOTA4ODU1NTk0DAAAAAExDQAAAAg1LzEvMjAyMBAAAAAJOC8xNi8yMDIw/2/KTPJB2AhnppxZ8kHYCDJDSVEuTkFTREFRR1M6VFNMQS5JUV9DQVBFWC45OTkuMzAvMDQvMjAyMC4uRi5VU0QuQwEAAAAQxqIBAgAAAAUtMjMxOQEIAAAABQAAAAExAQAAAAoyMDEzOTA3NDYzAwAAAAMxNjACAAAABDIwMjEEAAAAATEHAAAACTQvMzAvMjAyMAgAAAAJOC8xNi8yMDIwCQAAAAEwyTEHS/JB2AhUkKtZ8kHYCDFDSVEuTllTRTpSQUNFLklRX1RPVEFMX0NBLjk5OC4zMS8xMi8yMDE5Li5GLkVVUi5DAQAAAD2CsBACAAAACDE4ODcuNDUzAQgAAAAFAAAAATEBAAAACjE5NDc0NDQxODQDAAAAAjUwAgAAAAQxMDA4BAAAAAExBwAAAAoxMi8zMS8yMDE5CAAAAAk4LzE2LzIwMjAJAAAAATA7hhd48kHYCLTo+3jyQdgIJENJUS5eU1BYLklRX0xBU1RTQUxFUFJJQ0UuMDIvMDgvMjAxOQEAAACbuCgAAgAAABAyOTMyLjA0NTIwNzQwNzA0AHyrhVHy</t>
  </si>
  <si>
    <t>QdgI84USc/JB2AgvQ0lRLk5BU0RBUUdTOkNBS0UuSVFfR1AuOTk4LjMxLzEyLzIwMTkuLkYuVVNELkMBAAAACOAEAAIAAAAHOTg5LjA5MwEIAAAABQAAAAExAQAAAAoxOTQ4MTc2NjYyAwAAAAMxNjACAAAAAjEwBAAAAAExBwAAAAoxMi8zMS8yMDE5CAAAAAk4LzE2LzIwMjAJAAAAATAeIhh48kHYCDxm8HjyQdgIKENJUS5MU0U6U0ZPUi5JUV9MQVNUU0FMRVBSSUNFLjEyLzA0LzIwMTkBAAAAy1PkIQIAAAAFMS40MDUAuZR/U/JB2AirZiVx8kHYCCtDSVEuTFNFOlRTQ08uSVFfRklTQ0FMX1kuMTAwMC4zMS8xMi8yMDE5Li5GAQAAADBQBgABAAAABDIwMTkA3wbedPJB2Ag/PEd28kHYCDBDSVEuTFNFOlNGT1IuSVFfQ09TVF9SRVYuOTk2LjMwLzA0LzIwMjAuLkYuR0JQLkMBAAAAy1PkIQMAAAAAANkKB0vyQdgIpmOfWfJB2AgyQ0lRLk5ZU0U6TUFOVS5JUV9DT1NUX1JFVi4xMDAwLjMwLzA0LzIwMjAuLkYuR0JQLkMBAAAA3WsNAAIAAAAGNjUuODcxAQgAAAAFAAAAATEBAAAACjE5ODU4NDUwNjMDAAAAAjU1AgAAAAExBAAAAAExBwAAAAk0LzMwLzIwMjAIAAAACTgvMTYvMjAyMAkAAAABMP9vykzyQdgIwceeWfJB2Ag5Q0lRLk5ZU0U6UkFDRS5JUV9FQklUX01FRElBTl9FU1QuMTAwMS4zMC8wNC8yMDIwLi5GLkVVUi5DAQAAAD2CsBACAAAAAzkxMAEOAAAABQAAAAEzAQAAAAEwAgAAAAoxMDAzMjI2ODA3</t>
  </si>
  <si>
    <t>AwAAAAYxMDAyMTYEAAAAATMGAAAAATAHAAAAAjUwCAAAAAExCQAAAAExCgAAAAEwCwAAAAsxMTg5NTUzNjE2MgwAAAABMQ0AAAAINS8xLzIwMjAQAAAACTgvMTYvMjAyMKR/B0vyQdgIVkOkWfJB2AgpQ0lRLk5ZU0U6UkFDRS5JUV9MQVNUU0FMRVBSSUNFLjIzLzAyLzIwMTgBAAAAPYKwEAIAAAAGMTI5LjU2ACgrQnXyQdgIbR9YdvJB2AgkQ0lRLl5TUFguSVFfTEFTVFNBTEVQUklDRS4wMi8wMi8yMDE4AQAAAJu4KAACAAAAEDI3NjIuMTI1MzM0MjcyNjUA2C3edPJB2AimK0Z28kHYCC1DSVEuTkFTREFRR1M6VFNMQS5JUV9MQVNUU0FMRVBSSUNFLjI4LzA5LzIwMTgBAAAAEMaiAQIAAAAGMjY0Ljc3AEOYhVLyQdgImG4UcfJB2AgmQ0lRLk5BU0RBUUdTOkNBS0UuSVFfVk9MVU1FLjIxLzA2LzIwMTkBAAAACOAEAAIAAAAIMC43MDUyMjUAlf0kVfJB2Ajeh8By8kHYCDlDSVEuTFNFOlNGT1IuSVFfQ0FQRVhfTUVESUFOX0VTVC4xMDAyLjMxLzEyLzIwMTkuLkYuR0JQLkMBAAAAy1PkIQIAAAARLTYuODI0NjUzNzA3Mzc1NTEBDgAAAAUAAAABMwEAAAABMAIAAAAKMTAwNDMxNjA1MQMAAAAGMTA0MDkxBAAAAAEzBgAAAAEwBwAAAAI1NQgAAAABMQkAAAABMQoAAAABMAsAAAALMTE2OTgxODU0NzUMAAAAATENAAAACDEvMS8yMDIwEAAAAAk4LzE2LzIwMjA7PJZ38kHYCOCB5njyQdgIIENJUS5OWVNFOktPLklR</t>
  </si>
  <si>
    <t>X1ZPTFVNRS4xNy8wOC8yMDE4AQAAABJoAAACAAAACDguODg1NjkxADq/hVLyQdgI8MgQcfJB2AgiQ0lRLk5ZU0U6TUFOVS5JUV9WT0xVTUUuMjQvMDUvMjAxOQEAAADdaw0AAgAAAAcwLjAzNDA1AJX9JFXyQdgIJlC/cvJB2Ag2Q0lRLk5BU0RBUUdTOkNBS0UuSVFfQ09TVF9SRVYuMjAwMC4zMS8xMi8yMDE5Li5GLlVTRC5DAQAAAAjgBAACAAAABzEzOTYuOTIBCAAAAAUAAAABMQEAAAAKMTk5MTMyNzA0MAMAAAADMTYwAgAAAAExBAAAAAExBwAAAAoxMi8zMS8yMDE5CAAAAAk4LzE2LzIwMjAJAAAAATAe+xd48kHYCHx48XjyQdgIIkNJUS5OWVNFOk1BTlUuSVFfVk9MVU1FLjA5LzA4LzIwMTkBAAAA3WsNAAIAAAAHMC4wNTE3MQCV/SRV8kHYCB6ev3LyQdgILUNJUS5OWVNFOktPLklRX0VCSVREQS45OTcuMzAvMDQvMjAyMC4uRi5VU0QuQwEAAAASaAAAAgAAAAUxMTUxMAEIAAAABQAAAAExAQAAAAoxOTQ2NDMwNzgyAwAAAAMxNjACAAAABDQwNTEEAAAAATEHAAAACTQvMzAvMjAyMAgAAAAJOC8xNi8yMDIwCQAAAAEwA0nKTPJB2AioMaNZ8kHYCBlDSVEuLklRX1ZPTFVNRS4yMC8xMi8yMDE5BQAAAAAAAAAIAAAAFChJbnZhbGlkIElkZW50aWZpZXIp2Tm1U/JB2Ag6W7ty8kHYCC1DSVEuTkFTREFRR1M6VFNMQS5JUV9MQVNUU0FMRVBSSUNFLjI3LzA0LzIwMTgBAAAAEMaiAQIAAAAHMjk0LjA3NQAp5oVS</t>
  </si>
  <si>
    <t>8kHYCOxNBXHyQdgILUNJUS5OQVNEQVFHUzpUU0xBLklRX0xBU1RTQUxFUFJJQ0UuMzEvMDUvMjAxNQEAAAAQxqIBAgAAAAUyNTAuOACkvH9T8kHYCL0UIHHyQdgINUNJUS5OWVNFOktPLklRX0NBU0hfU1RfSU5WRVNULjk5Ni4zMS8xMi8yMDE5Li5GLlVTRC5DAQAAABJoAAACAAAABTIxNjg5AQgAAAAFAAAAATEBAAAACjE4MjkyMzA5NTYDAAAAAzE2MAIAAAAEMTAwMgQAAAABMQcAAAAKMTIvMzEvMjAxOQgAAAAJOC8xNi8yMDIwCQAAAAEwO4YXePJB2Aha0vx48kHYCCZDSVEuTkFTREFRR1M6Q0FLRS5JUV9WT0xVTUUuMTgvMTAvMjAxOQEAAAAI4AQAAgAAAAgwLjcwODg4OQCV/SRV8kHYCMD8wHLyQdgIIENJUS4uSVFfTEFTVFNBTEVQUklDRS4wOC8wNi8yMDE4BQAAAAAAAAAIAAAAFChJbnZhbGlkIElkZW50aWZpZXIpp3c3UfJB2Aiqz3Zz8kHYCCFDSVEuTFNFOlRTQ08uSVFfVk9MVU1FLjI1LzAxLzIwMTkBAAAAMFAGAAIAAAAIMTYuMzA1MzMApLx/U/JB2AiSyr1y8kHYCC1DSVEuTkFTREFRR1M6Q0FLRS5JUV9MQVNUU0FMRVBSSUNFLjMwLzA0LzIwMTcBAAAACOAEAAIAAAAFNjQuMTYA0YN+U/JB2AhTniZx8kHYCChDSVEuTFNFOlNGT1IuSVFfTEFTVFNBTEVQUklDRS4zMC8wOS8yMDE2AQAAAMtT5CEDAAAAAADBqn5T8kHYCLsYJXHyQdgIIUNJUS5MU0U6VFNDTy5JUV9WT0xVTUUuMDYvMDcvMjAx</t>
  </si>
  <si>
    <t>OAEAAAAwUAYAAgAAAAgxNC4xMzI5NQA6v4VS8kHYCLmrDHHyQdgIIENJUS4uSVFfTEFTVFNBTEVQUklDRS4zMS8wMS8yMDE5BQAAAAAAAAAIAAAAFChJbnZhbGlkIElkZW50aWZpZXIpMtM2UvJB2AivAC1z8kHYCDVDSVEuTllTRTpSQUNFLklRX1NIQVJFU09VVFNUQU5ESU5HX09VVC4zMS8xMi8yMDE3LkVVUgEAAAA9grAQAgAAAAoxODguOTUzODc0ABUiykzyQdgIOpBhdvJB2AgnQ0lRLiRBRURUV0QuSVFfTEFTVFNBTEVQUklDRS4zMS8xMi8yMDE4AQAAACXrWgACAAAACzAuMTE5OTkzNDY2AP4DQnXyQdgI0aRLdvJB2AgqQ0lRLkxTRTpTRk9SLklRX0ZJU0NBTF9RLjUwMC4zMS8xMi8yMDE5Li5GAQAAAMtT5CEDAAAAAlEyAN8G3nTyQdgIVmNHdvJB2AgrQ0lRLklRMTAwODg5OTM5LklRX0xBU1RTQUxFUFJJQ0UuMzEvMTIvMjAxOQEAAABTdQMGAgAAAAQwLjYzAN8G3nTyQdgIfyBKdvJB2AgoQ0lRLkxTRTpUU0NPLklRX0xBU1RTQUxFUFJJQ0UuMjgvMDIvMjAxNQEAAAAwUAYAAgAAAAUyLjQ1NABBUkJ18kHYCBk3UHbyQdgIKUNJUS5OWVNFOlJBQ0UuSVFfTEFTVFNBTEVQUklDRS4xNy8wMS8yMDIwAQAAAD2CsBACAAAABjE3My45NAAID35T8kHYCCUMXFnyQdgIIENJUS4uSVFfTEFTVFNBTEVQUklDRS4wNS8wMS8yMDE4BQAAAAAAAAAIAAAAFChJbnZhbGlkIElkZW50aWZpZXIp69/ddPJB2AgX+Dt2</t>
  </si>
  <si>
    <t>8kHYCDJDSVEuTllTRTpSQUNFLklRX1JVQV9HUk9TUy4yMDAwLjMxLzEyLzIwMTkuLi5MT0NBTAEAAAA9grAQAwAAAAAA/gNCdfJB2AhYdF128kHYCDlDSVEuTkFTREFRR1M6Q0FLRS5JUV9TSEFSRVNPVVRTVEFORElOR19PVVQuMjkvMTIvMjAxNS5VU0QBAAAACOAEAAIAAAAJNTAuMzA2NzY2AFuT4k3yQdgIzrVhdvJB2AgpQ0lRLk5ZU0U6TUFOVS5JUV9MQVNUU0FMRVBSSUNFLjIzLzAzLzIwMTgBAAAA3WsNAAIAAAAEMTkuMQAoK0J18kHYCNEZU3byQdgIN0NJUS5OWVNFOk1BTlUuSVFfQ0FTSF9TVF9JTlZFU1QuOTk4LjMwLzA0LzIwMjAuLkYuR0JQLkMBAAAA3WsNAAIAAAAHMjkwLjI2NwEIAAAABQAAAAExAQAAAAoxOTg1ODQ1MDQ1AwAAAAI1NQIAAAAEMTAwMgQAAAABMQcAAAAJNC8zMC8yMDIwCAAAAAk4LzE2LzIwMjAJAAAAATC8WAdL8kHYCFPqklnyQdgIIUNJUS5MU0U6U0ZPUi5JUV9WT0xVTUUuMjMvMDgvMjAxOQEAAADLU+QhAgAAAAgwLjA0MTYzNgCV/SRV8kHYCOJVvXLyQdgIIENJUS5OWVNFOktPLklRX1ZPTFVNRS4xMy8wOS8yMDE5AQAAABJoAAACAAAACDExLjQ4NjExAKPWJFXyQdgIJEXDcvJB2AguQ0lRLk5ZU0U6S08uSVFfSU5DX1RBWC45OTYuMzEvMTIvMjAxOS4uRi5VU0QuQwEAAAASaAAAAgAAAAQyMjAxAQgAAAAFAAAAATEBAAAACjE4MjkyMzA5NTYDAAAAAzE2MAIAAAACNzUE</t>
  </si>
  <si>
    <t>AAAAATEHAAAACjEyLzMxLzIwMTkIAAAACTgvMTYvMjAyMAkAAAABMNztlXfyQdgICo3pePJB2AgoQ0lRLkxTRTpTRk9SLklRX0xBU1RTQUxFUFJJQ0UuMTUvMDMvMjAxOQEAAADLU+QhAgAAAAUxLjIzNQCkvH9T8kHYCHKlJHHyQdgIL0NJUS5OWVNFOktPLklRX0NPU1RfUkVWLjk5Ni4zMC8wNC8yMDIwLi5GLlVTRC5DAQAAABJoAAACAAAABTE3NDgyAQgAAAAFAAAAATEBAAAACjE4NzU3OTc4MDkDAAAAAzE2MAIAAAABMQQAAAABMQcAAAAJNC8zMC8yMDIwCAAAAAk4LzE2LzIwMjAJAAAAATADScpM8kHYCLE8n1nyQdgIKUNJUS5OWVNFOk1BTlUuSVFfTEFTVFNBTEVQUklDRS4zMC8xMS8yMDE1AQAAAN1rDQACAAAABDE4LjQAuZR/U/JB2Ajm0SJx8kHYCDRDSVEuTllTRTpSQUNFLklRX0VBUk5JTkdfQ08uMjAwMC4zMS8xMi8yMDE5Li5GLkVVUi5DAQAAAD2CsBACAAAABzcyMi43MzgBCAAAAAUAAAABMQEAAAAKMTk5MDQyMzY4NwMAAAACNTACAAAAATcEAAAAATEHAAAACjEyLzMxLzIwMTkIAAAACTgvMTYvMjAyMAkAAAABMNoUlnfyQdgIfWDkePJB2AgxQ0lRLk5ZU0U6UkFDRS5JUV9UT1RBTF9DQS45OTcuMzAvMDQvMjAyMC4uRi5FVVIuQwEAAAA9grAQAgAAAAgxODg3LjQ1MwEIAAAABQAAAAExAQAAAAoxOTQ3NDQ0MTg0AwAAAAI1MAIAAAAEMTAwOAQAAAABMQcAAAAJNC8zMC8yMDIwCAAAAAk4LzE2</t>
  </si>
  <si>
    <t>LzIwMjAJAAAAATDg4wZL8kHYCM8hlFnyQdgINUNJUUFWRy4kQUVEVVNELklRX0xBU1RTQUxFUFJJQ0UuMDMvMDEvMjAxNy4wMi8wMS8yMDE4AQAAACXrWgACAAAACDMuNjcyODEzAFuT4k3yQdgIZZRfdvJB2AgmQ0lRLk5BU0RBUUdTOkNBS0UuSVFfVk9MVU1FLjE1LzAyLzIwMTkBAAAACOAEAAIAAAAIMS4wMDc1MzgApLx/U/JB2AjxOsBy8kHYCDFDSVEuTFNFOlNGT1IuSVFfTFRfSU5WRVNULjk5OS4zMS8xMi8yMDE5Li5GLkdCUC5DAQAAAMtT5CEDAAAAAAA7hhd48kHYCPE7+njyQdgIMENJUS5OWVNFOktPLklRX1RPVEFMX0NBLjEwMDAuMzAvMDQvMjAyMC4uRi5VU0QuQwEAAAASaAAAAgAAAAUyMDQxMQEIAAAABQAAAAExAQAAAAoyMDE2NzkxMjQ1AwAAAAMxNjACAAAABDEwMDgEAAAAATEHAAAACTQvMzAvMjAyMAgAAAAJOC8xNi8yMDIwCQAAAAEwA0nKTPJB2AgVhpNZ8kHYCDlDSVEuTkFTREFRR1M6Q0FLRS5JUV9UT1RBTF9BU1NFVFMuOTk5LjMxLzEyLzIwMTkuLkYuVVNELkMBAAAACOAEAAIAAAAHMTMzMy4wNgEIAAAABQAAAAExAQAAAAoxOTQ4MTc2NjgwAwAAAAMxNjACAAAABDEwMDcEAAAAATEHAAAACjEyLzMxLzIwMTkIAAAACTgvMTYvMjAyMAkAAAABMDuGF3jyQdgIqSX7ePJB2AgxQ0lRLk5ZU0U6UkFDRS5JUV9TSEFSRVNPVVRTVEFORElORy4zMS8xMi8yMDE2LkVVUgEAAAA9grAQAgAA</t>
  </si>
  <si>
    <t>AAoxODguOTIzNDk5ABUiykzyQdgIQBphdvJB2AgiQ0lRLk5ZU0U6TUFOVS5JUV9WT0xVTUUuMTkvMDEvMjAxOAEAAADdaw0AAgAAAAgwLjA0ODYxNwAoK0J18kHYCPYrW3byQdgIKENJUS5MU0U6U0ZPUi5JUV9MQVNUU0FMRVBSSUNFLjIyLzA2LzIwMTgBAAAAy1PkIQMAAAAAACnmhVLyQdgIBnQLcfJB2AggQ0lRLi5JUV9MQVNUU0FMRVBSSUNFLjA4LzExLzIwMTkFAAAAAAAAAAgAAAAUKEludmFsaWQgSWRlbnRpZmllcinCRzdS8kHYCABwKHPyQdgIKUNJUS5OWVNFOlJBQ0UuSVFfTEFTVFNBTEVQUklDRS4wOC8wMi8yMDE5AQAAAD2CsBACAAAABjEyNC4yOACkvH9T8kHYCPZtI3HyQdgIOENJUS5OQVNEQVFHUzpUU0xBLklRX1BSRUZfRVFVSVRZLjk5Ny4zMS8xMi8yMDE5Li5GLlVTRC5DAQAAABDGogEDAAAAAAAe+xd48kHYCBCp9HjyQdgINkNJUS5OQVNEQVFHUzpDQUtFLklRX1JVQV9HUk9TUy4yMDAwLjMwLzA0LzIwMjAuLi5MT0NBTAEAAAAI4AQAAwAAAAAAsa8kVfJB2Aj//H1Z8kHYCCFDSVEuTFNFOlNGT1IuSVFfVk9MVU1FLjI5LzExLzIwMTkBAAAAy1PkIQIAAAAHMC4wODY5OACV/SRV8kHYCKGjvXLyQdgIKENJUS5MU0U6VFNDTy5JUV9MQVNUU0FMRVBSSUNFLjMwLzExLzIwMTYBAAAAMFAGAAIAAAAFMi4wODcA0YN+U/JB2AgzjyVx8kHYCDtDSVEuTkFTREFRR1M6VFNMQS5JUV9FUVVJVFlf</t>
  </si>
  <si>
    <t>TUVUSE9ELjEwMDAuMzAvMDQvMjAyMC4uRi5VU0QuQwEAAAAQxqIBAwAAAAAAvFgHS/JB2Ajn3Y9Z8kHYCDZDSVEuTFNFOlRTQ08uSVFfTklfTUVESUFOX0VTVC4xMDAxLjMxLzEyLzIwMTkuLkYuR0JQLkMBAAAAMFAGAAIAAAAKMTU2MS42Nzk5MwEOAAAABQAAAAEzAQAAAAEwAgAAAAoxMDAwMjY0NDk4AwAAAAYxMDAyNTEEAAAAATMGAAAAATAHAAAAAjU1CAAAAAExCQAAAAExCgAAAAEwCwAAAAsxMTcyMjEwNjU4MQwAAAABMQ0AAAAIMS8xLzIwMjAQAAAACTgvMTYvMjAyMNoUlnfyQdgIKxjpePJB2AgoQ0lRLkxTRTpUU0NPLklRX0xBU1RTQUxFUFJJQ0UuMTEvMTAvMjAxOQEAAAAwUAYAAgAAAAUyLjQyMgAFXX5T8kHYCBPzK3HyQdgIJUNJUS5eQ09NUC5JUV9MQVNUU0FMRVBSSUNFLjI2LzA0LzIwMTkBAAAAibgoAAIAAAAGODE0Ni40AKCeN1HyQdgIDHsWc/JB2AgpQ0lRLk5ZU0U6TUFOVS5JUV9MQVNUU0FMRVBSSUNFLjI0LzA4LzIwMTgBAAAA3WsNAAIAAAAEMjUuMgA6v4VS8kHYCOJkEXHyQdgIJENJUS5eU1BYLklRX0xBU1RTQUxFUFJJQ0UuMzAvMDkvMjAxOAEAAACbuCgAAgAAABAyOTEzLjk3ODEzOTg4NjAzALW8N1LyQdgI9N8Hc/JB2AgpQ0lRLk5ZU0U6TUFOVS5JUV9MQVNUU0FMRVBSSUNFLjAzLzA4LzIwMTgBAAAA3WsNAAIAAAAFMjAuNTUAOr+FUvJB2AjVtg9x8kHYCDFDSVEuTFNFOlNG</t>
  </si>
  <si>
    <t>T1IuSVFfVE9UQUxfQ0EuMTAwMC4zMS8xMi8yMDE5Li5GLkdCUC5DAQAAAMtT5CECAAAABzEwNi4xMjYBCAAAAAUAAAABMQEAAAAKMTk2MTExNjI3MQMAAAACNTUCAAAABDEwMDgEAAAAATEHAAAACjEyLzMxLzIwMTkIAAAACTgvMTYvMjAyMAkAAAABMDuGF3jyQdgIa138ePJB2AhFQ0lRLk5BU0RBUUdTOlRTTEEuSVFfTUlOT1JJVFlfSU5URVJFU1RfVE9UQUwuMjAwMC4zMC8wNC8yMDIwLi5GLlVTRC5DAQAAABDGogECAAAABDE0OTkBCAAAAAUAAAABMQEAAAAKMjAzMjA0NTMzNAMAAAADMTYwAgAAAAQxMzEyBAAAAAExBwAAAAk0LzMwLzIwMjAIAAAACTgvMTYvMjAyMAkAAAABMLxYB0vyQdgIXyaZWfJB2AgvQ0lRLk5ZU0U6S08uSVFfU0hBUkVTT1VUU1RBTkRJTkcuMzEvMTIvMjAxNC5VU0QBAAAAEmgAAAIAAAALNDM4MC4xMTI4NTEAR2AXePJB2AgL7gB58kHYCC9DSVEuTllTRTpLTy5JUV9UT1RBTF9DQS45OTcuMzAvMDQvMjAyMC4uRi5VU0QuQwEAAAASaAAAAgAAAAUzNDAxMAEIAAAABQAAAAExAQAAAAoxOTQ2NDMwNzgyAwAAAAMxNjACAAAABDEwMDgEAAAAATEHAAAACTQvMzAvMjAyMAgAAAAJOC8xNi8yMDIwCQAAAAEwA0nKTPJB2AgD+5NZ8kHYCDpDSVEuTllTRTpNQU5VLklRX0NBUEVYX01FRElBTl9FU1QuMTAwMi4zMC8wNC8yMDIwLi5GLkdCUC5DAQAAAN1rDQACAAAABC0xNzUBDgAAAAUA</t>
  </si>
  <si>
    <t>AAABMwEAAAABMAIAAAAKMTAwMzA5MjQzMAMAAAAGMTA0MDkxBAAAAAEzBgAAAAEwBwAAAAI1NQgAAAABMQkAAAABMQoAAAABMAsAAAALMTE4MTc2MDY5MjYMAAAAATENAAAACDUvMS8yMDIwEAAAAAk4LzE2LzIwMjCkfwdL8kHYCJPNqlnyQdgIJENJUS5MU0U6VFNDTy5JUV9CVVNJTkVTU19ERVNDUklQVElPTgEAAAAwUAYAAwAAAKYEVGVzY28gUExDLCB0b2dldGhlciB3aXRoIGl0cyBzdWJzaWRpYXJpZXMsIG9wZXJhdGVzIGFzIGEgZ3JvY2VyeSByZXRhaWxlci4gVGhlIGNvbXBhbnkgb3BlcmF0ZXMgdGhyb3VnaCBjb252ZW5pZW5jZSBhbmQgaHlwZXJtYXJrZXQgc3RvcmUgZm9ybWF0cywgYXMgd2VsbCBhcyBlbmdhZ2VzIGluIHRoZSB3aG9sZXNhbGUgYnVzaW5lc3MuIEl0IGFsc28gcHJvdmlkZXMgcmV0YWlsIGJhbmtpbmcgYW5kIGluc3VyYW5jZSBzZXJ2aWNlcy4gVGhlIGNvbXBhbnkgb3BlcmF0ZXMgaW4gdGhlIFVuaXRlZCBLaW5nZG9tLCB0aGUgUmVwdWJsaWMgb2YgSXJlbGFuZCwgdGhlIEN6ZWNoIFJlcHVibGljLCBIdW5nYXJ5LCBQb2xhbmQsIFNsb3Zha2lhLCBNYWxheXNpYSwgYW5kIFRoYWlsYW5kLiBUaGUgY29tcGFueSBzZXJ2ZXMgaXRzIGN1c3RvbWVycyB0aHJvdWdoIHN0b3JlcywgYXMgd2VsbCBhcyBvbmxpbmUuIFRlc2NvIFBMQyB3YXMgZm91bmRlZCBpbiAxOTE5IGFuZCBp</t>
  </si>
  <si>
    <t>cyBoZWFkcXVhcnRlcmVkIGluIFdlbHd5biBHYXJkZW4gQ2l0eSwgdGhlIFVuaXRlZCBLaW5nZG9tLgD8OiRV8kHYCM4EiVnyQdgIPkNJUS5OWVNFOktPLklRX01JTk9SSVRZX0lOVEVSRVNUX1RPVEFMLjk5Ny4zMC8wNC8yMDIwLi5GLlVTRC5DAQAAABJoAAACAAAAAzE1OAEIAAAABQAAAAExAQAAAAoxOTQ2NDMwNzgyAwAAAAMxNjACAAAABDEzMTIEAAAAATEHAAAACTQvMzAvMjAyMAgAAAAJOC8xNi8yMDIwCQAAAAEwA0nKTPJB2AgwwplZ8kHYCCdDSVEuJEFFRElMUy5JUV9MQVNUU0FMRVBSSUNFLjMwLzA0LzIwMTkBAAAAJetaAAIAAAALMS4wMTkzOTk5NjEAqiQlVfJB2AhaPINZ8kHYCCFDSVEuTllTRTpSQUNFLklRX0ZJUlNUUFJJQ0lOR0RBVEUBAAAAPYKwEAUAAAAKMjEvMTAvMjAxNQD8OiRV8kHYCDBhfVnyQdgIJ0NJUS4kQUVEQ0FELklRX0xBU1RTQUxFUFJJQ0UuMzAvMDQvMjAxOQEAAAAl61oAAgAAAAsyLjczMjg4NjkwNQCV/SRV8kHYCKbShVnyQdgIIUNJUS5MU0U6VFNDTy5JUV9WT0xVTUUuMjQvMDEvMjAyMAEAAAAwUAYAAgAAAAgxNS4wMzQ5MgCV/SRV8kHYCG4MeFnyQdgIJkNJUS5OQVNEQVFHUzpUU0xBLklRX1ZPTFVNRS4zMS8wOC8yMDE4AQAAABDGogECAAAACDUuMzc1MTA0AEOYhVLyQdgIPf8RcfJB2AgvQ0lRLk5ZU0U6S08uSVFfSU5DX1RBWC4yMDAwLjMwLzA0LzIwMjAuLkYu</t>
  </si>
  <si>
    <t>VVNELkMBAAAAEmgAAAIAAAAEMTQ5NAEIAAAABQAAAAExAQAAAAoyMDMwMzc2ODk3AwAAAAMxNjACAAAAAjc1BAAAAAExBwAAAAk0LzMwLzIwMjAIAAAACTgvMTYvMjAyMAkAAAABMANJykzyQdgIDKGsWfJB2AgiQ0lRLk5ZU0U6TUFOVS5JUV9WT0xVTUUuMTIvMDEvMjAxOAEAAADdaw0AAgAAAAgwLjAyMDM0MwAoK0J18kHYCOegW3byQdgIIUNJUS5MU0U6U0ZPUi5JUV9WT0xVTUUuMzAvMTEvMjAxOAEAAADLU+QhAgAAAAgwLjAyNjQ1MwDH4n9T8kHYCNNRH3HyQdgII0NJUS4lVENNU1kyMC5JUV9MQVNUU0FMRVBSSUNFLjQzNDY1AQAAACAfKAICAAAABDIuODcAQVJCdfJB2AjRpEt28kHYCC1DSVEuTkFTREFRR1M6Q0FLRS5JUV9MQVNUU0FMRVBSSUNFLjE5LzA3LzIwMTkBAAAACOAEAAIAAAAFNDMuOTUA0YN+U/JB2AiHwChx8kHYCCFDSVEuTFNFOlRTQ08uSVFfQ09NUEFOWV9OQU1FX0xPTkcBAAAAMFAGAAMAAAAUVGVzY28gUExDIChMU0U6VFNDTykAAeh9U/JB2AiWN2FZ8kHYCCFDSVEuTFNFOlNGT1IuSVFfVk9MVU1FLjA1LzA3LzIwMTkBAAAAy1PkIQIAAAAIMi4wMzAxOTQA2Tm1U/JB2Ai3Lr1y8kHYCChDSVEuTFNFOlNGT1IuSVFfTEFTVFNBTEVQUklDRS4zMS8wNy8yMDE2AQAAAMtT5CEDAAAAAADBqn5T8kHYCL1+JHHyQdgIJ0NJUS5OWVNFOktPLklRX0xBU1RTQUxFUFJJQ0UuMjIvMDYvMjAx</t>
  </si>
  <si>
    <t>OAEAAAASaAAAAgAAAAU0My4yNQA6v4VS8kHYCPHBC3HyQdgILUNJUS5OQVNEQVFHUzpUU0xBLklRX0xBU1RTQUxFUFJJQ0UuMDgvMDIvMjAxOQEAAAAQxqIBAgAAAAUzMDUuOACkvH9T8kHYCJ+UI3HyQdgIKUNJUS5OWVNFOlJBQ0UuSVFfTEFTVFNBTEVQUklDRS4wNC8wMS8yMDE5AQAAAD2CsBACAAAABjEwMi4yMwDH4n9T8kHYCDJdInHyQdgIKENJUS5MU0U6VFNDTy5JUV9MQVNUU0FMRVBSSUNFLjA2LzA0LzIwMTgBAAAAMFAGAAIAAAAFMi4wNDcAKCtCdfJB2Agf4lF28kHYCCBDSVEuTllTRTpLTy5JUV9WT0xVTUUuMjQvMDgvMjAxOAEAAAASaAAAAgAAAAcxMC45NTMxADq/hVLyQdgI4mQRcfJB2AgpQ0lRLk5ZU0U6UkFDRS5JUV9MQVNUU0FMRVBSSUNFLjMxLzA4LzIwMTcBAAAAPYKwEAIAAAAGMTE0LjQ5ANGDflPyQdgI22IncfJB2AgvQ0lRLkxTRTpTRk9SLklRX0lOQ19UQVguOTk5LjMxLzEyLzIwMTkuLkYuR0JQLkMBAAAAy1PkIQMAAAAAANztlXfyQdgIaNvpePJB2AgiQ0lRLk5ZU0U6TUFOVS5JUV9WT0xVTUUuMTcvMDUvMjAxOQEAAADdaw0AAgAAAAgwLjE0MjQ5NACV/SRV8kHYCCZQv3LyQdgINkNJUS5OQVNEQVFHUzpDQUtFLklRX1RPVEFMX0NMLjIwMDAuMzAvMDQvMjAyMC4uRi5VU0QuQwEAAAAI4AQAAgAAAAc2MTQuNTg3AQgAAAAFAAAAATEBAAAACjIwMjE1ODI3MDQDAAAAAzE2MAIA</t>
  </si>
  <si>
    <t>AAAEMTAwOQQAAAABMQcAAAAJNC8zMC8yMDIwCAAAAAk4LzE2LzIwMjAJAAAAATADScpM8kHYCO8El1nyQdgIJENJUS5eQVNYLklRX0xBU1RTQUxFUFJJQ0UuMjkvMTIvMjAxNwEAAAAfU+sBAgAAAAs0MjIxLjgxNzcxMQDYLd508kHYCHmORXbyQdgIJ0NJUS5MU0U6U0ZPUi5JUV9GSVNDQUxfWS4uMzAvMDQvMjAyMC4uRgEAAADLU+QhAQAAAAQyMDE5AODjBkvyQdgI4OMGS/JB2Ag5Q0lRLk5BU0RBUUdTOlRTTEEuSVFfUFJFRl9FUVVJVFkuMTAwMC4zMC8wNC8yMDIwLi5GLlVTRC5DAQAAABDGogEDAAAAAAC8WAdL8kHYCNMgm1nyQdgIL0NJUS5OQVNEQVFHUzpUU0xBLklRX05JLjk5OS4zMC8wNC8yMDIwLi5GLlVTRC5DAQAAABDGogECAAAABC05NzYBCAAAAAUAAAABMQEAAAAKMjAxMzkwNzQ2MwMAAAADMTYwAgAAAAIxNQQAAAABMQcAAAAJNC8zMC8yMDIwCAAAAAk4LzE2LzIwMjAJAAAAATDJMQdL8kHYCCZeqFnyQdgIJkNJUS5OQVNEQVFHUzpDQUtFLklRX1ZPTFVNRS4zMS8wNS8yMDE5AQAAAAjgBAACAAAACDAuNzYyMjg2AJX9JFXyQdgI3ofAcvJB2AgsQ0lRLk5ZU0U6TUFOVS5JUV9BUC4yMDAwLjMxLzEyLzIwMTkuLkYuR0JQLkMBAAAA3WsNAAIAAAAGODEuMzA2AQgAAAAFAAAAATEBAAAACjE5OTM2MjEzMjIDAAAAAjU1AgAAAAQxMDE4BAAAAAExBwAAAAoxMi8zMS8yMDE5CAAAAAk4LzE2LzIw</t>
  </si>
  <si>
    <t>MjAJAAAAATDaFJZ38kHYCGWu5HjyQdgIJUNJUS5JUTUwMDI3NTgyLklRX0xBU1RTQUxFUFJJQ0UuNDM0NjUBAAAAPlz7AgIAAAAFMS44NDUA3wbedPJB2Ag5Rkp28kHYCCRDSVEuXkFTWC5JUV9MQVNUU0FMRVBSSUNFLjMxLzA4LzIwMTUBAAAAH1PrAQIAAAAHMzQzNC42NgCgnjdR8kHYCOn6C3PyQdgIOUNJUS5OWVNFOk1BTlUuSVFfRUJJVF9NRURJQU5fRVNULjYwMDAuMzAvMDQvMjAyMC4uRi5HQlAuQwEAAADdaw0AAgAAAAcxNC4yMjIzAQ4AAAAFAAAAAjExAQAAAAEwAgAAAAczNjE3ODg1AwAAAAYxMDAyMTYEAAAAATMGAAAAATAHAAAAAjU1CAAAAAExCQAAAAExCgAAAAEwCwAAAAsxMTg2ODYzMDk4NwwAAAACMTINAAAACDUvMS8yMDIwEAAAAAk4LzE2LzIwMjCkfwdL8kHYCG30o1nyQdgIKENJUS5MU0U6U0ZPUi5JUV9MQVNUU0FMRVBSSUNFLjIyLzExLzIwMTkBAAAAy1PkIQIAAAAFMS44MDUA6DV+U/JB2AiIUC1x8kHYCCdDSVEuTllTRTpLTy5JUV9MQVNUU0FMRVBSSUNFLjMxLzA3LzIwMTYBAAAAEmgAAAIAAAAFNDMuNjMAwap+U/JB2AiEzCRx8kHYCCRDSVEuXlNQWC5JUV9MQVNUU0FMRVBSSUNFLjMxLzAxLzIwMTgBAAAAm7goAAIAAAAQMjgyMy44MDk5MzczNTUzNgC1vDdS8kHYCNQsCHPyQdgIJUNJUS5eQ09NUC5JUV9MQVNUU0FMRVBSSUNFLjEzLzEyLzIwMTkBAAAAibgoAAIAAAAHODcz</t>
  </si>
  <si>
    <t>NC44OAAJljdS8kHYCCaRFXPyQdgIMENJUS5OWVNFOk1BTlUuSVFfUlVBX05FVC4yMDAwLjMxLzEyLzIwMTkuLi5MT0NBTAEAAADdaw0AAwAAAAAA/gNCdfJB2AgDEFB28kHYCDFDSVEuTFNFOlRTQ08uSVFfVE9UQUxfUkVWLjk5Ni4zMC8wNC8yMDIwLi5GLkdCUC5DAQAAADBQBgACAAAABTUzOTMzAQgAAAAFAAAAATEBAAAACjE4NDc4MjUxNDgDAAAAAjU1AgAAAAIyOAQAAAABMQcAAAAJNC8zMC8yMDIwCAAAAAk4LzE2LzIwMjAJAAAAATDJMQdL8kHYCN9SnlnyQdgILUNJUS5MU0U6U0ZPUi5JUV9EQV9DRi45OTYuMzEvMTIvMjAxOS4uRi5HQlAuQwEAAADLU+QhAwAAAAAA2hSWd/JB2Ag50OZ48kHYCClDSVEuTllTRTpSQUNFLklRX0xBU1RTQUxFUFJJQ0UuMjgvMTIvMjAxOAEAAAA9grAQAgAAAAQ5OC40AMfif1PyQdgImw0icfJB2AgtQ0lRLk5BU0RBUUdTOkNBS0UuSVFfTEFTVFNBTEVQUklDRS4zMC8xMS8yMDE2AQAAAAjgBAACAAAABTU5LjE3ANGDflPyQdgIM48lcfJB2AgkQ0lRLl5TUFguSVFfTEFTVFNBTEVQUklDRS4yOC8wMi8yMDIwAQAAAJu4KAACAAAAEDI5NTQuMjIzNjg0MzY4NjMASQUzUvJB2AgyerpZ8kHYCC1DSVEuTkFTREFRR1M6VFNMQS5JUV9MQVNUU0FMRVBSSUNFLjA0LzAxLzIwMTkBAAAAEMaiAQIAAAAGMzE3LjY5AKS8f1PyQdgI+4MicfJB2AgkQ0lRLl5BU1guSVFfTEFTVFNB</t>
  </si>
  <si>
    <t>TEVQUklDRS4wNS8xMC8yMDE4AQAAAB9T6wECAAAACzQwMjguMTg5OTI2AIrFN1HyQdgIxFobc/JB2Ag1Q0lRLkxTRTpUU0NPLklRX1RPVEFMX1JFQ0VJVi4yMDAwLjMwLzA0LzIwMjAuLkYuR0JQLkMBAAAAMFAGAAIAAAAEMTQxNwEIAAAABQAAAAExAQAAAAoyMDI2NTA3Mzg4AwAAAAI1NQIAAAAEMTAwMQQAAAABMQcAAAAJNC8zMC8yMDIwCAAAAAk4LzE2LzIwMjAJAAAAATDJMQdL8kHYCP7HrFnyQdgIKUNJUS5OWVNFOlJBQ0UuSVFfTEFTVFNBTEVQUklDRS4xMC8wOC8yMDE4AQAAAD2CsBACAAAABjEyMC42MwA6v4VS8kHYCH8FEHHyQdgIOkNJUS5MU0U6U0ZPUi5JUV9FQklUREFfTUVESUFOX0VTVC4xMDAyLjMxLzEyLzIwMTkuLkYuR0JQLkMBAAAAy1PkIQIAAAAQNTcuOTI1MTM5OTA3MTAzOQEOAAAABQAAAAEzAQAAAAEwAgAAAAoxMDA0MzE2MDUxAwAAAAYxMDAxODgEAAAAATMGAAAAATAHAAAAAjU1CAAAAAExCQAAAAExCgAAAAEwCwAAAAsxMTY5ODE4NjIyNwwAAAABMQ0AAAAIMS8xLzIwMjAQAAAACTgvMTYvMjAyMPNIGHjyQdgI0QjvePJB2Ag1Q0lRLk5BU0RBUUdTOkNBS0UuSVFfSU5DX1RBWC4xMDAwLjMwLzA0LzIwMjAuLkYuVVNELkMBAAAACOAEAAIAAAAGMTMuMDQxAQgAAAAFAAAAATEBAAAACjIwMjE1ODE0MTEDAAAAAzE2MAIAAAACNzUEAAAAATEHAAAACTQvMzAvMjAyMAgAAAAJOC8x</t>
  </si>
  <si>
    <t>Ni8yMDIwCQAAAAEw/2/KTPJB2AiK2KZZ8kHYCClDSVEuTllTRTpNQU5VLklRX0xBU1RTQUxFUFJJQ0UuMzEvMDgvMjAxOQEAAADdaw0AAgAAAAQxNy4xAAgPflPyQdgIfnctcfJB2AgoQ0lRLkxTRTpTRk9SLklRX0xBU1RTQUxFUFJJQ0UuMzEvMDEvMjAxOQEAAADLU+QhAgAAAAUxLjM0NQAID35T8kHYCOzKK3HyQdgIJENJUS5OWVNFOk1BTlUuSVFfQkVUQV81WVIuMzAvMDQvMjAyMAEAAADdaw0AAgAAABEwLjg0MzkyMDA0MDI4MTgzOACxryRV8kHYCLFSiVnyQdgIPENJUS5OWVNFOk1BTlUuSVFfTUVESUFOX1RBUkdFVF9QUklDRS42MDAwLjMxLzEyLzIwMTkuLi5HQlAuQwEAAADdaw0AAgAAAAYxNS40NjIBDgAAAAUAAAABNwEAAAAJMjE1MDU1Mzg1AgAAAAY3MDI3MjgDAAAABjEwMDE2MgQAAAADMjU1BgAAAAEwBwAAAAI1NQgAAAABMQkAAAABMQoAAAABMAsAAAALMTE3Mjg0MDM5MzIMAAAAATgNAAAACDEvMS8yMDIwEAAAAAk4LzE2LzIwMjAeIhh48kHYCER5AHnyQdgIKENJUS5MU0U6U0ZPUi5JUV9MQVNUU0FMRVBSSUNFLjA2LzEyLzIwMTkBAAAAy1PkIQIAAAAFMS44MDUA6DV+U/JB2AinxS1x8kHYCCxDSVEuTFNFOlRTQ08uSVFfRUJULjEwMDEuMzAvMDQvMjAyMC4uRi5HQlAuQwEAAAAwUAYAAwAAAAAAyTEHS/JB2AgMeqVZ8kHYCC1DSVEuTkFTREFRR1M6VFNMQS5JUV9MQVNUU0FMRVBSSUNF</t>
  </si>
  <si>
    <t>LjMxLzEwLzIwMTYBAAAAEMaiAQIAAAAGMTk3LjczANGDflPyQdgIq2YlcfJB2AgnQ0lRLiRBRURUTkQuSVFfTEFTVFNBTEVQUklDRS4zMS8xMi8yMDE5AQAAACXrWgACAAAACzEuMzI1ODAxMzI4AP4DQnXyQdgIyI9MdvJB2AgpQ0lRLk5ZU0U6TUFOVS5JUV9MQVNUU0FMRVBSSUNFLjMwLzA5LzIwMTYBAAAA3WsNAAIAAAAFMTYuODgAwap+U/JB2Ai7GCVx8kHYCDJDSVEuTllTRTpSQUNFLklRX0xUX0lOVkVTVC45OTcuMzEvMTIvMjAxOS4uRi5FVVIuQwEAAAA9grAQAgAAAAUwLjk3OAEIAAAABQAAAAExAQAAAAoxODc2MDQzMzEzAwAAAAI1MAIAAAAEMTA1NAQAAAABMQcAAAAKMTIvMzEvMjAxOQgAAAAJOC8xNi8yMDIwCQAAAAEwO4YXePJB2Ag67vl48kHYCC1DSVEuTkFTREFRR1M6Q0FLRS5JUV9MQVNUU0FMRVBSSUNFLjI1LzA1LzIwMTgBAAAACOAEAAIAAAAFNTEuMzMAKeaFUvJB2AipKwlx8kHYCClDSVEuTllTRTpSQUNFLklRX0xBU1RTQUxFUFJJQ0UuMTMvMTIvMjAxOQEAAAA9grAQAgAAAAYxNjMuOTMA6DV+U/JB2Ahm7C1x8kHYCDZDSVEuTkFTREFRR1M6VFNMQS5JUV9DT1NUX1JFVi4xMDAwLjMwLzA0LzIwMjAuLkYuVVNELkMBAAAAEMaiAQIAAAAFMjA1MDkBCAAAAAUAAAABMQEAAAAKMjAxMzkwNzQ2MAMAAAADMTYwAgAAAAExBAAAAAExBwAAAAk0LzMwLzIwMjAIAAAACTgvMTYvMjAyMAkA</t>
  </si>
  <si>
    <t>AAABMLxYB0vyQdgIyqCeWfJB2AguQ0lRLk5ZU0U6TUFOVS5JUV9DQVBFWC45OTguMzAvMDQvMjAyMC4uRi5HQlAuQwEAAADdaw0AAgAAAAYtOC4zNzMBCAAAAAUAAAABMQEAAAAKMTk4NTg0NTA0NQMAAAACNTUCAAAABDIwMjEEAAAAATEHAAAACTQvMzAvMjAyMAgAAAAJOC8xNi8yMDIwCQAAAAEw/2/KTPJB2AhNt6tZ8kHYCCJDSVEuTllTRTpSQUNFLklRX1ZPTFVNRS4wMy8wOC8yMDE4AQAAAD2CsBACAAAACDIuODM3NTAyADq/hVLyQdgI72gPcfJB2Ag5Q0lRLk5ZU0U6S08uSVFfRUJJVERBX01FRElBTl9FU1QuMTAwMi4zMS8xMi8yMDE5Li5GLlVTRC5DAQAAABJoAAACAAAACzEyMzExLjc0MTExAQ4AAAAFAAAAATMBAAAAATACAAAACjEwMDE0MTY0MjADAAAABjEwMDE4OAQAAAABMgYAAAABMAcAAAADMTYwCAAAAAExCQAAAAExCgAAAAEwCwAAAAsxMTcyMjA4MTk4NwwAAAABMQ0AAAAIMS8xLzIwMjAQAAAACTgvMTYvMjAyMPNIGHjyQdgI0QjvePJB2AgiQ0lRLk5ZU0U6UkFDRS5JUV9WT0xVTUUuMjcvMDkvMjAxOQEAAAA9grAQAgAAAAgwLjMwNDQ4MwAlYbVT8kHYCAMevHLyQdgIJkNJUS5OQVNEQVFHUzpUU0xBLklRX1ZPTFVNRS4wOC8wMy8yMDE5AQAAABDGogECAAAACDguODE5NjI1AKS8f1PyQdgImXHBcvJB2AgnQ0lRLiRBRURNWVIuSVFfTEFTVFNBTEVQUklDRS4zMC8wNC8yMDE5AQAAACXr</t>
  </si>
  <si>
    <t>WgACAAAACzAuODg3NjI2ODczAKokJVXyQdgIHCaEWfJB2Ag5Q0lRLk5ZU0U6UkFDRS5JUV9FQklUX01FRElBTl9FU1QuMTAwMy4zMS8xMi8yMDE5Li5GLkVVUi5DAQAAAD2CsBACAAAACjExNjAuNDA1MDQBDgAAAAUAAAABMwEAAAABMAIAAAAKMTAwMzIyNjg1NAMAAAAGMTAwMjE2BAAAAAEzBgAAAAEwBwAAAAI1MAgAAAABMQkAAAABMQoAAAABMAsAAAALMTE3MDUyNTE0MDIMAAAAATENAAAACDEvMS8yMDIwEAAAAAk4LzE2LzIwMjDzSBh48kHYCJzQ7XjyQdgIJUNJUS5JUTUwMDI3NTgzLklRX0xBU1RTQUxFUFJJQ0UuNDM1ODUBAAAAP1z7AgIAAAAFMC44OTYAo9YkVfJB2AhvlYZZ8kHYCCdDSVEuTllTRTpLTy5JUV9MQVNUU0FMRVBSSUNFLjMwLzA2LzIwMTUBAAAAEmgAAAIAAAAFMzkuMjMApLx/U/JB2Ahr1yBx8kHYCCVDSVEuXkNPTVAuSVFfTEFTVFNBTEVQUklDRS4xNy8wNS8yMDE5AQAAAIm4KAACAAAABzc4MTYuMjkAfKuFUfJB2AgMexZz8kHYCC1DSVEuTkFTREFRR1M6Q0FLRS5JUV9MQVNUU0FMRVBSSUNFLjI4LzAyLzIwMTUBAAAACOAEAAIAAAAFNDcuNTIAQVJCdfJB2AgZN1B28kHYCDdDSVEuTkFTREFRR1M6Q0FLRS5JUV9UT1RBTF9MSUFCLjk5OC4zMC8wNC8yMDIwLi5GLlVTRC5DAQAAAAjgBAACAAAABjcxOS41MwEIAAAABQAAAAExAQAAAAoyMDIxNTgxNDA5AwAAAAMxNjACAAAABDEy</t>
  </si>
  <si>
    <t>NzYEAAAAATEHAAAACTQvMzAvMjAyMAgAAAAJOC8xNi8yMDIwCQAAAAEw/2/KTPJB2AgGXppZ8kHYCDFDSVEuTllTRTpNQU5VLklRX1RPVEFMX0NMLjk5OS4zMC8wNC8yMDIwLi5GLkdCUC5DAQAAAN1rDQACAAAABzQ2MS40NTYBCAAAAAUAAAABMQEAAAAKMTk4NTg0NTAyOQMAAAACNTUCAAAABDEwMDkEAAAAATEHAAAACTQvMzAvMjAyMAgAAAAJOC8xNi8yMDIwCQAAAAEwvFgHS/JB2AjYUpdZ8kHYCDhDSVEuTFNFOlRTQ08uSVFfTE9XX1RBUkdFVF9QUklDRS42MDAwLjMwLzA0LzIwMjAuLi5HQlAuQwEAAAAwUAYAAgAAAAMyLjIBDgAAAAUAAAABNwEAAAAIMjAxNTc4NzkCAAAABjQxMTY4MAMAAAAGMTAwMTY0BAAAAAMyNTUGAAAAATAHAAAAAjU1CAAAAAExCQAAAAExCgAAAAEwCwAAAAsxMTg5MjM1ODI0MQwAAAABOA0AAAAINS8xLzIwMjAQAAAACTgvMTYvMjAyMKR/B0vyQdgIBWmPWfJB2AgxQ0lRLkxTRTpUU0NPLklRX1RPVEFMX0NMLjEwMDAuMzAvMDQvMjAyMC4uRi5HQlAuQwEAAAAwUAYAAgAAAAUxNzkyNwEIAAAABQAAAAExAQAAAAoyMDI2NTA3MzA5AwAAAAI1NQIAAAAEMTAwOQQAAAABMQcAAAAJNC8zMC8yMDIwCAAAAAk4LzE2LzIwMjAJAAAAATDJMQdL8kHYCOYrl1nyQdgILUNJUS5OQVNEQVFHUzpUU0xBLklRX0xBU1RTQUxFUFJJQ0UuMjYvMDcvMjAxOQEAAAAQxqIBAgAAAAYyMjguMDQA</t>
  </si>
  <si>
    <t>0YN+U/JB2AivDSlx8kHYCCFDSVEuTllTRTpNQU5VLklRX1BSSU1BUllfSU5EVVNUUlkBAAAA3WsNAAMAAAAYTW92aWVzIGFuZCBFbnRlcnRhaW5tZW50AOISJFXyQdgIsVKJWfJB2Ag3Q0lRLkVVUi5JUV9GVUxMX0NVUlZFX0FOTlVBTC5BTExDT1JQLkJCQi4yMFkuMzEvMTIvMjAxOQEAAAAAAAAAAgAAAAkwLjAxODQ0MjkA2C3edPJB2AjKq0l28kHYCC9DSVEuTllTRTpNQU5VLklRX0VCSVREQS45OTYuMzEvMTIvMjAxOS4uRi5HQlAuQwEAAADdaw0AAgAAAAcxMjUuMjY1AQgAAAAFAAAAATEBAAAACjE4NjE3MzY4NjkDAAAAAjU1AgAAAAQ0MDUxBAAAAAExBwAAAAoxMi8zMS8yMDE5CAAAAAk4LzE2LzIwMjAJAAAAATAeIhh48kHYCP0e7njyQdgIM0NJUS5OQVNEQVFHUzpDQUtFLklRX0RBX0NGLjEwMDAuMzAvMDQvMjAyMC4uRi5VU0QuQwEAAAAI4AQAAgAAAAY4Ny4yMzMBCAAAAAUAAAABMQEAAAAKMjAyMTU4MTQxMQMAAAADMTYwAgAAAAQyMTYwBAAAAAExBwAAAAk0LzMwLzIwMjAIAAAACTgvMTYvMjAyMAkAAAABMP9vykzyQdgIvuOpWfJB2Ag8Q0lRLk5ZU0U6UkFDRS5JUV9UT1RBTF9DT01NT05fRVFVSVRZLjk5Ni4zMS8xMi8yMDE5Li5GLkVVUi5DAQAAAD2CsBACAAAACDI0NjkuNjE4AQgAAAAFAAAAATEBAAAACjE4MzA0NzQwOTQDAAAAAjUwAgAAAAQxMDA2BAAAAAExBwAAAAoxMi8zMS8yMDE5</t>
  </si>
  <si>
    <t>CAAAAAk4LzE2LzIwMjAJAAAAATAe+xd48kHYCJKZ83jyQdgIN0NJUS5OWVNFOktPLklRX0VCSVRfTUVESUFOX0VTVC42MDAxLjMwLzA0LzIwMjAuLkYuVVNELkMBAAAAEmgAAAMAAAAAAP9vykzyQdgIeqajWfJB2AgtQ0lRLk5BU0RBUUdTOlRTTEEuSVFfTEFTVFNBTEVQUklDRS4xMi8wNy8yMDE5AQAAABDGogECAAAABjI0NS4wOADRg35T8kHYCE6aKHHyQdgIKkNJUS5JUTQzOTQzODE4LklRX0xBU1RTQUxFUFJJQ0UuMzAvMDQvMjAyMAEAAACKh54CAgAAAAktMC40NTc3MDkAo9YkVfJB2Aiwq4VZ8kHYCCJDSVEuTllTRTpSQUNFLklRX1ZPTFVNRS4yMy8wMy8yMDE4AQAAAD2CsBACAAAACDAuNDkyOTI5ACgrQnXyQdgI0RlTdvJB2AgtQ0lRLk5ZU0U6S08uSVFfREFfQ0YuMTAwMC4zMS8xMi8yMDE5Li5GLlVTRC5DAQAAABJoAAACAAAABDEwODYBCAAAAAUAAAABMQEAAAAKMTk0NjQzMDc4MQMAAAADMTYwAgAAAAQyMTYwBAAAAAExBwAAAAoxMi8zMS8yMDE5CAAAAAk4LzE2LzIwMjAJAAAAATDaFJZ38kHYCKBr53jyQdgILUNJUS5OQVNEQVFHUzpUU0xBLklRX0xBU1RTQUxFUFJJQ0UuMzEvMTIvMjAxNQEAAAAQxqIBAgAAAAYyNDAuMDEAuZR/U/JB2Ag4ICNx8kHYCCRDSVEuXkFTWC5JUV9MQVNUU0FMRVBSSUNFLjA5LzAyLzIwMTgBAAAAH1PrAQIAAAAKMzkwMi44NTMwNADYLd508kHYCKa2RXbyQdgI</t>
  </si>
  <si>
    <t>IENJUS5OWVNFOktPLklRX1ZPTFVNRS4xMS8wMS8yMDE5AQAAABJoAAACAAAACDExLjA4ODYyAKS8f1PyQdgIWFvCcvJB2Ag0Q0lRLkxTRTpUU0NPLklRX1NIQVJFU09VVFNUQU5ESU5HX09VVC4yOC8wMi8yMDE1LkdCUAEAAAAwUAYAAgAAAAs4MDg0Ljk5Mjc2OABHYBd48kHYCNTFAHnyQdgINUNJUS5OWVNFOktPLklRX05JX01FRElBTl9FU1QuMTAwMi4zMC8wNC8yMDIwLi5GLlVTRC5DAQAAABJoAAACAAAACjkxNzUuNTY4NTIBDgAAAAUAAAABMwEAAAABMAIAAAAKMTAwMTY1NjI3OAMAAAAGMTAwMjUxBAAAAAEyBgAAAAEwBwAAAAMxNjAIAAAAATEJAAAAATEKAAAAATALAAAACzExODg1MjkyNDAyDAAAAAExDQAAAAg1LzEvMjAyMBAAAAAJOC8xNi8yMDIw/2/KTPJB2AhWm6dZ8kHYCC1DSVEuTkFTREFRR1M6Q0FLRS5JUV9MQVNUU0FMRVBSSUNFLjA2LzA3LzIwMTgBAAAACOAEAAIAAAAFNTcuMDYAOr+FUvJB2Ait0gxx8kHYCCRDSVEuXlNQWC5JUV9MQVNUU0FMRVBSSUNFLjE3LzA0LzIwMjABAAAAm7goAAIAAAAQMjg3NC41NjQ1NTI0NDUxOQAA3jJS8kHYCEssulnyQdgIO0NJUS5MU0U6U0ZPUi5JUV9UT1RBTF9DT01NT05fRVFVSVRZLjk5Ny4zMC8wNC8yMDIwLi5GLkdCUC5DAQAAAMtT5CEDAAAAAADZCgdL8kHYCHF/nFnyQdgIM0NJUS5OWVNFOk1BTlUuSVFfRVNUX0VQU19HUk9XVEhfNVlSLjYw</t>
  </si>
  <si>
    <t>MDAuMzAvMDQvMjAyMAEAAADdaw0AAgAAAAcwLjIyNzU1AQ4AAAAFAAAAATcBAAAACTIxNTA1NTM4NQIAAAAGNzAyNzI4AwAAAAYxMDAxNjcEAAAAATMGAAAAATAHAAAAATAIAAAAATAJAAAAATEKAAAAATALAAAACzExNjkyNzIzMTkxDAAAAAE4DQAAAAg1LzEvMjAyMBAAAAAJNC8zMC8yMDIwsa8kVfJB2AizqX9Z8kHYCDRDSVEuTkFTREFRR1M6VFNMQS5JUV9JTkNfVEFYLjk5OC4zMS8xMi8yMDE5Li5GLlVTRC5DAQAAABDGogECAAAABjI2LjY5OAEIAAAABQAAAAExAQAAAAoxOTQ1ODczNTUxAwAAAAMxNjACAAAAAjc1BAAAAAExBwAAAAoxMi8zMS8yMDE5CAAAAAk4LzE2LzIwMjAJAAAAATDc7ZV38kHYCP+z6XjyQdgIKENJUS5MU0U6VFNDTy5JUV9MQVNUU0FMRVBSSUNFLjMxLzEyLzIwMTYBAAAAMFAGAAIAAAAGMi4wNjg1ANGDflPyQdgIE7YlcfJB2AgtQ0lRLk5BU0RBUUdTOkNBS0UuSVFfTEFTVFNBTEVQUklDRS4xOC8wMS8yMDE5AQAAAAjgBAACAAAABTQ2LjA5AKS8f1PyQdgI9/gicfJB2AgkQ0lRLl5BU1guSVFfTEFTVFNBTEVQUklDRS4yOS8wMi8yMDIwAQAAAB9T6wECAAAACzM2NzMuNjEyMjk1AADeMlLyQdgI7Fi4WfJB2AgpQ0lRLk5ZU0U6TUFOVS5JUV9MQVNUU0FMRVBSSUNFLjMxLzEyLzIwMTQBAAAA3WsNAAIAAAAEMTUuOQBBUkJ18kHYCN2EUHbyQdgIJENJUS5eU1BYLklRX0xBU1RT</t>
  </si>
  <si>
    <t>QUxFUFJJQ0UuMjAvMDMvMjAyMAEAAACbuCgAAgAAABAyMzA0LjkxNjMwMDQwMjgyAEkFM1LyQdgIO1O6WfJB2AgnQ0lRLk5ZU0U6S08uSVFfTEFTVFNBTEVQUklDRS4yNS8wMS8yMDE5AQAAABJoAAACAAAABTQ3LjM3AKS8f1PyQdgIOCAjcfJB2Ag1Q0lRLk5ZU0U6TUFOVS5JUV9TSEFSRVNPVVRTVEFORElOR19PVVQuMzAvMDYvMjAxNS5HQlABAAAA3WsNAAIAAAAHMTYzLjc5NwADScpM8kHYCLIDYnbyQdgIIUNJUS5MU0U6U0ZPUi5JUV9WT0xVTUUuMjUvMDUvMjAxOAEAAADLU+QhAwAAAAAAKeaFUvJB2AiyBAlx8kHYCEBDSVEuTkFTREFRR1M6VFNMQS5JUV9UT1RBTF9ERUJUX0NVUlJFTlQuMTAwMC4zMS8xMi8yMDE5Li5GLlVTRC5DAQAAABDGogECAAAACDI3MTEuMTk5AQgAAAAFAAAAATEBAAAACjE5NDU4NzM1NDYDAAAAAzE2MAIAAAAFMjUyMjMEAAAAATEHAAAACjEyLzMxLzIwMTkIAAAACTgvMTYvMjAyMAkAAAABMDuGF3jyQdgI23f5ePJB2AgZQ0lRLi5JUV9WT0xVTUUuMDIvMDgvMjAxOQUAAAAAAAAACAAAABQoSW52YWxpZCBJZGVudGlmaWVyKdk5tVPyQdgIUr+6cvJB2AgtQ0lRLk5BU0RBUUdTOkNBS0UuSVFfTEFTVFNBTEVQUklDRS4zMS8wNy8yMDE2AQAAAAjgBAACAAAABTUxLjczAMGqflPyQdgIcqUkcfJB2AgiQ0lRLk5ZU0U6TUFOVS5JUV9WT0xVTUUuMTgvMTAvMjAxOQEAAADdaw0A</t>
  </si>
  <si>
    <t>AgAAAAgwLjA0MzMxMgCV/SRV8kHYCErGv3LyQdgIOUNJUS5OQVNEQVFHUzpDQUtFLklRX1NIQVJFU09VVFNUQU5ESU5HX09VVC4zMC8wNC8yMDIwLlVTRAEAAAAI4AQAAgAAAAk0NS40NjEzMzYAs0PDWvJB2AhSV9Fa8kHYCDJDSVEuTllTRTpNQU5VLklRX1RPVEFMX1JFVi45OTguMzAvMDQvMjAyMC4uRi5HQlAuQwEAAADdaw0AAgAAAAc1ODEuMjU0AQgAAAAFAAAAATEBAAAACjE5ODU4NDUwNDUDAAAAAjU1AgAAAAIyOAQAAAABMQcAAAAJNC8zMC8yMDIwCAAAAAk4LzE2LzIwMjAJAAAAATD/b8pM8kHYCAQFnlnyQdgIKENJUS5MU0U6VFNDTy5JUV9MQVNUU0FMRVBSSUNFLjIyLzExLzIwMTkBAAAAMFAGAAIAAAAFMi4zMjYA6DV+U/JB2AiIUC1x8kHYCCFDSVEuTFNFOlNGT1IuSVFfVk9MVU1FLjI4LzEyLzIwMTgBAAAAy1PkIQIAAAAHMC4wMzEzOQDH4n9T8kHYCJsNInHyQdgILkNJUS5OWVNFOktPLklRX0lOQ19UQVguOTk3LjMwLzA0LzIwMjAuLkYuVVNELkMBAAAAEmgAAAIAAAAEMTU4NgEIAAAABQAAAAExAQAAAAoxOTQ2NDMwNzgyAwAAAAMxNjACAAAAAjc1BAAAAAExBwAAAAk0LzMwLzIwMjAIAAAACTgvMTYvMjAyMAkAAAABMANJykzyQdgIdSanWfJB2AgpQ0lRLk5ZU0U6TUFOVS5JUV9MQVNUU0FMRVBSSUNFLjI4LzA2LzIwMTkBAAAA3WsNAAIAAAAFMTguMDgAwap+U/JB2AjX/idx8kHYCCJD</t>
  </si>
  <si>
    <t>SVEuTllTRTpNQU5VLklRX1ZPTFVNRS4wNi8wOS8yMDE5AQAAAN1rDQACAAAACDAuMDM4MzYzAJX9JFXyQdgIHp6/cvJB2AgsQ0lRLkxTRTpUU0NPLklRX0VCSVQuOTk5LjMwLzA0LzIwMjAuLkYuR0JQLkMBAAAAMFAGAAIAAAAEMjEwMgEIAAAABQAAAAExAQAAAAoxOTY4NzM2NTYzAwAAAAI1NQIAAAADNDAwBAAAAAExBwAAAAk0LzMwLzIwMjAIAAAACTgvMTYvMjAyMAkAAAABMMkxB0vyQdgISZCkWfJB2AhDQ0lRLk5BU0RBUUdTOlRTTEEuSVFfVE9UQUxfREVCVF9OT05fQ1VSUkVOVC45OTcuMzEvMTIvMjAxOS4uRi5VU0QuQwEAAAAQxqIBAgAAAAgyMjIyLjQ4MgEIAAAABQAAAAExAQAAAAoxODc1NzY5MDgyAwAAAAMxNjACAAAABTI1MjI0BAAAAAExBwAAAAoxMi8zMS8yMDE5CAAAAAk4LzE2LzIwMjAJAAAAATAcrRd48kHYCN4w93jyQdgILUNJUS5OQVNEQVFHUzpUU0xBLklRX0xBU1RTQUxFUFJJQ0UuMjgvMDYvMjAxOQEAAAAQxqIBAgAAAAYyMjMuNDYAwap+U/JB2AjX/idx8kHYCD5DSVEuTFNFOlRTQ08uSVFfVE9UQUxfREVCVF9OT05fQ1VSUkVOVC45OTcuMzEvMTIvMjAxOS4uRi5HQlAuQwEAAAAwUAYAAgAAAAUxMTExNwEIAAAABQAAAAExAQAAAAoxODQ3ODI1MTQ4AwAAAAI1NQIAAAAFMjUyMjQEAAAAATEHAAAACjEyLzMxLzIwMTkIAAAACTgvMTYvMjAyMAkAAAABMBytF3jyQdgI3jD3ePJB</t>
  </si>
  <si>
    <t>2AgwQ0lRLk5BU0RBUUdTOkNBS0UuSVFfU0dBLjk5Ni4zMC8wNC8yMDIwLi5GLlVTRC5DAQAAAAjgBAACAAAABzI4NS4zMTEBCAAAAAUAAAABMQEAAAAKMTg3NzE0NDQzOAMAAAADMTYwAgAAAAIyMwQAAAABMQcAAAAJNC8zMC8yMDIwCAAAAAk4LzE2LzIwMjAJAAAAATD/b8pM8kHYCDEQoVnyQdgIIUNJUS5MU0U6U0ZPUi5JUV9WT0xVTUUuMTgvMDUvMjAxOAEAAADLU+QhAwAAAAAAKeaFUvJB2AjfaAhx8kHYCCRDSVEuXlNQWC5JUV9MQVNUU0FMRVBSSUNFLjMxLzA4LzIwMTkBAAAAm7goAAIAAAAQMjkyNi40NTgxMjg2MDg4OABJBTNS8kHYCPyQB3PyQdgIMkNJUS5OWVNFOlJBQ0UuSVFfVE9UQUxfUkVWLjk5OC4zMS8xMi8yMDE5Li5GLkVVUi5DAQAAAD2CsBACAAAACDMxMDUuMDg0AQgAAAAFAAAAATEBAAAACjE5NDc0NDQxODQDAAAAAjUwAgAAAAIyOAQAAAABMQcAAAAKMTIvMzEvMjAxOQgAAAAJOC8xNi8yMDIwCQAAAAEwHvsXePJB2AjHEvJ48kHYCDFDSVEuTFNFOlNGT1IuSVFfUlVBX0dST1NTLjIwMDAuMzAvMDQvMjAyMC4uLkxPQ0FMAQAAAMtT5CECAAAABjI1Ljc3OQEIAAAABQAAAAExAQAAAAoyMDM2MTY3OTAzAwAAAAI1NQIAAAAFNDgzNjUEAAAAATAHAAAACTQvMzAvMjAyMAgAAAAKMTIvMzEvMjAxOQkAAAABMLGvJFXyQdgIDdZ9WfJB2AgfQ0lRLk5ZU0U6UkFDRS5JUV9DT1VOVFJZX09G</t>
  </si>
  <si>
    <t>X0lOQwEAAAA9grAQAwAAAAtOZXRoZXJsYW5kcwD8OiRV8kHYCFo8g1nyQdgIM0NJUS5MU0U6U0ZPUi5JUV9UT1RBTF9MSUFCLjIwMDAuMzEvMTIvMjAxOS4uRi5HQlAuQwEAAADLU+QhAgAAAAcxNTkuNzE0AQgAAAAFAAAAATEBAAAACjE5NjExMTc0MDEDAAAAAjU1AgAAAAQxMjc2BAAAAAExBwAAAAoxMi8zMS8yMDE5CAAAAAk4LzE2LzIwMjAJAAAAATCE1Bd48kHYCN4I9njyQdgIK0NJUS5MU0U6U0ZPUi5JUV9GSVNDQUxfWS4xMDAwLjMwLzA0LzIwMjAuLkYBAAAAy1PkIQEAAAAEMjAxOQD8OiRV8kHYCM4EiVnyQdgIMkNJUS5OWVNFOktPLklRX1RPVEFMX0xJQUIuMjAwMC4zMC8wNC8yMDIwLi5GLlVTRC5DAQAAABJoAAACAAAABTc0MTc5AQgAAAAFAAAAATEBAAAACjIwMzAzNzY4OTcDAAAAAzE2MAIAAAAEMTI3NgQAAAABMQcAAAAJNC8zMC8yMDIwCAAAAAk4LzE2LzIwMjAJAAAAATADScpM8kHYCC3pmVnyQdgIO0NJUS5OQVNEQVFHUzpDQUtFLklRX0VRVUlUWV9NRVRIT0QuMTAwMC4zMS8xMi8yMDE5Li5GLlVTRC5DAQAAAAjgBAACAAAABjc5Ljc2NwEIAAAABQAAAAExAQAAAAoxOTQ4MTc2Njc1AwAAAAMxNjACAAAABDMwNjMEAAAAATEHAAAACjEyLzMxLzIwMTkIAAAACTgvMTYvMjAyMAkAAAABMEdgF3jyQdgIEAMAefJB2AgnQ0lRLiRBRURVWVUuSVFfTEFTVFNBTEVQUklDRS4zMC8wNC8yMDIw</t>
  </si>
  <si>
    <t>AQAAACXrWgACAAAACzAuMDg2NDQ3OTM4AKokJVXyQdgIjbOCWfJB2AgmQ0lRLk5ZU0U6S08uSVFfQkVUQV8yWVJfUlNRLjMwLzA0LzIwMjABAAAAEmgAAAIAAAARMC42MTQ2Mzc4ODgyNDc1NzcAsa8kVfJB2Ah9FYpZ8kHYCDFDSVEuTFNFOlRTQ08uSVFfQ09TVF9SRVYuMTAwMC4zMS8xMi8yMDE5Li5GLkdCUC5DAQAAADBQBgACAAAABTYwMzkzAQgAAAAFAAAAATEBAAAACjE5Njg3MzY1NjMDAAAAAjU1AgAAAAExBAAAAAExBwAAAAoxMi8zMS8yMDE5CAAAAAk4LzE2LzIwMjAJAAAAATAe+xd48kHYCFlR8XjyQdgIJkNJUS5OQVNEQVFHUzpDQUtFLklRX1ZPTFVNRS4xMC8wNS8yMDE5AQAAAAjgBAACAAAACDAuNjI1NjI0AJX9JFXyQdgI3ofAcvJB2AgtQ0lRLk5BU0RBUUdTOlRTTEEuSVFfTEFTVFNBTEVQUklDRS4zMS8wNy8yMDE3AQAAABDGogECAAAABjMyMy40NwDRg35T8kHYCNtiJ3HyQdgIKENJUS5MU0U6VFNDTy5JUV9MQVNUU0FMRVBSSUNFLjEwLzA1LzIwMTkBAAAAMFAGAAIAAAAFMi40MjEAwap+U/JB2AjeeCZx8kHYCCxDSVEuTFNFOlNGT1IuSVFfRUJJVC45OTguMzAvMDQvMjAyMC4uRi5HQlAuQwEAAADLU+QhAwAAAAAA2QoHS/JB2AgzuKRZ8kHYCCdDSVEuTllTRTpLTy5JUV9MQVNUU0FMRVBSSUNFLjA3LzA5LzIwMTgBAAAAEmgAAAIAAAAFNDUuNzIAQ5iFUvJB2AgRmxJx8kHYCDFDSVEu</t>
  </si>
  <si>
    <t>TllTRTpSQUNFLklRX1RPVEFMX0NMLjk5OS4zMS8xMi8yMDE5Li5GLkVVUi5DAQAAAD2CsBACAAAACDEyMTAuNjcxAQgAAAAFAAAAATEBAAAACjE5NDc0NDQxOTADAAAAAjUwAgAAAAQxMDA5BAAAAAExBwAAAAoxMi8zMS8yMDE5CAAAAAk4LzE2LzIwMjAJAAAAATAcrRd48kHYCC1n+HjyQdgILENJUS5OWVNFOlJBQ0UuSVFfQVAuMjAwMC4zMC8wNC8yMDIwLi5GLkVVUi5DAQAAAD2CsBACAAAABzcxMS41MzkBCAAAAAUAAAABMQEAAAAKMjAxNTY0Mjk1NAMAAAACNTACAAAABDEwMTgEAAAAATEHAAAACTQvMzAvMjAyMAgAAAAJOC8xNi8yMDIwCQAAAAEw2QoHS/JB2AjxFa1Z8kHYCDBDSVEuTkFTREFRR1M6VFNMQS5JUV9OSS4yMDAwLjMxLzEyLzIwMTkuLkYuVVNELkMBAAAAEMaiAQIAAAAILTgyNy4wOTEBCAAAAAUAAAABMQEAAAAKMTk4OTQ1MzEzMAMAAAADMTYwAgAAAAIxNQQAAAABMQcAAAAKMTIvMzEvMjAxOQgAAAAJOC8xNi8yMDIwCQAAAAEw3O2Vd/JB2Ag58eh48kHYCDdDSVEuVVNELklRX0ZVTExfQ1VSVkVfQU5OVUFMLkFMTENPUlAuQkJCLjIwWS4zMC8wNC8yMDIwAQAAAAAAAAACAAAACTAuMDU2NDA5OQCqJCVV8kHYCFrjhlnyQdgIKENJUS5OWVNFOlJBQ0UuSVFfRVBTX0VTVC42MDAwLjMwLzA0LzIwMjABAAAAPYKwEAIAAAAHMy40MjkxMgEOAAAABQAAAAIxMQEAAAAJMzEzOTc0OTgxAgAA</t>
  </si>
  <si>
    <t>AAoxMDAzMjI2ODA3AwAAAAYxMDAxNzMEAAAAATMGAAAAATAHAAAAAjUwCAAAAAEwCQAAAAExCgAAAAEwCwAAAAsxMTg5MzA3NTQxNwwAAAACMTINAAAACDUvMS8yMDIwEAAAAAk0LzMwLzIwMjCxryRV8kHYCFo8g1nyQdgIJENJUS5eQVNYLklRX0xBU1RTQUxFUFJJQ0UuMDEvMDMvMjAxOQEAAAAfU+sBAgAAAAszOTExLjA3MDQ3MgCgnjdR8kHYCM+9GnPyQdgIHUNJUS5OWVNFOk1BTlUuSVFfQ09VTlRSWV9OQU1FAQAAAN1rDQADAAAADlVuaXRlZCBLaW5nZG9tAPw6JFXyQdgIp3mJWfJB2AgtQ0lRLk5BU0RBUUdTOkNBS0UuSVFfTEFTVFNBTEVQUklDRS4xNC8wOS8yMDE4AQAAAAjgBAACAAAABTUyLjkzAEOYhVLyQdgI7DYTcfJB2AgyQ0lRLk5ZU0U6UkFDRS5JUV9UT1RBTF9DQS4xMDAwLjMxLzEyLzIwMTkuLkYuRVVSLkMBAAAAPYKwEAIAAAAIMjQ3Ny4zMjYBCAAAAAUAAAABMQEAAAAKMTk0NzQ0NDE4MwMAAAACNTACAAAABDEwMDgEAAAAATEHAAAACjEyLzMxLzIwMTkIAAAACTgvMTYvMjAyMAkAAAABMDuGF3jyQdgIiTb8ePJB2AggQ0lRLi5JUV9MQVNUU0FMRVBSSUNFLjExLzEwLzIwMTkFAAAAAAAAAAgAAAAUKEludmFsaWQgSWRlbnRpZmllcilobzdS8kHYCK8ALXPyQdgIJENJUS5eQVNYLklRX0xBU1RTQUxFUFJJQ0UuMjMvMDMvMjAxOAEAAAAfU+sBAgAAAAszODMwLjI1NDU0MQDYLd508kHY</t>
  </si>
  <si>
    <t>CG3cRXbyQdgIPkNJUS5OQVNEQVFHUzpUU0xBLklRX0hJR0hfVEFSR0VUX1BSSUNFLjYwMDAuMzEvMTIvMjAxOS4uLlVTRC5DAQAAABDGogECAAAAAzUzMAEOAAAABQAAAAE3AQAAAAkxMDg4MDM5MTUCAAAACjEwMDA4NzI5MjMDAAAABjEwMDE2MwQAAAADMjU1BgAAAAEwBwAAAAMxNjAIAAAAATEJAAAAATEKAAAAATALAAAACzExNzI5MDkwMjc0DAAAAAE4DQAAAAgxLzEvMjAyMBAAAAAJOC8xNi8yMDIwHiIYePJB2AhEeQB58kHYCCRDSVEuXkFTWC5JUV9MQVNUU0FMRVBSSUNFLjMwLzA5LzIwMTUBAAAAH1PrAQIAAAALMzMzNS45MTg3MTYAoJ43UfJB2Ajp+gtz8kHYCDVDSVEuTkFTREFRR1M6VFNMQS5JUV9UT1RBTF9DTC45OTYuMzEvMTIvMjAxOS4uRi5VU0QuQwEAAAAQxqIBAgAAAAgyMTY1LjM2MgEIAAAABQAAAAExAQAAAAoxODMwMTQzMzAwAwAAAAMxNjACAAAABDEwMDkEAAAAATEHAAAACjEyLzMxLzIwMTkIAAAACTgvMTYvMjAyMAkAAAABMBytF3jyQdgIZBv4ePJB2AgzQ0lRLk5ZU0U6UkFDRS5JUV9UT1RBTF9MSUFCLjk5Ny4zMC8wNC8yMDIwLi5GLkVVUi5DAQAAAD2CsBACAAAACDM1MTkuNzk5AQgAAAAFAAAAATEBAAAACjE5NDc0NDQxODQDAAAAAjUwAgAAAAQxMjc2BAAAAAExBwAAAAk0LzMwLzIwMjAIAAAACTgvMTYvMjAyMAkAAAABMNkKB0vyQdgI8KuaWfJB2AgvQ0lRLk5BU0RBUUdT</t>
  </si>
  <si>
    <t>OlRTTEEuSVFfR1AuOTk4LjMwLzA0LzIwMjAuLkYuVVNELkMBAAAAEMaiAQIAAAAEMjIyMwEIAAAABQAAAAExAQAAAAoyMDEzOTA3NDcwAwAAAAMxNjACAAAAAjEwBAAAAAExBwAAAAk0LzMwLzIwMjAIAAAACTgvMTYvMjAyMAkAAAABMLxYB0vyQdgIfdifWfJB2Ag1Q0lRLk5ZU0U6S08uSVFfRVNUX0VQU19HUk9XVEhfNVlSX05VTS42MDAwLjMwLzA0LzIwMjABAAAAEmgAAAEAAAABMwCxryRV8kHYCKo0f1nyQdgIJ0NJUS4kQUVEVVNELklRX0xBU1RTQUxFUFJJQ0UuMDMvMDEvMjAxNwEAAAAl61oAAgAAAAYzLjY3MjgAW5PiTfJB2AgD01528kHYCCVDSVEuXkNPTVAuSVFfTEFTVFNBTEVQUklDRS4zMS8wMS8yMDE4AQAAAIm4KAACAAAABzc0MTEuNDgAtbw3UvJB2Ahssglz8kHYCCdDSVEuJEFFRFVTRC5JUV9MQVNUU0FMRVBSSUNFLjAxLzEwLzIwMTkBAAAAJetaAAIAAAAFMy42NzMAR2AXePJB2AjXYgF58kHYCDFDSVEuTkFTREFRR1M6VFNMQS5JUV9QRVJJT0REQVRFLjk5Ni4zMC8wNC8yMDIwLi5GAQAAABDGogEFAAAACjMxLzEyLzIwMTUAsa8kVfJB2Aj0LYFZ8kHYCC1DSVEuTkFTREFRR1M6VFNMQS5JUV9MQVNUU0FMRVBSSUNFLjA1LzEwLzIwMTgBAAAAEMaiAQIAAAAGMjYxLjk1AEOYhVLyQdgIaQoVcfJB2Ag3Q0lRLkFVRC5JUV9GVUxMX0NVUlZFX0FOTlVBTC5BTExDT1JQLkFBQS4yMFkuMzEv</t>
  </si>
  <si>
    <t>MTIvMjAxOQEAAAAAAAAAAgAAAAkwLjAyNjY5MzUA2C3edPJB2AhJ+El28kHYCCJDSVEuTllTRTpSQUNFLklRX1ZPTFVNRS4xNC8wMi8yMDIwAQAAAD2CsBACAAAACDAuMjU4OTYzANk5tVPyQdgIARJ2WfJB2AgZQ0lRLi5JUV9WT0xVTUUuMDcvMDIvMjAyMAUAAAAAAAAACAAAABQoSW52YWxpZCBJZGVudGlmaWVyKdk5tVPyQdgISSh1WfJB2AgrQ0lRLkxTRTpTRk9SLklRX0dQLjIwMDAuMzAvMDQvMjAyMC4uRi5HQlAuQwEAAADLU+QhAgAAAAcxNzEuMzE4AQgAAAAFAAAAATEBAAAACjIwMjI1OTk4ODcDAAAAAjU1AgAAAAIxMAQAAAABMQcAAAAJNC8zMC8yMDIwCAAAAAk4LzE2LzIwMjAJAAAAATDZCgdL8kHYCJ+Kn1nyQdgIMENJUS5MU0U6U0ZPUi5JUV9UT1RBTF9DTC45OTcuMzEvMTIvMjAxOS4uRi5HQlAuQwEAAADLU+QhAwAAAAAAHK0XePJB2AikQfh48kHYCCZDSVEuTkFTREFRR1M6Q0FLRS5JUV9WT0xVTUUuMzEvMDgvMjAxOAEAAAAI4AQAAgAAAAgwLjYyMDM0NABDmIVS8kHYCETYEXHyQdgIM0NJUS5MU0U6U0ZPUi5JUV9QUkVGX0VRVUlUWS45OTcuMzEvMTIvMjAxOS4uRi5HQlAuQwEAAADLU+QhAwAAAAAAHvsXePJB2AgQqfR48kHYCCBDSVEuTllTRTpLTy5JUV9WT0xVTUUuMjcvMTIvMjAxOQEAAAASaAAAAgAAAAg2Ljg5NTYxMgCj1iRV8kHYCAeTw3LyQdgIKUNJUS5OWVNFOlJBQ0UuSVFf</t>
  </si>
  <si>
    <t>TEFTVFNBTEVQUklDRS4xMS8xMC8yMDE5AQAAAD2CsBACAAAABjE1My4zMgAFXX5T8kHYCOzKK3HyQdgIMENJUS5MU0U6U0ZPUi5JUV9UT1RBTF9DQS45OTYuMzAvMDQvMjAyMC4uRi5HQlAuQwEAAADLU+QhAwAAAAAA2QoHS/JB2AjPIZRZ8kHYCC1DSVEuTkFTREFRR1M6Q0FLRS5JUV9MQVNUU0FMRVBSSUNFLjMxLzEwLzIwMTgBAAAACOAEAAIAAAAFNDguMzQACA9+U/JB2AgIVitx8kHYCC1DSVEuTkFTREFRR1M6VFNMQS5JUV9MQVNUU0FMRVBSSUNFLjMxLzAzLzIwMTcBAAAAEMaiAQIAAAAFMjc4LjMA0YN+U/JB2AjeeCZx8kHYCCdDSVEuJEFFRENMUC5JUV9MQVNUU0FMRVBSSUNFLjMxLzEyLzIwMTkBAAAAJetaAAIAAAALMC4wMDQ4ODQ4MjgA/gNCdfJB2AgKzUt28kHYCDZDSVEuTkFTREFRR1M6Q0FLRS5JUV9MVF9JTlZFU1QuOTk3LjMxLzEyLzIwMTkuLkYuVVNELkMBAAAACOAEAAMAAAAAADuGF3jyQdgIOu75ePJB2AgpQ0lRLk5ZU0U6TUFOVS5JUV9MQVNUU0FMRVBSSUNFLjE4LzA1LzIwMTgBAAAA3WsNAAIAAAAEMjAuNwAp5oVS8kHYCN9oCHHyQdgIJUNJUS5eQ09NUC5JUV9MQVNUU0FMRVBSSUNFLjMxLzEwLzIwMTYBAAAAibgoAAIAAAAHNTE4OS4xNAB8q4VR8kHYCHEBCnPyQdgIP0NJUS5OQVNEQVFHUzpDQUtFLklRX1RPVEFMX0RFQlRfQ1VSUkVOVC45OTYuMzAvMDQvMjAyMC4uRi5VU0Qu</t>
  </si>
  <si>
    <t>QwEAAAAI4AQAAwAAAAAAA0nKTPJB2AgF3pZZ8kHYCCNDSVEuTkFTREFRR1M6VFNMQS5JUV9DT1VOVFJZX09GX0lOQwEAAAAQxqIBAwAAAA1Vbml0ZWQgU3RhdGVzAPw6JFXyQdgIOrGDWfJB2AgmQ0lRLk5BU0RBUUdTOkNBS0UuSVFfVk9MVU1FLjE0LzA2LzIwMTkBAAAACOAEAAIAAAAIMC42MDIwMTYAlf0kVfJB2AjTrsBy8kHYCDFDSVEuTllTRTpSQUNFLklRX1NIQVJFU09VVFNUQU5ESU5HLjMxLzEyLzIwMTUuRVVSAQAAAD2CsBACAAAACDE4OC45MjE2ABUiykzyQdgI2UJhdvJB2AgkQ0lRLl5TUFguSVFfTEFTVFNBTEVQUklDRS4zMC8xMS8yMDE2AQAAAJu4KAACAAAADjIxOTguODEwNDQ5MDg4AHyrhVHyQdgIynsIc/JB2Ag6Q0lRLk5ZU0U6UkFDRS5JUV9FU1RfRVBTX0dST1dUSF81WVJfTUVESUFOLjYwMDAuMzAvMDQvMjAyMAEAAAA9grAQAgAAAAc5LjI3MTI0AQ4AAAAFAAAAATcBAAAACTMxMzk3NDk4MQIAAAAKMTAwMzIyNTEyNQMAAAAGMTAwMTY4BAAAAAEzBgAAAAEwBwAAAAEwCAAAAAEwCQAAAAExCgAAAAEwCwAAAAsxMTg4NDIyNzg0MgwAAAABOA0AAAAINS8xLzIwMjAQAAAACTQvMzAvMjAyMLGvJFXyQdgIooJ/WfJB2AgpQ0lRLk5ZU0U6TUFOVS5JUV9MQVNUU0FMRVBSSUNFLjMxLzA1LzIwMTgBAAAA3WsNAAIAAAAFMjAuOTUA6DV+U/JB2AiIqSlx8kHYCC1DSVEuTllTRTpNQU5VLklR</t>
  </si>
  <si>
    <t>X1BFUklPRERBVEUuOTk3LjMwLzA0LzIwMjAuLkYBAAAA3WsNAAUAAAAKMzAvMDYvMjAxNgCxryRV8kHYCPQtgVnyQdgIGUNJUS4uSVFfVk9MVU1FLjEzLzA5LzIwMTkFAAAAAAAAAAgAAAAUKEludmFsaWQgSWRlbnRpZmllcinZObVT8kHYCFfmunLyQdgIK0NJUS5MU0U6VFNDTy5JUV9GSUxJTkdfQ1VSUkVOQ1kuLjMwLzA0LzIwMjABAAAAMFAGAAMAAAADR0JQALGvJFXyQdgIjtB/WfJB2AgqQ0lRLkxTRTpTRk9SLklRX0dQLjk5OC4zMS8xMi8yMDE5Li5GLkdCUC5DAQAAAMtT5CEDAAAAAAAeIhh48kHYCDxm8HjyQdgIIUNJUS5MU0U6VFNDTy5JUV9WT0xVTUUuMjYvMDEvMjAxOAEAAAAwUAYAAgAAAAgxNC41NzcyMQAoK0J18kHYCPtoWnbyQdgIKUNJUS5OWVNFOlJBQ0UuSVFfTEFTVFNBTEVQUklDRS4wNy8xMi8yMDE4AQAAAD2CsBACAAAABjEwNC44NADH4n9T8kHYCLXtH3HyQdgIL0NJUS5OWVNFOk1BTlUuSVFfTEFTVFNBTEVQUklDRS4zMS8xMi8yMDE5LkdCUC5DAQAAAN1rDQACAAAACjE1LjIwODM4MzcAR2AXePJB2AjdiQF58kHYCCdDSVEuJEFFREVVUi5JUV9MQVNUU0FMRVBSSUNFLjMxLzEyLzIwMTQBAAAAJetaAAIAAAAKNC40NDYxNjU5NQAVIspM8kHYCNsgX3byQdgIJ0NJUS4kQUVEVEhCLklRX0xBU1RTQUxFUFJJQ0UuMzEvMTIvMjAxOQEAAAAl61oAAgAAAAswLjEyMzQxNjU1MgD+A0J1</t>
  </si>
  <si>
    <t>8kHYCNGkS3byQdgIMUNJUS5OQVNEQVFHUzpUU0xBLklRX0VCSVQuOTk4LjMxLzEyLzIwMTkuLkYuVVNELkMBAAAAEMaiAQIAAAAHLTY0NS42NAEIAAAABQAAAAExAQAAAAoxOTQ1ODczNTUxAwAAAAMxNjACAAAAAzQwMAQAAAABMQcAAAAKMTIvMzEvMjAxOQgAAAAJOC8xNi8yMDIwCQAAAAEwHiIYePJB2Ahn/Ot48kHYCC1DSVEuTkFTREFRR1M6Q0FLRS5JUV9MQVNUU0FMRVBSSUNFLjI2LzA3LzIwMTkBAAAACOAEAAIAAAAFNDMuODUA0YN+U/JB2Ag46Chx8kHYCCFDSVEuTFNFOlRTQ08uSVFfVk9MVU1FLjAyLzAzLzIwMTgBAAAAMFAGAAIAAAAIMjQ3Ljc1OTYAKCtCdfJB2AjRXVd28kHYCC9DSVEuTllTRTpNQU5VLklRX1RPVEFMX1JFVjpDVVJSRU5DWS4uMzEvMTIvMjAxOQEAAADdaw0AAwAAAANHQlABCAAAAAUAAAABMQEAAAAKMjAxODYzMjAwMwMAAAACNTUCAAAAAjI4BAAAAAEwBwAAAAoxMi8zMS8yMDE5CAAAAAoxMi8zMS8yMDE5CQAAAAEw/gNCdfJB2Agv6V128kHYCC1DSVEuTllTRTpLTy5JUV9UT1RBTF9SRVY6Q1VSUkVOQ1kuLjMwLzA0LzIwMjABAAAAEmgAAAMAAAADVVNEAQgAAAAFAAAAATEBAAAACjIwMzAzNzY4OTcDAAAAAzE2MAIAAAACMjgEAAAAATAHAAAACTQvMzAvMjAyMAgAAAAJMy8yNy8yMDIwCQAAAAEw/DokVfJB2Ai6F4JZ8kHYCCxDSVEuTllTRTpNQU5VLklRX1NHQS45OTgu</t>
  </si>
  <si>
    <t>MzEvMTIvMjAxOS4uRi5HQlAuQwEAAADdaw0AAgAAAAcyNjMuMDQxAQgAAAAFAAAAATEBAAAACjE5ODU4NDUwNDUDAAAAAjU1AgAAAAIyMwQAAAABMQcAAAAKMTIvMzEvMjAxOQgAAAAJOC8xNi8yMDIwCQAAAAEwHiIYePJB2AiKpO948kHYCDBDSVEuTkFTREFRR1M6VFNMQS5JUV9FQlQuOTk3LjMwLzA0LzIwMjAuLkYuVVNELkMBAAAAEMaiAQIAAAAILTc0Ni4zNDgBCAAAAAUAAAABMQEAAAAKMTk0NTg3MzU1MQMAAAADMTYwAgAAAAMxMzkEAAAAATEHAAAACTQvMzAvMjAyMAgAAAAJOC8xNi8yMDIwCQAAAAEwyTEHS/JB2Ai2Y6ZZ8kHYCCdDSVEuJEFFRENBRC5JUV9MQVNUU0FMRVBSSUNFLjMxLzEyLzIwMTkBAAAAJetaAAIAAAALMi44MzE4NDMzOTcA3wbedPJB2AgxbUp28kHYCDFDSVEuTFNFOlRTQ08uSVFfQ09TVF9SRVYuMjAwMC4zMS8xMi8yMDE5Li5GLkdCUC5DAQAAADBQBgACAAAABTYwMzU3AQgAAAAFAAAAATEBAAAACjE5ODY3OTMyNDADAAAAAjU1AgAAAAExBAAAAAExBwAAAAoxMi8zMS8yMDE5CAAAAAk4LzE2LzIwMjAJAAAAATAe+xd48kHYCIef8XjyQdgIMENJUS5MU0U6VFNDTy5JUV9TSEFSRVNPVVRTVEFORElORy4yOC8wMi8yMDE1LkdCUAEAAAAwUAYAAgAAAAs4MDYzLjg5MzY4NQBHYBd48kHYCAvuAHnyQdgILkNJUS5OWVNFOk1BTlUuSVFfQ0FQRVguOTk3LjMxLzEyLzIwMTkuLkYu</t>
  </si>
  <si>
    <t>R0JQLkMBAAAA3WsNAAIAAAAGLTUuMTAxAQgAAAAFAAAAATEBAAAACjE5MTAyNDc0MDMDAAAAAjU1AgAAAAQyMDIxBAAAAAExBwAAAAoxMi8zMS8yMDE5CAAAAAk4LzE2LzIwMjAJAAAAATDaFJZ38kHYCCpx5XjyQdgIM0NJUS5OWVNFOktPLklRX1RPVEFMX0FTU0VUUy45OTguMzAvMDQvMjAyMC4uRi5VU0QuQwEAAAASaAAAAgAAAAU4Nzg5NgEIAAAABQAAAAExAQAAAAoyMDE2NzkxMjUwAwAAAAMxNjACAAAABDEwMDcEAAAAATEHAAAACTQvMzAvMjAyMAgAAAAJOC8xNi8yMDIwCQAAAAEwA0nKTPJB2AjSlpRZ8kHYCCdDSVEuTllTRTpLTy5JUV9MQVNUU0FMRVBSSUNFLjA5LzAzLzIwMTgBAAAAEmgAAAIAAAAFNDQuODIAKCtCdfJB2AjiclZ28kHYCCZDSVEuTkFTREFRR1M6Q0FLRS5JUV9WT0xVTUUuMDkvMDIvMjAxOAEAAAAI4AQAAgAAAAgxLjYyMjY4MwAoK0J18kHYCBowWXbyQdgII0NJUS5OQVNEQVFHUzpDQUtFLklRX1RFVi4zMC8wNC8yMDIwAQAAAAjgBAACAAAACzI1NjIuODY3MTc5AQYAAAAFAAAAATEBAAAACjIwMjE1ODI3MDIDAAAAAzE2MAIAAAAGMTAwMDYwBAAAAAEwBwAAAAk0LzMwLzIwMjCj1iRV8kHYCHfnflnyQdgIK0NJUS5MU0U6VFNDTy5JUV9BUC4yMDAwLjMxLzEyLzIwMTkuLkYuR0JQLkMBAAAAMFAGAAIAAAAEOTY0MQEIAAAABQAAAAExAQAAAAoxOTg2NzkzMjQwAwAAAAI1NQIA</t>
  </si>
  <si>
    <t>AAAEMTAxOAQAAAABMQcAAAAKMTIvMzEvMjAxOQgAAAAJOC8xNi8yMDIwCQAAAAEw2hSWd/JB2Ai5h+R48kHYCCVDSVEuXkNPTVAuSVFfTEFTVFNBTEVQUklDRS4xNy8wOC8yMDE4AQAAAIm4KAACAAAABzc4MTYuMzMAisU3UfJB2Ai9shdz8kHYCClDSVEuTllTRTpNQU5VLklRX0xBU1RTQUxFUFJJQ0UuMDEvMDYvMjAxOAEAAADdaw0AAgAAAAQyMS4xACnmhVLyQdgIgccJcfJB2AgnQ0lRLiRBRUROWkQuSVFfTEFTVFNBTEVQUklDRS4zMS8xMi8yMDE4AQAAACXrWgACAAAACzIuNDY1MTAwNjcxAN8G3nTyQdgIGrtKdvJB2AgtQ0lRLk5BU0RBUUdTOlRTTEEuSVFfTEFTVFNBTEVQUklDRS4xMy8wNC8yMDE4AQAAABDGogECAAAABjMwMC4zNABBUkJ18kHYCAohUXbyQdgILENJUS5MU0U6VFNDTy5JUV9FQlQuMjAwMC4zMC8wNC8yMDIwLi5GLkdCUC5DAQAAADBQBgACAAAABDEzMTUBCAAAAAUAAAABMQEAAAAKMjAyNjUwNzM4OAMAAAACNTUCAAAAAzEzOQQAAAABMQcAAAAJNC8zMC8yMDIwCAAAAAk4LzE2LzIwMjAJAAAAATDJMQdL8kHYCPDHpVnyQdgIO0NJUS5OQVNEQVFHUzpUU0xBLklRX0RBX01FRElBTl9FU1QuMTAwMy4zMS8xMi8yMDE5Li5GLlVTRC5DAQAAABDGogECAAAABDI2NzgBDgAAAAUAAAABMwEAAAABMAIAAAAKMTAwMTU1NjY0MQMAAAAGMTE0MTkwBAAAAAEyBgAAAAEwBwAAAAMxNjAIAAAA</t>
  </si>
  <si>
    <t>ATEJAAAAATEKAAAAATALAAAACzExNzI3MzYwOTEzDAAAAAExDQAAAAgxLzEvMjAyMBAAAAAJOC8xNi8yMDIw2hSWd/JB2AhrLuh48kHYCCVDSVEuXkNPTVAuSVFfTEFTVFNBTEVQUklDRS4zMS8wNS8yMDE4AQAAAIm4KAACAAAABzc0NDIuMTIAtbw3UvJB2AiAiwlz8kHYCCBDSVEuLklRX0xBU1RTQUxFUFJJQ0UuMjIvMDIvMjAxOQUAAAAAAAAACAAAABQoSW52YWxpZCBJZGVudGlmaWVyKb1QN1HyQdgIw1VVc/JB2AgmQ0lRLk5BU0RBUUdTOkNBS0UuSVFfVk9MVU1FLjA2LzAzLzIwMjABAAAACOAEAAIAAAAHMi4wNDAzNACV/SRV8kHYCMiielnyQdgIJkNJUS5OQVNEQVFHUzpDQUtFLklRX1ZPTFVNRS4wOS8wOC8yMDE5AQAAAAjgBAACAAAACDAuNjE4NzU1AJX9JFXyQdgI067AcvJB2AgtQ0lRLk5ZU0U6S08uSVFfREFfQ0YuMjAwMC4zMC8wNC8yMDIwLi5GLlVTRC5DAQAAABJoAAACAAAABDE0NTcBCAAAAAUAAAABMQEAAAAKMjAzMDM3Njg5NwMAAAADMTYwAgAAAAQyMTYwBAAAAAExBwAAAAk0LzMwLzIwMjAIAAAACTgvMTYvMjAyMAkAAAABMANJykzyQdgI15WpWfJB2AgwQ0lRLk5ZU0U6UkFDRS5JUV9JTkNfVEFYLjk5OS4zMC8wNC8yMDIwLi5GLkVVUi5DAQAAAD2CsBACAAAABjE2LjMxNwEIAAAABQAAAAExAQAAAAoyMDE1NjM5ODE4AwAAAAI1MAIAAAACNzUEAAAAATEHAAAACTQvMzAvMjAyMAgA</t>
  </si>
  <si>
    <t>AAAJOC8xNi8yMDIwCQAAAAEw2QoHS/JB2AiB/6ZZ8kHYCCZDSVEuTkFTREFRR1M6Q0FLRS5JUV9WT0xVTUUuMjYvMDEvMjAxOAEAAAAI4AQAAgAAAAgwLjk0MzY3NgAoK0J18kHYCAiQWnbyQdgIJUNJUS5eQ09NUC5JUV9MQVNUU0FMRVBSSUNFLjE4LzA1LzIwMTgBAAAAibgoAAIAAAAHNzM1NC4zNACKxTdR8kHYCHUnGHPyQdgIO0NJUS5MU0U6U0ZPUi5JUV9SRVZFTlVFX01FRElBTl9FU1QuMTAwMS4zMC8wNC8yMDIwLi5GLkdCUC5DAQAAAMtT5CECAAAAEDM2MC40NTkzNTcyODY0MTIBDgAAAAUAAAABMwEAAAABMAIAAAAKMTAwNDMxNjA1MQMAAAAGMTAwMTgxBAAAAAEzBgAAAAEwBwAAAAI1NQgAAAABMQkAAAABMQoAAAABMAsAAAALMTE4OTkzMzAwOTgMAAAAATENAAAACDUvMS8yMDIwEAAAAAk4LzE2LzIwMjCkfwdL8kHYCDJpnVnyQdgINkNJUS5OQVNEQVFHUzpUU0xBLklRX1RPVEFMX0NBLjIwMDAuMzAvMDQvMjAyMC4uRi5VU0QuQwEAAAAQxqIBAgAAAAUxNDg5MwEIAAAABQAAAAExAQAAAAoyMDMyMDQ1MzM0AwAAAAMxNjACAAAABDEwMDgEAAAAATEHAAAACTQvMzAvMjAyMAgAAAAJOC8xNi8yMDIwCQAAAAEwvFgHS/JB2AgqX5NZ8kHYCChDSVEuTFNFOlNGT1IuSVFfTEFTVFNBTEVQUklDRS4yOC8wMi8yMDE5AQAAAMtT5CECAAAAAzEuMwAID35T8kHYCN8YLHHyQdgINENJUS5OWVNFOk1BTlUu</t>
  </si>
  <si>
    <t>SVFfUFJFRl9FUVVJVFkuOTk4LjMwLzA0LzIwMjAuLkYuR0JQLkMBAAAA3WsNAAMAAAAAAP9vykzyQdgIyG6bWfJB2AglQ0lRLl5DT01QLklRX0xBU1RTQUxFUFJJQ0UuMzAvMDQvMjAxNQEAAACJuCgAAgAAAAc0OTQxLjQzAKCeN1HyQdgIV3UKc/JB2AglQ0lRLl5DT01QLklRX0xBU1RTQUxFUFJJQ0UuMzAvMTEvMjAxNQEAAACJuCgAAgAAAAc1MTA4LjY2AKCeN1HyQdgIOU4Kc/JB2AgsQ0lRLkxTRTpUU0NPLklRX1BFUklPRERBVEUuOTk0LjMxLzEyLzIwMTkuLkYBAAAAMFAGAAUAAAAKMjMvMDIvMjAxMwD+A0J18kHYCDQUTnbyQdgIN0NJUS5OWVNFOk1BTlUuSVFfTklfTUVESUFOX0VTVC4xMDAxLjMwLzA0LzIwMjAuLkYuR0JQLkMBAAAA3WsNAAIAAAADLTE0AQ4AAAAFAAAAATMBAAAAATACAAAACjEwMDMwOTI0MjMDAAAABjEwMDI1MQQAAAABMwYAAAABMAcAAAACNTUIAAAAATEJAAAAATEKAAAAATALAAAACzExODY4NjI2MjQzDAAAAAExDQAAAAg1LzEvMjAyMBAAAAAJOC8xNi8yMDIw6pbKTPJB2AhQ6adZ8kHYCClDSVEuTllTRTpNQU5VLklRX0xBU1RTQUxFUFJJQ0UuMjIvMDMvMjAxOQEAAADdaw0AAgAAAAUxOS41NQC5lH9T8kHYCMbzJHHyQdgIGUNJUS4uSVFfVk9MVU1FLjE3LzA4LzIwMTgFAAAAAAAAAAgAAAAUKEludmFsaWQgSWRlbnRpZmllcilvI4VS8kHYCKagEHHyQdgIKENJUS5MU0U6</t>
  </si>
  <si>
    <t>U0ZPUi5JUV9MQVNUU0FMRVBSSUNFLjMwLzA2LzIwMTYBAAAAy1PkIQMAAAAAAMGqflPyQdgI1lckcfJB2Ag1Q0lRLk5BU0RBUUdTOlRTTEEuSVFfQ09TVF9SRVYuOTk4LjMxLzEyLzIwMTkuLkYuVVNELkMBAAAAEMaiAQIAAAAINTQwMC44NzUBCAAAAAUAAAABMQEAAAAKMTk0NTg3MzU1MQMAAAADMTYwAgAAAAExBAAAAAExBwAAAAoxMi8zMS8yMDE5CAAAAAk4LzE2LzIwMjAJAAAAATAe+xd48kHYCH4q8XjyQdgIGUNJUS4uSVFfVk9MVU1FLjA1LzA3LzIwMTkFAAAAAAAAAAgAAAAUKEludmFsaWQgSWRlbnRpZmllcinZObVT8kHYCFK/unLyQdgIK0NJUS5MU0U6U0ZPUi5JUV9TR0EuOTk4LjMxLzEyLzIwMTkuLkYuR0JQLkMBAAAAy1PkIQMAAAAAAB4iGHjyQdgIiqTvePJB2AgpQ0lRLk5ZU0U6TUFOVS5JUV9MQVNUU0FMRVBSSUNFLjA4LzAzLzIwMTkBAAAA3WsNAAIAAAAFMjAuMDcApLx/U/JB2AjWVyRx8kHYCCZDSVEuTkFTREFRR1M6VFNMQS5JUV9WT0xVTUUuMDUvMDQvMjAxOQEAAAAQxqIBAgAAAAgxMy4wMzgyNgC5lH9T8kHYCIyYwXLyQdgIKENJUS4lVENNU1kzMC5JUV9MQVNUU0FMRVBSSUNFLjMxLzEyLzIwMTkBAAAAIx8oAgIAAAAEMi4zOQBBUkJ18kHYCNh9S3byQdgIJENJUS5eQVNYLklRX0xBU1RTQUxFUFJJQ0UuMDgvMDYvMjAxOAEAAAAfU+sBAgAAAAs0MjM1LjM3NTUwOQCKxTdR8kHY</t>
  </si>
  <si>
    <t>CIHOG3PyQdgIJ0NJUS4kQUVESURSLklRX0xBU1RTQUxFUFJJQ0UuMzEvMTIvMjAxOAEAAAAl61oAAgAAAAswLjAwMDI1NDY2MwD+A0J18kHYCAFCTHbyQdgIGUNJUS4uSVFfVk9MVU1FLjI5LzA2LzIwMTgFAAAAAAAAAAgAAAAUKEludmFsaWQgSWRlbnRpZmllcilDcYVS8kHYCNsPDHHyQdgILUNJUS5OQVNEQVFHUzpDQUtFLklRX0xBU1RTQUxFUFJJQ0UuMjgvMDIvMjAyMAEAAAAI4AQAAgAAAAUzNS42MwAB6H1T8kHYCPiRXVnyQdgIIENJUS5OWVNFOktPLklRX1ZPTFVNRS4wNS8wNy8yMDE5AQAAABJoAAACAAAABzguOTE2MjcAo9YkVfJB2Agu98Jy8kHYCCZDSVEuTkFTREFRR1M6VFNMQS5JUV9WT0xVTUUuMzAvMDMvMjAxOAEAAAAQxqIBAwAAAAAAKCtCdfJB2AizWFJ28kHYCDlDSVEuTFNFOlNGT1IuSVFfQ0FQRVhfTUVESUFOX0VTVC42MDAxLjMxLzEyLzIwMTkuLkYuR0JQLkMBAAAAy1PkIQMAAAAAADs8lnfyQdgI4IHmePJB2Ag8Q0lRLk5ZU0U6UkFDRS5JUV9UT1RBTF9DT01NT05fRVFVSVRZLjk5OC4zMC8wNC8yMDIwLi5GLkVVUi5DAQAAAD2CsBACAAAABzc3OC42NzgBCAAAAAUAAAABMQEAAAAKMjAxNTYzOTgwNQMAAAACNTACAAAABDEwMDYEAAAAATEHAAAACTQvMzAvMjAyMAgAAAAJOC8xNi8yMDIwCQAAAAEw2QoHS/JB2AiCWJxZ8kHYCDlDSVEuTllTRTpNQU5VLklRX0xPV19UQVJHRVRf</t>
  </si>
  <si>
    <t>UFJJQ0UuNjAwMC4zMC8wNC8yMDIwLi4uR0JQLkMBAAAA3WsNAAIAAAAGMTQuMDU2AQ4AAAAFAAAAATcBAAAACTIxNTA1NTM4NQIAAAAGNzAyNzI4AwAAAAYxMDAxNjQEAAAAAzI1NQYAAAABMAcAAAACNTUIAAAAATEJAAAAATEKAAAAATALAAAACzExODY4NjI0ODExDAAAAAE4DQAAAAg1LzEvMjAyMBAAAAAJOC8xNi8yMDIwpH8HS/JB2AgFaY9Z8kHYCDJDSVEuTFNFOlNGT1IuSVFfVE9UQUxfTElBQi45OTguMzAvMDQvMjAyMC4uRi5HQlAuQwEAAADLU+QhAwAAAAAAyTEHS/JB2Aj7hJpZ8kHYCCxDSVEuTkFTREFRR1M6Q0FLRS5JUV9CRVRBXzJZUl9SU1EuMzAvMDQvMjAyMAEAAAAI4AQAAgAAABEwLjQ2MDE2ODY2NzA4MzIxOQCxryRV8kHYCJugiVnyQdgIP0NJUS5OQVNEQVFHUzpDQUtFLklRX0VCSVREQV9NRURJQU5fRVNULjEwMDEuMzAvMDQvMjAyMC4uRi5VU0QuQwEAAAAI4AQAAgAAAAktMjIuMDkxNzcBDgAAAAUAAAABMwEAAAABMAIAAAAKMTAwMjIyNDIyMgMAAAAGMTAwMTg4BAAAAAEyBgAAAAEwBwAAAAMxNjAIAAAAATEJAAAAATEKAAAAATALAAAACzExODg2NTA5NTkzDAAAAAExDQAAAAg1LzEvMjAyMBAAAAAJOC8xNi8yMDIw/2/KTPJB2AjsR6JZ8kHYCDJDSVEuTkFTREFRR1M6VFNMQS5JUV9FQklULjEwMDAuMzAvMDQvMjAyMC4uRi5VU0QuQwEAAAAQxqIBAgAAAAI4MAEIAAAABQAAAAEx</t>
  </si>
  <si>
    <t>AQAAAAoyMDEzOTA3NDYwAwAAAAMxNjACAAAAAzQwMAQAAAABMQcAAAAJNC8zMC8yMDIwCAAAAAk4LzE2LzIwMjAJAAAAATDJMQdL8kHYCFlqpFnyQdgIIENJUS4uSVFfTEFTVFNBTEVQUklDRS4wOS8xMS8yMDE4BQAAAAAAAAAIAAAAFChJbnZhbGlkIElkZW50aWZpZXIp57Q2UfJB2Ag3r2Zz8kHYCCdDSVEuJEFFREdCUC5JUV9MQVNUU0FMRVBSSUNFLjMxLzEyLzIwMTkBAAAAJetaAAIAAAALNC44NjQ1Nzg1MDUAFSLKTPJB2AgQXl528kHYCDZDSVEuTkFTREFRR1M6Q0FLRS5JUV9UT1RBTF9SRVYuOTk1LjMxLzEyLzIwMTkuLkYuVVNELkMBAAAACOAEAAIAAAAHMTg3Ny45MQEIAAAABQAAAAExAQAAAAoxNzc4MDYyNTkwAwAAAAMxNjACAAAAAjI4BAAAAAExBwAAAAoxMi8zMS8yMDE5CAAAAAk4LzE2LzIwMjAJAAAAATAe+xd48kHYCGPH8XjyQdgIIkNJUS5OWVNFOlJBQ0UuSVFfVk9MVU1FLjIwLzA5LzIwMTkBAAAAPYKwEAIAAAAIMC42OTIwNTQAJWG1U/JB2AgDHrxy8kHYCClDSVEuTllTRTpNQU5VLklRX0xBU1RTQUxFUFJJQ0UuMzAvMTEvMjAxOAEAAADdaw0AAgAAAAQxOC40AMfif1PyQdgIcIcrcfJB2Ag8Q0lRLkxTRTpUU0NPLklRX1RPVEFMX0NPTU1PTl9FUVVJVFkuMTAwMC4zMC8wNC8yMDIwLi5GLkdCUC5DAQAAADBQBgACAAAABTEzMjc1AQgAAAAFAAAAATEBAAAACjIwMjY1MDczMDkDAAAA</t>
  </si>
  <si>
    <t>AjU1AgAAAAQxMDA2BAAAAAExBwAAAAk0LzMwLzIwMjAIAAAACTgvMTYvMjAyMAkAAAABMMkxB0vyQdgIkAqcWfJB2AhAQ0lRLkxTRTpUU0NPLklRX01JTk9SSVRZX0lOVEVSRVNUX1RPVEFMLjIwMDAuMzAvMDQvMjAyMC4uRi5HQlAuQwEAAAAwUAYAAgAAAAMtMjIBCAAAAAUAAAABMQEAAAAKMjAyNjUwNzM4OAMAAAACNTUCAAAABDEzMTIEAAAAATEHAAAACTQvMzAvMjAyMAgAAAAJOC8xNi8yMDIwCQAAAAEwyTEHS/JB2AjKTplZ8kHYCCxDSVEuTFNFOlRTQ08uSVFfRUJJVC45OTcuMzAvMDQvMjAyMC4uRi5HQlAuQwEAAAAwUAYAAgAAAAQxMTczAQgAAAAFAAAAATEBAAAACjE4ODg1MjUwNzQDAAAAAjU1AgAAAAM0MDAEAAAAATEHAAAACTQvMzAvMjAyMAgAAAAJOC8xNi8yMDIwCQAAAAEwyTEHS/JB2Agc3qRZ8kHYCDNDSVEuTkFTREFRR1M6Q0FLRS5JUV9FQklUREEuOTk3LjMwLzA0LzIwMjAuLkYuVVNELkMBAAAACOAEAAIAAAAHMjg5LjcxNwEIAAAABQAAAAExAQAAAAoxOTQ4MTc2NjYyAwAAAAMxNjACAAAABDQwNTEEAAAAATEHAAAACTQvMzAvMjAyMAgAAAAJOC8xNi8yMDIwCQAAAAEw/2/KTPJB2AioMaNZ8kHYCDJDSVEuTkFTREFRR1M6VFNMQS5JUV9QRVJJT0REQVRFLjEwMDAuMzAvMDQvMjAyMC4uRgEAAAAQxqIBBQAAAAozMS8xMi8yMDE5ALGvJFXyQdgInYyCWfJB2AgtQ0lRLk5ZU0U6TUFO</t>
  </si>
  <si>
    <t>VS5JUV9QRVJJT0REQVRFLjk5OC4zMC8wNC8yMDIwLi5GAQAAAN1rDQAFAAAACjMwLzA2LzIwMTcAsa8kVfJB2Ajme4FZ8kHYCCxDSVEuTFNFOlNGT1IuSVFfRUJJVC45OTkuMzEvMTIvMjAxOS4uRi5HQlAuQwEAAADLU+QhAwAAAAAAHiIYePJB2AhYI+x48kHYCBlDSVEuLklRX1ZPTFVNRS4yOC8wMi8yMDIwBQAAAAAAAAAIAAAAFChJbnZhbGlkIElkZW50aWZpZXIp2Tm1U/JB2AhJKHVZ8kHYCDBDSVEuTkFTREFRR1M6Q0FLRS5JUV9MQVNUU0FMRVBSSUNFLjMxLzEyLzIwMTkuLkMBAAAACOAEAAIAAAAFMzguODYAKCtCdfJB2Ah4R2J18kHYCCdDSVEuJEFFRFpXTC5JUV9MQVNUU0FMRVBSSUNFLjMxLzEyLzIwMTgBAAAAJetaAAIAAAALMC4wMTEzODkxNDcA/gNCdfJB2AhYdF128kHYCCRDSVEuXkFTWC5JUV9MQVNUU0FMRVBSSUNFLjMxLzEyLzIwMTUBAAAAH1PrAQIAAAALMzQ0NC4yNjQwMTcAoJ43UfJB2AjR0wtz8kHYCCJDSVEuTllTRTpSQUNFLklRX1ZPTFVNRS4xOS8wMS8yMDE4AQAAAD2CsBACAAAACDAuMzU4NDc2ACgrQnXyQdgI9itbdvJB2Ag2Q0lRLk5BU0RBUUdTOlRTTEEuSVFfVE9UQUxfUkVWLjk5OS4zMS8xMi8yMDE5Li5GLlVTRC5DAQAAABDGogECAAAACTExNzU4Ljc1MQEIAAAABQAAAAExAQAAAAoxOTQ1ODczNTUwAwAAAAMxNjACAAAAAjI4BAAAAAExBwAAAAoxMi8zMS8yMDE5CAAA</t>
  </si>
  <si>
    <t>AAk4LzE2LzIwMjAJAAAAATAe+xd48kHYCDdi8njyQdgIO0NJUS5OQVNEQVFHUzpDQUtFLklRX0NBU0hfU1RfSU5WRVNULjk5Ny4zMS8xMi8yMDE5Li5GLlVTRC5DAQAAAAjgBAACAAAABjQzLjg1NAEIAAAABQAAAAExAQAAAAoxODc3MTQ0NDM4AwAAAAMxNjACAAAABDEwMDIEAAAAATEHAAAACjEyLzMxLzIwMTkIAAAACTgvMTYvMjAyMAkAAAABMDuGF3jyQdgIR/n8ePJB2AgkQ0lRLl5TUFguSVFfTEFTVFNBTEVQUklDRS4zMC8wOS8yMDE1AQAAAJu4KAACAAAADzE5MjAuMDI2NTUxNjM5NwCgnjdR8kHYCKPICHPyQdgIKkNJUS5MU0U6VFNDTy5JUV9HUC45OTYuMzEvMTIvMjAxOS4uRi5HQlAuQwEAAAAwUAYAAgAAAAQyMDY4AQgAAAAFAAAAATEBAAAACjE3OTE0NjgxNDYDAAAAAjU1AgAAAAIxMAQAAAABMQcAAAAKMTIvMzEvMjAxOQgAAAAJOC8xNi8yMDIwCQAAAAEwHiIYePJB2Ah8GfB48kHYCDBDSVEuTFNFOlNGT1IuSVFfSU5DX1RBWC4yMDAwLjMxLzEyLzIwMTkuLkYuR0JQLkMBAAAAy1PkIQIAAAAJLTEuNzMzMTQzAQgAAAAFAAAAATEBAAAACjE5NjExMTc0MDEDAAAAAjU1AgAAAAI3NQQAAAABMQcAAAAKMTIvMzEvMjAxOQgAAAAJOC8xNi8yMDIwCQAAAAEw2hSWd/JB2AjfKOp48kHYCDRDSVEuTllTRTpNQU5VLklRX1RPVEFMX0xJQUIuMjAwMC4zMS8xMi8yMDE5Li5GLkdCUC5DAQAAAN1rDQAC</t>
  </si>
  <si>
    <t>AAAABzEwMDQuNTgBCAAAAAUAAAABMQEAAAAKMTk5MzYyMTMyMgMAAAACNTUCAAAABDEyNzYEAAAAATEHAAAACjEyLzMxLzIwMTkIAAAACTgvMTYvMjAyMAkAAAABMITUF3jyQdgI3gj2ePJB2AgoQ0lRLiVUQ01TWTA1LklRX0xBU1RTQUxFUFJJQ0UuMzEvMTIvMjAxOQEAAAAXHygCAgAAAAQxLjY5AEFSQnXyQdgI+y9LdvJB2AgnQ0lRLiRBRURWTkQuSVFfTEFTVFNBTEVQUklDRS4zMC8wNC8yMDE5AQAAACXrWgACAAAACzAuMDAwMTU4MzY3AKokJVXyQdgIJP+DWfJB2AggQ0lRLi5JUV9MQVNUU0FMRVBSSUNFLjMxLzA4LzIwMTgFAAAAAAAAAAgAAAAUKEludmFsaWQgSWRlbnRpZmllcinsIDdS8kHYCEqdbHPyQdgIKENJUS5MU0U6U0ZPUi5JUV9MQVNUU0FMRVBSSUNFLjAzLzAxLzIwMjABAAAAy1PkIQIAAAAFMS45NDUACA9+U/JB2Ag9l1tZ8kHYCDdDSVEuTkFTREFRR1M6Q0FLRS5JUV9UT1RBTF9MSUFCLjk5OC4zMS8xMi8yMDE5Li5GLlVTRC5DAQAAAAjgBAACAAAABzY5MC4xMTIBCAAAAAUAAAABMQEAAAAKMTk0ODE3NjY2MgMAAAADMTYwAgAAAAQxMjc2BAAAAAExBwAAAAoxMi8zMS8yMDE5CAAAAAk4LzE2LzIwMjAJAAAAATCE1Bd48kHYCBC79XjyQdgIM0NJUS5OWVNFOk1BTlUuSVFfTFRfSU5WRVNULjEwMDAuMzEvMTIvMjAxOS4uRi5HQlAuQwEAAADdaw0AAwAAAAAAO4YXePJB2AifYfp48kHY</t>
  </si>
  <si>
    <t>CCRDSVEuXkFTWC5JUV9MQVNUU0FMRVBSSUNFLjMxLzA1LzIwMTkBAAAAH1PrAQIAAAALMzkyMy44Njc5MzQASQUzUvJB2Ajdbxpz8kHYCDJDSVEuTkFTREFRR1M6VFNMQS5JUV9DQVBFWC45OTYuMzEvMTIvMjAxOS4uRi5VU0QuQwEAAAAQxqIBAgAAAAgtOTY5Ljg4NQEIAAAABQAAAAExAQAAAAoxODMwMTQzMzAwAwAAAAMxNjACAAAABDIwMjEEAAAAATEHAAAACjEyLzMxLzIwMTkIAAAACTgvMTYvMjAyMAkAAAABMNoUlnfyQdgIN0rlePJB2AgiQ0lRLk5ZU0U6UkFDRS5JUV9WT0xVTUUuMDEvMDYvMjAxOAEAAAA9grAQAgAAAAgwLjI4NzAzMQAp5oVS8kHYCJR5CXHyQdgIOUNJUS5OWVNFOlJBQ0UuSVFfRUJJVF9NRURJQU5fRVNULjEwMDIuMzEvMTIvMjAxOS4uRi5FVVIuQwEAAAA9grAQAgAAAAoxMDQwLjg2NzYzAQ4AAAAFAAAAATMBAAAAATACAAAACjEwMDMyMjY4MDcDAAAABjEwMDIxNgQAAAABMwYAAAABMAcAAAACNTAIAAAAATEJAAAAATEKAAAAATALAAAACzExNzA1MjUxNDYyDAAAAAExDQAAAAgxLzEvMjAyMBAAAAAJOC8xNi8yMDIw80gYePJB2Agi5ux48kHYCB5DSVEuTFNFOlNGT1IuSVFfVEVWLjMwLzA0LzIwMjABAAAAy1PkIQIAAAAKODQ4LjI2Mzc0OAEGAAAABQAAAAExAQAAAAoyMDIyNTk5ODgwAwAAAAI1NQIAAAAGMTAwMDYwBAAAAAEwBwAAAAk0LzMwLzIwMjCj1iRV8kHYCHfnflny</t>
  </si>
  <si>
    <t>QdgIL0NJUS5OWVNFOktPLklRX1RPVEFMX0NMLjk5Ny4zMC8wNC8yMDIwLi5GLlVTRC5DAQAAABJoAAACAAAABTI2NTMyAQgAAAAFAAAAATEBAAAACjE5NDY0MzA3ODIDAAAAAzE2MAIAAAAEMTAwOQQAAAABMQcAAAAJNC8zMC8yMDIwCAAAAAk4LzE2LzIwMjAJAAAAATADScpM8kHYCNN5l1nyQdgILUNJUS5OQVNEQVFHUzpDQUtFLklRX0xBU1RTQUxFUFJJQ0UuMjkvMTEvMjAxOQEAAAAI4AQAAgAAAAU0My42MQDoNX5T8kHYCHeeLXHyQdgIMENJUS5OQVNEQVFHUzpDQUtFLklRX0ZJTElOR19DVVJSRU5DWS4uMzEvMTIvMjAxOQEAAAAI4AQAAwAAAANVU0QA/gNCdfJB2AhRm1128kHYCDBDSVEuTkFTREFRR1M6VFNMQS5JUV9OSS4yMDAwLjMwLzA0LzIwMjAuLkYuVVNELkMBAAAAEMaiAQIAAAAELTE0NAEIAAAABQAAAAExAQAAAAoyMDMyMDQ1MzM0AwAAAAMxNjACAAAAAjE1BAAAAAExBwAAAAk0LzMwLzIwMjAIAAAACTgvMTYvMjAyMAkAAAABMMkxB0vyQdgIYxCoWfJB2AgiQ0lRLk5ZU0U6TUFOVS5JUV9WT0xVTUUuMTMvMTIvMjAxOQEAAADdaw0AAgAAAAgwLjA2NTc5OACV/SRV8kHYCO3rv3LyQdgIIUNJUS5MU0U6VFNDTy5JUV9WT0xVTUUuMTAvMDgvMjAxOAEAAAAwUAYAAgAAAAgyNS4yNDcyMwA6v4VS8kHYCDMtEHHyQdgIMENJUS5OQVNEQVFHUzpUU0xBLklRX1NHQS45OTkuMzAvMDQvMjAyMC4u</t>
  </si>
  <si>
    <t>Ri5VU0QuQwEAAAAQxqIBAgAAAAQyODM1AQgAAAAFAAAAATEBAAAACjIwMTM5MDc0NjMDAAAAAzE2MAIAAAACMjMEAAAAATEHAAAACTQvMzAvMjAyMAgAAAAJOC8xNi8yMDIwCQAAAAEwvFgHS/JB2AhWm6BZ8kHYCB1DSVEuTllTRTpSQUNFLklRX0NPVU5UUllfTkFNRQEAAAA9grAQAwAAAAVJdGFseQD8OiRV8kHYCF+QiFnyQdgIMUNJUS5OWVNFOk1BTlUuSVFfVE9UQUxfQ0wuOTk2LjMwLzA0LzIwMjAuLkYuR0JQLkMBAAAA3WsNAAIAAAAHMzIzLjQ0NwEIAAAABQAAAAExAQAAAAoxODYxNzM2ODY5AwAAAAI1NQIAAAAEMTAwOQQAAAABMQcAAAAJNC8zMC8yMDIwCAAAAAk4LzE2LzIwMjAJAAAAATC8WAdL8kHYCMKgl1nyQdgIJUNJUS5eQ09NUC5JUV9MQVNUU0FMRVBSSUNFLjIyLzExLzIwMTkBAAAAibgoAAIAAAAHODUxOS44OQC1vDdS8kHYCCaRFXPyQdgIIENJUS4uSVFfTEFTVFNBTEVQUklDRS4yNy8wNy8yMDE4BQAAAAAAAAAIAAAAFChJbnZhbGlkIElkZW50aWZpZXIpvVA3UfJB2AiQgW9z8kHYCDVDSVEuTkFTREFRR1M6Q0FLRS5JUV9TSEFSRVNPVVRTVEFORElORy4wMS8wMS8yMDE5LlVTRAEAAAAI4AQAAgAAAAk0NS4zMzUyODcAW5PiTfJB2AiyzWB28kHYCCRDSVEuXkFTWC5JUV9MQVNUU0FMRVBSSUNFLjA0LzEwLzIwMTkBAAAAH1PrAQIAAAAKMzkzMy4xNDk5MgC1vDdS8kHYCPvTGXPyQdgI</t>
  </si>
  <si>
    <t>Q0NJUS5OQVNEQVFHUzpDQUtFLklRX1RPVEFMX0RFQlRfTk9OX0NVUlJFTlQuOTk4LjMwLzA0LzIwMjAuLkYuVVNELkMBAAAACOAEAAIAAAAHMTE4LjYyNwEIAAAABQAAAAExAQAAAAoyMDIxNTgxNDA5AwAAAAMxNjACAAAABTI1MjI0BAAAAAExBwAAAAk0LzMwLzIwMjAIAAAACTgvMTYvMjAyMAkAAAABMANJykzyQdgIjmOYWfJB2AgsQ0lRLkxTRTpUU0NPLklRX1NHQS4xMDAwLjMwLzA0LzIwMjAuLkYuR0JQLkMBAAAAMFAGAAIAAAAEMjA0MQEIAAAABQAAAAExAQAAAAoyMDI2NTA3MzA5AwAAAAI1NQIAAAACMjMEAAAAATEHAAAACTQvMzAvMjAyMAgAAAAJOC8xNi8yMDIwCQAAAAEwyTEHS/JB2AhfdKBZ8kHYCEBDSVEuTllTRTpNQU5VLklRX01JTk9SSVRZX0lOVEVSRVNUX1RPVEFMLjk5Ny4zMS8xMi8yMDE5Li5GLkdCUC5DAQAAAN1rDQADAAAAAACE1Bd48kHYCMtW9njyQdgIKENJUS5OWVNFOk1BTlUuSVFfQkVUQV81WVJfUlNRLjMwLzA0LzIwMjABAAAA3WsNAAIAAAARMC4yMTE4NDk1NTY0MTE3MDgAsa8kVfJB2AixUolZ8kHYCDBDSVFBVkcuJEFFREdCUC5JUV9MQVNUU0FMRVBSSUNFLjQzNDY1LjMxLzEyLzIwMTkBAAAAJetaAAIAAAAINC42OTAwMjMA6pbKTPJB2AgbdItZ8kHYCC1DSVEuTllTRTpLTy5JUV9UT1RBTF9SRVY6Q1VSUkVOQ1kuLjMxLzEyLzIwMTkBAAAAEmgAAAMAAAADVVNEAQgA</t>
  </si>
  <si>
    <t>AAAFAAAAATEBAAAACjIwMTY3OTM3MjQDAAAAAzE2MAIAAAACMjgEAAAAATAHAAAACjEyLzMxLzIwMTkIAAAACjEyLzMxLzIwMTkJAAAAATD+A0J18kHYCC/pXXbyQdgILUNJUS5OQVNEQVFHUzpUU0xBLklRX0xBU1RTQUxFUFJJQ0UuMzEvMDMvMjAyMAEAAAAQxqIBAgAAAAM1MjQAAeh9U/JB2Ait6WBZ8kHYCC5DSVEuTFNFOlRTQ08uSVFfQ0FQRVguMTAwMC4zMS8xMi8yMDE5Li5GLkdCUC5DAQAAADBQBgACAAAABS0xMTAxAQgAAAAFAAAAATEBAAAACjE5Njg3MzY1NjMDAAAAAjU1AgAAAAQyMDIxBAAAAAExBwAAAAoxMi8zMS8yMDE5CAAAAAk4LzE2LzIwMjAJAAAAATDaFJZ38kHYCBDm5XjyQdgINENJUS5OWVNFOk1BTlUuSVFfRUFSTklOR19DTy4yMDAwLjMxLzEyLzIwMTkuLkYuR0JQLkMBAAAA3WsNAAIAAAAGMTMuMzYzAQgAAAAFAAAAATEBAAAACjE5OTM2MjEzMjIDAAAAAjU1AgAAAAE3BAAAAAExBwAAAAoxMi8zMS8yMDE5CAAAAAk4LzE2LzIwMjAJAAAAATDaFJZ38kHYCH1g5HjyQdgIN0NJUS5OWVNFOlJBQ0UuSVFfQ0FTSF9TVF9JTlZFU1QuOTk5LjMwLzA0LzIwMjAuLkYuRVVSLkMBAAAAPYKwEAIAAAAHNzk5LjU3NQEIAAAABQAAAAExAQAAAAoyMDE1NjM5ODE4AwAAAAI1MAIAAAAEMTAwMgQAAAABMQcAAAAJNC8zMC8yMDIwCAAAAAk4LzE2LzIwMjAJAAAAATDg4wZL8kHYCFPqklnyQdgI</t>
  </si>
  <si>
    <t>J0NJUS4kQUVER0JQLklRX0xBU1RTQUxFUFJJQ0UuMzAvMDYvMjAxNAEAAAAl61oAAgAAAAs2LjI4MjM5MTE3NAAVIspM8kHYCNsgX3byQdgIL0NJUS5MU0U6VFNDTy5JUV9FQklUREEuMTAwMC4zMS8xMi8yMDE5Li5GLkdCUC5DAQAAADBQBgACAAAABDMyNjcBCAAAAAUAAAABMQEAAAAKMTk2ODczNjU2MwMAAAACNTUCAAAABDQwNTEEAAAAATEHAAAACjEyLzMxLzIwMTkIAAAACTgvMTYvMjAyMAkAAAABMB4iGHjyQdgIu5LuePJB2Ag/Q0lRLk5ZU0U6TUFOVS5JUV9UT1RBTF9ERUJUX05PTl9DVVJSRU5ULjk5OC4zMC8wNC8yMDIwLi5GLkdCUC5DAQAAAN1rDQACAAAABzQ5OC4yODUBCAAAAAUAAAABMQEAAAAKMTk4NTg0NTA0NQMAAAACNTUCAAAABTI1MjI0BAAAAAExBwAAAAk0LzMwLzIwMjAIAAAACTgvMTYvMjAyMAkAAAABMLxYB0vyQdgIjmOYWfJB2AgtQ0lRLk5BU0RBUUdTOkNBS0UuSVFfTEFTVFNBTEVQUklDRS4wMi8wOC8yMDE5AQAAAAjgBAACAAAABTQyLjM4ANGDflPyQdgIMjYpcfJB2AgsQ0lRLk5ZU0U6S08uSVFfQ0FQRVguOTk5LjMwLzA0LzIwMjAuLkYuVVNELkMBAAAAEmgAAAIAAAAFLTE1NDgBCAAAAAUAAAABMQEAAAAKMjAxNjc5MTI1MQMAAAADMTYwAgAAAAQyMDIxBAAAAAExBwAAAAk0LzMwLzIwMjAIAAAACTgvMTYvMjAyMAkAAAABMANJykzyQdgIVJCrWfJB2AgxQ0lRLk5BU0RB</t>
  </si>
  <si>
    <t>UUdTOkNBS0UuSVFfRUJULjEwMDEuMzEvMTIvMjAxOS4uRi5VU0QuQwEAAAAI4AQAAwAAAAAA3O2Vd/JB2AinEut48kHYCC9DSVEuTllTRTpSQUNFLklRX0xBU1RTQUxFUFJJQ0UuMzEvMTIvMjAxOC5FVVIuQwEAAAA9grAQAgAAAAk4NC4wNDY2ODgAFSLKTPJB2AguV2B28kHYCCVDSVEuXkNPTVAuSVFfTEFTVFNBTEVQUklDRS4yOC8wMi8yMDE3AQAAAIm4KAACAAAABzU4MjUuNDQAfKuFUfJB2AhxAQpz8kHYCCFDSVEuTFNFOlRTQ08uSVFfVk9MVU1FLjIzLzExLzIwMTgBAAAAMFAGAAIAAAAIMzIuOTM3MTEAx+J/U/JB2AiZjR5x8kHYCC5DSVEuTFNFOlRTQ08uSVFfTEFTVFNBTEVQUklDRS4zMS8xMi8yMDE5LkdCUC5DAQAAADBQBgACAAAABTIuNTUyAEdgF3jyQdgI3YkBefJB2AgpQ0lRLk5ZU0U6UkFDRS5JUV9MQVNUU0FMRVBSSUNFLjA5LzAzLzIwMTgBAAAAPYKwEAIAAAAGMTI0LjcxACgrQnXyQdgIz8BWdvJB2AgtQ0lRLkxTRTpTRk9SLklRX0RBX0NGLjk5OS4zMC8wNC8yMDIwLi5GLkdCUC5DAQAAAMtT5CECAAAACTEzLjk5MjAwMgEIAAAABQAAAAExAQAAAAoxOTYxMTE2MjcxAwAAAAI1NQIAAAAEMjE2MAQAAAABMQcAAAAJNC8zMC8yMDIwCAAAAAk4LzE2LzIwMjAJAAAAATDZCgdL8kHYCL0KqlnyQdgILkNJUS5OWVNFOk1BTlUuSVFfUFJJQ0VfVk9MX0hJU1RfMllSLjMxLzEyLzIwMTkBAAAA</t>
  </si>
  <si>
    <t>3WsNAAIAAAAGMjMuNzE4AOvf3XTyQdgIPzxHdvJB2AhAQ0lRLk5BU0RBUUdTOkNBS0UuSVFfTUVESUFOX1RBUkdFVF9QUklDRS42MDAwLjMxLzEyLzIwMTkuLi5VU0QuQwEAAAAI4AQAAgAAAAQ0NS41AQ4AAAAFAAAAATcBAAAABzI1OTk2OTUCAAAABjI3Mzg4OAMAAAAGMTAwMTYyBAAAAAMyNTUGAAAAATAHAAAAAzE2MAgAAAABMQkAAAABMQoAAAABMAsAAAALMTE3MjQxMTAyNTIMAAAAATgNAAAACDEvMS8yMDIwEAAAAAk4LzE2LzIwMjAeIhh48kHYCBSgAHnyQdgIKUNJUS5OWVNFOlJBQ0UuSVFfTEFTVFNBTEVQUklDRS4yMi8xMS8yMDE5AQAAAD2CsBACAAAABjE2NS4yNQDoNX5T8kHYCJQpLXHyQdgIMUNJUS5OWVNFOlJBQ0UuSVFfVE9UQUxfQ0EuOTk5LjMwLzA0LzIwMjAuLkYuRVVSLkMBAAAAPYKwEAIAAAAIMjQ3Ny4zMjYBCAAAAAUAAAABMQEAAAAKMjAxNTYzOTgxOAMAAAACNTACAAAABDEwMDgEAAAAATEHAAAACTQvMzAvMjAyMAgAAAAJOC8xNi8yMDIwCQAAAAEw4OMGS/JB2Ajpq5NZ8kHYCC9DSVEuTllTRTpNQU5VLklRX0xBU1RTQUxFUFJJQ0UuMzAvMDYvMjAxOC5HQlAuQwEAAADdaw0AAgAAAAkxNS43MTk2NTQAFSLKTPJB2AguV2B28kHYCDhDSVEuTFNFOlNGT1IuSVFfRUJJVF9NRURJQU5fRVNULjEwMDEuMzEvMTIvMjAxOS4uRi5HQlAuQwEAAADLU+QhAgAAAA8zMi4wNjIwNTg3OTgy</t>
  </si>
  <si>
    <t>OTYBDgAAAAUAAAABMwEAAAABMAIAAAAKMTAwNDMxNjA1MAMAAAAGMTAwMjE2BAAAAAEzBgAAAAEwBwAAAAI1NQgAAAABMQkAAAABMQoAAAABMAsAAAALMTE2OTgxODY0ODkMAAAAATENAAAACDEvMS8yMDIwEAAAAAk4LzE2LzIwMjDzSBh48kHYCEFx7HjyQdgIJ0NJUS5OWVNFOktPLklRX0xBU1RTQUxFUFJJQ0UuMjgvMDIvMjAxNQEAAAASaAAAAgAAAAQ0My4zAEFSQnXyQdgIGTdQdvJB2AgtQ0lRLk5ZU0U6TUFOVS5JUV9QRVJJT0REQVRFLjk5OC4zMS8xMi8yMDE5Li5GAQAAAN1rDQAFAAAACjMwLzA2LzIwMTcA/gNCdfJB2AjMeU128kHYCDNDSVEuTkFTREFRR1M6Q0FLRS5JUV9MQVNUU0FMRVBSSUNFLjMxLzEyLzIwMTkuVVNELkMBAAAACOAEAAIAAAAFMzguODYAW5PiTfJB2AhRm1128kHYCD1DSVEuTkFTREFRR1M6VFNMQS5JUV9FQklUX01FRElBTl9FU1QuMTAwMy4zMS8xMi8yMDE5Li5GLlVTRC5DAQAAABDGogECAAAABDIxMjcBDgAAAAUAAAABMwEAAAABMAIAAAAKMTAwMTU1NjY0MQMAAAAGMTAwMjE2BAAAAAEyBgAAAAEwBwAAAAMxNjAIAAAAATEJAAAAATEKAAAAATALAAAACzExNzI5MDg5NzA1DAAAAAExDQAAAAgxLzEvMjAyMBAAAAAJOC8xNi8yMDIw80gYePJB2Ajw9u148kHYCDFDSVEuTkFTREFRR1M6VFNMQS5JUV9FQlQuMTAwMi4zMC8wNC8yMDIwLi5GLlVTRC5DAQAAABDGogEDAAAA</t>
  </si>
  <si>
    <t>AADJMQdL8kHYCAQspVnyQdgIIENJUS4uSVFfTEFTVFNBTEVQUklDRS4zMS8xMi8yMDE3BQAAAAAAAAAIAAAAFChJbnZhbGlkIElkZW50aWZpZXIpaG83UvJB2AhwrTxz8kHYCCtDSVEuTFNFOlRTQ08uSVFfTkkuMTAwMC4zMC8wNC8yMDIwLi5GLkdCUC5DAQAAADBQBgACAAAAAzk3MQEIAAAABQAAAAExAQAAAAoyMDI2NTA3MzA5AwAAAAI1NQIAAAACMTUEAAAAATEHAAAACTQvMzAvMjAyMAgAAAAJOC8xNi8yMDIwCQAAAAEwyTEHS/JB2AgzN6hZ8kHYCDxDSVEuTFNFOlRTQ08uSVFfVE9UQUxfQ09NTU9OX0VRVUlUWS4yMDAwLjMxLzEyLzIwMTkuLkYuR0JQLkMBAAAAMFAGAAIAAAAFMTM5ODcBCAAAAAUAAAABMQEAAAAKMTk4Njc5MzI0MAMAAAACNTUCAAAABDEwMDYEAAAAATEHAAAACjEyLzMxLzIwMTkIAAAACTgvMTYvMjAyMAkAAAABMB77F3jyQdgII1v0ePJB2AgkQ0lRLl5BU1guSVFfTEFTVFNBTEVQUklDRS4wNi8wNy8yMDE4AQAAAB9T6wECAAAACzQxODcuMTczODU4AIrFN1HyQdgIgc4bc/JB2AguQ0lRLkxTRTpTRk9SLklRX0xBU1RTQUxFUFJJQ0UuMzAvMDQvMjAyMC5HQlAuQwEAAADLU+QhAgAAAAQxLjgxALNDw1ryQdgIO6XRWvJB2AgiQ0lRLk5ZU0U6TUFOVS5JUV9WT0xVTUUuMjgvMDYvMjAxOQEAAADdaw0AAgAAAAgwLjAxMzIwNgCV/SRV8kHYCAl3v3LyQdgIJENJUS5eQVNYLklRX0xB</t>
  </si>
  <si>
    <t>U1RTQUxFUFJJQ0UuMjUvMTAvMjAxOQEAAAAfU+sBAgAAAAo0MDMwLjA5ODg5ALW8N1LyQdgI+9MZc/JB2AgmQ0lRLk5BU0RBUUdTOkNBS0UuSVFfVk9MVU1FLjIyLzAzLzIwMTkBAAAACOAEAAIAAAAIMC43MTM1NjYAuZR/U/JB2AjnYcBy8kHYCCdDSVEuTllTRTpLTy5JUV9MQVNUU0FMRVBSSUNFLjMwLzA2LzIwMTgBAAAAEmgAAAIAAAAFNDMuODYA6DV+U/JB2AhxHipx8kHYCCJDSVEuTllTRTpNQU5VLklRX1ZPTFVNRS4yOS8xMS8yMDE5AQAAAN1rDQACAAAACDAuMTEyNTgxAJX9JFXyQdgI7eu/cvJB2Ag7Q0lRLk5BU0RBUUdTOlRTTEEuSVFfQ0FTSF9TVF9JTlZFU1QuOTk3LjMxLzEyLzIwMTkuLkYuVVNELkMBAAAAEMaiAQIAAAAIMTE5Ni45MDgBCAAAAAUAAAABMQEAAAAKMTg3NTc2OTA4MgMAAAADMTYwAgAAAAQxMDAyBAAAAAExBwAAAAoxMi8zMS8yMDE5CAAAAAk4LzE2LzIwMjAJAAAAATA7hhd48kHYCEf5/HjyQdgIO0NJUS5OWVNFOktPLklRX1RPVEFMX0NPTU1PTl9FUVVJVFkuMjAwMC4zMC8wNC8yMDIwLi5GLlVTRC5DAQAAABJoAAACAAAABTE4MTU4AQgAAAAFAAAAATEBAAAACjIwMzAzNzY4OTcDAAAAAzE2MAIAAAAEMTAwNgQAAAABMQcAAAAJNC8zMC8yMDIwCAAAAAk4LzE2LzIwMjAJAAAAATADScpM8kHYCKe8m1nyQdgILUNJUS5OQVNEQVFHUzpDQUtFLklRX0xBU1RTQUxFUFJJQ0Uu</t>
  </si>
  <si>
    <t>MjgvMDIvMjAxOAEAAAAI4AQAAgAAAAU0Ni40OQAFXX5T8kHYCK8NKXHyQdgIJ0NJUS4kQUVETEtSLklRX0xBU1RTQUxFUFJJQ0UuMzEvMTIvMjAxOAEAAAAl61oAAgAAAAswLjAyMDA4MjAxMgD+A0J18kHYCNS2THbyQdgINENJUS5OWVNFOlJBQ0UuSVFfUFJFRl9FUVVJVFkuOTk3LjMxLzEyLzIwMTkuLkYuRVVSLkMBAAAAPYKwEAMAAAAAAB77F3jyQdgIEKn0ePJB2AggQ0lRLi5JUV9MQVNUU0FMRVBSSUNFLjAxLzExLzIwMTkFAAAAAAAAAAgAAAAUKEludmFsaWQgSWRlbnRpZmllcinCRzdS8kHYCMmoKXPyQdgIJkNJUS5OQVNEQVFHUzpDQUtFLklRX1ZPTFVNRS4yNy8wOS8yMDE5AQAAAAjgBAACAAAACDAuNTk2ODgzAJX9JFXyQdgIwPzAcvJB2AgyQ0lRLk5BU0RBUUdTOkNBS0UuSVFfRUJJVC4xMDAwLjMwLzA0LzIwMjAuLkYuVVNELkMBAAAACOAEAAIAAAAHMTI4LjE0OAEIAAAABQAAAAExAQAAAAoyMDIxNTgxNDExAwAAAAMxNjACAAAAAzQwMAQAAAABMQcAAAAJNC8zMC8yMDIwCAAAAAk4LzE2LzIwMjAJAAAAATD/b8pM8kHYCFlqpFnyQdgIK0NJUS5MU0U6VFNDTy5JUV9GSVNDQUxfWS4xMDAwLjMwLzA0LzIwMjAuLkYBAAAAMFAGAAEAAAAEMjAyMAD8OiRV8kHYCL4riVnyQdgII0NJUS5OWVNFOktPLklRX0JVU0lORVNTX0RFU0NSSVBUSU9OAQAAABJoAAADAAAA2ghUaGUgQ29jYS1Db2xhIENv</t>
  </si>
  <si>
    <t>bXBhbnksIGEgYmV2ZXJhZ2UgY29tcGFueSwgbWFudWZhY3R1cmVzLCBtYXJrZXRzLCBhbmQgc2VsbHMgdmFyaW91cyBub25hbGNvaG9saWMgYmV2ZXJhZ2VzIHdvcmxkd2lkZS4gVGhlIGNvbXBhbnkgcHJvdmlkZXMgc3BhcmtsaW5nIHNvZnQgZHJpbmtzOyB3YXRlciwgZW5oYW5jZWQgd2F0ZXIsIGFuZCBzcG9ydHMgZHJpbmtzOyBqdWljZSwgZGFpcnksIGFuZCBwbGFudOKAk2Jhc2VkIGJldmVyYWdlczsgdGVhIGFuZCBjb2ZmZWU7IGFuZCBlbmVyZ3kgZHJpbmtzLiBJdCBhbHNvIG9mZmVycyBiZXZlcmFnZSBjb25jZW50cmF0ZXMgYW5kIHN5cnVwcywgYXMgd2VsbCBhcyBmb3VudGFpbiBzeXJ1cHMgdG8gZm91bnRhaW4gcmV0YWlsZXJzLCBzdWNoIGFzIHJlc3RhdXJhbnRzIGFuZCBjb252ZW5pZW5jZSBzdG9yZXMuIFRoZSBjb21wYW55IHNlbGxzIGl0cyBwcm9kdWN0cyB1bmRlciB0aGUgQ29jYS1Db2xhLCBEaWV0IENva2UvQ29jYS1Db2xhIExpZ2h0LCBDb2NhLUNvbGEgWmVybyBTdWdhciwgRmFudGEsIEZyZXNjYSwgU2Nod2VwcGVzLCBTcHJpdGUsIFRodW1zIFVwLCBBcXVhcml1cywgQ2llbCwgRGFzYW5pLCBnbGFjw6lhdSBzbWFydHdhdGVyLCBnbGFjw6lhdSB2aXRhbWlud2F0ZXIsIEljZSBEZXcsIEkgTE9IQVMsIFBvd2VyYWRlLCBUb3BvIENoaWNvLCBBZGVTLCBEZWwgVmFsbGUsIGZh</t>
  </si>
  <si>
    <t>aXJsaWZlLCBpbm5vY2VudCwgTWludXRlIE1haWQsIE1pbnV0ZSBNYWlkIFB1bHB5LCBTaW1wbHksIFpJQ08sIEF5YXRha2EsIENvc3RhLCBkb2dhZGFuLCBGVVpFIFRFQSwgR2VvcmdpYSwgR29sZCBQZWFrLCBIT05FU1QgVEVBLCBhbmQgS29jaGFrYWRlbiBicmFuZHMuIEl0IG9wZXJhdGVzIHRocm91Z2ggYSBuZXR3b3JrIG9mIGNvbXBhbnktb3duZWQgb3IgY29udHJvbGxlZCBib3R0bGluZyBhbmQgZGlzdHJpYnV0aW9uIG9wZXJhdG9ycywgYXMgd2VsbCBhcyB0aHJvdWdoIGluZGVwZW5kZW50IGJvdHRsaW5nIHBhcnRuZXJzLCBkaXN0cmlidXRvcnMsIHdob2xlc2FsZXJzLCBhbmQgcmV0YWlsZXJzLiBUaGUgY29tcGFueSB3YXMgZm91bmRlZCBpbiAxODg2IGFuZCBpcyBoZWFkcXVhcnRlcmVkIGluIEF0bGFudGEsIEdlb3JnaWEuAPw6JFXyQdgIfRWKWfJB2Ag5Q0lRLk5ZU0U6UkFDRS5JUV9FQklUX01FRElBTl9FU1QuMTAwMi4zMC8wNC8yMDIwLi5GLkVVUi5DAQAAAD2CsBACAAAACDEwODQuOTk1AQ4AAAAFAAAAATMBAAAAATACAAAACjEwMDMyMjY4NTQDAAAABjEwMDIxNgQAAAABMwYAAAABMAcAAAACNTAIAAAAATEJAAAAATEKAAAAATALAAAACzExODk1NTM1NzcwDAAAAAExDQAAAAg1LzEvMjAyMBAAAAAJOC8xNi8yMDIwpH8HS/JB2Aht9KNZ8kHYCCFDSVEuTFNFOlNGT1IuSVFfVk9MVU1F</t>
  </si>
  <si>
    <t>LjAxLzAyLzIwMTkBAAAAy1PkIQIAAAAIMC4xNzE3NTEApLx/U/JB2Ajqkrxy8kHYCEBDSVEuTkFTREFRR1M6Q0FLRS5JUV9SRVZFTlVFX01FRElBTl9FU1QuNjAwMC4zMS8xMi8yMDE5Li5GLlVTRC5DAQAAAAjgBAACAAAACTI4OTYuNTc0OAEOAAAABQAAAAIxMQEAAAABMAIAAAAJNjUyNTczOTQyAwAAAAYxMDAxODEEAAAAATIGAAAAATAHAAAAAzE2MAgAAAABMQkAAAABMQoAAAABMAsAAAALMTE3MjM2MTUwNzQMAAAAAjEyDQAAAAgxLzEvMjAyMBAAAAAJOC8xNi8yMDIw80gYePJB2AiD/PJ48kHYCDZDSVEuTllTRTpLTy5JUV9FU1RfRVBTX0dST1dUSF81WVJfSElHSC42MDAwLjMxLzEyLzIwMTkBAAAAEmgAAAIAAAABOAEOAAAABQAAAAE3AQAAAAcyNjAxMjAxAgAAAAUyMjIwOAMAAAAGMTAwMTY5BAAAAAEyBgAAAAEwBwAAAAEwCAAAAAEwCQAAAAExCgAAAAEwCwAAAAsxMTY1NjU2NzMyMQwAAAABOA0AAAAIMS8xLzIwMjAQAAAACjEyLzMxLzIwMTkoK0J18kHYCJFiTnbyQdgIO0NJUS5OWVNFOk1BTlUuSVFfVE9UQUxfREVCVF9DVVJSRU5ULjk5Ny4zMC8wNC8yMDIwLi5GLkdCUC5DAQAAAN1rDQACAAAABTUuNTY0AQgAAAAFAAAAATEBAAAACjE5MTAyNDc0MDMDAAAAAjU1AgAAAAUyNTIyMwQAAAABMQcAAAAJNC8zMC8yMDIwCAAAAAk4LzE2LzIwMjAJAAAAATC8WAdL8kHYCAe3llnyQdgIJENJUS5e</t>
  </si>
  <si>
    <t>U1BYLklRX0xBU1RTQUxFUFJJQ0UuMjcvMDMvMjAyMAEAAACbuCgAAgAAABAyNTQxLjQ2OTY1MDc4MDk3AEkFM1LyQdgIO1O6WfJB2AggQ0lRLi5JUV9MQVNUU0FMRVBSSUNFLjMwLzA0LzIwMTUFAAAAAAAAAAgAAAAUKEludmFsaWQgSWRlbnRpZmllcinMKTdR8kHYCBMIY3PyQdgIPUNJUS5OQVNEQVFHUzpDQUtFLklRX0VCSVRfTUVESUFOX0VTVC4xMDAzLjMxLzEyLzIwMTkuLkYuVVNELkMBAAAACOAEAAIAAAAJMTUyLjI5MDY4AQ4AAAAFAAAAATMBAAAAATACAAAACjEwMDIyMjQyMjMDAAAABjEwMDIxNgQAAAABMgYAAAABMAcAAAADMTYwCAAAAAExCQAAAAExCgAAAAEwCwAAAAsxMTcyNDExMDQyNgwAAAABMQ0AAAAIMS8xLzIwMjAQAAAACTgvMTYvMjAyMPNIGHjyQdgI8PbtePJB2AgwQ0lRLk5ZU0U6UkFDRS5JUV9FQklUREEuMjAwMC4zMS8xMi8yMDE5Li5GLkVVUi5DAQAAAD2CsBACAAAACDEwNDQuNjAxAQgAAAAFAAAAATEBAAAACjE5OTA0MjM2ODcDAAAAAjUwAgAAAAQ0MDUxBAAAAAExBwAAAAoxMi8zMS8yMDE5CAAAAAk4LzE2LzIwMjAJAAAAATAeIhh48kHYCLuS7njyQdgIJkNJUS5OQVNEQVFHUzpUU0xBLklRX1ZPTFVNRS4yNy8xMi8yMDE5AQAAABDGogECAAAACDkuOTU2ODI3AKPWJFXyQdgIWFvCcvJB2AgtQ0lRLk5BU0RBUUdTOlRTTEEuSVFfTEFTVFNBTEVQUklDRS4zMC8wOS8yMDE4</t>
  </si>
  <si>
    <t>AQAAABDGogECAAAABjI2NC43NwDoNX5T8kHYCKMIK3HyQdgIMENJUUFWRy4kQUVER0JQLklRX0xBU1RTQUxFUFJJQ0UuNDM1MjUuMjkvMDIvMjAyMAEAAAAl61oAAgAAAAg0LjY5NDgyMQDqlspM8kHYCBt0i1nyQdgIKENJUS4lVENNU1kwMS5JUV9MQVNUU0FMRVBSSUNFLjMwLzA0LzIwMjABAAAADh8oAgIAAAAEMC4xNgCj1iRV8kHYCNsPhVnyQdgIJ0NJUS5OWVNFOktPLklRX0xBU1RTQUxFUFJJQ0UuMDMvMDQvMjAyMAEAAAASaAAAAgAAAAU0My44MwAB6H1T8kHYCJbJXlnyQdgIJ0NJUS4kQUVEVUFILklRX0xBU1RTQUxFUFJJQ0UuMzEvMTIvMjAxOQEAAAAl61oAAgAAAAswLjE1NDI5NTMxNgD+A0J18kHYCLDdTHbyQdgIN0NJUS5OWVNFOk1BTlUuSVFfREFfTUVESUFOX0VTVC4xMDAzLjMwLzA0LzIwMjAuLkYuR0JQLkMBAAAA3WsNAAMAAAAAAKR/B0vyQdgI/fmoWfJB2AgtQ0lRLk5BU0RBUUdTOkNBS0UuSVFfTEFTVFNBTEVQUklDRS4zMS8xMi8yMDE4AQAAAAjgBAACAAAABTQzLjUxAAgPflPyQdgI7MorcfJB2Ag/Q0lRLk5BU0RBUUdTOkNBS0UuSVFfRUJJVERBX01FRElBTl9FU1QuMTAwMy4zMS8xMi8yMDE5Li5GLlVTRC5DAQAAAAjgBAACAAAACTI3MC4wMTM1NQEOAAAABQAAAAEzAQAAAAEwAgAAAAoxMDAyMjI0MjIzAwAAAAYxMDAxODgEAAAAATIGAAAAATAHAAAAAzE2MAgAAAABMQkAAAAB</t>
  </si>
  <si>
    <t>MQoAAAABMAsAAAALMTE3MjQxMTA0NTAMAAAAATENAAAACDEvMS8yMDIwEAAAAAk4LzE2LzIwMjDzSBh48kHYCItW73jyQdgIKUNJUS5OWVNFOlJBQ0UuSVFfTEFTVFNBTEVQUklDRS4zMS8xMi8yMDE2AQAAAD2CsBACAAAABTU4LjE0ANGDflPyQdgIE7YlcfJB2AglQ0lRLl5DT01QLklRX0xBU1RTQUxFUFJJQ0UuMDUvMDEvMjAxOAEAAACJuCgAAgAAAAc3MTM2LjU2ANgt3nTyQdgIbdxFdvJB2Ag1Q0lRLk5ZU0U6S08uSVFfQ0FTSF9TVF9JTlZFU1QuOTk5LjMwLzA0LzIwMjAuLkYuVVNELkMBAAAAEmgAAAIAAAAFMTYxMTUBCAAAAAUAAAABMQEAAAAKMjAxNjc5MTI1MQMAAAADMTYwAgAAAAQxMDAyBAAAAAExBwAAAAk0LzMwLzIwMjAIAAAACTgvMTYvMjAyMAkAAAABMANJykzyQdgIH8OSWfJB2AgtQ0lRLkxTRTpTRk9SLklRX0RBX0NGLjk5Ny4zMS8xMi8yMDE5Li5GLkdCUC5DAQAAAMtT5CEDAAAAAADaFJZ38kHYCL/25njyQdgIJ0NJUS4kQUVES1JXLklRX0xBU1RTQUxFUFJJQ0UuMzEvMTIvMjAxOQEAAAAl61oAAgAAAAswLjAwMzE4MTQ5MQDfBt508kHYCAYJS3byQdgIN0NJUS5BVUQuSVFfRlVMTF9DVVJWRV9BTk5VQUwuQUxMQ09SUC5DQ0MuMjBZLjMwLzA0LzIwMjABAAAAAAAAAAIAAAAIMC4yNjMxMTQAqiQlVfJB2AiFR4ZZ8kHYCCJDSVEuTllTRTpNQU5VLklRX1ZPTFVNRS4zMS8wMS8yMDIw</t>
  </si>
  <si>
    <t>AQAAAN1rDQACAAAACDAuMDQxNDMzAJX9JFXyQdgIDGt5WfJB2AgpQ0lRLk5ZU0U6UkFDRS5JUV9MQVNUU0FMRVBSSUNFLjMwLzA2LzIwMTkBAAAAPYKwEAIAAAAGMTYxLjQyAAgPflPyQdgInwItcfJB2Ag0Q0lRLk5BU0RBUUdTOkNBS0UuSVFfRUJJVERBLjEwMDAuMzEvMTIvMjAxOS4uRi5VU0QuQwEAAAAI4AQAAgAAAAcyMzAuNjg1AQgAAAAFAAAAATEBAAAACjE5NDgxNzY2NzUDAAAAAzE2MAIAAAAENDA1MQQAAAABMQcAAAAKMTIvMzEvMjAxOQgAAAAJOC8xNi8yMDIwCQAAAAEwHiIYePJB2Ai7ku548kHYCBlDSVEuLklRX1ZPTFVNRS4wNi8wNC8yMDE4BQAAAAAAAAAIAAAAFChJbnZhbGlkIElkZW50aWZpZXIpGN1BdfJB2AizWFJ28kHYCCJDSVEuTllTRTpNQU5VLklRX1ZPTFVNRS4zMC8xMS8yMDE4AQAAAN1rDQACAAAACDAuMDcwMDM2AMfif1PyQdgI01EfcfJB2Ag5Q0lRLk5BU0RBUUdTOlRTTEEuSVFfUFJJQ0VfVEFSR0VULjYwMDAuMzAvMDQvMjAyMC4uLlVTRC5DAQAAABDGogECAAAACDYxNi44MzI5AQ4AAAAFAAAAATcBAAAACTEwODgwMzkxNQIAAAAKMTAwMDg3MjkyMwMAAAAGMTAwMTYxBAAAAAMyNTUGAAAAATAHAAAAAzE2MAgAAAABMQkAAAABMQoAAAABMAsAAAALMTE4OTkxODM0NTYMAAAAATgNAAAACDUvMS8yMDIwEAAAAAk4LzE2LzIwMjCkfwdL8kHYCCb0jlnyQdgIJ0NJUS4kQUVE</t>
  </si>
  <si>
    <t>Uk9OLklRX0xBU1RTQUxFUFJJQ0UuMzEvMTIvMjAxOQEAAAAl61oAAgAAAAswLjg2MTM1NzM0NwD+A0J18kHYCMiPTHbyQdgIJENJUS5eQVNYLklRX0xBU1RTQUxFUFJJQ0UuMzAvMDYvMjAxNQEAAAAfU+sBAgAAAAozNTcwLjU4MDI1AKCeN1HyQdgI6foLc/JB2AgnQ0lRLk5ZU0U6S08uSVFfTEFTVFNBTEVQUklDRS4wMS8wNi8yMDE4AQAAABJoAAACAAAABTQzLjEyACnmhVLyQdgIcu4JcfJB2AgvQ0lRLk5ZU0U6TUFOVS5JUV9EQV9DRi4yMDAwLjMxLzEyLzIwMTkuLkYuR0JQLkMBAAAA3WsNAAIAAAAHMTM4Ljc2OQEIAAAABQAAAAExAQAAAAoxOTkzNjIxMzIyAwAAAAI1NQIAAAAEMjE2MAQAAAABMQcAAAAKMTIvMzEvMjAxOQgAAAAJOC8xNi8yMDIwCQAAAAEw2hSWd/JB2AiWkud48kHYCCJDSVEuTllTRTpNQU5VLklRX1ZPTFVNRS4wNy8xMi8yMDE4AQAAAN1rDQACAAAACDAuMzk5MjM2AMfif1PyQdgIte0fcfJB2Ag7Q0lRLk5ZU0U6TUFOVS5JUV9FQklUREFfTUVESUFOX0VTVC4xMDAxLjMxLzEyLzIwMTkuLkYuR0JQLkMBAAAA3WsNAAIAAAADMTU5AQ4AAAAFAAAAATMBAAAAATACAAAACjEwMDMwOTI0MjMDAAAABjEwMDE4OAQAAAABMwYAAAABMAcAAAACNTUIAAAAATEJAAAAATEKAAAAATALAAAACzExNjkyNzIzMDAwDAAAAAExDQAAAAgxLzEvMjAyMBAAAAAJOC8xNi8yMDIw80gYePJB2Aik4O54</t>
  </si>
  <si>
    <t>8kHYCDBDSVEuTllTRTpNQU5VLklRX0VCSVREQS4yMDAwLjMwLzA0LzIwMjAuLkYuR0JQLkMBAAAA3WsNAAIAAAAHMTU4LjAzMQEIAAAABQAAAAExAQAAAAoyMDE4NjMyMDAzAwAAAAI1NQIAAAAENDA1MQQAAAABMQcAAAAJNC8zMC8yMDIwCAAAAAk4LzE2LzIwMjAJAAAAATC8WAdL8kHYCNKVolnyQdgIOENJUS5OWVNFOk1BTlUuSVFfUkVUVVJOX0lOVkVTVEVEX0NBUElUQUwuMjAwMC4zMC8wNC8yMDIwAQAAAN1rDQACAAAABy0zLjM2ODkAsa8kVfJB2Aj2I35Z8kHYCCZDSVEuSVExMDA4ODk5NTEuSVFfTEFTVFNBTEVQUklDRS40MzU4NQEAAABfdQMGAgAAAAUwLjc3MQCj1iRV8kHYCEYxh1nyQdgINUNJUS5OQVNEQVFHUzpDQUtFLklRX1NIQVJFU09VVFNUQU5ESU5HLjMxLzEyLzIwMTkuVVNEAQAAAAjgBAACAAAACTQ0LjYzMzc4OQBbk+JN8kHYCDc3XnbyQdgIKUNJUS5OWVNFOk1BTlUuSVFfTEFTVFNBTEVQUklDRS4yMC8wNy8yMDE4AQAAAN1rDQACAAAABTIxLjI1ADq/hVLyQdgIilkOcfJB2AgtQ0lRLk5BU0RBUUdTOkNBS0UuSVFfTEFTVFNBTEVQUklDRS4zMS8wOC8yMDE2AQAAAAjgBAACAAAABTUxLjQxAMGqflPyQdgIxvMkcfJB2AggQ0lRLk5ZU0U6S08uSVFfVk9MVU1FLjExLzA1LzIwMTgBAAAAEmgAAAIAAAAINi4zMzE5NDgAKeaFUvJB2AibhQZx8kHYCCJDSVEuTllTRTpSQUNFLklRX1ZP</t>
  </si>
  <si>
    <t>TFVNRS4wNi8wMy8yMDIwAQAAAD2CsBACAAAACDAuODU1MTI4ANk5tVPyQdgIARJ2WfJB2Ag2Q0lRLk5ZU0U6TUFOVS5JUV9FUVVJVFlfTUVUSE9ELjk5OC4zMS8xMi8yMDE5Li5GLkdCUC5DAQAAAN1rDQADAAAAAABHYBd48kHYCCm1/3jyQdgIMUNJUS5MU0U6VFNDTy5JUV9UT1RBTF9SRVYuOTk3LjMwLzA0LzIwMjAuLkYuR0JQLkMBAAAAMFAGAAIAAAAFNTUyOTUBCAAAAAUAAAABMQEAAAAKMTg4ODUyNTA3NAMAAAACNTUCAAAAAjI4BAAAAAExBwAAAAk0LzMwLzIwMjAIAAAACTgvMTYvMjAyMAkAAAABMMkxB0vyQdgI7CueWfJB2AgvQ0lRLk5ZU0U6UkFDRS5JUV9MQVNUU0FMRVBSSUNFLjMxLzEyLzIwMTUuRVVSLkMBAAAAPYKwEAIAAAAHNDAuNTY5NgAVIspM8kHYCHimYHbyQdgIJ0NJUS5OWVNFOktPLklRX0xBU1RTQUxFUFJJQ0UuMjMvMDMvMjAxOAEAAAASaAAAAgAAAAU0Mi4zMwAoK0J18kHYCHb0UnbyQdgIJ0NJUS5OWVNFOktPLklRX0xBU1RTQUxFUFJJQ0UuMDQvMDEvMjAxOQEAAAASaAAAAgAAAAU0Ny41NwCkvH9T8kHYCPuDInHyQdgIJENJUS5eU1BYLklRX0xBU1RTQUxFUFJJQ0UuMzAvMDMvMjAxOAEAAACbuCgAAgAAABAyNjQwLjg2NTk5MDMyOTI5ANgt3nTyQdgIgFJGdvJB2AglQ0lRLklRNDM5NDM4MjcuSVFfTEFTVFNBTEVQUklDRS40MzU4NQEAAACTh54CAgAAAAgwLjc3MjA0OACj</t>
  </si>
  <si>
    <t>1iRV8kHYCMVdhVnyQdgINkNJUS5BVUQuSVFfRlVMTF9DVVJWRV9BTk5VQUwuQUxMQ09SUC5BQS4yMFkuMzEvMTIvMjAxOQEAAAAAAAAAAgAAAAkwLjAyODg1MjYA2C3edPJB2Aif0kl28kHYCChDSVEuTllTRTpSQUNFLklRX1JVQV9HUk9TUy4yMDAwLi4uLkxPQ0FMAQAAAD2CsBADAAAAAABlHMNa8kHYCGUcw1ryQdgINkNJUS5OQVNEQVFHUzpDQUtFLklRX0xUX0lOVkVTVC45OTYuMzAvMDQvMjAyMC4uRi5VU0QuQwEAAAAI4AQAAwAAAAAAA0nKTPJB2AiW9ZVZ8kHYCDRDSVEuTkFTREFRR1M6Q0FLRS5JUV9JTkNfVEFYLjk5Ny4zMC8wNC8yMDIwLi5GLlVTRC5DAQAAAAjgBAACAAAABjUyLjI3NAEIAAAABQAAAAExAQAAAAoxOTQ4MTc2NjYyAwAAAAMxNjACAAAAAjc1BAAAAAExBwAAAAk0LzMwLzIwMjAIAAAACTgvMTYvMjAyMAkAAAABMP9vykzyQdgIa02nWfJB2AguQ0lRLkxTRTpTRk9SLklRX0VCSVREQS45OTkuMzAvMDQvMjAyMC4uRi5HQlAuQwEAAADLU+QhAgAAAAg4LjA1MjAwMQEIAAAABQAAAAExAQAAAAoxOTYxMTE2MjcxAwAAAAI1NQIAAAAENDA1MQQAAAABMQcAAAAJNC8zMC8yMDIwCAAAAAk4LzE2LzIwMjAJAAAAATDZCgdL8kHYCK4Ko1nyQdgIOkNJUS5MU0U6VFNDTy5JUV9UT1RBTF9ERUJUX0NVUlJFTlQuOTk4LjMxLzEyLzIwMTkuLkYuR0JQLkMBAAAAMFAGAAIAAAAEMjU2MAEIAAAA</t>
  </si>
  <si>
    <t>BQAAAAExAQAAAAoxODg4NTI1MDc0AwAAAAI1NQIAAAAFMjUyMjMEAAAAATEHAAAACjEyLzMxLzIwMTkIAAAACTgvMTYvMjAyMAkAAAABMBytF3jyQdgIVSv5ePJB2AgyQ0lRLkxTRTpTRk9SLklRX0xUX0lOVkVTVC4yMDAwLjMxLzEyLzIwMTkuLkYuR0JQLkMBAAAAy1PkIQMAAAAAADuGF3jyQdgIz7D6ePJB2AgtQ0lRLk5BU0RBUUdTOkNBS0UuSVFfTEFTVFNBTEVQUklDRS4zMS8wMy8yMDE1AQAAAAjgBAACAAAABTQ5LjMzAEFSQnXyQdgIAxBQdvJB2Ag0Q0lRLkxTRTpUU0NPLklRX1NIQVJFU09VVFNUQU5ESU5HX09VVC4yOS8wMi8yMDIwLkdCUAEAAAAwUAYAAgAAAAo5ODM0LjIwMjYzABUiykzyQdgIUViOWfJB2AgtQ0lRLk5BU0RBUUdTOkNBS0UuSVFfTEFTVFNBTEVQUklDRS4xMi8xMC8yMDE4AQAAAAjgBAACAAAABTUwLjIxAEOYhVLyQdgIRn8VcfJB2Ag6Q0lRLk5ZU0U6S08uSVFfTUVESUFOX1RBUkdFVF9QUklDRS42MDAwLjMwLzA0LzIwMjAuLi5VU0QuQwEAAAASaAAAAgAAAAQ1Mi41AQ4AAAAFAAAAATcBAAAABzI2MDEyMDECAAAABTIyMjA4AwAAAAYxMDAxNjIEAAAAAzI1NQYAAAABMAcAAAADMTYwCAAAAAExCQAAAAExCgAAAAEwCwAAAAsxMTg4NTI1NjMwNQwAAAABOA0AAAAINS8xLzIwMjAQAAAACTgvMTYvMjAyMP9vykzyQdgIJvSOWfJB2AguQ0lRLk5ZU0U6UkFDRS5JUV9EQV9DRi45</t>
  </si>
  <si>
    <t>OTYuMzEvMTIvMjAxOS4uRi5FVVIuQwEAAAA9grAQAgAAAAcxNjMuNDg1AQgAAAAFAAAAATEBAAAACjE4MzA0NzQwOTQDAAAAAjUwAgAAAAQyMTYwBAAAAAExBwAAAAoxMi8zMS8yMDE5CAAAAAk4LzE2LzIwMjAJAAAAATDaFJZ38kHYCNSo5njyQdgIIkNJUS5OWVNFOk1BTlUuSVFfVk9MVU1FLjA1LzA3LzIwMTkBAAAA3WsNAAIAAAAIMC4xNDYyOTcAlf0kVfJB2AgJd79y8kHYCCZDSVEuTkFTREFRR1M6Q0FLRS5JUV9WT0xVTUUuMTYvMDgvMjAxOQEAAAAI4AQAAgAAAAgwLjcxNzc0OACV/SRV8kHYCMXVwHLyQdgIMUNJUS5OQVNEQVFHUzpUU0xBLklRX1NHQS4xMDAwLjMwLzA0LzIwMjAuLkYuVVNELkMBAAAAEMaiAQIAAAAEMjY0NgEIAAAABQAAAAExAQAAAAoyMDEzOTA3NDYwAwAAAAMxNjACAAAAAjIzBAAAAAExBwAAAAk0LzMwLzIwMjAIAAAACTgvMTYvMjAyMAkAAAABMLxYB0vyQdgIX3SgWfJB2AglQ0lRLl5DT01QLklRX0xBU1RTQUxFUFJJQ0UuMjAvMDcvMjAxOAEAAACJuCgAAgAAAAY3ODIwLjIAisU3UfJB2AiR2Rdz8kHYCC1DSVEuTkFTREFRR1M6Q0FLRS5JUV9MQVNUU0FMRVBSSUNFLjI4LzEyLzIwMTgBAAAACOAEAAIAAAAFNDIuNjkAx+J/U/JB2AgyXSJx8kHYCDRDSVEuTFNFOlRTQ08uSVFfUFJJQ0VfVEFSR0VULjYwMDAuMzAvMDQvMjAyMC4uLkdCUC5DAQAAADBQBgACAAAABzIuNzU1</t>
  </si>
  <si>
    <t>MTYBDgAAAAUAAAABNwEAAAAIMjAxNTc4NzkCAAAABjQxMTY4MAMAAAAGMTAwMTYxBAAAAAMyNTUGAAAAATAHAAAAAjU1CAAAAAExCQAAAAExCgAAAAEwCwAAAAsxMTg5MjM1ODIzNQwAAAABOA0AAAAINS8xLzIwMjAQAAAACTgvMTYvMjAyMKR/B0vyQdgIJvSOWfJB2AgnQ0lRLiRBRURLUlcuSVFfTEFTVFNBTEVQUklDRS4zMC8wNC8yMDE5AQAAACXrWgACAAAACzAuMDAzMTQ4ODk4AKokJVXyQdgI5eiEWfJB2AghQ0lRLkxTRTpUU0NPLklRX1ZPTFVNRS4wNy8xMi8yMDE4AQAAADBQBgACAAAACDQ2Ljg4NDYzAMfif1PyQdgIte0fcfJB2AgvQ0lRLk5BU0RBUUdTOkNBS0UuSVFfQ09TVF9CT1JST1dJTkcuLjMxLzEyLzIwMTkBAAAACOAEAAIAAAAGMC4zNTc4AQgAAAAFAAAAATEBAAAACjIwMjE1ODI3MDQDAAAAAzE2MAIAAAAFMjE2ODEEAAAAATAHAAAACjEyLzMxLzIwMTkIAAAACjEyLzMxLzIwMTkJAAAAATD+A0J18kHYCENNT3byQdgILUNJUS5OQVNEQVFHUzpUU0xBLklRX0xBU1RTQUxFUFJJQ0UuMzEvMDcvMjAxOAEAAAAQxqIBAgAAAAYyOTguMTQA6DV+U/JB2AhYbCpx8kHYCCJDSVEuTllTRTpSQUNFLklRX1ZPTFVNRS4xMC8wNC8yMDIwAQAAAD2CsBADAAAAAADZObVT8kHYCEdgdlnyQdgIN0NJUS5OWVNFOktPLklRX0VCSVRfTUVESUFOX0VTVC4xMDAyLjMxLzEyLzIwMTkuLkYuVVNELkMBAAAA</t>
  </si>
  <si>
    <t>EmgAAAIAAAAJMTA4ODEuMTM3AQ4AAAAFAAAAATMBAAAAATACAAAACjEwMDE0MTY0MjADAAAABjEwMDIxNgQAAAABMgYAAAABMAcAAAADMTYwCAAAAAExCQAAAAExCgAAAAEwCwAAAAsxMTcyMjA4MTk2OQwAAAABMQ0AAAAIMS8xLzIwMjAQAAAACTgvMTYvMjAyMPNIGHjyQdgInNDtePJB2AhAQ0lRLk5BU0RBUUdTOlRTTEEuSVFfUkVWRU5VRV9NRURJQU5fRVNULjEwMDIuMzAvMDQvMjAyMC4uRi5VU0QuQwEAAAAQxqIBAgAAAAUzNzkxMAEOAAAABQAAAAEzAQAAAAEwAgAAAAoxMDAxNTU2NjQxAwAAAAYxMDAxODEEAAAAATIGAAAAATAHAAAAAzE2MAgAAAABMQkAAAABMQoAAAABMAsAAAALMTE5MDA4MjI1NjIMAAAAATENAAAACDUvMS8yMDIwEAAAAAk4LzE2LzIwMjCkfwdL8kHYCEz0nFnyQdgINUNJUS5OQVNEQVFHUzpUU0xBLklRX1RPVEFMX0NBLjk5OS4zMS8xMi8yMDE5Li5GLlVTRC5DAQAAABDGogECAAAABzY1NzAuNTIBCAAAAAUAAAABMQEAAAAKMTk0NTg3MzU1MAMAAAADMTYwAgAAAAQxMDA4BAAAAAExBwAAAAoxMi8zMS8yMDE5CAAAAAk4LzE2LzIwMjAJAAAAATA7hhd48kHYCIk2/HjyQdgILUNJUS5OQVNEQVFHUzpDQUtFLklRX0xBU1RTQUxFUFJJQ0UuMDEvMTEvMjAxOQEAAAAI4AQAAgAAAAU0MS45NgAFXX5T8kHYCLi0LHHyQdgIKUNJUS5OWVNFOlJBQ0UuSVFfTEFTVFNBTEVQUklDRS4x</t>
  </si>
  <si>
    <t>Mi8xMC8yMDE4AQAAAD2CsBACAAAABTExNi4zAEOYhVLyQdgIUlgVcfJB2AgxQ0lRLk5ZU0U6TUFOVS5JUV9UT1RBTF9DQS45OTguMzAvMDQvMjAyMC4uRi5HQlAuQwEAAADdaw0AAgAAAAczOTguODU0AQgAAAAFAAAAATEBAAAACjE5ODU4NDUwNDUDAAAAAjU1AgAAAAQxMDA4BAAAAAExBwAAAAk0LzMwLzIwMjAIAAAACTgvMTYvMjAyMAkAAAABMP9vykzyQdgI59KTWfJB2AgpQ0lRLk5ZU0U6UkFDRS5JUV9MQVNUU0FMRVBSSUNFLjEwLzA0LzIwMjABAAAAPYKwEAIAAAAGMTU3LjA0AAHofVPyQdgIlsleWfJB2AgyQ0lRLk5BU0RBUUdTOlRTTEEuSVFfUFJJQ0VfVk9MX0hJU1RfMllSLjMxLzEyLzIwMTkBAAAAEMaiAQIAAAAHNTMuNTQzMgDr39108kHYCFbuRnbyQdgIJUNJUS5eQ09NUC5JUV9MQVNUU0FMRVBSSUNFLjMwLzA2LzIwMTcBAAAAibgoAAIAAAAHNjE0MC40MgBHhYVR8kHYCGfZCXPyQdgIMENJUS5OQVNEQVFHUzpUU0xBLklRX0xBU1RTQUxFUFJJQ0UuMzEvMTIvMjAxOS4uQwEAAAAQxqIBAgAAAAY0MTguMzMAKCtCdfJB2AhE+GF18kHYCCxDSVEuTllTRTpLTy5JUV9QRVJJT0REQVRFLjEwMDAuMzEvMTIvMjAxOS4uRgEAAAASaAAABQAAAAozMS8xMi8yMDE4AP4DQnXyQdgIw1JNdvJB2AgsQ0lRLk5ZU0U6TUFOVS5JUV9TR0EuOTk2LjMxLzEyLzIwMTkuLkYuR0JQLkMBAAAA3WsNAAIAAAAH</t>
  </si>
  <si>
    <t>MjAzLjI0OQEIAAAABQAAAAExAQAAAAoxODYxNzM2ODY5AwAAAAI1NQIAAAACMjMEAAAAATEHAAAACjEyLzMxLzIwMTkIAAAACTgvMTYvMjAyMAkAAAABMB4iGHjyQdgIi1bvePJB2AggQ0lRLi5JUV9MQVNUU0FMRVBSSUNFLjMxLzAzLzIwMTYFAAAAAAAAAAgAAAAUKEludmFsaWQgSWRlbnRpZmllcilHhYVR8kHYCFGMVnPyQdgIL0NJUS5MU0U6U0ZPUi5JUV9JTkNfVEFYLjk5Ni4zMC8wNC8yMDIwLi5GLkdCUC5DAQAAAMtT5CEDAAAAAADZCgdL8kHYCGB0p1nyQdgIJENJUS5eQVNYLklRX0xBU1RTQUxFUFJJQ0UuMzEvMDgvMjAxOAEAAAAfU+sBAgAAAAs0MTA2LjE0NDM2MwC1vDdS8kHYCJ6AG3PyQdgIMUNJUS5OWVNFOk1BTlUuSVFfVE9UQUxfQ0wuOTk4LjMwLzA0LzIwMjAuLkYuR0JQLkMBAAAA3WsNAAIAAAAHNDEwLjUwOQEIAAAABQAAAAExAQAAAAoxOTg1ODQ1MDQ1AwAAAAI1NQIAAAAEMTAwOQQAAAABMQcAAAAJNC8zMC8yMDIwCAAAAAk4LzE2LzIwMjAJAAAAATC8WAdL8kHYCNN5l1nyQdgIKkNJUS5OWVNFOk1BTlUuSVFfRElWSURFTkRfWUlFTEQuMzAvMDQvMjAyMAEAAADdaw0AAgAAAAYxLjA3MDcA4hIkVfJB2AiZvn5Z8kHYCDBDSVEuTFNFOlRTQ08uSVFfU0hBUkVTT1VUU1RBTkRJTkcuMzEvMTIvMjAxOS5HQlABAAAAMFAGAAIAAAALOTczNS40MzQ2NDkAR2AXePJB2AjdiQF58kHYCC1D</t>
  </si>
  <si>
    <t>SVEuTkFTREFRR1M6VFNMQS5JUV9MQVNUU0FMRVBSSUNFLjA0LzEwLzIwMTkBAAAAEMaiAQIAAAAGMjMxLjQzAAVdflPyQdgI7MorcfJB2AgtQ0lRLk5BU0RBUUdTOkNBS0UuSVFfTEFTVFNBTEVQUklDRS4zMC8wNi8yMDE3AQAAAAjgBAACAAAABDUwLjMA0YN+U/JB2Ai2Oydx8kHYCDtDSVEuTkFTREFRR1M6VFNMQS5JUV9FU1RfRVBTX0dST1dUSF81WVJfTlVNLjYwMDAuMzAvMDQvMjAyMAEAAAAQxqIBAQAAAAEyALGvJFXyQdgIqjR/WfJB2AgtQ0lRLk5BU0RBUUdTOkNBS0UuSVFfTEFTVFNBTEVQUklDRS4wNy8wNi8yMDE5AQAAAAjgBAACAAAABDQ0LjUAwap+U/JB2AjbYidx8kHYCCBDSVEuLklRX0xBU1RTQUxFUFJJQ0UuMzAvMDkvMjAxNQUAAAAAAAAACAAAABQoSW52YWxpZCBJZGVudGlmaWVyKdPbNlHyQdgI5Rhdc/JB2AgiQ0lRLk5ZU0U6TUFOVS5JUV9WT0xVTUUuMjAvMDcvMjAxOAEAAADdaw0AAgAAAAgwLjAwOTkzNwA6v4VS8kHYCIpZDnHyQdgIOUNJUS5OWVNFOlJBQ0UuSVFfTE9XX1RBUkdFVF9QUklDRS42MDAwLjMwLzA0LzIwMjAuLi5FVVIuQwEAAAA9grAQAgAAAAY4OC4yMzQBDgAAAAUAAAABNwEAAAAJMzEzOTc0OTgxAgAAAAoxMDAzMjI1MTI1AwAAAAYxMDAxNjQEAAAAAzI1NQYAAAABMAcAAAACNTAIAAAAATEJAAAAATEKAAAAATALAAAACzExODkzMDc1NjM0DAAAAAE4DQAAAAg1</t>
  </si>
  <si>
    <t>LzEvMjAyMBAAAAAJOC8xNi8yMDIwpH8HS/JB2AgFaY9Z8kHYCC9DSVEuTkFTREFRR1M6Q0FLRS5JUV9DT1NUX0JPUlJPV0lORy4uMzAvMDQvMjAyMAEAAAAI4AQAAgAAAAYwLjI4ODkBCAAAAAUAAAABMQEAAAAKMjA0MjQ1MTU2MAMAAAADMTYwAgAAAAUyMTY4MQQAAAABMAcAAAAJNC8zMC8yMDIwCAAAAAkzLzMxLzIwMjAJAAAAATCxryRV8kHYCACZflnyQdgIM0NJUUFWRy5JUTQzOTQzODIxLklRX0xBU1RTQUxFUFJJQ0UuNDAxNzguMzEvMTIvMjAxOQEAAACNh54CAgAAABAxLjc4MjIxMDAzMjc4MDQxAEFSQnXyQdgIUZtddvJB2AghQ0lRLkxTRTpUU0NPLklRX1ZPTFVNRS4xNS8wMi8yMDE5AQAAADBQBgACAAAACDI4Ljg0NDExAKS8f1PyQdgIksq9cvJB2AgnQ0lRLiRBRURTR0QuSVFfTEFTVFNBTEVQUklDRS4zMC8wNC8yMDE5AQAAACXrWgACAAAACzIuNjk3MzgzMzk5AKokJVXyQdgIzzaFWfJB2AgtQ0lRLk5ZU0U6S08uSVFfTEFTVFNBTEVQUklDRS4zMS8xMi8yMDE3LlVTRC5DAQAAABJoAAACAAAABTQ1Ljg4AANJykzyQdgILldgdvJB2AgvQ0lRLk5ZU0U6TUFOVS5JUV9MQVNUU0FMRVBSSUNFLjMwLzA2LzIwMTYuR0JQLkMBAAAA3WsNAAIAAAAKMTIuMTU2MDIzNwADScpM8kHYCHimYHbyQdgIMENJUS5MU0U6U0ZPUi5JUV9TSEFSRVNPVVRTVEFORElORy4zMS8xMi8yMDE5LkdCUAEAAADLU+Qh</t>
  </si>
  <si>
    <t>AgAAAAk0NTIuODA3MTkAFSLKTPJB2Ag3N1528kHYCDFDSVEuTllTRTpLTy5JUV9JTlZFTlRPUlkuMjAwMC4zMC8wNC8yMDIwLi5GLlVTRC5DAQAAABJoAAACAAAABDM1NTgBCAAAAAUAAAABMQEAAAAKMjAzMDM3Njg5NwMAAAADMTYwAgAAAAQxMDQzBAAAAAExBwAAAAk0LzMwLzIwMjAIAAAACTgvMTYvMjAyMAkAAAABMANJykzyQdgIPSysWfJB2Ag0Q0lRLk5BU0RBUUdTOlRTTEEuSVFfSU5DX1RBWC45OTcuMzAvMDQvMjAyMC4uRi5VU0QuQwEAAAAQxqIBAgAAAAYyNi42OTgBCAAAAAUAAAABMQEAAAAKMTk0NTg3MzU1MQMAAAADMTYwAgAAAAI3NQQAAAABMQcAAAAJNC8zMC8yMDIwCAAAAAk4LzE2LzIwMjAJAAAAATDJMQdL8kHYCHUmp1nyQdgIK0NJUS5OWVNFOlJBQ0UuSVFfRklTQ0FMX1EuNTAwLjMwLzA0LzIwMjAuLkYBAAAAPYKwEAMAAAACUTQA/DokVfJB2AgxzNFa8kHYCCBDSVEuLklRX0xBU1RTQUxFUFJJQ0UuMjEvMTIvMjAxOAUAAAAAAAAACAAAABQoSW52YWxpZCBJZGVudGlmaWVyKaCeN1HyQdgIAYhfc/JB2AgyQ0lRLkxTRTpUU0NPLklRX1RPVEFMX0xJQUIuOTk4LjMwLzA0LzIwMjAuLkYuR0JQLkMBAAAAMFAGAAIAAAAFMzQ0MDQBCAAAAAUAAAABMQEAAAAKMTk2ODczNjU1OQMAAAACNTUCAAAABDEyNzYEAAAAATEHAAAACTQvMzAvMjAyMAgAAAAJOC8xNi8yMDIwCQAAAAEwyTEHS/JB</t>
  </si>
  <si>
    <t>2AgGXppZ8kHYCCBDSVEuTllTRTpLTy5JUV9WT0xVTUUuMjYvMTAvMjAxOAEAAAASaAAAAgAAAAgyMS40NTgxMQBDmIVS8kHYCCq3FnHyQdgIKUNJUS5JUTI2Njg2NDAuSVFfTEFTVFNBTEVQUklDRS4zMS8xMi8yMDE5AQAAAGC4KAACAAAABDMuMTQA3wbedPJB2Ah0XEl28kHYCDlDSVEuTllTRTpLTy5JUV9FQklUREFfTUVESUFOX0VTVC42MDAwLjMxLzEyLzIwMTkuLkYuVVNELkMBAAAAEmgAAAIAAAAKMTIxNTUuMDMzNAEOAAAABQAAAAIxMQEAAAABMAIAAAAINzg4ODc0OTMDAAAABjEwMDE4OAQAAAABMgYAAAABMAcAAAADMTYwCAAAAAExCQAAAAExCgAAAAEwCwAAAAsxMTcyMjA4MjEyOQwAAAACMTINAAAACDEvMS8yMDIwEAAAAAk4LzE2LzIwMjDzSBh48kHYCNEI73jyQdgINENJUS5OWVNFOk1BTlUuSVFfUFJFRl9FUVVJVFkuOTk4LjMxLzEyLzIwMTkuLkYuR0JQLkMBAAAA3WsNAAMAAAAAAB77F3jyQdgIBND0ePJB2AgpQ0lRLk5ZU0U6UkFDRS5JUV9MQVNUU0FMRVBSSUNFLjMwLzA0LzIwMTYBAAAAPYKwEAIAAAAFNDUuODUAwap+U/JB2AjD4iNx8kHYCDBDSVEuTllTRTpLTy5JUV9UT1RBTF9DTC4xMDAwLjMwLzA0LzIwMjAuLkYuVVNELkMBAAAAEmgAAAIAAAAFMjY5NzMBCAAAAAUAAAABMQEAAAAKMjAxNjc5MTI0NQMAAAADMTYwAgAAAAQxMDA5BAAAAAExBwAAAAk0LzMwLzIwMjAIAAAACTgv</t>
  </si>
  <si>
    <t>MTYvMjAyMAkAAAABMANJykzyQdgI5iuXWfJB2AgvQ0lRLk5ZU0U6UkFDRS5JUV9EQV9DRi4yMDAwLjMxLzEyLzIwMTkuLkYuRVVSLkMBAAAAPYKwEAIAAAAHMTkyLjE4NgEIAAAABQAAAAExAQAAAAoxOTkwNDIzNjg3AwAAAAI1MAIAAAAEMjE2MAQAAAABMQcAAAAKMTIvMzEvMjAxOQgAAAAJOC8xNi8yMDIwCQAAAAEw2hSWd/JB2Aiga+d48kHYCDtDSVEuTFNFOlRTQ08uSVFfVE9UQUxfQ09NTU9OX0VRVUlUWS45OTYuMzAvMDQvMjAyMC4uRi5HQlAuQwEAAAAwUAYAAgAAAAQ4NjI2AQgAAAAFAAAAATEBAAAACjE4NDc4MjUxNDgDAAAAAjU1AgAAAAQxMDA2BAAAAAExBwAAAAk0LzMwLzIwMjAIAAAACTgvMTYvMjAyMAkAAAABMMkxB0vyQdgIZ6acWfJB2AgkQ0lRLl5BU1guSVFfTEFTVFNBTEVQUklDRS4yMC8xMi8yMDE5AQAAAB9T6wECAAAACzQyMDYuMjY4Nzc1AAmWN1LyQdgIEIYZc/JB2AgoQ0lRLkxTRTpUU0NPLklRX0xBU1RTQUxFUFJJQ0UuMTYvMDMvMjAxOAEAAAAwUAYAAgAAAAUyLjA5OAAoK0J18kHYCPckVnbyQdgIJ0NJUS4kQUVER0JQLklRX0xBU1RTQUxFUFJJQ0UuMjQvMDgvMjAxOQEAAAAl61oAAgAAAAs0LjUwNzQxMjEzNABHYBd48kHYCNdiAXnyQdgIPENJUS5OWVNFOlJBQ0UuSVFfUkVWRU5VRV9NRURJQU5fRVNULjEwMDIuMzAvMDQvMjAyMC4uRi5FVVIuQwEAAAA9grAQAgAAAAQ0</t>
  </si>
  <si>
    <t>MzEwAQ4AAAAFAAAAATMBAAAAATACAAAACjEwMDMyMjY4NTQDAAAABjEwMDE4MQQAAAABMwYAAAABMAcAAAACNTAIAAAAATEJAAAAATEKAAAAATALAAAACzExODk1NTM1Nzc2DAAAAAExDQAAAAg1LzEvMjAyMBAAAAAJOC8xNi8yMDIwpH8HS/JB2AiBHJ1Z8kHYCDdDSVEuRVVSLklRX0ZVTExfQ1VSVkVfQU5OVUFMLkFMTENPUlAuQUFBLjIwWS4zMC8wNC8yMDIwAQAAAAAAAAACAAAACjAuMDA5NjQwNDcAqiQlVfJB2AhvlYZZ8kHYCC5DSVEuTllTRTpNQU5VLklRX1BFUklPRERBVEUuMTAwMC4zMS8xMi8yMDE5Li5GAQAAAN1rDQAFAAAACjMwLzA2LzIwMTkA/gNCdfJB2AjDUk128kHYCCFDSVEuTFNFOlNGT1IuSVFfVk9MVU1FLjE5LzA0LzIwMTkBAAAAy1PkIQMAAAAAALmUf1PyQdgI4uC8cvJB2AgsQ0lRLk5ZU0U6S08uSVFfUFJJQ0VfVk9MX0hJU1RfNVlSLjMxLzEyLzIwMTkBAAAAEmgAAAIAAAAHMTMuOTYyMQDr39108kHYCGXHRnbyQdgIKkNJUS5MU0U6VFNDTy5JUV9OSS45OTkuMzAvMDQvMjAyMC4uRi5HQlAuQwEAAAAwUAYAAgAAAAQxMzIyAQgAAAAFAAAAATEBAAAACjE5Njg3MzY1NjMDAAAAAjU1AgAAAAIxNQQAAAABMQcAAAAJNC8zMC8yMDIwCAAAAAk4LzE2LzIwMjAJAAAAATDJMQdL8kHYCCZeqFnyQdgIJENJUS5eQVNYLklRX0xBU1RTQUxFUFJJQ0UuMTQvMDIvMjAyMAEAAAAfU+sBAgAA</t>
  </si>
  <si>
    <t>AAs0MTM1LjA3MTczNgBJBTNS8kHYCAELv1nyQdgIJENJUS5eU1BYLklRX0xBU1RTQUxFUFJJQ0UuMDEvMDYvMjAxOAEAAACbuCgAAgAAABAyNzM0LjYxODg1NTAwNDExAIrFN1HyQdgIwVkUc/JB2AggQ0lRLi5JUV9MQVNUU0FMRVBSSUNFLjMxLzA3LzIwMTkFAAAAAAAAAAgAAAAUKEludmFsaWQgSWRlbnRpZmllcikgaTJS8kHYCJQnJnPyQdgIMENJUUFWRy4kQUVER0JQLklRX0xBU1RTQUxFUFJJQ0UuNDMzNzMuMzAvMDkvMjAxOQEAAAAl61oAAgAAAAg0LjY4ODcxNgBHYBd48kHYCC87AXnyQdgIKUNJUS5OWVNFOlJBQ0UuSVFfTEFTVFNBTEVQUklDRS4zMS8wMy8yMDE2AQAAAD2CsBACAAAABDQxLjcAwap+U/JB2AgZuiNx8kHYCCZDSVEuTkFTREFRR1M6Q0FLRS5JUV9WT0xVTUUuMjUvMDEvMjAxOQEAAAAI4AQAAgAAAAgwLjUyNDMwNACkvH9T8kHYCP0TwHLyQdgIK0NJUS5MU0U6VFNDTy5JUV9TR0EuOTk5LjMwLzA0LzIwMjAuLkYuR0JQLkMBAAAAMFAGAAIAAAAEMTQxNgEIAAAABQAAAAExAQAAAAoxOTY4NzM2NTYzAwAAAAI1NQIAAAACMjMEAAAAATEHAAAACTQvMzAvMjAyMAgAAAAJOC8xNi8yMDIwCQAAAAEwyTEHS/JB2AhWm6BZ8kHYCDZDSVEuTllTRTpLTy5JUV9DQVNIX1NUX0lOVkVTVC4yMDAwLjMwLzA0LzIwMjAuLkYuVVNELkMBAAAAEmgAAAIAAAAFMTc2NzgBCAAAAAUAAAABMQEAAAAK</t>
  </si>
  <si>
    <t>MjAzMDM3Njg5NwMAAAADMTYwAgAAAAQxMDAyBAAAAAExBwAAAAk0LzMwLzIwMjAIAAAACTgvMTYvMjAyMAkAAAABMANJykzyQdgIuKCQWfJB2AgsQ0lRLk5ZU0U6S08uSVFfQ0FQRVguOTk2LjMxLzEyLzIwMTkuLkYuVVNELkMBAAAAEmgAAAIAAAAFLTI0MDYBCAAAAAUAAAABMQEAAAAKMTgyOTIzMDk1NgMAAAADMTYwAgAAAAQyMDIxBAAAAAExBwAAAAoxMi8zMS8yMDE5CAAAAAk4LzE2LzIwMjAJAAAAATDaFJZ38kHYCCpx5XjyQdgIOkNJUS5MU0U6VFNDTy5JUV9FQklUREFfTUVESUFOX0VTVC42MDAxLjMwLzA0LzIwMjAuLkYuR0JQLkMBAAAAMFAGAAMAAAAAAKR/B0vyQdgIIF6hWfJB2Ag2Q0lRLlVTRC5JUV9GVUxMX0NVUlZFX0FOTlVBTC5BTExDT1JQLkhZLjIwWS4zMS8xMi8yMDE5AQAAAAAAAAACAAAACTAuMDg0MjI1MgDYLd508kHYCGiDSXbyQdgIK0NJUS5MU0U6U0ZPUi5JUV9FQlQuOTk3LjMxLzEyLzIwMTkuLkYuR0JQLkMBAAAAy1PkIQMAAAAAANztlXfyQdgIy3bqePJB2AhAQ0lRLk5BU0RBUUdTOlRTTEEuSVFfUkVWRU5VRV9NRURJQU5fRVNULjEwMDIuMzEvMTIvMjAxOS4uRi5VU0QuQwEAAAAQxqIBAgAAAAgyODg0OS4xNQEOAAAABQAAAAEzAQAAAAEwAgAAAAoxMDAwODcyOTYzAwAAAAYxMDAxODEEAAAAATIGAAAAATAHAAAAAzE2MAgAAAABMQkAAAABMQoAAAABMAsAAAALMTE3Mjkw</t>
  </si>
  <si>
    <t>ODk5MjEMAAAAATENAAAACDEvMS8yMDIwEAAAAAk4LzE2LzIwMjDzSBh48kHYCHZK83jyQdgIH0NJUS5OWVNFOktPLklRX1BSSU1BUllfSU5EVVNUUlkBAAAAEmgAAAMAAAALU29mdCBEcmlua3MA4hIkVfJB2Ah9FYpZ8kHYCCxDSVEuTFNFOlNGT1IuSVFfRUJJVC45OTcuMzEvMTIvMjAxOS4uRi5HQlAuQwEAAADLU+QhAwAAAAAAHiIYePJB2Ahz1et48kHYCCdDSVEuJEFFREJHTi5JUV9MQVNUU0FMRVBSSUNFLjMwLzA0LzIwMjABAAAAJetaAAIAAAALMi4wNTUwNTUxMTEAqiQlVfJB2Agx2INZ8kHYCDJDSVEuTkFTREFRR1M6Q0FLRS5JUV9DQVBFWC45OTguMzAvMDQvMjAyMC4uRi5VU0QuQwEAAAAI4AQAAgAAAAgtMTIwLjc3OQEIAAAABQAAAAExAQAAAAoyMDIxNTgxNDA5AwAAAAMxNjACAAAABDIwMjEEAAAAATEHAAAACTQvMzAvMjAyMAgAAAAJOC8xNi8yMDIwCQAAAAEw/2/KTPJB2AhNt6tZ8kHYCDtDSVEuTllTRTpNQU5VLklRX1RPVEFMX0RFQlRfQ1VSUkVOVC45OTkuMzAvMDQvMjAyMC4uRi5HQlAuQwEAAADdaw0AAgAAAAU5LjA3NAEIAAAABQAAAAExAQAAAAoxOTg1ODQ1MDI5AwAAAAI1NQIAAAAFMjUyMjMEAAAAATEHAAAACTQvMzAvMjAyMAgAAAAJOC8xNi8yMDIwCQAAAAEw/2/KTPJB2AgdaZZZ8kHYCCdDSVEuJEFFREhLRC5JUV9MQVNUU0FMRVBSSUNFLjMxLzEyLzIwMTgBAAAAJetaAAIA</t>
  </si>
  <si>
    <t>AAALMC40NjkwMTM1NjUA3wbedPJB2AgGCUt28kHYCCtDSVEuTFNFOlRTQ08uSVFfRUJULjk5OS4zMS8xMi8yMDE5Li5GLkdCUC5DAQAAADBQBgACAAAABDEzMDABCAAAAAUAAAABMQEAAAAKMTk2ODczNjU1OQMAAAACNTUCAAAAAzEzOQQAAAABMQcAAAAKMTIvMzEvMjAxOQgAAAAJOC8xNi8yMDIwCQAAAAEw3O2Vd/JB2Ai7xOp48kHYCChDSVEuTFNFOlNGT1IuSVFfTEFTVFNBTEVQUklDRS4zMS8wNS8yMDE2AQAAAMtT5CEDAAAAAADBqn5T8kHYCIEwJHHyQdgIM0NJUS5OQVNEQVFHUzpUU0xBLklRX0xBU1RTQUxFUFJJQ0UuMzEvMTIvMjAxNi5VU0QuQwEAAAAQxqIBAgAAAAYyMTMuNjkAFSLKTPJB2AiUf2B28kHYCClDSVEuTllTRTpNQU5VLklRX0xBU1RTQUxFUFJJQ0UuMzEvMDEvMjAxOQEAAADdaw0AAgAAAAQxOS4zAAgPflPyQdgIE/MrcfJB2AgjQ0lRLiVUQ01TTTAzLklRX0xBU1RTQUxFUFJJQ0UuNDM0NjUBAAAACB8oAgIAAAAEMi40NQDfBt508kHYCBXiSnbyQdgIJUNJUS5eQ09NUC5JUV9MQVNUU0FMRVBSSUNFLjMxLzA1LzIwMTUBAAAAibgoAAIAAAAHNTA3MC4wMwCgnjdR8kHYCFd1CnPyQdgIMENJUUFWRy4kQUVERVVSLklRX0xBU1RTQUxFUFJJQ0UuNDMzNzMuMzAvMDkvMjAxOQEAAAAl61oAAgAAAAg0LjE0MzUwMgBHYBd48kHYCC87AXnyQdgIMENJUS5OWVNFOlJBQ0UuSVFfSU5DX1RB</t>
  </si>
  <si>
    <t>WC45OTguMzEvMTIvMjAxOS4uRi5FVVIuQwEAAAA9grAQAgAAAAcxNjcuNjM1AQgAAAAFAAAAATEBAAAACjE5NDc0NDQxODQDAAAAAjUwAgAAAAI3NQQAAAABMQcAAAAKMTIvMzEvMjAxOQgAAAAJOC8xNi8yMDIwCQAAAAEw3O2Vd/JB2Aj/s+l48kHYCBlDSVEuLklRX1ZPTFVNRS4yNC8wMS8yMDIwBQAAAAAAAAAIAAAAFChJbnZhbGlkIElkZW50aWZpZXIp2Tm1U/JB2AhyAnVZ8kHYCCVDSVEuXkNPTVAuSVFfTEFTVFNBTEVQUklDRS4wNy8wNi8yMDE5AQAAAIm4KAACAAAABjc3NDIuMQB8q4VR8kHYCBlUFnPyQdgILkNJUS5OWVNFOlJBQ0UuSVFfREFfQ0YuOTk2LjMwLzA0LzIwMjAuLkYuRVVSLkMBAAAAPYKwEAIAAAAHMTU5LjkwMQEIAAAABQAAAAExAQAAAAoxODc2MDQzMzEzAwAAAAI1MAIAAAAEMjE2MAQAAAABMQcAAAAJNC8zMC8yMDIwCAAAAAk4LzE2LzIwMjAJAAAAATDZCgdL8kHYCJh/qlnyQdgINkNJUS5MU0U6U0ZPUi5JUV9DQVNIX1NUX0lOVkVTVC45OTcuMzEvMTIvMjAxOS4uRi5HQlAuQwEAAADLU+QhAwAAAAAAO4YXePJB2Aha0vx48kHYCDhDSVEuTllTRTpLTy5JUV9DQVBFWF9NRURJQU5fRVNULjEwMDMuMzEvMTIvMjAxOS4uRi5VU0QuQwEAAAASaAAAAgAAAAUtMTkwMwEOAAAABQAAAAEzAQAAAAEwAgAAAAoxMDAxNjU2Mjc4AwAAAAYxMDQwOTEEAAAAATIGAAAAATAHAAAAAzE2MAgA</t>
  </si>
  <si>
    <t>AAABMQkAAAABMQoAAAABMAsAAAALMTE2NDg4NTE2NDYMAAAAATENAAAACDEvMS8yMDIwEAAAAAk4LzE2LzIwMjA7PJZ38kHYCDnQ5njyQdgIJUNJUS5eQ09NUC5JUV9MQVNUU0FMRVBSSUNFLjMwLzA0LzIwMTgBAAAAibgoAAIAAAAHNzA2Ni4yNwC1vDdS8kHYCICLCXPyQdgIL0NJUS5OQVNEQVFHUzpDQUtFLklRX05JLjk5OS4zMS8xMi8yMDE5Li5GLlVTRC5DAQAAAAjgBAACAAAABzE1Ny4zOTIBCAAAAAUAAAABMQEAAAAKMTk0ODE3NjY4MAMAAAADMTYwAgAAAAIxNQQAAAABMQcAAAAKMTIvMzEvMjAxOQgAAAAJOC8xNi8yMDIwCQAAAAEw3O2Vd/JB2AhKo+h48kHYCClDSVEuTllTRTpSQUNFLklRX0xBU1RTQUxFUFJJQ0UuMTMvMDcvMjAxOAEAAAA9grAQAgAAAAYxNDIuNTEAOr+FUvJB2Aikbw1x8kHYCChDSVEuTFNFOlNGT1IuSVFfTEFTVFNBTEVQUklDRS4zMC8wNi8yMDE5AQAAAMtT5CECAAAABTEuNjM1AAgPflPyQdgInwItcfJB2AgsQ0lRLkxTRTpUU0NPLklRX0VCVC4xMDAxLjMxLzEyLzIwMTkuLkYuR0JQLkMBAAAAMFAGAAMAAAAAANztlXfyQdgImznrePJB2AgvQ0lRLkxTRTpUU0NPLklRX0lOQ19UQVguOTk3LjMwLzA0LzIwMjAuLkYuR0JQLkMBAAAAMFAGAAIAAAACODcBCAAAAAUAAAABMQEAAAAKMTg4ODUyNTA3NAMAAAACNTUCAAAAAjc1BAAAAAExBwAAAAk0LzMwLzIwMjAIAAAACTgv</t>
  </si>
  <si>
    <t>MTYvMjAyMAkAAAABMMkxB0vyQdgIa02nWfJB2AglQ0lRLklRNDM5NDM4MTIuSVFfTEFTVFNBTEVQUklDRS40MzQ2NQEAAACEh54CAgAAAAktMC4yNjI4NDcA3wbedPJB2AgxbUp28kHYCEBDSVEuTllTRTpNQU5VLklRX01JTk9SSVRZX0lOVEVSRVNUX1RPVEFMLjk5Ny4zMC8wNC8yMDIwLi5GLkdCUC5DAQAAAN1rDQADAAAAAAC8WAdL8kHYCDDCmVnyQdgIJ0NJUS5OWVNFOktPLklRX0xBU1RTQUxFUFJJQ0UuMzEvMTAvMjAxNwEAAAASaAAAAgAAAAU0NS45OAAFXX5T8kHYCOYjKHHyQdgIJ0NJUS5OWVNFOktPLklRX0xBU1RTQUxFUFJJQ0UuMzEvMDUvMjAxNgEAAAASaAAAAgAAAAQ0NC42AMGqflPyQdgIgTAkcfJB2AgxQ0lRQVZHLiVUQ01TTTAxLklRX0xBU1RTQUxFUFJJQ0UuNDAyOTguMzAvMDQvMjAyMAEAAAAFHygCAgAAABEwLjU2NTE0Mzg4NDg5MjA4NgCqJCVV8kHYCM82hVnyQdgINUNJUS5OWVNFOlJBQ0UuSVFfUFJFUEFJRF9FWFAuMjAwMC4zMS8xMi8yMDE5Li5GLkVVUi5DAQAAAD2CsBADAAAAAADaFJZ38kHYCEn85HjyQdgILUNJUS5OQVNEQVFHUzpUU0xBLklRX0xBU1RTQUxFUFJJQ0UuMzAvMDQvMjAxOQEAAAAQxqIBAgAAAAYyMzguNjkACA9+U/JB2Ai4tCxx8kHYCCFDSVEuTFNFOlRTQ08uSVFfVk9MVU1FLjI5LzAzLzIwMTkBAAAAMFAGAAIAAAAHMzIuMTgxMgC5lH9T8kHYCI/xvXLy</t>
  </si>
  <si>
    <t>QdgIHUNJUS5OWVNFOktPLklRX1RFVi4zMC8wNC8yMDIwAQAAABJoAAACAAAADTIzMTUwNi41NjQxODkBBgAAAAUAAAABMQEAAAAKMjAzMDM2NTk1MgMAAAADMTYwAgAAAAYxMDAwNjAEAAAAATAHAAAACTQvMzAvMjAyMKPWJFXyQdgId+d+WfJB2AghQ0lRLkxTRTpUU0NPLklRX1ZPTFVNRS4yNC8wNC8yMDIwAQAAADBQBgACAAAACDIzLjI0Mzg0AJX9JFXyQdgIajN4WfJB2Ag1Q0lRLkdCUC5JUV9GVUxMX0NVUlZFX0FOTlVBTC5BTExDT1JQLkIuMjBZLjMwLzA0LzIwMjABAAAAAAAAAAIAAAAIMC4xMDY0MTMAqiQlVfJB2AhTCodZ8kHYCC1DSVEuTllTRTpSQUNFLklRX0VCVC4yMDAwLjMwLzA0LzIwMjAuLkYuRVVSLkMBAAAAPYKwEAIAAAAHODc1LjM2NAEIAAAABQAAAAExAQAAAAoyMDE1NjQyOTU0AwAAAAI1MAIAAAADMTM5BAAAAAExBwAAAAk0LzMwLzIwMjAIAAAACTgvMTYvMjAyMAkAAAABMNkKB0vyQdgI5O6lWfJB2AgrQ0lRLk5ZU0U6UkFDRS5JUV9OSS45OTcuMzEvMTIvMjAxOS4uRi5FVVIuQwEAAAA9grAQAgAAAAcyODcuODE2AQgAAAAFAAAAATEBAAAACjE4NzYwNDMzMTMDAAAAAjUwAgAAAAIxNQQAAAABMQcAAAAKMTIvMzEvMjAxOQgAAAAJOC8xNi8yMDIwCQAAAAEw2hSWd/JB2AhfVeh48kHYCDRDSVEuTllTRTpNQU5VLklRX1RPVEFMX0xJQUIuMTAwMC4zMC8wNC8yMDIwLi5GLkdCUC5D</t>
  </si>
  <si>
    <t>AQAAAN1rDQACAAAACDEwODEuMzIzAQgAAAAFAAAAATEBAAAACjE5ODU4NDUwNjMDAAAAAjU1AgAAAAQxMjc2BAAAAAExBwAAAAk0LzMwLzIwMjAIAAAACTgvMTYvMjAyMAkAAAABMLxYB0vyQdgIDzeaWfJB2AglQ0lRLl5DT01QLklRX0xBU1RTQUxFUFJJQ0UuMTgvMDEvMjAxOQEAAACJuCgAAgAAAAc3MTU3LjIzAIrFN1HyQdgIxe8Wc/JB2AgeQ0lRLl5DT01QLklRX0NPTVBBTllfTkFNRV9MT05HAQAAAIm4KAADAAAAHk5BU0RBUSBDb21wb3NpdGUgSW5kZXggKF5DT01QKQAA3jJS8kHYCFtTwVnyQdgIOkNJUS5MU0U6VFNDTy5JUV9FQklUREFfTUVESUFOX0VTVC4xMDAzLjMxLzEyLzIwMTkuLkYuR0JQLkMBAAAAMFAGAAIAAAAGNTI3Ny41AQ4AAAAFAAAAATMBAAAAATACAAAACjEwMDAyNjQ1MDADAAAABjEwMDE4OAQAAAABMwYAAAABMAcAAAACNTUIAAAAATEJAAAAATEKAAAAATALAAAACzExNzIyMTA2MTYyDAAAAAExDQAAAAgxLzEvMjAyMBAAAAAJOC8xNi8yMDIw80gYePJB2AiLVu948kHYCCtDSVEuTllTRTpLTy5JUV9QRVJJT0REQVRFLjk5Ni4zMC8wNC8yMDIwLi5GAQAAABJoAAAFAAAACjMxLzEyLzIwMTUAsa8kVfJB2Aj0LYFZ8kHYCCRDSVEuXlNQWC5JUV9MQVNUU0FMRVBSSUNFLjA1LzAxLzIwMTgBAAAAm7goAAIAAAAQMjc0My4xNDc3NzMyOTc0OADYLd508kHYCKYrRnbyQdgIOUNJUS5O</t>
  </si>
  <si>
    <t>QVNEQVFHUzpUU0xBLklRX1NIQVJFU09VVFNUQU5ESU5HX09VVC4zMS8xMi8yMDE1LlVTRAEAAAAQxqIBAgAAAAoxMzEuNzc4NzU4ABUiykzyQdgIzrVhdvJB2AgjQ0lRLkxTRTpTRk9SLklRX0JFVEFfMllSLjMxLzEyLzIwMTkBAAAAy1PkIQIAAAARMC44OTQxNzI2ODExNzE3MTUA3wbedPJB2Ahlikd28kHYCC1DSVEuTkFTREFRR1M6Q0FLRS5JUV9MQVNUU0FMRVBSSUNFLjIxLzEyLzIwMTgBAAAACOAEAAIAAAAFNDIuNDkAx+J/U/JB2AgPmiFx8kHYCCJDSVEuTllTRTpSQUNFLklRX1ZPTFVNRS4xOC8wMS8yMDE5AQAAAD2CsBACAAAACDAuMzcyMjY2AKS8f1PyQdgIOlu7cvJB2AgxQ0lRQVZHLiVUQ01TWTIwLklRX0xBU1RTQUxFUFJJQ0UuNDAyOTguMzAvMDQvMjAyMAEAAAAgHygCAgAAABAyLjgyNDQ4MjIwNzExNzE1AKokJVXyQdgID02EWfJB2Ag1Q0lRLkVVUi5JUV9GVUxMX0NVUlZFX0FOTlVBTC5BTExDT1JQLkEuMjBZLjMxLzEyLzIwMTkBAAAAAAAAAAIAAAAJMC4wMTY4Nzg0ANgt3nTyQdgIyqtJdvJB2AhEQ0lRLk5BU0RBUUdTOkNBS0UuSVFfVE9UQUxfREVCVF9OT05fQ1VSUkVOVC4xMDAwLjMwLzA0LzIwMjAuLkYuVVNELkMBAAAACOAEAAIAAAAIMTQ3OS44NjkBCAAAAAUAAAABMQEAAAAKMjAyMTU4MTQxMQMAAAADMTYwAgAAAAUyNTIyNAQAAAABMQcAAAAJNC8zMC8yMDIwCAAAAAk4LzE2</t>
  </si>
  <si>
    <t>LzIwMjAJAAAAATADScpM8kHYCJYVmFnyQdgIP0NJUS5OQVNEQVFHUzpUU0xBLklRX1RPVEFMX0RFQlRfQ1VSUkVOVC45OTYuMzAvMDQvMjAyMC4uRi5VU0QuQwEAAAAQxqIBAgAAAAc2NzYuNTEyAQgAAAAFAAAAATEBAAAACjE4NzU3NjkwODIDAAAAAzE2MAIAAAAFMjUyMjMEAAAAATEHAAAACTQvMzAvMjAyMAgAAAAJOC8xNi8yMDIwCQAAAAEwvFgHS/JB2AgF3pZZ8kHYCC5DSVEuTFNFOlNGT1IuSVFfRUJJVERBLjk5Ny4zMC8wNC8yMDIwLi5GLkdCUC5DAQAAAMtT5CEDAAAAAADJMQdL8kHYCJVYo1nyQdgIOUNJUS5OQVNEQVFHUzpUU0xBLklRX1BSRUZfRVFVSVRZLjIwMDAuMzAvMDQvMjAyMC4uRi5VU0QuQwEAAAAQxqIBAwAAAAAAvFgHS/JB2Aja+ZpZ8kHYCBlDSVEuLklRX1ZPTFVNRS4yOS8xMi8yMDE3BQAAAAAAAAAIAAAAFChJbnZhbGlkIElkZW50aWZpZXIpCbZBdfJB2Aj+S1128kHYCCFDSVEuTFNFOlRTQ08uSVFfVk9MVU1FLjIxLzA5LzIwMTgBAAAAMFAGAAIAAAAIMzkuMDUzNTMAQ5iFUvJB2AharBNx8kHYCCFDSVEuTFNFOlNGT1IuSVFfVk9MVU1FLjI3LzA5LzIwMTkBAAAAy1PkIQIAAAAIMC4xMjk0MDkAlf0kVfJB2Ai3fL1y8kHYCCRDSVEuXkFTWC5JUV9MQVNUU0FMRVBSSUNFLjMxLzEyLzIwMTgBAAAAH1PrAQIAAAALMzY3NS4wNjA1NjIACZY3UvJB2Aj7EAtz8kHYCChDSVEuTFNF</t>
  </si>
  <si>
    <t>OlNGT1IuSVFfTEFTVFNBTEVQUklDRS4yNC8wMS8yMDIwAQAAAMtT5CECAAAABTEuODg1AAgPflPyQdgIEFpcWfJB2AgnQ0lRLiRBRURTRUsuSVFfTEFTVFNBTEVQUklDRS4zMC8wNC8yMDIwAQAAACXrWgACAAAACzAuMzc2MTU0NjgxAKokJVXyQdgIxV2FWfJB2Ag6Q0lRLk5ZU0U6UkFDRS5JUV9DQVBFWF9NRURJQU5fRVNULjYwMDEuMzAvMDQvMjAyMC4uRi5FVVIuQwEAAAA9grAQAwAAAAAApH8HS/JB2AiTzapZ8kHYCDFDSVEuTkFTREFRR1M6Q0FLRS5JUV9QRVJJT0REQVRFLjk5OS4zMS8xMi8yMDE5Li5GAQAAAAjgBAAFAAAACjAyLzAxLzIwMTgA/gNCdfJB2AjMeU128kHYCDBDSVEuTFNFOlNGT1IuSVFfVE9UQUxfQ0wuOTk3LjMwLzA0LzIwMjAuLkYuR0JQLkMBAAAAy1PkIQMAAAAAANkKB0vyQdgIwqCXWfJB2AgxQ0lRLk5ZU0U6TUFOVS5JUV9TSEFSRVNPVVRTVEFORElORy4zMC8wNi8yMDE1LkdCUAEAAADdaw0AAgAAAAcxNjMuNzk3ABUiykzyQdgI2UJhdvJB2AglQ0lRLl5DT01QLklRX0xBU1RTQUxFUFJJQ0UuMDgvMTEvMjAxOQEAAACJuCgAAgAAAAc4NDc1LjMxALW8N1LyQdgIJbgVc/JB2AgkQ0lRLl5TUFguSVFfTEFTVFNBTEVQUklDRS4zMC8wNi8yMDE3AQAAAJu4KAACAAAAEDI0MjMuNDA4ODkxMDYyOTcAR4WFUfJB2AjSUwhz8kHYCCZDSVEuTkFTREFRR1M6VFNMQS5JUV9WT0xVTUUu</t>
  </si>
  <si>
    <t>MjMvMDIvMjAxOAEAAAAQxqIBAgAAAAg1LjgxNzM4NwAoK0J18kHYCHP4V3byQdgIIENJUS4uSVFfTEFTVFNBTEVQUklDRS4zMS8wOC8yMDE1BQAAAAAAAAAIAAAAFChJbnZhbGlkIElkZW50aWZpZXIp09s2UfJB2AhOd15z8kHYCDVDSVFBVkcuJEFFRFVTRC5JUV9MQVNUU0FMRVBSSUNFLjAyLzAxLzIwMTguMDEvMDEvMjAxOQEAAAAl61oAAgAAAAgzLjY3MjkzNwBbk+JN8kHYCGWUX3byQdgIKENJUS5MU0U6VFNDTy5JUV9MQVNUU0FMRVBSSUNFLjA5LzAyLzIwMTgBAAAAMFAGAAIAAAAFMS45OTMAKCtCdfJB2AgRV1l28kHYCC5DSVEuTllTRTpNQU5VLklRX0NBUEVYLjk5Ni4zMS8xMi8yMDE5Li5GLkdCUC5DAQAAAN1rDQACAAAABi01LjQ2NgEIAAAABQAAAAExAQAAAAoxODYxNzM2ODY5AwAAAAI1NQIAAAAEMjAyMQQAAAABMQcAAAAKMTIvMzEvMjAxOQgAAAAJOC8xNi8yMDIwCQAAAAEw2hSWd/JB2Ag3SuV48kHYCDVDSVFBVkcuJEFFREdCUC5JUV9MQVNUU0FMRVBSSUNFLjMwLzA2LzIwMTMuMzAvMDYvMjAxNAEAAAAl61oAAgAAAAg1Ljk5OTU0NwDqlspM8kHYCDkwYHbyQdgIJ0NJUS5OWVNFOktPLklRX0xBU1RTQUxFUFJJQ0UuMjkvMDYvMjAxOAEAAAASaAAAAgAAAAU0My44NgA6v4VS8kHYCNU2DHHyQdgIKENJUS5MU0U6U0ZPUi5JUV9MQVNUU0FMRVBSSUNFLjE0LzA2LzIwMTkBAAAAy1PkIQIA</t>
  </si>
  <si>
    <t>AAAEMS42NgDBqn5T8kHYCM2JJ3HyQdgIM0NJUUFWRy5JUTUwMDI3NTgxLklRX0xBU1RTQUxFUFJJQ0UuNDAxNzguMzEvMTIvMjAxOQEAAAA9XPsCAgAAABEwLjU4ODI1MjkxMDIzODQyOQDYLd508kHYCH81SXbyQdgIJUNJUS5eQ09NUC5JUV9MQVNUU0FMRVBSSUNFLjE5LzA0LzIwMTkBAAAAibgoAAIAAAAHNzk5OC4wNgCgnjdR8kHYCAx7FnPyQdgIQENJUS5OWVNFOlJBQ0UuSVFfTUlOT1JJVFlfSU5URVJFU1RfVE9UQUwuOTk5LjMxLzEyLzIwMTkuLkYuRVVSLkMBAAAAPYKwEAIAAAAFNS4yNTgBCAAAAAUAAAABMQEAAAAKMTk0NzQ0NDE5MAMAAAACNTACAAAABDEzMTIEAAAAATEHAAAACjEyLzMxLzIwMTkIAAAACTgvMTYvMjAyMAkAAAABMITUF3jyQdgIk3z2ePJB2AgwQ0lRLk5BU0RBUUdTOkNBS0UuSVFfRUJULjk5Ny4zMC8wNC8yMDIwLi5GLlVTRC5DAQAAAAjgBAACAAAABzE5MS43NjgBCAAAAAUAAAABMQEAAAAKMTk0ODE3NjY2MgMAAAADMTYwAgAAAAMxMzkEAAAAATEHAAAACTQvMzAvMjAyMAgAAAAJOC8xNi8yMDIwCQAAAAEw/2/KTPJB2Ai2Y6ZZ8kHYCCJDSVEuTllTRTpNQU5VLklRX1ZPTFVNRS4wNy8wMi8yMDIwAQAAAN1rDQACAAAACDAuMDQ1MTIzAJX9JFXyQdgIDGt5WfJB2AglQ0lRLl5DT01QLklRX0xBU1RTQUxFUFJJQ0UuMjMvMTEvMjAxOAEAAACJuCgAAgAAAAc2OTM4Ljk4AIrF</t>
  </si>
  <si>
    <t>N1HyQdgIsT0Xc/JB2AgtQ0lRLk5BU0RBUUdTOlRTTEEuSVFfTEFTVFNBTEVQUklDRS4xNy8wNC8yMDIwAQAAABDGogECAAAABjc1My44OQAB6H1T8kHYCK3pYFnyQdgIIENJUS4uSVFfTEFTVFNBTEVQUklDRS4yNi8wNy8yMDE5BQAAAAAAAAAIAAAAFChJbnZhbGlkIElkZW50aWZpZXIpkjaFUfJB2AhdPzpz8kHYCD1DSVEuTkFTREFRR1M6Q0FLRS5JUV9FQklUX01FRElBTl9FU1QuMTAwMS4zMC8wNC8yMDIwLi5GLlVTRC5DAQAAAAjgBAACAAAACC04OC45MDQ1AQ4AAAAFAAAAATMBAAAAATACAAAACjEwMDIyMjQyMjIDAAAABjEwMDIxNgQAAAABMgYAAAABMAcAAAADMTYwCAAAAAExCQAAAAExCgAAAAEwCwAAAAsxMTg4NjUwOTU1NwwAAAABMQ0AAAAINS8xLzIwMjAQAAAACTgvMTYvMjAyMP9vykzyQdgIXRukWfJB2AgnQ0lRLiRBRURTQVIuSVFfTEFTVFNBTEVQUklDRS4zMC8wNC8yMDIwAQAAACXrWgACAAAACzAuOTc3NTg5Njk0AKokJVXyQdgIftqCWfJB2AgoQ0lRLkxTRTpTRk9SLklRX0xBU1RTQUxFUFJJQ0UuMTUvMDIvMjAxOQEAAADLU+QhAgAAAAUxLjMwNQCkvH9T8kHYCBm6I3HyQdgIJENJUS5eQVNYLklRX0xBU1RTQUxFUFJJQ0UuMTYvMDIvMjAxOAEAAAAfU+sBAgAAAAs0MDEyLjI4MzI4NADYLd508kHYCG3cRXbyQdgIPUNJUS5OQVNEQVFHUzpUU0xBLklRX0VCSVRfTUVESUFOX0VTVC42</t>
  </si>
  <si>
    <t>MDAxLjMxLzEyLzIwMTkuLkYuVVNELkMBAAAAEMaiAQMAAAAAAPNIGHjyQdgInNDtePJB2AgpQ0lRLk5ZU0U6UkFDRS5JUV9MQVNUU0FMRVBSSUNFLjMwLzExLzIwMTgBAAAAPYKwEAIAAAAFMTA5LjYAx+J/U/JB2AgIVitx8kHYCCZDSVEuTkFTREFRR1M6VFNMQS5JUV9WT0xVTUUuMTAvMDUvMjAxOQEAAAAQxqIBAgAAAAg3LjAwODMzNgCj1iRV8kHYCIyYwXLyQdgIKENJUS5MU0U6U0ZPUi5JUV9MQVNUU0FMRVBSSUNFLjIzLzAzLzIwMTgBAAAAy1PkIQMAAAAAACgrQnXyQdgI0RlTdvJB2AgwQ0lRLk5BU0RBUUdTOkNBS0UuSVFfRUJULjk5OC4zMS8xMi8yMDE5Li5GLlVTRC5DAQAAAAjgBAACAAAABzE5MS43NjgBCAAAAAUAAAABMQEAAAAKMTk0ODE3NjY2MgMAAAADMTYwAgAAAAMxMzkEAAAAATEHAAAACjEyLzMxLzIwMTkIAAAACTgvMTYvMjAyMAkAAAABMNztlXfyQdgIyZ3qePJB2Ag1Q0lRLk5ZU0U6UkFDRS5JUV9TSEFSRVNPVVRTVEFORElOR19PVVQuMzAvMDQvMjAyMC5FVVIBAAAAPYKwEAIAAAAJMTg0Ljc0Nzg5ALNDw1ryQdgIXjDRWvJB2AgzQ0lRLk5BU0RBUUdTOkNBS0UuSVFfQ0FQRVguMjAwMC4zMS8xMi8yMDE5Li5GLlVTRC5DAQAAAAjgBAACAAAABy03MC44OTUBCAAAAAUAAAABMQEAAAAKMTk5MTMyNzA0MAMAAAADMTYwAgAAAAQyMDIxBAAAAAExBwAAAAoxMi8zMS8yMDE5CAAAAAk4</t>
  </si>
  <si>
    <t>LzE2LzIwMjAJAAAAATDaFJZ38kHYCBYN5njyQdgIOkNJUS5OWVNFOktPLklRX1RPVEFMX0RFQlRfQ1VSUkVOVC4yMDAwLjMwLzA0LzIwMjAuLkYuVVNELkMBAAAAEmgAAAIAAAAFMTkyOTkBCAAAAAUAAAABMQEAAAAKMjAzMDM3Njg5NwMAAAADMTYwAgAAAAUyNTIyMwQAAAABMQcAAAAJNC8zMC8yMDIwCAAAAAk4LzE2LzIwMjAJAAAAATADScpM8kHYCJwcllnyQdgIKENJUS5MU0U6VFNDTy5JUV9MQVNUU0FMRVBSSUNFLjMxLzEwLzIwMTkBAAAAMFAGAAIAAAAFMi4zNTIAAeh9U/JB2AhYEy5x8kHYCDVDSVEuTllTRTpSQUNFLklRX1NIQVJFU09VVFNUQU5ESU5HX09VVC4zMS8xMi8yMDE0LkVVUgEAAAA9grAQAwAAAAAAR2AXePJB2AjUxQB58kHYCD9DSVEuTFNFOlRTQ08uSVFfTUlOT1JJVFlfSU5URVJFU1RfVE9UQUwuOTk4LjMwLzA0LzIwMjAuLkYuR0JQLkMBAAAAMFAGAAIAAAADLTIyAQgAAAAFAAAAATEBAAAACjE5Njg3MzY1NTkDAAAAAjU1AgAAAAQxMzEyBAAAAAExBwAAAAk0LzMwLzIwMjAIAAAACTgvMTYvMjAyMAkAAAABMMkxB0vyQdgIO5uZWfJB2AgvQ0lRLk5ZU0U6TUFOVS5JUV9EQV9DRi4xMDAwLjMwLzA0LzIwMjAuLkYuR0JQLkMBAAAA3WsNAAIAAAAGMTQwLjg4AQgAAAAFAAAAATEBAAAACjE5ODU4NDUwNjMDAAAAAjU1AgAAAAQyMTYwBAAAAAExBwAAAAk0LzMwLzIwMjAIAAAACTgv</t>
  </si>
  <si>
    <t>MTYvMjAyMAkAAAABMP9vykzyQdgIvuOpWfJB2AggQ0lRLi5JUV9MQVNUU0FMRVBSSUNFLjAzLzA4LzIwMTgFAAAAAAAAAAgAAAAUKEludmFsaWQgSWRlbnRpZmllcinMKTdR8kHYCNblbnPyQdgIIUNJUS5MU0U6VFNDTy5JUV9WT0xVTUUuMjIvMTEvMjAxOQEAAAAwUAYAAgAAAAgxNy45MjQ1MwCV/SRV8kHYCFW0vnLyQdgIIUNJUS5OWVNFOktPLklRX1RFVl9PVVQuMzAvMDQvMjAyMAEAAAASaAAAAgAAAA0yMzE1MDYuNTY0MTg5AQYAAAAFAAAAATEBAAAACjIwMzAzNjU5NTIDAAAAAzE2MAIAAAAFNDYyMTQEAAAAATAHAAAACTQvMzAvMjAyMKPWJFXyQdgI6g1/WfJB2AgsQ0lRLk5ZU0U6UkFDRS5JUV9TR0EuOTk4LjMxLzEyLzIwMTkuLkYuRVVSLkMBAAAAPYKwEAIAAAAHMjk1LjI0MgEIAAAABQAAAAExAQAAAAoxOTQ3NDQ0MTg0AwAAAAI1MAIAAAACMjMEAAAAATEHAAAACjEyLzMxLzIwMTkIAAAACTgvMTYvMjAyMAkAAAABMB4iGHjyQdgIiqTvePJB2AgpQ0lRLk5ZU0U6UkFDRS5JUV9MQVNUU0FMRVBSSUNFLjA4LzAzLzIwMTkBAAAAPYKwEAIAAAAGMTI4Ljg4AKS8f1PyQdgI1lckcfJB2AgkQ0lRLl5BU1guSVFfTEFTVFNBTEVQUklDRS4zMC8wNC8yMDE3AQAAAB9T6wECAAAABzM5NjIuNDkAfKuFUfJB2AjYhQtz8kHYCDdDSVEuTllTRTpSQUNFLklRX0NBU0hfU1RfSU5WRVNULjk5Ny4zMS8xMi8y</t>
  </si>
  <si>
    <t>MDE5Li5GLkVVUi5DAQAAAD2CsBACAAAABzE4Ni4zMDkBCAAAAAUAAAABMQEAAAAKMTg3NjA0MzMxMwMAAAACNTACAAAABDEwMDIEAAAAATEHAAAACjEyLzMxLzIwMTkIAAAACTgvMTYvMjAyMAkAAAABMDuGF3jyQdgIWtL8ePJB2AgyQ0lRLkxTRTpUU0NPLklRX1RPVEFMX0xJQUIuOTk2LjMwLzA0LzIwMjAuLkYuR0JQLkMBAAAAMFAGAAIAAAAFMzUyODgBCAAAAAUAAAABMQEAAAAKMTg0NzgyNTE0OAMAAAACNTUCAAAABDEyNzYEAAAAATEHAAAACTQvMzAvMjAyMAgAAAAJOC8xNi8yMDIwCQAAAAEwyTEHS/JB2Ajwq5pZ8kHYCCxDSVEuTllTRTpLTy5JUV9DQVBFWC45OTguMzAvMDQvMjAyMC4uRi5VU0QuQwEAAAASaAAAAgAAAAUtMTc1MAEIAAAABQAAAAExAQAAAAoyMDE2NzkxMjUwAwAAAAMxNjACAAAABDIwMjEEAAAAATEHAAAACTQvMzAvMjAyMAgAAAAJOC8xNi8yMDIwCQAAAAEwA0nKTPJB2AhNt6tZ8kHYCCRDSVEuXlNQWC5JUV9MQVNUU0FMRVBSSUNFLjE0LzA2LzIwMTkBAAAAm7goAAIAAAAQMjg4Ni45ODMyMDk5ODAxMwB8q4VR8kHYCAetEnPyQdgIKUNJUS5OWVNFOlJBQ0UuSVFfTEFTVFNBTEVQUklDRS4yMy8xMS8yMDE4AQAAAD2CsBACAAAABjEwNi42NgDH4n9T8kHYCJmNHnHyQdgIMkNJUS5OQVNEQVFHUzpDQUtFLklRX0VCSVQuMTAwMC4zMS8xMi8yMDE5Li5GLlVTRC5DAQAAAAjgBAAC</t>
  </si>
  <si>
    <t>AAAABzEzNi44MDkBCAAAAAUAAAABMQEAAAAKMTk0ODE3NjY3NQMAAAADMTYwAgAAAAM0MDAEAAAAATEHAAAACjEyLzMxLzIwMTkIAAAACTgvMTYvMjAyMAkAAAABMB4iGHjyQdgITErsePJB2AgkQ0lRLl5TUFguSVFfTEFTVFNBTEVQUklDRS4zMS8xMC8yMDE3AQAAAJu4KAACAAAAEDI1NzUuMjYzODMwNDUyMTQAtbw3UvJB2AjULAhz8kHYCEBDSVEuTkFTREFRR1M6VFNMQS5JUV9UT1RBTF9ERUJUX0NVUlJFTlQuMjAwMC4zMC8wNC8yMDIwLi5GLlVTRC5DAQAAABDGogECAAAABDM0OTkBCAAAAAUAAAABMQEAAAAKMjAzMjA0NTMzNAMAAAADMTYwAgAAAAUyNTIyMwQAAAABMQcAAAAJNC8zMC8yMDIwCAAAAAk4LzE2LzIwMjAJAAAAATC8WAdL8kHYCJwcllnyQdgINUNJUS5OWVNFOktPLklRX0NBU0hfU1RfSU5WRVNULjk5OS4zMS8xMi8yMDE5Li5GLlVTRC5DAQAAABJoAAACAAAABTIwNjc1AQgAAAAFAAAAATEBAAAACjE5NDY0MzA3NzkDAAAAAzE2MAIAAAAEMTAwMgQAAAABMQcAAAAKMTIvMzEvMjAxOQgAAAAJOC8xNi8yMDIwCQAAAAEwO4YXePJB2AhV8v548kHYCCxDSVEuTFNFOlRTQ08uSVFfRUJJVC45OTguMzEvMTIvMjAxOS4uRi5HQlAuQwEAAAAwUAYAAgAAAAQxMTczAQgAAAAFAAAAATEBAAAACjE4ODg1MjUwNzQDAAAAAjU1AgAAAAM0MDAEAAAAATEHAAAACjEyLzMxLzIwMTkIAAAACTgvMTYv</t>
  </si>
  <si>
    <t>MjAyMAkAAAABMB4iGHjyQdgIZ/zrePJB2AgtQ0lRLk5BU0RBUUdTOkNBS0UuSVFfTEFTVFNBTEVQUklDRS4xNS8wMy8yMDE5AQAAAAjgBAACAAAABTQ2LjQxAKS8f1PyQdgIhMwkcfJB2Ag6Q0lRLk5ZU0U6S08uSVFfVE9UQUxfREVCVF9DVVJSRU5ULjIwMDAuMzEvMTIvMjAxOS4uRi5VU0QuQwEAAAASaAAAAgAAAAUxMTcxNwEIAAAABQAAAAExAQAAAAoxOTg4ODAxNTI2AwAAAAMxNjACAAAABTI1MjIzBAAAAAExBwAAAAoxMi8zMS8yMDE5CAAAAAk4LzE2LzIwMjAJAAAAATA7hhd48kHYCMbF+XjyQdgIMkNJUS5OWVNFOktPLklRX1BSRUZfRVFVSVRZLjk5OS4zMC8wNC8yMDIwLi5GLlVTRC5DAQAAABJoAAADAAAAAAADScpM8kHYCMlHm1nyQdgIIUNJUS5MU0U6VFNDTy5JUV9WT0xVTUUuMjIvMDIvMjAxOQEAAAAwUAYAAgAAAAgyOC4yNTEwMQCkvH9T8kHYCI/xvXLyQdgIKkNJUS5OWVNFOktPLklRX1NHQS45OTcuMzEvMTIvMjAxOS4uRi5VU0QuQwEAAAASaAAAAgAAAAUxNjQyNwEIAAAABQAAAAExAQAAAAoxODc1Nzk3ODA5AwAAAAMxNjACAAAAAjIzBAAAAAExBwAAAAoxMi8zMS8yMDE5CAAAAAk4LzE2LzIwMjAJAAAAATAeIhh48kHYCIqk73jyQdgIKkNJUS5MU0U6VFNDTy5JUV9OSS45OTcuMzAvMDQvMjAyMC4uRi5HQlAuQwEAAAAwUAYAAgAAAAMtNDABCAAAAAUAAAABMQEAAAAKMTg4ODUyNTA3</t>
  </si>
  <si>
    <t>NAMAAAACNTUCAAAAAjE1BAAAAAExBwAAAAk0LzMwLzIwMjAIAAAACTgvMTYvMjAyMAkAAAABMMkxB0vyQdgID6yoWfJB2AgmQ0lRLklRMTAwODg5OTM5LklRX0xBU1RTQUxFUFJJQ0UuNDM1ODUBAAAAU3UDBgIAAAAEMC45OQCj1iRV8kHYCIVHhlnyQdgIIkNJUS5OWVNFOlJBQ0UuSVFfVk9MVU1FLjI2LzEwLzIwMTgBAAAAPYKwEAIAAAAIMC45MDUyMjgAQ5iFUvJB2AjtjxZx8kHYCCZDSVEuTkFTREFRR1M6Q0FLRS5JUV9WT0xVTUUuMjMvMDMvMjAxOAEAAAAI4AQAAgAAAAgxLjI5NDQ0OQAoK0J18kHYCHb0UnbyQdgIJkNJUS5OQVNEQVFHUzpUU0xBLklRX1ZPTFVNRS4xOC8wNS8yMDE4AQAAABDGogECAAAACDcuMjUxODg3ACnmhVLyQdgI0Y8IcfJB2AgmQ0lRLk5BU0RBUUdTOlRTTEEuSVFfVk9MVU1FLjExLzAxLzIwMTkBAAAAEMaiAQIAAAAINS4wMzkwNTIApLx/U/JB2AijSsFy8kHYCC1DSVEuTkFTREFRR1M6Q0FLRS5JUV9MQVNUU0FMRVBSSUNFLjA5LzAzLzIwMTgBAAAACOAEAAIAAAAFNDkuMzEAKCtCdfJB2AjPwFZ28kHYCDRDSVEuTkFTREFRR1M6Q0FLRS5JUV9JTkNfVEFYLjk5OC4zMS8xMi8yMDE5Li5GLlVTRC5DAQAAAAjgBAACAAAABjUyLjI3NAEIAAAABQAAAAExAQAAAAoxOTQ4MTc2NjYyAwAAAAMxNjACAAAAAjc1BAAAAAExBwAAAAoxMi8zMS8yMDE5CAAAAAk4LzE2LzIwMjAJAAAA</t>
  </si>
  <si>
    <t>ATDc7ZV38kHYCGjb6XjyQdgIK0NJUS5OWVNFOktPLklRX1BFUklPRERBVEUuOTk1LjMxLzEyLzIwMTkuLkYBAAAAEmgAAAUAAAAKMzEvMTIvMjAxMwD+A0J18kHYCKPHTXbyQdgILENJUS5OWVNFOk1BTlUuSVFfRUJULjk5Ny4zMS8xMi8yMDE5Li5GLkdCUC5DAQAAAN1rDQACAAAABjQ4LjgzMwEIAAAABQAAAAExAQAAAAoxOTEwMjQ3NDAzAwAAAAI1NQIAAAADMTM5BAAAAAExBwAAAAoxMi8zMS8yMDE5CAAAAAk4LzE2LzIwMjAJAAAAATDc7ZV38kHYCNVP6njyQdgILUNJUS5OQVNEQVFHUzpDQUtFLklRX0xBU1RTQUxFUFJJQ0UuMzEvMDEvMjAxNwEAAAAI4AQAAgAAAAU2MC4yNgDRg35T8kHYCA4EJnHyQdgILUNJUS5OQVNEQVFHUzpUU0xBLklRX0xBU1RTQUxFUFJJQ0UuMDgvMDMvMjAxOQEAAAAQxqIBAgAAAAYyODQuMTQApLx/U/JB2Ai9fiRx8kHYCCFDSVEuTFNFOlNGT1IuSVFfVk9MVU1FLjI4LzAyLzIwMjABAAAAy1PkIQIAAAAIMS4zMTg1MTQAlf0kVfJB2Aj/I3dZ8kHYCDVDSVEuTkFTREFRR1M6VFNMQS5JUV9DT1NUX1JFVi45OTguMzAvMDQvMjAyMC4uRi5VU0QuQwEAAAAQxqIBAgAAAAQ5NTM2AQgAAAAFAAAAATEBAAAACjIwMTM5MDc0NzADAAAAAzE2MAIAAAABMQQAAAABMQcAAAAJNC8zMC8yMDIwCAAAAAk4LzE2LzIwMjAJAAAAATC8WAdL8kHYCLXunlnyQdgINUNJUS5MU0U6U0ZPUi5J</t>
  </si>
  <si>
    <t>UV9UT1RBTF9BU1NFVFMuMTAwMC4zMS8xMi8yMDE5Li5GLkdCUC5DAQAAAMtT5CECAAAABzQ5OS4wMzQBCAAAAAUAAAABMQEAAAAKMTk2MTExNjI3MQMAAAACNTUCAAAABDEwMDcEAAAAATEHAAAACjEyLzMxLzIwMTkIAAAACTgvMTYvMjAyMAkAAAABMDuGF3jyQdgIXEv7ePJB2AgiQ0lRLk5ZU0U6TUFOVS5JUV9WT0xVTUUuMDQvMDEvMjAxOQEAAADdaw0AAgAAAAgwLjExNTYwNQDH4n9T8kHYCE3bvnLyQdgIMUNJUS5OQVNEQVFHUzpUU0xBLklRX0VCVC4xMDAxLjMxLzEyLzIwMTkuLkYuVVNELkMBAAAAEMaiAQMAAAAAANztlXfyQdgImznrePJB2AgZQ0lRLi5JUV9WT0xVTUUuMjEvMDkvMjAxOAUAAAAAAAAACAAAABQoSW52YWxpZCBJZGVudGlmaWVyKXL8hFLyQdgIWqwTcfJB2AgwQ0lRLk5ZU0U6S08uSVFfUlVBX0dST1NTLjIwMDAuMzAvMDQvMjAyMC4uLkxPQ0FMAQAAABJoAAADAAAAAACxryRV8kHYCP/8fVnyQdgIOENJUS5OQVNEQVFHUzpDQUtFLklRX1RPVEFMX0xJQUIuMTAwMC4zMS8xMi8yMDE5Li5GLlVTRC5DAQAAAAjgBAACAAAABzc0My4wNzQBCAAAAAUAAAABMQEAAAAKMTk0ODE3NjY3NQMAAAADMTYwAgAAAAQxMjc2BAAAAAExBwAAAAoxMi8zMS8yMDE5CAAAAAk4LzE2LzIwMjAJAAAAATCE1Bd48kHYCPHh9XjyQdgIJENJUS5eU1BYLklRX0xBU1RTQUxFUFJJQ0UuMzEvMDcvMjAxOQEA</t>
  </si>
  <si>
    <t>AACbuCgAAgAAABAyOTgwLjM3ODg1NDQ2NDI3AEkFM1LyQdgI/bcHc/JB2AgtQ0lRLk5ZU0U6S08uSVFfRUJJVERBLjk5OS4zMS8xMi8yMDE5Li5GLlVTRC5DAQAAABJoAAACAAAABTEwMzM4AQgAAAAFAAAAATEBAAAACjE5NDY0MzA3NzkDAAAAAzE2MAIAAAAENDA1MQQAAAABMQcAAAAKMTIvMzEvMjAxOQgAAAAJOC8xNi8yMDIwCQAAAAEwHiIYePJB2Ai7ku548kHYCDNDSVEuTkFTREFRR1M6Q0FLRS5JUV9EQV9DRi4xMDAwLjMxLzEyLzIwMTkuLkYuVVNELkMBAAAACOAEAAIAAAAGOTMuODc2AQgAAAAFAAAAATEBAAAACjE5NDgxNzY2NzUDAAAAAzE2MAIAAAAEMjE2MAQAAAABMQcAAAAKMTIvMzEvMjAxOQgAAAAJOC8xNi8yMDIwCQAAAAEw2hSWd/JB2Aiga+d48kHYCCFDSVEuTFNFOlNGT1IuSVFfVk9MVU1FLjI3LzEyLzIwMTkBAAAAy1PkIQIAAAAIMC4yMzAyNzMAlf0kVfJB2Aiho71y8kHYCDZDSVEuTFNFOlNGT1IuSVFfRVFVSVRZX01FVEhPRC4xMDAwLjMxLzEyLzIwMTkuLkYuR0JQLkMBAAAAy1PkIQMAAAAAAEdgF3jyQdgIEAMAefJB2AgxQ0lRLk5ZU0U6UkFDRS5JUV9DT1NUX1JFVi45OTcuMzAvMDQvMjAyMC4uRi5FVVIuQwEAAAA9grAQAgAAAAgxNTQyLjY5NgEIAAAABQAAAAExAQAAAAoxOTQ3NDQ0MTg0AwAAAAI1MAIAAAABMQQAAAABMQcAAAAJNC8zMC8yMDIwCAAAAAk4LzE2LzIwMjAJ</t>
  </si>
  <si>
    <t>AAAAATDZCgdL8kHYCLE8n1nyQdgIOENJUS5MU0U6U0ZPUi5JUV9FQklUX01FRElBTl9FU1QuMTAwMy4zMC8wNC8yMDIwLi5GLkdCUC5DAQAAAMtT5CECAAAAEDg5LjMzODQ5OTk3Njg5NzUBDgAAAAUAAAABMwEAAAABMAIAAAAKMTAwNDYzMDY3MQMAAAAGMTAwMjE2BAAAAAEzBgAAAAEwBwAAAAI1NQgAAAABMQkAAAABMQoAAAABMAsAAAALMTE4OTkzMzAwMjAMAAAAATENAAAACDUvMS8yMDIwEAAAAAk4LzE2LzIwMjCkfwdL8kHYCHqmo1nyQdgIKUNJUS5OWVNFOlJBQ0UuSVFfTEFTVFNBTEVQUklDRS4zMS8wNS8yMDE1AQAAAD2CsBADAAAAAACkvH9T8kHYCLXtH3HyQdgIO0NJUS5OWVNFOlJBQ0UuSVFfVE9UQUxfREVCVF9DVVJSRU5ULjk5Ni4zMS8xMi8yMDE5Li5GLkVVUi5DAQAAAD2CsBACAAAABjQ5MS4zMgEIAAAABQAAAAExAQAAAAoxODMwNDc0MDk0AwAAAAI1MAIAAAAFMjUyMjMEAAAAATEHAAAACjEyLzMxLzIwMTkIAAAACTgvMTYvMjAyMAkAAAABMBytF3jyQdgIZ934ePJB2AglQ0lRLl5DT01QLklRX0xBU1RTQUxFUFJJQ0UuMzEvMTIvMjAxOQEAAACJuCgAAgAAAAc4OTcyLjYxAEkFM1LyQdgItBYJc/JB2Ag3Q0lRLkxTRTpUU0NPLklRX1JFVFVSTl9JTlZFU1RFRF9DQVBJVEFMLjIwMDAuMzAvMDQvMjAyMAEAAAAwUAYAAgAAAAYxLjAyNjEAsa8kVfJB2Aj//H1Z8kHYCC1DSVEuTkFTREFR</t>
  </si>
  <si>
    <t>R1M6Q0FLRS5JUV9MQVNUU0FMRVBSSUNFLjMwLzA0LzIwMTUBAAAACOAEAAIAAAAFNTAuMTMApLx/U/JB2AjTUR9x8kHYCCBDSVEuLklRX0xBU1RTQUxFUFJJQ0UuMDYvMTIvMjAxOQUAAAAAAAAACAAAABQoSW52YWxpZCBJZGVudGlmaWVyKewgN1LyQdgIV5Ejc/JB2Ag/Q0lRLk5ZU0U6S08uSVFfTUlOT1JJVFlfSU5URVJFU1RfVE9UQUwuMTAwMC4zMS8xMi8yMDE5Li5GLlVTRC5DAQAAABJoAAACAAAABDIwNzcBCAAAAAUAAAABMQEAAAAKMTk0NjQzMDc4MQMAAAADMTYwAgAAAAQxMzEyBAAAAAExBwAAAAoxMi8zMS8yMDE5CAAAAAk4LzE2LzIwMjAJAAAAATCE1Bd48kHYCO6k9njyQdgIJUNJUS5eQ09NUC5JUV9MQVNUU0FMRVBSSUNFLjIxLzAyLzIwMjABAAAAibgoAAIAAAAHOTU3Ni41OQBJBTNS8kHYCKXCvFnyQdgIJENJUS5eQVNYLklRX0xBU1RTQUxFUFJJQ0UuMTYvMDgvMjAxOQEAAAAfU+sBAgAAAAszODkzLjY1NjM4OAB8q4VR8kHYCN4hGnPyQdgINkNJUS5MU0U6U0ZPUi5JUV9EQV9NRURJQU5fRVNULjYwMDAuMzAvMDQvMjAyMC4uRi5HQlAuQwEAAADLU+QhAgAAABAyLjk4MzAyMTAxNDU3NDUxAQ4AAAAFAAAAAjExAQAAAAEwAgAAAAoxMDA0MzE2MDUxAwAAAAYxMTQxOTAEAAAAATMGAAAAATAHAAAAAjU1CAAAAAExCQAAAAExCgAAAAEwCwAAAAsxMTg0ODIwMzg2MgwAAAACMTINAAAACDUv</t>
  </si>
  <si>
    <t>MS8yMDIwEAAAAAk4LzE2LzIwMjCkfwdL8kHYCNpuqVnyQdgIPkNJUS5MU0U6U0ZPUi5JUV9UT1RBTF9ERUJUX05PTl9DVVJSRU5ULjk5OS4zMS8xMi8yMDE5Li5GLkdCUC5DAQAAAMtT5CEDAAAAAAAcrRd48kHYCGhW93jyQdgIIENJUS4uSVFfTEFTVFNBTEVQUklDRS4xMi8wNC8yMDE5BQAAAAAAAAAIAAAAFChJbnZhbGlkIElkZW50aWZpZXIp09s2UfJB2Aj2Q01z8kHYCBlDSVEuLklRX1ZPTFVNRS4zMS8wMS8yMDIwBQAAAAAAAAAIAAAAFChJbnZhbGlkIElkZW50aWZpZXIp2Tm1U/JB2AhyAnVZ8kHYCDFDSVEuTkFTREFRR1M6VFNMQS5JUV9QRVJJT0REQVRFLjk5OS4zMS8xMi8yMDE5Li5GAQAAABDGogEFAAAACjMxLzEyLzIwMTcA/gNCdfJB2AjDUk128kHYCC9DSVEuTllTRTpNQU5VLklRX0VCSVREQS45OTkuMzEvMTIvMjAxOS4uRi5HQlAuQwEAAADdaw0AAgAAAAcxNzcuNzE3AQgAAAAFAAAAATEBAAAACjE5ODU4NDUwMjkDAAAAAjU1AgAAAAQ0MDUxBAAAAAExBwAAAAoxMi8zMS8yMDE5CAAAAAk4LzE2LzIwMjAJAAAAATAeIhh48kHYCMJr7njyQdgIJ0NJUS5OQVNEQVFHUzpDQUtFLklRX1RFVl9PVVQuMzAvMDQvMjAyMAEAAAAI4AQAAgAAAAsyNTYyLjg2NzE3OQEGAAAABQAAAAExAQAAAAoyMDIxNTgyNzAyAwAAAAMxNjACAAAABTQ2MjE0BAAAAAEwBwAAAAk0LzMwLzIwMjCj1iRV8kHYCHfn</t>
  </si>
  <si>
    <t>flnyQdgIPENJUS5OWVNFOk1BTlUuSVFfVE9UQUxfQ09NTU9OX0VRVUlUWS45OTkuMzEvMTIvMjAxOS4uRi5HQlAuQwEAAADdaw0AAgAAAAc0MjcuMTA0AQgAAAAFAAAAATEBAAAACjE5ODU4NDUwMjkDAAAAAjU1AgAAAAQxMDA2BAAAAAExBwAAAAoxMi8zMS8yMDE5CAAAAAk4LzE2LzIwMjAJAAAAATAe+xd48kHYCEkN9HjyQdgIKENJUS5MU0U6U0ZPUi5JUV9MQVNUU0FMRVBSSUNFLjAxLzAzLzIwMTkBAAAAy1PkIQIAAAAFMS4yOTUApLx/U/JB2AiBMCRx8kHYCDFDSVEuTllTRTpLTy5JUV9UT1RBTF9MSUFCLjk5OC4zMC8wNC8yMDIwLi5GLlVTRC5DAQAAABJoAAACAAAABTY4OTE5AQgAAAAFAAAAATEBAAAACjIwMTY3OTEyNTADAAAAAzE2MAIAAAAEMTI3NgQAAAABMQcAAAAJNC8zMC8yMDIwCAAAAAk4LzE2LzIwMjAJAAAAATADScpM8kHYCAZemlnyQdgIO0NJUS5OQVNEQVFHUzpUU0xBLklRX0VRVUlUWV9NRVRIT0QuMTAwMC4zMS8xMi8yMDE5Li5GLlVTRC5DAQAAABDGogEDAAAAAABHYBd48kHYCBADAHnyQdgIM0NJUUFWRy5JUTUwMDI3NTgzLklRX0xBU1RTQUxFUFJJQ0UuNDAyOTguMzAvMDQvMjAyMAEAAAA/XPsCAgAAAA0xLjE4MzYxMzI4MTI1AKokJVXyQdgIeW6GWfJB2AgtQ0lRLk5BU0RBUUdTOkNBS0UuSVFfTEFTVFNBTEVQUklDRS4zMS8xMi8yMDE3AQAAAAjgBAACAAAABTQ4LjE4AAVd</t>
  </si>
  <si>
    <t>flPyQdgITpoocfJB2AgtQ0lRLk5BU0RBUUdTOlRTTEEuSVFfTEFTVFNBTEVQUklDRS4zMS8wOC8yMDE2AQAAABDGogECAAAABjIxMi4wMQDBqn5T8kHYCMbzJHHyQdgINENJUS5MU0U6U0ZPUi5JUV9UT1RBTF9BU1NFVFMuOTk4LjMxLzEyLzIwMTkuLkYuR0JQLkMBAAAAy1PkIQMAAAAAADuGF3jyQdgIef36ePJB2AgsQ0lRLk5ZU0U6UkFDRS5JUV9GSVNDQUxfWS4xMDAwLjMwLzA0LzIwMjAuLkYBAAAAPYKwEAEAAAAEMjAxOQD8OiRV8kHYCDHM0VryQdgIJ0NJUS5OWVNFOktPLklRX0xBU1RTQUxFUFJJQ0UuMjcvMDcvMjAxOAEAAAASaAAAAgAAAAU0Ni4yMQA6v4VS8kHYCA4bD3HyQdgIKUNJUS5OWVNFOlJBQ0UuSVFfTEFTVFNBTEVQUklDRS4zMS8xMi8yMDE5AQAAAD2CsBACAAAABjE2NS41NAAB6H1T8kHYCERhLnHyQdgIK0NJUS5OWVNFOktPLklRX1BSSUNFX1ZPTF9ISVNUX1lSLjMxLzEyLzIwMTkBAAAAEmgAAAIAAAAHMTUuMzM2NgDr39108kHYCGXHRnbyQdgIJkNJUS5OQVNEQVFHUzpDQUtFLklRX1ZPTFVNRS4wMi8wOC8yMDE5AQAAAAjgBAACAAAACDEuMTE1MzAxAJX9JFXyQdgI067AcvJB2AhAQ0lRLk5ZU0U6UkFDRS5JUV9UT1RBTF9ERUJUX05PTl9DVVJSRU5ULjEwMDAuMzEvMTIvMjAxOS4uRi5FVVIuQwEAAAA9grAQAgAAAAgxNTc0Ljc1OAEIAAAABQAAAAExAQAAAAoxOTQ3NDQ0MTgz</t>
  </si>
  <si>
    <t>AwAAAAI1MAIAAAAFMjUyMjQEAAAAATEHAAAACjEyLzMxLzIwMTkIAAAACTgvMTYvMjAyMAkAAAABMBytF3jyQdgIUn/3ePJB2AgpQ0lRLk5ZU0U6TUFOVS5JUV9MQVNUU0FMRVBSSUNFLjMwLzA0LzIwMTYBAAAA3WsNAAIAAAAFMTcuMDkAwap+U/JB2AjVCSRx8kHYCDVDSVEuTllTRTpNQU5VLklRX1RPVEFMX0FTU0VUUy45OTcuMzAvMDQvMjAyMC4uRi5HQlAuQwEAAADdaw0AAgAAAAgxNDUxLjkwMwEIAAAABQAAAAExAQAAAAoxOTEwMjQ3NDAzAwAAAAI1NQIAAAAEMTAwNwQAAAABMQcAAAAJNC8zMC8yMDIwCAAAAAk4LzE2LzIwMjAJAAAAATC8WAdL8kHYCMzklFnyQdgINENJUS5OWVNFOk1BTlUuSVFfRUFSTklOR19DTy4yMDAwLjMwLzA0LzIwMjAuLkYuR0JQLkMBAAAA3WsNAAIAAAAEMjEuNgEIAAAABQAAAAExAQAAAAoyMDE4NjMyMDAzAwAAAAI1NQIAAAABNwQAAAABMQcAAAAJNC8zMC8yMDIwCAAAAAk4LzE2LzIwMjAJAAAAATC8WAdL8kHYCPEVrVnyQdgIJ0NJUS5OWVNFOktPLklRX0xBU1RTQUxFUFJJQ0UuMzAvMTEvMjAxNQEAAAASaAAAAgAAAAU0Mi42MgC5lH9T8kHYCPf4InHyQdgIKkNJUS5MU0U6U0ZPUi5JUV9HUC45OTcuMzEvMTIvMjAxOS4uRi5HQlAuQwEAAADLU+QhAwAAAAAAHiIYePJB2AhzQPB48kHYCDhDSVEuTkFTREFRR1M6VFNMQS5JUV9QUkVGX0VRVUlUWS45OTkuMzAvMDQv</t>
  </si>
  <si>
    <t>MjAyMC4uRi5VU0QuQwEAAAAQxqIBAwAAAAAAvFgHS/JB2AjJR5tZ8kHYCC1DSVEuTkFTREFRR1M6VFNMQS5JUV9MQVNUU0FMRVBSSUNFLjMxLzAxLzIwMTcBAAAAEMaiAQIAAAAGMjUxLjkzANGDflPyQdgIDgQmcfJB2AgoQ0lRLkxTRTpUU0NPLklRX0xBU1RTQUxFUFJJQ0UuMzEvMDgvMjAxNQEAAAAwUAYAAgAAAAYxLjkxMzUAuZR/U/JB2AgbNiJx8kHYCDJDSVEuTkFTREFRR1M6VFNMQS5JUV9DQVBFWC45OTcuMzAvMDQvMjAyMC4uRi5VU0QuQwEAAAAQxqIBAgAAAAktMTQ0MC40NzEBCAAAAAUAAAABMQEAAAAKMTk0NTg3MzU1MQMAAAADMTYwAgAAAAQyMDIxBAAAAAExBwAAAAk0LzMwLzIwMjAIAAAACTgvMTYvMjAyMAkAAAABMMkxB0vyQdgIMd6rWfJB2Ag2Q0lRLk5BU0RBUUdTOkNBS0UuSVFfVE9UQUxfQ0EuMjAwMC4zMS8xMi8yMDE5Li5GLlVTRC5DAQAAAAjgBAACAAAABzQ0OS4xNDEBCAAAAAUAAAABMQEAAAAKMTk5MTMyNzA0MAMAAAADMTYwAgAAAAQxMDA4BAAAAAExBwAAAAoxMi8zMS8yMDE5CAAAAAk4LzE2LzIwMjAJAAAAATA7hhd48kHYCAqD/HjyQdgIPENJUS5OQVNEQVFHUzpUU0xBLklRX0VTVF9FUFNfR1JPV1RIXzVZUl9ISUdILjYwMDAuMzEvMTIvMjAxOQEAAAAQxqIBAgAAAAMxMDUBDgAAAAUAAAABNwEAAAAJMTA4ODAzOTE1AgAAAAoxMDAwODcyOTIzAwAAAAYxMDAxNjkEAAAA</t>
  </si>
  <si>
    <t>ATIGAAAAATAHAAAAATAIAAAAATAJAAAAATEKAAAAATALAAAACzExNjY5NzMwMjgzDAAAAAE4DQAAAAgxLzEvMjAyMBAAAAAKMTIvMzEvMjAxOSgrQnXyQdgIkWJOdvJB2AgsQ0lRLkxTRTpTRk9SLklRX1BFUklPRERBVEUuOTk2LjMwLzA0LzIwMjAuLkYBAAAAy1PkIQMAAAAAALGvJFXyQdgINx2AWfJB2AghQ0lRLkxTRTpTRk9SLklRX1ZPTFVNRS4wOS8xMS8yMDE4AQAAAMtT5CECAAAACDAuMjkzMDczAMfif1PyQdgI4C4dcfJB2Ag1Q0lRLkxTRTpTRk9SLklRX1RPVEFMX0FTU0VUUy4yMDAwLjMxLzEyLzIwMTkuLkYuR0JQLkMBAAAAy1PkIQIAAAAHNDk5LjAzNAEIAAAABQAAAAExAQAAAAoxOTYxMTE3NDAxAwAAAAI1NQIAAAAEMTAwNwQAAAABMQcAAAAKMTIvMzEvMjAxOQgAAAAJOC8xNi8yMDIwCQAAAAEwO4YXePJB2AhQcvt48kHYCDhDSVEuTllTRTpSQUNFLklRX1JFVFVSTl9JTlZFU1RFRF9DQVBJVEFMLjIwMDAuMzAvMDQvMjAyMAEAAAA9grAQAgAAAAcxMy41OTI2ALGvJFXyQdgI//x9WfJB2AghQ0lRLkxTRTpTRk9SLklRX1ZPTFVNRS4xOS8wMS8yMDE4AQAAAMtT5CEDAAAAAAAoK0J18kHYCKMDW3byQdgIJkNJUS5OQVNEQVFHUzpUU0xBLklRX1ZPTFVNRS4wNy8wMi8yMDIwAQAAABDGogECAAAACDE3LjA2MzUyAKPWJFXyQdgIq417WfJB2AgyQ0lRLkxTRTpUU0NPLklRX1RPVEFMX1JFVi4y</t>
  </si>
  <si>
    <t>MDAwLjMwLzA0LzIwMjAuLkYuR0JQLkMBAAAAMFAGAAIAAAAFNjQ3NjABCAAAAAUAAAABMQEAAAAKMjAyNjUwNzM4OAMAAAACNTUCAAAAAjI4BAAAAAExBwAAAAk0LzMwLzIwMjAIAAAACTgvMTYvMjAyMAkAAAABMMkxB0vyQdgIKpCdWfJB2Ag2Q0lRLk5ZU0U6UkFDRS5JUV9FUVVJVFlfTUVUSE9ELjk5OC4zMC8wNC8yMDIwLi5GLkVVUi5DAQAAAD2CsBACAAAABTIzLjM0AQgAAAAFAAAAATEBAAAACjIwMTU2Mzk4MDUDAAAAAjUwAgAAAAQzMDYzBAAAAAExBwAAAAk0LzMwLzIwMjAIAAAACTgvMTYvMjAyMAkAAAABMODjBkvyQdgI0SuQWfJB2AgiQ0lRLkxTRTpTRk9SLklRX1RFVl9PVVQuMzAvMDQvMjAyMAEAAADLU+QhAgAAAAo4NDguMjYzNzQ4AQYAAAAFAAAAATEBAAAACjIwMjI1OTk4ODADAAAAAjU1AgAAAAU0NjIxNAQAAAABMAcAAAAJNC8zMC8yMDIwo9YkVfJB2Ah3535Z8kHYCCJDSVEuTllTRTpSQUNFLklRX1ZPTFVNRS4wNi8xMi8yMDE5AQAAAD2CsBACAAAACDAuMTY1MjE5ACVhtVPyQdgI82u8cvJB2AgZQ0lRLi5JUV9WT0xVTUUuMTkvMDEvMjAxOAUAAAAAAAAACAAAABQoSW52YWxpZCBJZGVudGlmaWVyKRjdQXXyQdgI56BbdvJB2AgxQ0lRLk5BU0RBUUdTOlRTTEEuSVFfUEVSSU9EREFURS45OTQuMzAvMDQvMjAyMC4uRgEAAAAQxqIBBQAAAAozMS8xMi8yMDEzALGvJFXyQdgIVfZ/WfJB</t>
  </si>
  <si>
    <t>2AgiQ0lRLk5ZU0U6TUFOVS5JUV9WT0xVTUUuMjAvMDkvMjAxOQEAAADdaw0AAgAAAAgwLjA0MzYzNQCV/SRV8kHYCB6ev3LyQdgINENJUS5MU0U6VFNDTy5JUV9QUklDRV9UQVJHRVQuNjAwMC4zMS8xMi8yMDE5Li4uR0JQLkMBAAAAMFAGAAIAAAAHMi43NjEyMwEOAAAABQAAAAE3AQAAAAgyMDE1Nzg3OQIAAAAGNDExNjgwAwAAAAYxMDAxNjEEAAAAAzI1NQYAAAABMAcAAAACNTUIAAAAATEJAAAAATEKAAAAATALAAAACzExNzEyMjM0OTAxDAAAAAE4DQAAAAgxLzEvMjAyMBAAAAAJOC8xNi8yMDIwHiIYePJB2AgUoAB58kHYCChDSVEuTFNFOlNGT1IuSVFfTEFTVFNBTEVQUklDRS4wNy8wOS8yMDE4AQAAAMtT5CEDAAAAAABDmIVS8kHYCB10EnHyQdgIM0NJUS5OQVNEQVFHUzpDQUtFLklRX0NBUEVYLjEwMDAuMzAvMDQvMjAyMC4uRi5VU0QuQwEAAAAI4AQAAgAAAActNzMuNzY1AQgAAAAFAAAAATEBAAAACjIwMjE1ODE0MTEDAAAAAzE2MAIAAAAEMjAyMQQAAAABMQcAAAAJNC8zMC8yMDIwCAAAAAk4LzE2LzIwMjAJAAAAATD/b8pM8kHYCGRpq1nyQdgILENJUS5MU0U6VFNDTy5JUV9QRVJJT0REQVRFLjk5OS4zMS8xMi8yMDE5Li5GAQAAADBQBgAFAAAACjI0LzAyLzIwMTgA/gNCdfJB2AjDUk128kHYCCxDSVEuTllTRTpLTy5JUV9EQV9DRi45OTguMzEvMTIvMjAxOS4uRi5VU0QuQwEAAAASaAAAAgAA</t>
  </si>
  <si>
    <t>AAQxNzg3AQgAAAAFAAAAATEBAAAACjE5NDY0MzA3ODIDAAAAAzE2MAIAAAAEMjE2MAQAAAABMQcAAAAKMTIvMzEvMjAxOQgAAAAJOC8xNi8yMDIwCQAAAAEw2hSWd/JB2AhwHud48kHYCCdDSVEuJEFFREFFRC5JUV9MQVNUU0FMRVBSSUNFLjMwLzA0LzIwMTkBAAAAJetaAAIAAAABMQCqJCVV8kHYCI2zglnyQdgIJENJUS5eU1BYLklRX0xBU1RTQUxFUFJJQ0UuMTEvMTAvMjAxOQEAAACbuCgAAgAAABAyOTcwLjI2OTU0NDg4NTU0ALW8N1LyQdgIJDgSc/JB2Ag1Q0lRLlVTRC5JUV9GVUxMX0NVUlZFX0FOTlVBTC5BTExDT1JQLkIuMjBZLjMxLzEyLzIwMTkBAAAAAAAAAAIAAAAJMC4wOTQxOTU4ANgt3nTyQdgIdFxJdvJB2AghQ0lRLkxTRTpUU0NPLklRX1ZPTFVNRS4wNC8xMC8yMDE5AQAAADBQBgACAAAACDMwLjIxODk1AJX9JFXyQdgIWI2+cvJB2AgmQ0lRLk5BU0RBUUdTOlRTTEEuSVFfVk9MVU1FLjMxLzA1LzIwMTkBAAAAEMaiAQIAAAAIMTAuNDA2NzMAo9YkVfJB2AiMmMFy8kHYCDpDSVEuTllTRTpLTy5JUV9UT1RBTF9DT01NT05fRVFVSVRZLjk5OS4zMC8wNC8yMDIwLi5GLlVTRC5DAQAAABJoAAACAAAABTE2OTgxAQgAAAAFAAAAATEBAAAACjIwMTY3OTEyNTEDAAAAAzE2MAIAAAAEMTAwNgQAAAABMQcAAAAJNC8zMC8yMDIwCAAAAAk4LzE2LzIwMjAJAAAAATADScpM8kHYCJAKnFnyQdgIIUNJ</t>
  </si>
  <si>
    <t>US5MU0U6U0ZPUi5JUV9WT0xVTUUuMTEvMTAvMjAxOQEAAADLU+QhAgAAAAcwLjY0NjkzAJX9JFXyQdgI4lW9cvJB2Ag0Q0lRLk5ZU0U6S08uSVFfVE9UQUxfUkVDRUlWLjIwMDAuMzAvMDQvMjAyMC4uRi5VU0QuQwEAAAASaAAAAgAAAAQ0NDMwAQgAAAAFAAAAATEBAAAACjIwMzAzNzY4OTcDAAAAAzE2MAIAAAAEMTAwMQQAAAABMQcAAAAJNC8zMC8yMDIwCAAAAAk4LzE2LzIwMjAJAAAAATADScpM8kHYCP7HrFnyQdgIKENJUS5MU0U6U0ZPUi5JUV9MQVNUU0FMRVBSSUNFLjMxLzEwLzIwMTUBAAAAy1PkIQMAAAAAALmUf1PyQdgI+4MicfJB2AgnQ0lRLiRBRURBUlMuSVFfTEFTVFNBTEVQUklDRS4zMS8xMi8yMDE4AQAAACXrWgACAAAACzAuMDk3NTU2NDQxAP4DQnXyQdgICs1LdvJB2AgiQ0lRLk5ZU0U6TUFOVS5JUV9WT0xVTUUuMDIvMDgvMjAxOQEAAADdaw0AAgAAAAgwLjE0ODc4MgCV/SRV8kHYCB6ev3LyQdgILUNJUS5OQVNEQVFHUzpDQUtFLklRX0xBU1RTQUxFUFJJQ0UuMTYvMDIvMjAxOAEAAAAI4AQAAgAAAAU0Ni41MwAoK0J18kHYCDy7WHbyQdgIJUNJUS5eQ09NUC5JUV9MQVNUU0FMRVBSSUNFLjMxLzA3LzIwMTcBAAAAibgoAAIAAAAHNjM0OC4xMgBHhYVR8kHYCGfZCXPyQdgIKkNJUS5MU0U6U0ZPUi5JUV9OSS45OTkuMzAvMDQvMjAyMC4uRi5HQlAuQwEAAADLU+QhAgAAAAotMTMuOTAy</t>
  </si>
  <si>
    <t>ODU5AQgAAAAFAAAAATEBAAAACjE5NjExMTYyNzEDAAAAAjU1AgAAAAIxNQQAAAABMQcAAAAJNC8zMC8yMDIwCAAAAAk4LzE2LzIwMjAJAAAAATDJMQdL8kHYCCZeqFnyQdgIJ0NJUS4kQUVER0JQLklRX0xBU1RTQUxFUFJJQ0UuMjMvMDIvMjAxOQEAAAAl61oAAgAAAAs0Ljc5NTY1OTg5NQAVIspM8kHYCNOqXnbyQdgIIENJUS5OWVNFOktPLklRX1ZPTFVNRS4wMS8wMy8yMDE5AQAAABJoAAACAAAACDE2LjI5MTU5AKS8f1PyQdgIWILCcvJB2AgyQ0lRLk5ZU0U6UkFDRS5JUV9UT1RBTF9DTC4xMDAwLjMxLzEyLzIwMTkuLkYuRVVSLkMBAAAAPYKwEAIAAAAIMTI4Ni4wMTcBCAAAAAUAAAABMQEAAAAKMTk0NzQ0NDE4MwMAAAACNTACAAAABDEwMDkEAAAAATEHAAAACjEyLzMxLzIwMTkIAAAACTgvMTYvMjAyMAkAAAABMBytF3jyQdgItI/4ePJB2Ag5Q0lRLk5ZU0U6UkFDRS5JUV9FQklUX01FRElBTl9FU1QuNjAwMS4zMC8wNC8yMDIwLi5GLkVVUi5DAQAAAD2CsBADAAAAAACkfwdL8kHYCHnNo1nyQdgILUNJUS5MU0U6VFNDTy5JUV9FQklULjEwMDAuMzAvMDQvMjAyMC4uRi5HQlAuQwEAAAAwUAYAAgAAAAQyOTAzAQgAAAAFAAAAATEBAAAACjIwMjY1MDczMDkDAAAAAjU1AgAAAAM0MDAEAAAAATEHAAAACTQvMzAvMjAyMAgAAAAJOC8xNi8yMDIwCQAAAAEwyTEHS/JB2AhZaqRZ8kHYCDFDSVFBVkcuJVRD</t>
  </si>
  <si>
    <t>TVNZMzAuSVFfTEFTVFNBTEVQUklDRS40MDE3OC4zMS8xMi8yMDE5AQAAACMfKAICAAAAEDMuMTkwMDU1OTc3NjA4OTYAQVJCdfJB2AhYdF128kHYCChDSVEuTFNFOlNGT1IuSVFfTEFTVFNBTEVQUklDRS4zMC8wNC8yMDE2AQAAAMtT5CEDAAAAAADBqn5T8kHYCMPiI3HyQdgIPkNJUS5OQVNEQVFHUzpDQUtFLklRX0VTVF9FUFNfR1JPV1RIXzVZUl9NRURJQU4uNjAwMC4zMS8xMi8yMDE5AQAAAAjgBAACAAAAAjE0AQ4AAAAFAAAAATcBAAAABzI1OTk2OTUCAAAABjI3Mzg4OAMAAAAGMTAwMTY4BAAAAAEyBgAAAAEwBwAAAAEwCAAAAAEwCQAAAAExCgAAAAEwCwAAAAsxMTY1OTAzMDQwOAwAAAABOA0AAAAIMS8xLzIwMjAQAAAACjEyLzMxLzIwMTkoK0J18kHYCCU7TnbyQdgIMENJUS5OWVNFOlJBQ0UuSVFfSU5DX1RBWC45OTkuMzEvMTIvMjAxOS4uRi5FVVIuQwEAAAA9grAQAgAAAAYyMDguNzYBCAAAAAUAAAABMQEAAAAKMTk0NzQ0NDE5MAMAAAACNTACAAAAAjc1BAAAAAExBwAAAAoxMi8zMS8yMDE5CAAAAAk4LzE2LzIwMjAJAAAAATDc7ZV38kHYCGjb6XjyQdgIJkNJUS5OQVNEQVFHUzpUU0xBLklRX1ZPTFVNRS4xMC8wOC8yMDE4AQAAABDGogECAAAACDExLjU1MjA0ADq/hVLyQdgIMy0QcfJB2AgrQ0lRLk5ZU0U6UkFDRS5JUV9OSS45OTguMzAvMDQvMjAyMC4uRi5FVVIuQwEAAAA9grAQAgAAAAc1</t>
  </si>
  <si>
    <t>MzUuMzkzAQgAAAAFAAAAATEBAAAACjIwMTU2Mzk4MDUDAAAAAjUwAgAAAAIxNQQAAAABMQcAAAAJNC8zMC8yMDIwCAAAAAk4LzE2LzIwMjAJAAAAATDZCgdL8kHYCB2FqFnyQdgIIUNJUS5MU0U6U0ZPUi5JUV9WT0xVTUUuMDcvMTIvMjAxOAEAAADLU+QhAgAAAAgwLjA3MDY3MwDH4n9T8kHYCLXtH3HyQdgIJ0NJUS4kQUVETEtSLklRX0xBU1RTQUxFUFJJQ0UuMzAvMDQvMjAyMAEAAAAl61oAAgAAAAswLjAxOTIwOTE0NgCqJCVV8kHYCH7aglnyQdgINUNJUS5OWVNFOk1BTlUuSVFfUFJFUEFJRF9FWFAuMjAwMC4zMS8xMi8yMDE5Li5GLkdCUC5DAQAAAN1rDQACAAAABjE1LjM4MgEIAAAABQAAAAExAQAAAAoxOTkzNjIxMzIyAwAAAAI1NQIAAAAEMTIxMgQAAAABMQcAAAAKMTIvMzEvMjAxOQgAAAAJOC8xNi8yMDIwCQAAAAEw2hSWd/JB2Ag/I+V48kHYCClDSVEuTllTRTpSQUNFLklRX0xBU1RTQUxFUFJJQ0UuMTAvMDUvMjAxOQEAAAA9grAQAgAAAAYxNDEuMzMA3tJ+U/JB2AgPUiZx8kHYCCBDSVEuTllTRTpLTy5JUV9WT0xVTUUuMTYvMDgvMjAxOQEAAAASaAAAAgAAAAgxNC4yODg2OQCj1iRV8kHYCCcew3LyQdgIM0NJUS5OQVNEQVFHUzpDQUtFLklRX0xBU1RTQUxFUFJJQ0UuMDMvMDEvMjAxNy5VU0QuQwEAAAAI4AQAAgAAAAU1OS40MwBbk+JN8kHYCJR/YHbyQdgIIENJUS4uSVFfTEFTVFNBTEVQ</t>
  </si>
  <si>
    <t>UklDRS4zMS8xMC8yMDE5BQAAAAAAAAAIAAAAFChJbnZhbGlkIElkZW50aWZpZXIp3KsvUvJB2AingCJz8kHYCC9DSVEuTkFTREFRR1M6VFNMQS5JUV9GSVNDQUxfUS41MDAuMzEvMTIvMjAxOS4uRgEAAAAQxqIBAwAAAAJRMwDfBt508kHYCGXHRnbyQdgILUNJUS5OWVNFOlJBQ0UuSVFfRUJJVC45OTcuMzAvMDQvMjAyMC4uRi5FVVIuQwEAAAA9grAQAgAAAAc2NDAuOTE3AQgAAAAFAAAAATEBAAAACjE5NDc0NDQxODQDAAAAAjUwAgAAAAM0MDAEAAAAATEHAAAACTQvMzAvMjAyMAgAAAAJOC8xNi8yMDIwCQAAAAEw2QoHS/JB2Agc3qRZ8kHYCDVDSVEuTkFTREFRR1M6Q0FLRS5JUV9UT1RBTF9DQS45OTkuMzEvMTIvMjAxOS4uRi5VU0QuQwEAAAAI4AQAAgAAAAcyMDguNjMzAQgAAAAFAAAAATEBAAAACjE5NDgxNzY2ODADAAAAAzE2MAIAAAAEMTAwOAQAAAABMQcAAAAKMTIvMzEvMjAxOQgAAAAJOC8xNi8yMDIwCQAAAAEwO4YXePJB2AiJNvx48kHYCCpDSVEuTFNFOlNGT1IuSVFfTkkuOTk3LjMxLzEyLzIwMTkuLkYuR0JQLkMBAAAAy1PkIQMAAAAAANoUlnfyQdgIVXzoePJB2AgnQ0lRLk5ZU0U6S08uSVFfTEFTVFNBTEVQUklDRS4zMC8wOC8yMDE5AQAAABJoAAACAAAABTU1LjA0ANGDflPyQdgIWGwqcfJB2Ag2Q0lRLkVVUi5JUV9GVUxMX0NVUlZFX0FOTlVBTC5BTExDT1JQLklHLjIwWS4zMC8wNC8y</t>
  </si>
  <si>
    <t>MDIwAQAAAAAAAAACAAAACTAuMDIxNDc0MQCqJCVV8kHYCG+VhlnyQdgIL0NJUS5MU0U6VFNDTy5JUV9JTkNfVEFYLjk5OC4zMC8wNC8yMDIwLi5GLkdCUC5DAQAAADBQBgACAAAAAzMwNgEIAAAABQAAAAExAQAAAAoxOTY4NzM2NTU5AwAAAAI1NQIAAAACNzUEAAAAATEHAAAACTQvMzAvMjAyMAgAAAAJOC8xNi8yMDIwCQAAAAEwyTEHS/JB2Ah1JqdZ8kHYCDBDSVEuTkFTREFRR1M6Q0FLRS5JUV9TR0EuOTk5LjMwLzA0LzIwMjAuLkYuVVNELkMBAAAACOAEAAIAAAAGMjcwLjE0AQgAAAAFAAAAATEBAAAACjIwMjE1ODE0MjADAAAAAzE2MAIAAAACMjMEAAAAATEHAAAACTQvMzAvMjAyMAgAAAAJOC8xNi8yMDIwCQAAAAEw/2/KTPJB2AhWm6BZ8kHYCC1DSVEuTllTRTpLTy5JUV9DQVBFWC4yMDAwLjMxLzEyLzIwMTkuLkYuVVNELkMBAAAAEmgAAAIAAAAFLTE1MDUBCAAAAAUAAAABMQEAAAAKMTk4ODgwMTUyNgMAAAADMTYwAgAAAAQyMDIxBAAAAAExBwAAAAoxMi8zMS8yMDE5CAAAAAk4LzE2LzIwMjAJAAAAATDaFJZ38kHYCBYN5njyQdgIRENJUS5OQVNEQVFHUzpDQUtFLklRX01JTk9SSVRZX0lOVEVSRVNUX1RPVEFMLjk5OC4zMS8xMi8yMDE5Li5GLlVTRC5DAQAAAAjgBAADAAAAAACE1Bd48kHYCJN89njyQdgILUNJUS5OQVNEQVFHUzpDQUtFLklRX0xBU1RTQUxFUFJJQ0UuMTQvMTIvMjAxOAEAAAAI</t>
  </si>
  <si>
    <t>4AQAAgAAAAU0NC43NgDH4n9T8kHYCG6wIHHyQdgIKENJUS5MU0U6VFNDTy5JUV9MQVNUU0FMRVBSSUNFLjMxLzA1LzIwMTUBAAAAMFAGAAIAAAAFMi4xMjYApLx/U/JB2Ai17R9x8kHYCDZDSVEuTkFTREFRR1M6Q0FLRS5JUV9UT1RBTF9SRVYuOTk5LjMxLzEyLzIwMTkuLkYuVVNELkMBAAAACOAEAAIAAAAIMjI2MC41MDIBCAAAAAUAAAABMQEAAAAKMTk0ODE3NjY4MAMAAAADMTYwAgAAAAIyOAQAAAABMQcAAAAKMTIvMzEvMjAxOQgAAAAJOC8xNi8yMDIwCQAAAAEwHvsXePJB2Ag3YvJ48kHYCCNDSVEuJVRDTVNNMDYuSVFfTEFTVFNBTEVQUklDRS40MzQ2NQEAAAALHygCAgAAAAQyLjU2AN8G3nTyQdgIBglLdvJB2AgqQ0lRLk5ZU0U6S08uSVFfR1AuMTAwMC4zMS8xMi8yMDE5Li5GLlVTRC5DAQAAABJoAAACAAAABTIwMDg2AQgAAAAFAAAAATEBAAAACjE5NDY0MzA3ODEDAAAAAzE2MAIAAAACMTAEAAAAATEHAAAACjEyLzMxLzIwMTkIAAAACTgvMTYvMjAyMAkAAAABMB4iGHjyQdgIl7XwePJB2AgyQ0lRLkxTRTpTRk9SLklRX0lOVkVOVE9SWS4yMDAwLjMxLzEyLzIwMTkuLkYuR0JQLkMBAAAAy1PkIQMAAAAAANoUlnfyQdgIPyPlePJB2AgoQ0lRLkxTRTpUU0NPLklRX0xBU1RTQUxFUFJJQ0UuMDIvMDMvMjAxOAEAAAAwUAYAAgAAAAQyLjAyACgrQnXyQdgI9zZXdvJB2Ag5Q0lRLk5ZU0U6S08uSVFf</t>
  </si>
  <si>
    <t>RUJJVERBX01FRElBTl9FU1QuNjAwMS4zMC8wNC8yMDIwLi5GLlVTRC5DAQAAABJoAAADAAAAAAD/b8pM8kHYCCc3oVnyQdgINUNJUS5MU0U6VFNDTy5JUV9JTlRFUkVTVF9FWFAuMjAwMC4zMS8xMi8yMDE5Li5GLkdCUC5DAQAAADBQBgACAAAABC0yNDQBCAAAAAUAAAABMQEAAAAKMTk4Njc5MzI0MAMAAAACNTUCAAAAAjgyBAAAAAExBwAAAAoxMi8zMS8yMDE5CAAAAAk4LzE2LzIwMjAJAAAAATDaFJZ38kHYCEn85HjyQdgIJENJUS5eQVNYLklRX0xBU1RTQUxFUFJJQ0UuMjYvMDEvMjAxOAEAAAAfU+sBAgAAAAs0MjA5LjQyMDQ4OADYLd508kHYCKa2RXbyQdgIKENJUS5MU0U6VFNDTy5JUV9MQVNUU0FMRVBSSUNFLjEyLzA0LzIwMTkBAAAAMFAGAAIAAAAFMi40NzEAuZR/U/JB2AgzjyVx8kHYCDBDSVEuTFNFOlRTQ08uSVFfVE9UQUxfQ0wuOTk5LjMxLzEyLzIwMTkuLkYuR0JQLkMBAAAAMFAGAAIAAAAFMTkyMzMBCAAAAAUAAAABMQEAAAAKMTk2ODczNjU1OQMAAAACNTUCAAAABDEwMDkEAAAAATEHAAAACjEyLzMxLzIwMTkIAAAACTgvMTYvMjAyMAkAAAABMBytF3jyQdgItI/4ePJB2AgtQ0lRLk5ZU0U6UkFDRS5JUV9QRVJJT0REQVRFLjk5OC4zMC8wNC8yMDIwLi5GAQAAAD2CsBAFAAAACjMxLzEyLzIwMTcAsa8kVfJB2AjqVIFZ8kHYCClDSVEuTllTRTpSQUNFLklRX0xBU1RTQUxFUFJJQ0UuMzEv</t>
  </si>
  <si>
    <t>MTAvMjAxOQEAAAA9grAQAgAAAAYxNjAuMTIAAeh9U/JB2Ahm7C1x8kHYCC9DSVEuTkFTREFRR1M6VFNMQS5JUV9DT1NUX0JPUlJPV0lORy4uMzAvMDQvMjAyMAEAAAAQxqIBAgAAAAY1LjQwOTkBCAAAAAUAAAABMQEAAAAKMjAzMjA0NTMzNAMAAAADMTYwAgAAAAUyMTY4MQQAAAABMAcAAAAJNC8zMC8yMDIwCAAAAAkzLzMxLzIwMjAJAAAAATCxryRV8kHYCACZflnyQdgIOUNJUS5OQVNEQVFHUzpDQUtFLklRX1RPVEFMX0FTU0VUUy45OTcuMzAvMDQvMjAyMC4uRi5VU0QuQwEAAAAI4AQAAgAAAAgxMjkzLjMxOQEIAAAABQAAAAExAQAAAAoxOTQ4MTc2NjYyAwAAAAMxNjACAAAABDEwMDcEAAAAATEHAAAACTQvMzAvMjAyMAgAAAAJOC8xNi8yMDIwCQAAAAEwA0nKTPJB2Ai8vZRZ8kHYCCVDSVEuXkNPTVAuSVFfTEFTVFNBTEVQUklDRS4zMS8wMS8yMDIwAQAAAIm4KAACAAAABzkxNTAuOTQASQUzUvJB2Aic6rxZ8kHYCDFDSVEuTllTRTpLTy5JUV9MVF9JTlZFU1QuMjAwMC4zMS8xMi8yMDE5Li5GLlVTRC5DAQAAABJoAAACAAAABTIxNTg5AQgAAAAFAAAAATEBAAAACjE5ODg4MDE1MjYDAAAAAzE2MAIAAAAEMTA1NAQAAAABMQcAAAAKMTIvMzEvMjAxOQgAAAAJOC8xNi8yMDIwCQAAAAEwO4YXePJB2AjPsPp48kHYCCpDSVEuTllTRTpLTy5JUV9OSS4yMDAwLjMxLzEyLzIwMTkuLkYuVVNELkMBAAAAEmgA</t>
  </si>
  <si>
    <t>AAIAAAAENzc0OAEIAAAABQAAAAExAQAAAAoxOTg4ODAxNTI2AwAAAAMxNjACAAAAAjE1BAAAAAExBwAAAAoxMi8zMS8yMDE5CAAAAAk4LzE2LzIwMjAJAAAAATDc7ZV38kHYCCsY6XjyQdgIK0NJUS5MU0U6U0ZPUi5JUV9GSVNDQUxfWS4xMDAwLjMxLzEyLzIwMTkuLkYBAAAAy1PkIQEAAAAEMjAxOADfBt508kHYCFZjR3byQdgIMkNJUS5OQVNEQVFHUzpDQUtFLklRX0NBUEVYLjk5OC4zMS8xMi8yMDE5Li5GLlVTRC5DAQAAAAjgBAACAAAACC0xMTUuODIxAQgAAAAFAAAAATEBAAAACjE5NDgxNzY2NjIDAAAAAzE2MAIAAAAEMjAyMQQAAAABMQcAAAAKMTIvMzEvMjAxOQgAAAAJOC8xNi8yMDIwCQAAAAEw2hSWd/JB2AggmOV48kHYCDlDSVEuTFNFOlRTQ08uSVFfQ0FQRVhfTUVESUFOX0VTVC4xMDAzLjMxLzEyLzIwMTkuLkYuR0JQLkMBAAAAMFAGAAIAAAAFLTEzMDABDgAAAAUAAAABMwEAAAABMAIAAAAKMTAwMDI2NDUwMAMAAAAGMTA0MDkxBAAAAAEzBgAAAAEwBwAAAAI1NQgAAAABMQkAAAABMQoAAAABMAsAAAALMTE2ODA1NTU0NjEMAAAAATENAAAACDEvMS8yMDIwEAAAAAk4LzE2LzIwMjA7PJZ38kHYCNSo5njyQdgIOENJUS5OQVNEQVFHUzpDQUtFLklRX0VBUk5JTkdfQ08uMjAwMC4zMS8xMi8yMDE5Li5GLlVTRC5DAQAAAAjgBAACAAAABjk0Ljc2MgEIAAAABQAAAAExAQAAAAoxOTkxMzI3MDQw</t>
  </si>
  <si>
    <t>AwAAAAMxNjACAAAAATcEAAAAATEHAAAACjEyLzMxLzIwMTkIAAAACTgvMTYvMjAyMAkAAAABMNoUlnfyQdgIuYfkePJB2AgsQ0lRLk5ZU0U6UkFDRS5JUV9FQlQuOTk5LjMxLzEyLzIwMTkuLkYuRVVSLkMBAAAAPYKwEAIAAAAHNzQ2LjE1NgEIAAAABQAAAAExAQAAAAoxOTQ3NDQ0MTkwAwAAAAI1MAIAAAADMTM5BAAAAAExBwAAAAoxMi8zMS8yMDE5CAAAAAk4LzE2LzIwMjAJAAAAATDc7ZV38kHYCMmd6njyQdgIIUNJUS5OQVNEQVFHUzpDQUtFLklRX0NPTVBBTllfTkFNRQEAAAAI4AQAAwAAACNUaGUgQ2hlZXNlY2FrZSBGYWN0b3J5IEluY29ycG9yYXRlZAD8OiRV8kHYCJHHiVnyQdgIKUNJUS5OWVNFOlJBQ0UuSVFfTEFTVFNBTEVQUklDRS4xMi8wNy8yMDE5AQAAAD2CsBACAAAABjE2Ni41MQDRg35T8kHYCN9xKHHyQdgIMUNJUS5OWVNFOlJBQ0UuSVFfQ09TVF9SRVYuOTk5LjMxLzEyLzIwMTkuLkYuRVVSLkMBAAAAPYKwEAIAAAAHMTY1MC44NgEIAAAABQAAAAExAQAAAAoxOTQ3NDQ0MTkwAwAAAAI1MAIAAAABMQQAAAABMQcAAAAKMTIvMzEvMjAxOQgAAAAJOC8xNi8yMDIwCQAAAAEwHvsXePJB2Ah+KvF48kHYCCxDSVEuTllTRTpNQU5VLklRX1NHQS45OTcuMzEvMTIvMjAxOS4uRi5HQlAuQwEAAADdaw0AAgAAAAcyMzIuNTk1AQgAAAAFAAAAATEBAAAACjE5MTAyNDc0MDMDAAAAAjU1AgAAAAIy</t>
  </si>
  <si>
    <t>MwQAAAABMQcAAAAKMTIvMzEvMjAxOQgAAAAJOC8xNi8yMDIwCQAAAAEwHiIYePJB2AiAfe948kHYCCZDSVEuTkFTREFRR1M6Q0FLRS5JUV9WT0xVTUUuMDUvMDEvMjAxOAEAAAAI4AQAAgAAAAgwLjg0NTkxMQAoK0J18kHYCEo7XHbyQdgIMUNJUS5OWVNFOk1BTlUuSVFfVE9UQUxfQ0wuOTk3LjMxLzEyLzIwMTkuLkYuR0JQLkMBAAAA3WsNAAIAAAAHNDAzLjc0MwEIAAAABQAAAAExAQAAAAoxOTEwMjQ3NDAzAwAAAAI1NQIAAAAEMTAwOQQAAAABMQcAAAAKMTIvMzEvMjAxOQgAAAAJOC8xNi8yMDIwCQAAAAEwHK0XePJB2AikQfh48kHYCC9DSVEuTkFTREFRR1M6VFNMQS5JUV9OSS45OTcuMzAvMDQvMjAyMC4uRi5VU0QuQwEAAAAQxqIBAgAAAAgtNjc0LjkxNAEIAAAABQAAAAExAQAAAAoxOTQ1ODczNTUxAwAAAAMxNjACAAAAAjE1BAAAAAExBwAAAAk0LzMwLzIwMjAIAAAACTgvMTYvMjAyMAkAAAABMMkxB0vyQdgID6yoWfJB2Ag2Q0lRLk5BU0RBUUdTOlRTTEEuSVFfVE9UQUxfUkVWLjk5OC4zMS8xMi8yMDE5Li5GLlVTRC5DAQAAABDGogECAAAACDcwMDAuMTMyAQgAAAAFAAAAATEBAAAACjE5NDU4NzM1NTEDAAAAAzE2MAIAAAACMjgEAAAAATEHAAAACjEyLzMxLzIwMTkIAAAACTgvMTYvMjAyMAkAAAABMB77F3jyQdgIvznyePJB2AgnQ0lRLiRBRURFVVIuSVFfTEFTVFNBTEVQUklDRS4zMS8xMi8y</t>
  </si>
  <si>
    <t>MDEzAQAAACXrWgACAAAACzUuMDU4MTgzNTcxABUiykzyQdgInEZfdvJB2Ag8Q0lRLk5ZU0U6TUFOVS5JUV9SRVZFTlVFX01FRElBTl9FU1QuMTAwMi4zMC8wNC8yMDIwLi5GLkdCUC5DAQAAAN1rDQACAAAABzYyNy43MTgBDgAAAAUAAAABMwEAAAABMAIAAAAKMTAwMzA5MjQzMAMAAAAGMTAwMTgxBAAAAAEzBgAAAAEwBwAAAAI1NQgAAAABMQkAAAABMQoAAAABMAsAAAALMTE4Njg2MjYwMTUMAAAAATENAAAACDUvMS8yMDIwEAAAAAk4LzE2LzIwMjDqlspM8kHYCIEcnVnyQdgILUNJUS5OQVNEQVFHUzpDQUtFLklRX0xBU1RTQUxFUFJJQ0UuMDUvMTAvMjAxOAEAAAAI4AQAAgAAAAU1MS41NwBDmIVS8kHYCHPjFHHyQdgIJUNJUS5eQ09NUC5JUV9MQVNUU0FMRVBSSUNFLjMwLzAzLzIwMTgBAAAAibgoAAIAAAAHNzA2My40NQDYLd508kHYCLgERnbyQdgIKUNJUS5OWVNFOk1BTlUuSVFfTEFTVFNBTEVQUklDRS4xMS8wNS8yMDE4AQAAAN1rDQACAAAABTE5LjY1ACnmhVLyQdgIm4UGcfJB2AgZQ0lRLi5JUV9WT0xVTUUuMzAvMDgvMjAxOQUAAAAAAAAACAAAABQoSW52YWxpZCBJZGVudGlmaWVyKdk5tVPyQdgITA27cvJB2AhAQ0lRLk5ZU0U6UkFDRS5JUV9NSU5PUklUWV9JTlRFUkVTVF9UT1RBTC45OTguMzEvMTIvMjAxOS4uRi5FVVIuQwEAAAA9grAQAgAAAAQ0LjgxAQgAAAAFAAAAATEBAAAACjE5NDc0</t>
  </si>
  <si>
    <t>NDQxODQDAAAAAjUwAgAAAAQxMzEyBAAAAAExBwAAAAoxMi8zMS8yMDE5CAAAAAk4LzE2LzIwMjAJAAAAATCE1Bd48kHYCMtW9njyQdgIOkNJUS5OWVNFOlJBQ0UuSVFfQ0FQRVhfTUVESUFOX0VTVC4xMDAyLjMxLzEyLzIwMTkuLkYuRVVSLkMBAAAAPYKwEAIAAAAKLTc1Ni41NDQzNwEOAAAABQAAAAEzAQAAAAEwAgAAAAoxMDAzMjI2ODA3AwAAAAYxMDQwOTEEAAAAATMGAAAAATAHAAAAAjUwCAAAAAExCQAAAAExCgAAAAEwCwAAAAsxMTcxOTI2NTk1OQwAAAABMQ0AAAAIMS8xLzIwMjAQAAAACTgvMTYvMjAyMDs8lnfyQdgI71rmePJB2Ag1Q0lRLk5ZU0U6TUFOVS5JUV9QUklDRV9UQVJHRVQuNjAwMC4zMC8wNC8yMDIwLi4uR0JQLkMBAAAA3WsNAAIAAAAGMTQuNjU2AQ4AAAAFAAAAATcBAAAACTIxNTA1NTM4NQIAAAAGNzAyNzI4AwAAAAYxMDAxNjEEAAAAAzI1NQYAAAABMAcAAAACNTUIAAAAATEJAAAAATEKAAAAATALAAAACzExODY4NjI0ODA4DAAAAAE4DQAAAAg1LzEvMjAyMBAAAAAJOC8xNi8yMDIwpH8HS/JB2Agm9I5Z8kHYCDZDSVEuTllTRTpSQUNFLklRX0VRVUlUWV9NRVRIT0QuOTk3LjMwLzA0LzIwMjAuLkYuRVVSLkMBAAAAPYKwEAIAAAAGMjAuOTQ4AQgAAAAFAAAAATEBAAAACjE5NDc0NDQxODQDAAAAAjUwAgAAAAQzMDYzBAAAAAExBwAAAAk0LzMwLzIwMjAIAAAACTgvMTYvMjAyMAkA</t>
  </si>
  <si>
    <t>AAABMODjBkvyQdgIylKQWfJB2AgvQ0lRLk5ZU0U6UkFDRS5JUV9DQVBFWC4xMDAwLjMwLzA0LzIwMjAuLkYuRVVSLkMBAAAAPYKwEAIAAAAILTM1Mi4xNTQBCAAAAAUAAAABMQEAAAAKMjAxNTYzOTgyMgMAAAACNTACAAAABDIwMjEEAAAAATEHAAAACTQvMzAvMjAyMAgAAAAJOC8xNi8yMDIwCQAAAAEw2QoHS/JB2AhUkKtZ8kHYCC1DSVEuTllTRTpNQU5VLklRX1BFUklPRERBVEUuOTk1LjMxLzEyLzIwMTkuLkYBAAAA3WsNAAUAAAAKMzAvMDYvMjAxNAD+A0J18kHYCKPHTXbyQdgINUNJUS5OWVNFOlJBQ0UuSVFfVE9UQUxfQVNTRVRTLjk5Ny4zMS8xMi8yMDE5Li5GLkVVUi5DAQAAAD2CsBACAAAACDM4NzUuMzk5AQgAAAAFAAAAATEBAAAACjE4NzYwNDMzMTMDAAAAAjUwAgAAAAQxMDA3BAAAAAExBwAAAAoxMi8zMS8yMDE5CAAAAAk4LzE2LzIwMjAJAAAAATA7hhd48kHYCMLX+njyQdgIO0NJUS5OQVNEQVFHUzpUU0xBLklRX0VRVUlUWV9NRVRIT0QuMjAwMC4zMC8wNC8yMDIwLi5GLlVTRC5DAQAAABDGogEDAAAAAAC8WAdL8kHYCPO2j1nyQdgIGUNJUS4uSVFfVk9MVU1FLjE2LzExLzIwMTgFAAAAAAAAAAgAAAAUKEludmFsaWQgSWRlbnRpZmllcim5lH9T8kHYCLXKHXHyQdgIIUNJUS5MU0U6VFNDTy5JUV9WT0xVTUUuMjcvMDcvMjAxOAEAAAAwUAYAAgAAAAYyMC4yMzcAOr+FUvJB2Ag89Q5x8kHY</t>
  </si>
  <si>
    <t>CDZDSVEuTllTRTpLTy5JUV9SRVRVUk5fSU5WRVNURURfQ0FQSVRBTC4yMDAwLjMwLzA0LzIwMjABAAAAEmgAAAIAAAAGNC42Nzc4ALGvJFXyQdgI9iN+WfJB2Ag1Q0lRLk5ZU0U6S08uSVFfREFfTUVESUFOX0VTVC42MDAwLjMwLzA0LzIwMjAuLkYuVVNELkMBAAAAEmgAAAIAAAAEMTM4MQEOAAAABQAAAAIxMQEAAAABMAIAAAAINzg4ODc0OTQDAAAABjExNDE5MAQAAAABMgYAAAABMAcAAAADMTYwCAAAAAExCQAAAAExCgAAAAEwCwAAAAsxMTg4MzIxNjc1OAwAAAACMTINAAAACDUvMS8yMDIwEAAAAAk4LzE2LzIwMjD/b8pM8kHYCP1HqVnyQdgILUNJUS5OWVNFOk1BTlUuSVFfRUJULjEwMDEuMzAvMDQvMjAyMC4uRi5HQlAuQwEAAADdaw0AAwAAAAAAvFgHS/JB2AgMeqVZ8kHYCCJDSVEuTllTRTpSQUNFLklRX1ZPTFVNRS4xNi8xMS8yMDE4AQAAAD2CsBACAAAACDAuMTc0ODg0AMfif1PyQdgItcodcfJB2AglQ0lRLl5DT01QLklRX0xBU1RTQUxFUFJJQ0UuMjcvMDQvMjAxOAEAAACJuCgAAgAAAAY3MTE5LjgAisU3UfJB2AhoThhz8kHYCC9DSVEuTFNFOlNGT1IuSVFfSU5DX1RBWC45OTcuMzAvMDQvMjAyMC4uRi5HQlAuQwEAAADLU+QhAwAAAAAA2QoHS/JB2AhrTadZ8kHYCERDSVEuTkFTREFRR1M6VFNMQS5JUV9NSU5PUklUWV9JTlRFUkVTVF9UT1RBTC45OTkuMzEvMTIvMjAxOS4uRi5VU0QuQwEA</t>
  </si>
  <si>
    <t>AAAQxqIBAgAAAAcxMzk1LjA4AQgAAAAFAAAAATEBAAAACjE5NDU4NzM1NTADAAAAAzE2MAIAAAAEMTMxMgQAAAABMQcAAAAKMTIvMzEvMjAxOQgAAAAJOC8xNi8yMDIwCQAAAAEwhNQXePJB2AiTfPZ48kHYCCRDSVEuXlNQWC5JUV9MQVNUU0FMRVBSSUNFLjA0LzAxLzIwMTkBAAAAm7goAAIAAAAQMjUzMS45NDM0MTE1NTUwMQCKxTdR8kHYCBNJE3PyQdgIMUNJUS5OWVNFOlJBQ0UuSVFfU0hBUkVTT1VUU1RBTkRJTkcuMzEvMTIvMjAxNC5FVVIBAAAAPYKwEAMAAAAAAEdgF3jyQdgIC+4AefJB2AgnQ0lRLk5ZU0U6S08uSVFfTEFTVFNBTEVQUklDRS4wOC8wNi8yMDE4AQAAABJoAAACAAAABTQzLjk1ACnmhVLyQdgIU4oKcfJB2AgyQ0lRLk5ZU0U6S08uSVFfUFJFRl9FUVVJVFkuOTk2LjMxLzEyLzIwMTkuLkYuVVNELkMBAAAAEmgAAAMAAAAAAB77F3jyQdgIGYL0ePJB2AgyQ0lRLk5ZU0U6UkFDRS5JUV9MVF9JTlZFU1QuOTk4LjMxLzEyLzIwMTkuLkYuRVVSLkMBAAAAPYKwEAIAAAAGMjEuOTY4AQgAAAAFAAAAATEBAAAACjE5NDc0NDQxODQDAAAAAjUwAgAAAAQxMDU0BAAAAAExBwAAAAoxMi8zMS8yMDE5CAAAAAk4LzE2LzIwMjAJAAAAATA7hhd48kHYCDru+XjyQdgIMUNJUS5OQVNEQVFHUzpDQUtFLklRX1BSSUNFX1ZPTF9ISVNUX1lSLjMwLzA0LzIwMjABAAAACOAEAAIAAAAHNjMuOTI0MwDiEiRV</t>
  </si>
  <si>
    <t>8kHYCKd5iVnyQdgIP0NJUS5OQVNEQVFHUzpUU0xBLklRX1RPVEFMX0RFQlRfQ1VSUkVOVC45OTguMzAvMDQvMjAyMC4uRi5VU0QuQwEAAAAQxqIBAgAAAAc5NzguODQ3AQgAAAAFAAAAATEBAAAACjIwMTM5MDc0NzADAAAAAzE2MAIAAAAFMjUyMjMEAAAAATEHAAAACTQvMzAvMjAyMAgAAAAJOC8xNi8yMDIwCQAAAAEwvFgHS/JB2AgQkJZZ8kHYCCZDSVEuTkFTREFRR1M6Q0FLRS5JUV9WT0xVTUUuMjQvMDEvMjAyMAEAAAAI4AQAAgAAAAgwLjU2MTM1NgCV/SRV8kHYCMJ7elnyQdgIJ0NJUS5OWVNFOktPLklRX0xBU1RTQUxFUFJJQ0UuMjQvMDUvMjAxOQEAAAASaAAAAgAAAAU0OS42MQDBqn5T8kHYCMUUJ3HyQdgIKUNJUS5OWVNFOk1BTlUuSVFfTEFTVFNBTEVQUklDRS4wNC8wMS8yMDE5AQAAAN1rDQACAAAABDE4LjkAx+J/U/JB2Aj7gyJx8kHYCCRDSVEuXkFTWC5JUV9MQVNUU0FMRVBSSUNFLjI4LzAyLzIwMTkBAAAAH1PrAQIAAAALMzg4OC44MTAzODkASQUzUvJB2Agf6gpz8kHYCDJDSVEuTllTRTpSQUNFLklRX0xUX0lOVkVTVC45OTguMzAvMDQvMjAyMC4uRi5FVVIuQwEAAAA9grAQAgAAAAYzMC4wMzgBCAAAAAUAAAABMQEAAAAKMjAxNTYzOTgwNQMAAAACNTACAAAABDEwNTQEAAAAATEHAAAACTQvMzAvMjAyMAgAAAAJOC8xNi8yMDIwCQAAAAEw4OMGS/JB2AiDp5VZ8kHYCD9DSVEuTllTRTpL</t>
  </si>
  <si>
    <t>Ty5JUV9NSU5PUklUWV9JTlRFUkVTVF9UT1RBTC4xMDAwLjMwLzA0LzIwMjAuLkYuVVNELkMBAAAAEmgAAAIAAAAEMjExNwEIAAAABQAAAAExAQAAAAoyMDE2NzkxMjQ1AwAAAAMxNjACAAAABDEzMTIEAAAAATEHAAAACTQvMzAvMjAyMAgAAAAJOC8xNi8yMDIwCQAAAAEwA0nKTPJB2AjKTplZ8kHYCDtDSVEuTllTRTpLTy5JUV9UT1RBTF9DT01NT05fRVFVSVRZLjIwMDAuMzEvMTIvMjAxOS4uRi5VU0QuQwEAAAASaAAAAgAAAAUxODcxMwEIAAAABQAAAAExAQAAAAoxOTg4ODAxNTI2AwAAAAMxNjACAAAABDEwMDYEAAAAATEHAAAACjEyLzMxLzIwMTkIAAAACTgvMTYvMjAyMAkAAAABMB77F3jyQdgIGYL0ePJB2AgpQ0lRLk5ZU0U6S08uSVFfTkkuOTk3LjMwLzA0LzIwMjAuLkYuVVNELkMBAAAAEmgAAAIAAAAENjUyNwEIAAAABQAAAAExAQAAAAoxOTQ2NDMwNzgyAwAAAAMxNjACAAAAAjE1BAAAAAExBwAAAAk0LzMwLzIwMjAIAAAACTgvMTYvMjAyMAkAAAABMANJykzyQdgID6yoWfJB2Ag2Q0lRLkxTRTpTRk9SLklRX0VRVUlUWV9NRVRIT0QuMTAwMC4zMC8wNC8yMDIwLi5GLkdCUC5DAQAAAMtT5CEDAAAAAADZCgdL8kHYCOfdj1nyQdgIKENJUS5MU0U6VFNDTy5JUV9MQVNUU0FMRVBSSUNFLjI3LzA5LzIwMTkBAAAAMFAGAAIAAAAFMi40NDUABV1+U/JB2Ahwhytx8kHYCCxDSVEuTllTRTpSQUNFLklR</t>
  </si>
  <si>
    <t>X1NHQS45OTcuMzAvMDQvMjAyMC4uRi5FVVIuQwEAAAA9grAQAgAAAAcyOTUuMjQyAQgAAAAFAAAAATEBAAAACjE5NDc0NDQxODQDAAAAAjUwAgAAAAIyMwQAAAABMQcAAAAJNC8zMC8yMDIwCAAAAAk4LzE2LzIwMjAJAAAAATDZCgdL8kHYCEDpoFnyQdgIKENJUS5MU0U6U0ZPUi5JUV9MQVNUU0FMRVBSSUNFLjI2LzAxLzIwMTgBAAAAy1PkIQMAAAAAACgrQnXyQdgICJBadvJB2AgiQ0lRLk5ZU0U6TUFOVS5JUV9WT0xVTUUuMjcvMDkvMjAxOQEAAADdaw0AAgAAAAgwLjExNTQ2MwCV/SRV8kHYCB6ev3LyQdgINUNJUS5OWVNFOlJBQ0UuSVFfVE9UQUxfQVNTRVRTLjk5Ni4zMS8xMi8yMDE5Li5GLkVVUi5DAQAAAD2CsBACAAAACDQ2NDEuNDI3AQgAAAAFAAAAATEBAAAACjE4MzA0NzQwOTQDAAAAAjUwAgAAAAQxMDA3BAAAAAExBwAAAAoxMi8zMS8yMDE5CAAAAAk4LzE2LzIwMjAJAAAAATA7hhd48kHYCM+w+njyQdgIOENJUS5OWVNFOktPLklRX0NBUEVYX01FRElBTl9FU1QuNjAwMC4zMS8xMi8yMDE5Li5GLlVTRC5DAQAAABJoAAACAAAACS0yNDU3LjUzMwEOAAAABQAAAAIxMQEAAAABMAIAAAAINzg4ODc0OTMDAAAABjEwNDA5MQQAAAABMgYAAAABMAcAAAADMTYwCAAAAAExCQAAAAExCgAAAAEwCwAAAAsxMTY0NDU2NjgwNgwAAAACMTINAAAACDEvMS8yMDIwEAAAAAk4LzE2LzIwMjA7PJZ38kHYCO9a</t>
  </si>
  <si>
    <t>5njyQdgIO0NJUS5OQVNEQVFHUzpDQUtFLklRX0NBU0hfU1RfSU5WRVNULjk5OS4zMS8xMi8yMDE5Li5GLlVTRC5DAQAAAAjgBAACAAAABTYuMDA4AQgAAAAFAAAAATEBAAAACjE5NDgxNzY2ODADAAAAAzE2MAIAAAAEMTAwMgQAAAABMQcAAAAKMTIvMzEvMjAxOQgAAAAJOC8xNi8yMDIwCQAAAAEwO4YXePJB2AhXIP148kHYCCVDSVEuXkNPTVAuSVFfTEFTVFNBTEVQUklDRS4yMC8wOS8yMDE5AQAAAIm4KAACAAAABzgxMTcuNjgAtbw3UvJB2AgP3xVz8kHYCDJDSVEuTFNFOlRTQ08uSVFfVE9UQUxfTElBQi45OTkuMzAvMDQvMjAyMC4uRi5HQlAuQwEAAAAwUAYAAgAAAAUzNDIxMwEIAAAABQAAAAExAQAAAAoxOTY4NzM2NTYzAwAAAAI1NQIAAAAEMTI3NgQAAAABMQcAAAAJNC8zMC8yMDIwCAAAAAk4LzE2LzIwMjAJAAAAATDJMQdL8kHYCAZemlnyQdgIIENJUS4uSVFfTEFTVFNBTEVQUklDRS4yMi8wMy8yMDE5BQAAAAAAAAAIAAAAFChJbnZhbGlkIElkZW50aWZpZXIpCAM3UfJB2Aj46lBz8kHYCDtDSVEuTkFTREFRR1M6VFNMQS5JUV9DQVNIX1NUX0lOVkVTVC45OTkuMzEvMTIvMjAxOS4uRi5VU0QuQwEAAAAQxqIBAgAAAAgzMzY3LjkxNAEIAAAABQAAAAExAQAAAAoxOTQ1ODczNTUwAwAAAAMxNjACAAAABDEwMDIEAAAAATEHAAAACjEyLzMxLzIwMTkIAAAACTgvMTYvMjAyMAkAAAABMDuGF3jyQdgI</t>
  </si>
  <si>
    <t>VfL+ePJB2AgoQ0lRLkxTRTpTRk9SLklRX0xBU1RTQUxFUFJJQ0UuMjEvMDIvMjAyMAEAAADLU+QhAgAAAAUyLjIwNQAID35T8kHYCAREXVnyQdgIJ0NJUS4kQUVESVNLLklRX0xBU1RTQUxFUFJJQ0UuMzAvMDQvMjAyMAEAAAAl61oAAgAAAAswLjAyNTIyODM4MQCqJCVV8kHYCFBjg1nyQdgIMUNJUUFWRy4lVENNU1kwNy5JUV9MQVNUU0FMRVBSSUNFLjQwMTc4LjMxLzEyLzIwMTkBAAAAGh8oAgIAAAAQMi4wNDY0MTc0MzMwMjY3OQBBUkJ18kHYCFGbXXbyQdgILUNJUS5OWVNFOlJBQ0UuSVFfUEVSSU9EREFURS45OTcuMzAvMDQvMjAyMC4uRgEAAAA9grAQBQAAAAozMS8xMi8yMDE2ALGvJFXyQdgI9C2BWfJB2AglQ0lRLl5DT01QLklRX0xBU1RTQUxFUFJJQ0UuMTQvMTIvMjAxOAEAAACJuCgAAgAAAAc2OTEwLjY2AIrFN1HyQdgI1hYXc/JB2AgkQ0lRLl5BU1guSVFfTEFTVFNBTEVQUklDRS4zMC8wMy8yMDE4AQAAAB9T6wECAAAACzM4OTQuMTY3OTgxANgt3nTyQdgIbdxFdvJB2Ag1Q0lRLk5BU0RBUUdTOkNBS0UuSVFfVE9UQUxfQ0wuOTk5LjMwLzA0LzIwMjAuLkYuVVNELkMBAAAACOAEAAIAAAAFNDE2LjUBCAAAAAUAAAABMQEAAAAKMjAyMTU4MTQyMAMAAAADMTYwAgAAAAQxMDA5BAAAAAExBwAAAAk0LzMwLzIwMjAIAAAACTgvMTYvMjAyMAkAAAABMANJykzyQdgI2FKXWfJB2AgsQ0lRLkxTRTpT</t>
  </si>
  <si>
    <t>Rk9SLklRX0VCSVQuOTk2LjMxLzEyLzIwMTkuLkYuR0JQLkMBAAAAy1PkIQMAAAAAAB4iGHjyQdgIh4frePJB2AgpQ0lRLk5ZU0U6UkFDRS5JUV9MQVNUU0FMRVBSSUNFLjMxLzA3LzIwMTcBAAAAPYKwEAIAAAAGMTA1LjE5ANGDflPyQdgItjsncfJB2AgoQ0lRLkxTRTpTRk9SLklRX0xBU1RTQUxFUFJJQ0UuMTgvMDUvMjAxOAEAAADLU+QhAwAAAAAAKeaFUvJB2AjfaAhx8kHYCClDSVEuTllTRTpNQU5VLklRX0xBU1RTQUxFUFJJQ0UuMTIvMDEvMjAxOAEAAADdaw0AAgAAAAQxOS45ACgrQnXyQdgIycdbdvJB2AgwQ0lRLkxTRTpUU0NPLklRX1NIQVJFU09VVFNUQU5ESU5HLjI1LzAyLzIwMTcuR0JQAQAAADBQBgACAAAACzgxMTUuODM0NzM5ABUiykzyQdgIQBphdvJB2AgpQ0lRLk5ZU0U6TUFOVS5JUV9MQVNUU0FMRVBSSUNFLjA4LzAyLzIwMTkBAAAA3WsNAAIAAAAFMTkuMTcApLx/U/JB2AiflCNx8kHYCCRDSVEuXkFTWC5JUV9MQVNUU0FMRVBSSUNFLjIxLzA2LzIwMTkBAAAAH1PrAQIAAAALNDA0NS4xMjIwNTIAfKuFUfJB2AjhSBpz8kHYCCtDSVEuTFNFOlRTQ08uSVFfRUJULjk5OC4zMS8xMi8yMDE5Li5GLkdCUC5DAQAAADBQBgACAAAAAzE0NQEIAAAABQAAAAExAQAAAAoxODg4NTI1MDc0AwAAAAI1NQIAAAADMTM5BAAAAAExBwAAAAoxMi8zMS8yMDE5CAAAAAk4LzE2LzIwMjAJAAAAATDc7ZV3</t>
  </si>
  <si>
    <t>8kHYCMt26njyQdgIIkNJUS5OWVNFOk1BTlUuSVFfVk9MVU1FLjIwLzA0LzIwMTgBAAAA3WsNAAIAAAAIMC4wNTI4NzYAQVJCdfJB2Aj2q1B28kHYCDZDSVEuTkFTREFRR1M6Q0FLRS5JUV9UT1RBTF9SRVYuOTk2LjMwLzA0LzIwMjAuLkYuVVNELkMBAAAACOAEAAIAAAAIMjEwMC42MDkBCAAAAAUAAAABMQEAAAAKMTg3NzE0NDQzOAMAAAADMTYwAgAAAAIyOAQAAAABMQcAAAAJNC8zMC8yMDIwCAAAAAk4LzE2LzIwMjAJAAAAATD/b8pM8kHYCN9SnlnyQdgIM0NJUUFWRy5JUTUwMDI3NTgzLklRX0xBU1RTQUxFUFJJQ0UuNDAxNzguMzEvMTIvMjAxOQEAAAA/XPsCAgAAABAxLjI3MzY0MjkzMjMwNDQ1ANgt3nTyQdgISfhJdvJB2AgZQ0lRLk5ZU0U6TUFOVS5JUV9FWENIQU5HRQEAAADdaw0AAwAAAAROWVNFAPw6JFXyQdgIp3mJWfJB2AgxQ0lRLkxTRTpTRk9SLklRX1RPVEFMX1JFVi45OTguMzAvMDQvMjAyMC4uRi5HQlAuQwEAAADLU+QhAwAAAAAAyTEHS/JB2AgEBZ5Z8kHYCEFDSVEuTllTRTpNQU5VLklRX01JTk9SSVRZX0lOVEVSRVNUX1RPVEFMLjEwMDAuMzAvMDQvMjAyMC4uRi5HQlAuQwEAAADdaw0AAwAAAAAA/2/KTPJB2AjKTplZ8kHYCDhDSVEuTkFTREFRR1M6Q0FLRS5JUV9QUkVGX0VRVUlUWS45OTguMzEvMTIvMjAxOS4uRi5VU0QuQwEAAAAI4AQAAwAAAAAAHvsXePJB2AgE0PR48kHYCDFD</t>
  </si>
  <si>
    <t>SVEuTkFTREFRR1M6Q0FLRS5JUV9FQlQuMTAwMi4zMS8xMi8yMDE5Li5GLlVTRC5DAQAAAAjgBAADAAAAAAAeIhh48kHYCJ1g63jyQdgIIUNJUS5MU0U6VFNDTy5JUV9WT0xVTUUuMTMvMTIvMjAxOQEAAAAwUAYAAgAAAAg0NS42NzY4NgCV/SRV8kHYCE3bvnLyQdgINENJUS5OWVNFOktPLklRX1RPVEFMX1JFQ0VJVi4yMDAwLjMxLzEyLzIwMTkuLkYuVVNELkMBAAAAEmgAAAIAAAAENDM1MwEIAAAABQAAAAExAQAAAAoxOTg4ODAxNTI2AwAAAAMxNjACAAAABDEwMDEEAAAAATEHAAAACjEyLzMxLzIwMTkIAAAACTgvMTYvMjAyMAkAAAABMNoUlnfyQdgIVdXkePJB2AgyQ0lRLk5BU0RBUUdTOkNBS0UuSVFfREFfQ0YuOTk3LjMwLzA0LzIwMjAuLkYuVVNELkMBAAAACOAEAAIAAAAFODguNjEBCAAAAAUAAAABMQEAAAAKMTk0ODE3NjY2MgMAAAADMTYwAgAAAAQyMTYwBAAAAAExBwAAAAk0LzMwLzIwMjAIAAAACTgvMTYvMjAyMAkAAAABMP9vykzyQdgIoFiqWfJB2AgnQ0lRLk5ZU0U6S08uSVFfTEFTVFNBTEVQUklDRS4wNi8wNy8yMDE4AQAAABJoAAACAAAABTQ0LjY0ADq/hVLyQdgIrdIMcfJB2AgtQ0lRLk5BU0RBUUdTOlRTTEEuSVFfTEFTVFNBTEVQUklDRS4wMS8xMS8yMDE5AQAAABDGogECAAAABjMxMy4zMQAFXX5T8kHYCLi0LHHyQdgIJkNJUS5OQVNEQVFHUzpUU0xBLklRX1ZPTFVNRS4wNy8xMi8y</t>
  </si>
  <si>
    <t>MDE4AQAAABDGogECAAAACDExLjUxMTE4AMfif1PyQdgIvRQgcfJB2AgnQ0lRLk5ZU0U6S08uSVFfTEFTVFNBTEVQUklDRS4yOC8wMi8yMDIwAQAAABJoAAACAAAABTUzLjQ5AAHofVPyQdgI67hdWfJB2AgqQ0lRLklRNTAwMjc1ODIuSVFfTEFTVFNBTEVQUklDRS4zMC8wNC8yMDIwAQAAAD5c+wICAAAABTAuNTY1AKPWJFXyQdgIovmFWfJB2Ag2Q0lRLkdCUC5JUV9GVUxMX0NVUlZFX0FOTlVBTC5BTExDT1JQLkhZLjIwWS4zMC8wNC8yMDIwAQAAAAAAAAACAAAACDAuMTM3NDU2AKokJVXyQdgIUwqHWfJB2Ag/Q0lRLkxTRTpUU0NPLklRX1RPVEFMX0RFQlRfTk9OX0NVUlJFTlQuMTAwMC4zMC8wNC8yMDIwLi5GLkdCUC5DAQAAADBQBgACAAAABTE0OTczAQgAAAAFAAAAATEBAAAACjIwMjY1MDczMDkDAAAAAjU1AgAAAAUyNTIyNAQAAAABMQcAAAAJNC8zMC8yMDIwCAAAAAk4LzE2LzIwMjAJAAAAATDJMQdL8kHYCJYVmFnyQdgINkNJUS5OQVNEQVFHUzpUU0xBLklRX0xUX0lOVkVTVC45OTkuMzEvMTIvMjAxOS4uRi5VU0QuQwEAAAAQxqIBAgAAAAU1LjMwNAEIAAAABQAAAAExAQAAAAoxOTQ1ODczNTUwAwAAAAMxNjACAAAABDEwNTQEAAAAATEHAAAACjEyLzMxLzIwMTkIAAAACTgvMTYvMjAyMAkAAAABMDuGF3jyQdgI8Tv6ePJB2AgoQ0lRLkxTRTpTRk9SLklRX0xBU1RTQUxFUFJJQ0UuMTAvMDUvMjAx</t>
  </si>
  <si>
    <t>OQEAAADLU+QhAgAAAAUxLjY3NQDe0n5T8kHYCA9SJnHyQdgIIkNJUS5OWVNFOlJBQ0UuSVFfVk9MVU1FLjAyLzA4LzIwMTkBAAAAPYKwEAIAAAAIMC44MDUzMzgAJWG1U/JB2AgDHrxy8kHYCClDSVEuTllTRTpNQU5VLklRX0xBU1RTQUxFUFJJQ0UuMTcvMDEvMjAyMAEAAADdaw0AAgAAAAUyMC4yNQAID35T8kHYCCYzXFnyQdgIOUNJUS5MU0U6VFNDTy5JUV9DQVBFWF9NRURJQU5fRVNULjYwMDEuMzAvMDQvMjAyMC4uRi5HQlAuQwEAAAAwUAYAAwAAAAAApH8HS/JB2AiTzapZ8kHYCDVDSVEuTkFTREFRR1M6Q0FLRS5JUV9JTkNfVEFYLjIwMDAuMzEvMTIvMjAxOS4uRi5VU0QuQwEAAAAI4AQAAgAAAAU0LjUxOQEIAAAABQAAAAExAQAAAAoxOTkxMzI3MDQwAwAAAAMxNjACAAAAAjc1BAAAAAExBwAAAAoxMi8zMS8yMDE5CAAAAAk4LzE2LzIwMjAJAAAAATDaFJZ38kHYCN8o6njyQdgIJ0NJUS4kQUVEVVNELklRX0xBU1RTQUxFUFJJQ0UuMzEvMTIvMjAxOAEAAAAl61oAAgAAAAUzLjY3MwAVIspM8kHYCNOqXnbyQdgIN0NJUS5OWVNFOk1BTlUuSVFfQ0FTSF9TVF9JTlZFU1QuOTk2LjMwLzA0LzIwMjAuLkYuR0JQLkMBAAAA3WsNAAIAAAAHMTU1Ljc1MgEIAAAABQAAAAExAQAAAAoxODYxNzM2ODY5AwAAAAI1NQIAAAAEMTAwMgQAAAABMQcAAAAJNC8zMC8yMDIwCAAAAAk4LzE2LzIwMjAJAAAAATC8WAdL</t>
  </si>
  <si>
    <t>8kHYCCk4k1nyQdgIM0NJUS5OWVNFOk1BTlUuSVFfRVNUX0VQU19HUk9XVEhfNVlSLjYwMDAuMzEvMTIvMjAxOQEAAADdaw0AAgAAAAcwLjIyNzU1AQ4AAAAFAAAAATcBAAAACTIxNTA1NTM4NQIAAAAGNzAyNzI4AwAAAAYxMDAxNjcEAAAAATMGAAAAATAHAAAAATAIAAAAATAJAAAAATEKAAAAATALAAAACzExNjkyNzIzMTkxDAAAAAE4DQAAAAgxLzEvMjAyMBAAAAAKMTIvMzEvMjAxOSgrQnXyQdgINBROdvJB2AgzQ0lRLkxTRTpUU0NPLklRX1BSRUZfRVFVSVRZLjk5OS4zMS8xMi8yMDE5Li5GLkdCUC5DAQAAADBQBgADAAAAAAAe+xd48kHYCATQ9HjyQdgILUNJUS5OQVNEQVFHUzpUU0xBLklRX0xBU1RTQUxFUFJJQ0UuMzEvMDMvMjAxNQEAAAAQxqIBAgAAAAYxODguNzcAQVJCdfJB2AgDEFB28kHYCDZDSVEuTllTRTpNQU5VLklRX0VRVUlUWV9NRVRIT0QuOTk3LjMxLzEyLzIwMTkuLkYuR0JQLkMBAAAA3WsNAAMAAAAAAEdgF3jyQdgI1I7/ePJB2Ag4Q0lRLk5BU0RBUUdTOkNBS0UuSVFfUFJFRl9FUVVJVFkuOTk3LjMwLzA0LzIwMjAuLkYuVVNELkMBAAAACOAEAAMAAAAAAP9vykzyQdgIspWbWfJB2AgtQ0lRLk5BU0RBUUdTOkNBS0UuSVFfTEFTVFNBTEVQUklDRS4wNy8xMi8yMDE4AQAAAAjgBAACAAAABTQ1Ljg5AMfif1PyQdgIvRQgcfJB2AgsQ0lRLk5ZU0U6TUFOVS5JUV9BUC4yMDAwLjMwLzA0</t>
  </si>
  <si>
    <t>LzIwMjAuLkYuR0JQLkMBAAAA3WsNAAIAAAAGNzYuNjU2AQgAAAAFAAAAATEBAAAACjIwMTg2MzIwMDMDAAAAAjU1AgAAAAQxMDE4BAAAAAExBwAAAAk0LzMwLzIwMjAIAAAACTgvMTYvMjAyMAkAAAABMP9vykzyQdgI/u+sWfJB2AglQ0lRLiRBRURHQlAuSVFfTEFTVFNBTEVQUklDRS4wMDowMDowMAEAAAAl61oAAgAAAAs0LjgxMzU4Njg2NAAVIspM8kHYCJxGX3byQdgIL0NJUS5MU0U6VFNDTy5JUV9JTkNfVEFYLjk5Ni4zMC8wNC8yMDIwLi5GLkdCUC5DAQAAADBQBgACAAAAAy01NAEIAAAABQAAAAExAQAAAAoxODQ3ODI1MTQ4AwAAAAI1NQIAAAACNzUEAAAAATEHAAAACTQvMzAvMjAyMAgAAAAJOC8xNi8yMDIwCQAAAAEwyTEHS/JB2AhgdKdZ8kHYCChDSVEuTFNFOlNGT1IuSVFfTEFTVFNBTEVQUklDRS4yOS8wMi8yMDIwAQAAAMtT5CECAAAABDEuNzgAAeh9U/JB2AiWyV5Z8kHYCCFDSVEuTllTRTpNQU5VLklRX0ZJUlNUUFJJQ0lOR0RBVEUBAAAA3WsNAAUAAAAKMTAvMDgvMjAxMgD8OiRV8kHYCByIfVnyQdgIIkNJUS5OWVNFOk1BTlUuSVFfVk9MVU1FLjA1LzAxLzIwMTgBAAAA3WsNAAIAAAAIMC4wNTI5OTMAKCtCdfJB2AiaY1x28kHYCDpDSVEuTFNFOlRTQ08uSVFfVE9UQUxfREVCVF9DVVJSRU5ULjk5Ny4zMS8xMi8yMDE5Li5GLkdCUC5DAQAAADBQBgACAAAABDI4MjYBCAAAAAUAAAABMQEA</t>
  </si>
  <si>
    <t>AAAKMTg0NzgyNTE0OAMAAAACNTUCAAAABTI1MjIzBAAAAAExBwAAAAoxMi8zMS8yMDE5CAAAAAk4LzE2LzIwMjAJAAAAATAcrRd48kHYCHEE+XjyQdgINUNJUS5OQVNEQVFHUzpDQUtFLklRX1NIQVJFU09VVFNUQU5ESU5HLjAyLzAxLzIwMTguVVNEAQAAAAjgBAACAAAABTQ1Ljc5AFuT4k3yQdgIe/RgdvJB2AgvQ0lRLk5ZU0U6UkFDRS5JUV9EQV9DRi4xMDAwLjMwLzA0LzIwMjAuLkYuRVVSLkMBAAAAPYKwEAIAAAAHMjEyLjMxNwEIAAAABQAAAAExAQAAAAoyMDE1NjM5ODIyAwAAAAI1MAIAAAAEMjE2MAQAAAABMQcAAAAJNC8zMC8yMDIwCAAAAAk4LzE2LzIwMjAJAAAAATDZCgdL8kHYCL7jqVnyQdgILkNJUS5MU0U6VFNDTy5JUV9FQklUREEuOTk5LjMxLzEyLzIwMTkuLkYuR0JQLkMBAAAAMFAGAAIAAAAEMjcyMwEIAAAABQAAAAExAQAAAAoxOTY4NzM2NTU5AwAAAAI1NQIAAAAENDA1MQQAAAABMQcAAAAKMTIvMzEvMjAxOQgAAAAJOC8xNi8yMDIwCQAAAAEwHiIYePJB2AjCa+548kHYCCJDSVEuTllTRTpNQU5VLklRX1ZPTFVNRS4yNy8xMi8yMDE5AQAAAN1rDQACAAAACDAuMDUzMDc0AJX9JFXyQdgI/RPAcvJB2AglQ0lRLl5DT01QLklRX0xBU1RTQUxFUFJJQ0UuMjkvMTEvMjAxOQEAAACJuCgAAgAAAAc4NjY1LjQ3ALW8N1LyQdgIJpEVc/JB2AgvQ0lRLk5ZU0U6S08uSVFfVE9UQUxfQ0wuOTk2</t>
  </si>
  <si>
    <t>LjMxLzEyLzIwMTkuLkYuVVNELkMBAAAAEmgAAAIAAAAFMzIzNzQBCAAAAAUAAAABMQEAAAAKMTgyOTIzMDk1NgMAAAADMTYwAgAAAAQxMDA5BAAAAAExBwAAAAoxMi8zMS8yMDE5CAAAAAk4LzE2LzIwMjAJAAAAATAcrRd48kHYCGQb+HjyQdgIMENJUS5OWVNFOktPLklRX0NPU1RfUkVWLjEwMDAuMzAvMDQvMjAyMC4uRi5VU0QuQwEAAAASaAAAAgAAAAUxNDYxOQEIAAAABQAAAAExAQAAAAoyMDE2NzkxMjQ1AwAAAAMxNjACAAAAATEEAAAAATEHAAAACTQvMzAvMjAyMAgAAAAJOC8xNi8yMDIwCQAAAAEwA0nKTPJB2AjKoJ5Z8kHYCDhDSVEuTFNFOlRTQ08uSVFfRUJJVF9NRURJQU5fRVNULjEwMDIuMzEvMTIvMjAxOS4uRi5HQlAuQwEAAAAwUAYAAgAAAAgzMDcxLjk3MwEOAAAABQAAAAEzAQAAAAEwAgAAAAoxMDAwMjY0NDk5AwAAAAYxMDAyMTYEAAAAATMGAAAAATAHAAAAAjU1CAAAAAExCQAAAAExCgAAAAEwCwAAAAsxMTcyMjEwNjQ0MQwAAAABMQ0AAAAIMS8xLzIwMjAQAAAACTgvMTYvMjAyMPNIGHjyQdgIK7/sePJB2AgrQ0lRLkxTRTpTRk9SLklRX05JLjIwMDAuMzAvMDQvMjAyMC4uRi5HQlAuQwEAAADLU+QhAgAAAAYtMTAuMDQBCAAAAAUAAAABMQEAAAAKMjAyMjU5OTg4NwMAAAACNTUCAAAAAjE1BAAAAAExBwAAAAk0LzMwLzIwMjAIAAAACTgvMTYvMjAyMAkAAAABMNkKB0vyQdgIYxCoWfJB</t>
  </si>
  <si>
    <t>2AgoQ0lRLkxTRTpUU0NPLklRX0xBU1RTQUxFUFJJQ0UuMjkvMDIvMjAxNgEAAAAwUAYAAgAAAAUxLjgwNADBqn5T8kHYCJ+UI3HyQdgIL0NJUS5OQVNEQVFHUzpDQUtFLklRX0dQLjk5Ni4zMC8wNC8yMDIwLi5GLlVTRC5DAQAAAAjgBAACAAAABjkxMS43NgEIAAAABQAAAAExAQAAAAoxODc3MTQ0NDM4AwAAAAMxNjACAAAAAjEwBAAAAAExBwAAAAk0LzMwLzIwMjAIAAAACTgvMTYvMjAyMAkAAAABMP9vykzyQdgIcyagWfJB2AghQ0lRLkxTRTpTRk9SLklRX1ZPTFVNRS4xNi8wMy8yMDE4AQAAAMtT5CEDAAAAAAAoK0J18kHYCPckVnbyQdgIKkNJUS5OWVNFOktPLklRX0VCVC45OTguMzAvMDQvMjAyMC4uRi5VU0QuQwEAAAASaAAAAgAAAAQ2ODkwAQgAAAAFAAAAATEBAAAACjIwMTY3OTEyNTADAAAAAzE2MAIAAAADMTM5BAAAAAExBwAAAAk0LzMwLzIwMjAIAAAACTgvMTYvMjAyMAkAAAABMANJykzyQdgIzzymWfJB2AgiQ0lRLk5ZU0U6TUFOVS5JUV9WT0xVTUUuMjQvMDQvMjAyMAEAAADdaw0AAgAAAAgwLjY1MDY5MQCV/SRV8kHYCAW5eVnyQdgIJENJUS5eQVNYLklRX0xBU1RTQUxFUFJJQ0UuMTgvMDUvMjAxOAEAAAAfU+sBAgAAAAs0MjczLjgxMzU1MQCKxTdR8kHYCHr1G3PyQdgIKENJUS5MU0U6U0ZPUi5JUV9MQVNUU0FMRVBSSUNFLjI4LzA2LzIwMTkBAAAAy1PkIQIAAAAFMS42MzUAwap+U/JB</t>
  </si>
  <si>
    <t>2AjX/idx8kHYCC1DSVEuTllTRTpNQU5VLklRX1BFUklPRERBVEUuOTk2LjMxLzEyLzIwMTkuLkYBAAAA3WsNAAUAAAAKMzAvMDYvMjAxNQD+A0J18kHYCKPHTXbyQdgIKUNJUS5OWVNFOlJBQ0UuSVFfTEFTVFNBTEVQUklDRS4xMy8wNC8yMDE4AQAAAD2CsBACAAAABjEyMi40MwAoK0J18kHYCKtHUXbyQdgIMENJUS5OWVNFOktPLklRX1RPVEFMX1JFVi45OTcuMzAvMDQvMjAyMC4uRi5VU0QuQwEAAAASaAAAAgAAAAU0MTg2MwEIAAAABQAAAAExAQAAAAoxOTQ2NDMwNzgyAwAAAAMxNjACAAAAAjI4BAAAAAExBwAAAAk0LzMwLzIwMjAIAAAACTgvMTYvMjAyMAkAAAABMANJykzyQdgI7CueWfJB2AggQ0lRLi5JUV9MQVNUU0FMRVBSSUNFLjAzLzA0LzIwMjAFAAAAAAAAAAgAAAAUKEludmFsaWQgSWRlbnRpZmllcilxhS9S8kHYCOEMxlnyQdgIJUNJUS5eQ09NUC5JUV9MQVNUU0FMRVBSSUNFLjExLzAxLzIwMTkBAAAAibgoAAIAAAAHNjk3MS40OACKxTdR8kHYCMXvFnPyQdgINUNJUS5OQVNEQVFHUzpDQUtFLklRX1RPVEFMX0NBLjk5Ny4zMC8wNC8yMDIwLi5GLlVTRC5DAQAAAAjgBAACAAAABzIyMS40MjcBCAAAAAUAAAABMQEAAAAKMTk0ODE3NjY2MgMAAAADMTYwAgAAAAQxMDA4BAAAAAExBwAAAAk0LzMwLzIwMjAIAAAACTgvMTYvMjAyMAkAAAABMANJykzyQdgIA/uTWfJB2AgnQ0lRLiRBRURWTkQu</t>
  </si>
  <si>
    <t>SVFfTEFTVFNBTEVQUklDRS4zMS8xMi8yMDE5AQAAACXrWgACAAAACzAuMDAwMTU4MjE3AP4DQnXyQdgI0aRLdvJB2AgtQ0lRLk5BU0RBUUdTOkNBS0UuSVFfTEFTVFNBTEVQUklDRS4zMC8wNC8yMDE4AQAAAAjgBAACAAAABTUxLjk1AOg1flPyQdgIloIpcfJB2AgtQ0lRLk5BU0RBUUdTOlRTTEEuSVFfTEFTVFNBTEVQUklDRS4zMC8xMS8yMDE2AQAAABDGogECAAAABTE4OS40ANGDflPyQdgIE7YlcfJB2AggQ0lRLk5ZU0U6S08uSVFfVk9MVU1FLjI3LzAzLzIwMjABAAAAEmgAAAIAAAAHMjMuMjk3OQCj1iRV8kHYCDKdfFnyQdgIO0NJUS5OQVNEQVFHUzpUU0xBLklRX0RBX01FRElBTl9FU1QuNjAwMS4zMS8xMi8yMDE5Li5GLlVTRC5DAQAAABDGogEDAAAAAADaFJZ38kHYCGsu6HjyQdgIIENJUS4uSVFfTEFTVFNBTEVQUklDRS4zMS8wMS8yMDE2BQAAAAAAAAAIAAAAFChJbnZhbGlkIElkZW50aWZpZXIp7I02UfJB2AjC1Fhz8kHYCB9DSVEuTllTRTpSQUNFLklRX1RFVi4zMS8xMi8yMDE5AQAAAD2CsBACAAAADDMyMDIzLjEyMTc1OQEGAAAABQAAAAExAQAAAAoxOTkwNDIzMzQ3AwAAAAMxNjACAAAABjEwMDA2MAQAAAABMAcAAAAKMTIvMzEvMjAxOUFSQnXyQdgIjyZPdvJB2AgnQ0lRLk5ZU0U6S08uSVFfTEFTVFNBTEVQUklDRS4zMS8wMS8yMDE1AQAAABJoAAACAAAABTQxLjE3AEFSQnXyQdgIGTdQ</t>
  </si>
  <si>
    <t>dvJB2AgnQ0lRLiRBRURVU0QuSVFfTEFTVFNBTEVQUklDRS4zMS8wMy8yMDIwAQAAACXrWgACAAAABTMuNjczABUiykzyQdgIZmOKWfJB2AgtQ0lRLkxTRTpTRk9SLklRX0NBUEVYLjk5OS4zMC8wNC8yMDIwLi5GLkdCUC5DAQAAAMtT5CECAAAACS0yLjUzMDI4NgEIAAAABQAAAAExAQAAAAoxOTYxMTE2MjcxAwAAAAI1NQIAAAAEMjAyMQQAAAABMQcAAAAJNC8zMC8yMDIwCAAAAAk4LzE2LzIwMjAJAAAAATDZCgdL8kHYCFSQq1nyQdgIKUNJUS5OWVNFOk1BTlUuSVFfTEFTVFNBTEVQUklDRS4yNy8xMi8yMDE5AQAAAN1rDQACAAAABTE5LjgxAAgPflPyQdgINIgucfJB2AgyQ0lRLk5BU0RBUUdTOlRTTEEuSVFfREFfQ0YuOTk3LjMwLzA0LzIwMjAuLkYuVVNELkMBAAAAEMaiAQIAAAAHOTQ3LjA5OQEIAAAABQAAAAExAQAAAAoxOTQ1ODczNTUxAwAAAAMxNjACAAAABDIxNjAEAAAAATEHAAAACTQvMzAvMjAyMAgAAAAJOC8xNi8yMDIwCQAAAAEwyTEHS/JB2AipMapZ8kHYCC1DSVEuTkFTREFRR1M6VFNMQS5JUV9MQVNUU0FMRVBSSUNFLjI5LzA2LzIwMTgBAAAAEMaiAQIAAAAGMzQyLjk1ADq/hVLyQdgI1TYMcfJB2Ag+Q0lRLk5BU0RBUUdTOlRTTEEuSVFfQ0FQRVhfTUVESUFOX0VTVC4xMDAxLjMwLzA0LzIwMjAuLkYuVVNELkMBAAAAEMaiAQIAAAALLTI0MzIuNzE4NzgBDgAAAAUAAAABMwEAAAABMAIA</t>
  </si>
  <si>
    <t>AAAKMTAwMDg3Mjk2MwMAAAAGMTA0MDkxBAAAAAEyBgAAAAEwBwAAAAMxNjAIAAAAATEJAAAAATEKAAAAATALAAAACzExOTAwODIyMDAzDAAAAAExDQAAAAg1LzEvMjAyMBAAAAAJOC8xNi8yMDIwpH8HS/JB2AhxG6tZ8kHYCDZDSVEuTkFTREFRR1M6VFNMQS5JUV9UT1RBTF9DQS4xMDAwLjMwLzA0LzIwMjAuLkYuVVNELkMBAAAAEMaiAQIAAAAFMTIxMDMBCAAAAAUAAAABMQEAAAAKMjAxMzkwNzQ2MAMAAAADMTYwAgAAAAQxMDA4BAAAAAExBwAAAAk0LzMwLzIwMjAIAAAACTgvMTYvMjAyMAkAAAABMLxYB0vyQdgIFYaTWfJB2Ag9Q0lRLk5BU0RBUUdTOlRTTEEuSVFfRUJJVF9NRURJQU5fRVNULjYwMDAuMzEvMTIvMjAxOS4uRi5VU0QuQwEAAAAQxqIBAgAAAAYxMDgwLjcBDgAAAAUAAAACMTEBAAAAATACAAAACDE1MzU3Njg1AwAAAAYxMDAyMTYEAAAAATIGAAAAATAHAAAAAzE2MAgAAAABMQkAAAABMQoAAAABMAsAAAALMTE3MjkwOTA0MzUMAAAAAjEyDQAAAAgxLzEvMjAyMBAAAAAJOC8xNi8yMDIw80gYePJB2Agrv+x48kHYCC1DSVEuTFNFOlRTQ08uSVFfQ0FQRVguOTk5LjMwLzA0LzIwMjAuLkYuR0JQLkMBAAAAMFAGAAIAAAAFLTExMDEBCAAAAAUAAAABMQEAAAAKMTk2ODczNjU2MwMAAAACNTUCAAAABDIwMjEEAAAAATEHAAAACTQvMzAvMjAyMAgAAAAJOC8xNi8yMDIwCQAAAAEwyTEHS/JB2AhU</t>
  </si>
  <si>
    <t>kKtZ8kHYCCVDSVEuXkNPTVAuSVFfTEFTVFNBTEVQUklDRS4yNi8wNy8yMDE5AQAAAIm4KAACAAAABzgzMzAuMjEAfKuFUfJB2AgDLRZz8kHYCClDSVEuTllTRTpNQU5VLklRX0xBU1RTQUxFUFJJQ0UuMjUvMTAvMjAxOQEAAADdaw0AAgAAAAQxNi45AAVdflPyQdgIyWYscfJB2AgmQ0lRLk5BU0RBUUdTOkNBS0UuSVFfVk9MVU1FLjI2LzEwLzIwMTgBAAAACOAEAAIAAAAIMS4wMjI5MjYAQ5iFUvJB2AgqtxZx8kHYCC1DSVEuTkFTREFRR1M6VFNMQS5JUV9MQVNUU0FMRVBSSUNFLjE3LzA4LzIwMTgBAAAAEMaiAQIAAAAFMzA1LjUAOr+FUvJB2AjwyBBx8kHYCCZDSVEuTkFTREFRR1M6VFNMQS5JUV9WT0xVTUUuMTkvMDQvMjAxOQEAAAAQxqIBAwAAAAAAuZR/U/JB2AiZccFy8kHYCDFDSVEuTFNFOlRTQ08uSVFfVE9UQUxfQ0EuMTAwMC4zMC8wNC8yMDIwLi5GLkdCUC5DAQAAADBQBgACAAAABTEzMTY0AQgAAAAFAAAAATEBAAAACjIwMjY1MDczMDkDAAAAAjU1AgAAAAQxMDA4BAAAAAExBwAAAAk0LzMwLzIwMjAIAAAACTgvMTYvMjAyMAkAAAABMMkxB0vyQdgIFYaTWfJB2AgkQ0lRLl5TUFguSVFfTEFTVFNBTEVQUklDRS4xMi8xMC8yMDE4AQAAAJu4KAACAAAAEDI3NjcuMTI2MDE4MTgxMDEAisU3UfJB2AirlhNz8kHYCC5DSVEuTFNFOlRTQ08uSVFfREFfQ0YuMjAwMC4zMS8xMi8yMDE5Li5GLkdCUC5D</t>
  </si>
  <si>
    <t>AQAAADBQBgACAAAABDExNzUBCAAAAAUAAAABMQEAAAAKMTk4Njc5MzI0MAMAAAACNTUCAAAABDIxNjAEAAAAATEHAAAACjEyLzMxLzIwMTkIAAAACTgvMTYvMjAyMAkAAAABMNoUlnfyQdgIlpLnePJB2AghQ0lRLkxTRTpTRk9SLklRX1ZPTFVNRS4wOC8xMS8yMDE5AQAAAMtT5CECAAAACDAuMTg3MTk2AJX9JFXyQdgIoaO9cvJB2Ag4Q0lRLk5BU0RBUUdTOlRTTEEuSVFfUFJFRl9FUVVJVFkuOTk4LjMwLzA0LzIwMjAuLkYuVVNELkMBAAAAEMaiAQMAAAAAALxYB0vyQdgIyG6bWfJB2AgoQ0lRLkxTRTpTRk9SLklRX0xBU1RTQUxFUFJJQ0UuMzAvMTEvMjAxNgEAAADLU+QhAwAAAAAA0YN+U/JB2AgzjyVx8kHYCCFDSVEuTFNFOlNGT1IuSVFfVk9MVU1FLjE0LzA2LzIwMTkBAAAAy1PkIQIAAAAIMC4yNjgzMDcA2Tm1U/JB2AjIB71y8kHYCCdDSVEuJEFFRFVBSC5JUV9MQVNUU0FMRVBSSUNFLjMwLzA0LzIwMjABAAAAJetaAAIAAAALMC4xMzU3MTAzMjcAqiQlVfJB2AiNs4JZ8kHYCChDSVEuTFNFOlNGT1IuSVFfTEFTVFNBTEVQUklDRS4zMS8wMS8yMDIwAQAAAMtT5CECAAAABDEuODkACA9+U/JB2Ai7ol5Z8kHYCDBDSVEuTFNFOlRTQ08uSVFfSU5DX1RBWC4yMDAwLjMwLzA0LzIwMjAuLkYuR0JQLkMBAAAAMFAGAAIAAAADMzgwAQgAAAAFAAAAATEBAAAACjIwMjY1MDczODgDAAAAAjU1AgAAAAI3NQQA</t>
  </si>
  <si>
    <t>AAABMQcAAAAJNC8zMC8yMDIwCAAAAAk4LzE2LzIwMjAJAAAAATDJMQdL8kHYCAyhrFnyQdgIPENJUS5OQVNEQVFHUzpDQUtFLklRX1JFVFVSTl9JTlZFU1RFRF9DQVBJVEFMLjIwMDAuMzAvMDQvMjAyMAEAAAAI4AQAAgAAAActNS4yMjM5ALGvJFXyQdgI9iN+WfJB2AgmQ0lRLk5BU0RBUUdTOkNBS0UuSVFfVk9MVU1FLjEzLzA3LzIwMTgBAAAACOAEAAIAAAAIMC43NTU1NjQAOr+FUvJB2AhtlQ1x8kHYCClDSVEuSVEyNjY4NjM5LklRX0xBU1RTQUxFUFJJQ0UuMzAvMDQvMjAyMAEAAABfuCgAAgAAAAQyLjM4AKPWJFXyQdgIRjGHWfJB2AglQ0lRLl5DT01QLklRX0xBU1RTQUxFUFJJQ0UuMDEvMTEvMjAxOQEAAACJuCgAAgAAAAY4Mzg2LjQAtbw3UvJB2AgluBVz8kHYCCVDSVEuXkNPTVAuSVFfTEFTVFNBTEVQUklDRS4yNy8wOS8yMDE5AQAAAIm4KAACAAAABzc5MzkuNjIAtbw3UvJB2AgP3xVz8kHYCCdDSVEuJEFFREdCUC5JUV9MQVNUU0FMRVBSSUNFLjIyLzAyLzIwMTQBAAAAJetaAAIAAAALNi4xMTUwNDIwMzgAFSLKTPJB2AjbIF928kHYCD1DSVEuTllTRTpNQU5VLklRX1RPVEFMX0NPTU1PTl9FUVVJVFkuMjAwMC4zMS8xMi8yMDE5Li5GLkdCUC5DAQAAAN1rDQACAAAABzQxMC42NTYBCAAAAAUAAAABMQEAAAAKMTk5MzYyMTMyMgMAAAACNTUCAAAABDEwMDYEAAAAATEHAAAACjEyLzMxLzIwMTkI</t>
  </si>
  <si>
    <t>AAAACTgvMTYvMjAyMAkAAAABMB77F3jyQdgII1v0ePJB2AgoQ0lRLkxTRTpUU0NPLklRX0xBU1RTQUxFUFJJQ0UuMzEvMDcvMjAxNwEAAAAwUAYAAgAAAAUxLjc0MgDRg35T8kHYCLY7J3HyQdgII0NJUS5OQVNEQVFHUzpUU0xBLklRX1RFVi4zMC8wNC8yMDIwAQAAABDGogECAAAADTE1MzU1Ni45NTk1NzcBBgAAAAUAAAABMQEAAAAKMjAzMjA0NTEyNQMAAAADMTYwAgAAAAYxMDAwNjAEAAAAATAHAAAACTQvMzAvMjAyMKPWJFXyQdgId+d+WfJB2AgmQ0lRLk5BU0RBUUdTOlRTTEEuSVFfVk9MVU1FLjIyLzExLzIwMTkBAAAAEMaiAQIAAAAIMTYuODcwNjQAo9YkVfJB2AhYW8Jy8kHYCCFDSVEuTFNFOlRTQ08uSVFfVk9MVU1FLjA1LzEwLzIwMTgBAAAAMFAGAAIAAAAINjguODUxNTIAQ5iFUvJB2Ahz4xRx8kHYCClDSVEuTllTRTpSQUNFLklRX0xBU1RTQUxFUFJJQ0UuMzEvMDEvMjAxNgEAAAA9grAQAgAAAAUzOS43NwDe0n5T8kHYCAdHI3HyQdgIJ0NJUS4kQUVEVFdELklRX0xBU1RTQUxFUFJJQ0UuMzAvMDQvMjAxOQEAAAAl61oAAgAAAAowLjExODc1NTg2AKokJVXyQdgIHCaEWfJB2AgkQ0lRLl5BU1guSVFfTEFTVFNBTEVQUklDRS4xNC8xMi8yMDE4AQAAAB9T6wECAAAACzM3MzIuOTU3MjE4AIrFN1HyQdgIoAsbc/JB2AgnQ0lRLk5ZU0U6S08uSVFfTEFTVFNBTEVQUklDRS4yNC8wOC8yMDE4AQAA</t>
  </si>
  <si>
    <t>ABJoAAACAAAABTQ1LjYzADq/hVLyQdgI4mQRcfJB2AgsQ0lRLkxTRTpTRk9SLklRX1BFUklPRERBVEUuOTk5LjMxLzEyLzIwMTkuLkYBAAAAy1PkIQMAAAAAAP4DQnXyQdgIzHlNdvJB2Ag4Q0lRLk5ZU0U6S08uSVFfQ0FQRVhfTUVESUFOX0VTVC4xMDAyLjMwLzA0LzIwMjAuLkYuVVNELkMBAAAAEmgAAAIAAAALLTE3NzYuNDk0NDIBDgAAAAUAAAABMwEAAAABMAIAAAAKMTAwMTY1NjI3OAMAAAAGMTA0MDkxBAAAAAEyBgAAAAEwBwAAAAMxNjAIAAAAATEJAAAAATEKAAAAATALAAAACzExODgzNjEyNzU0DAAAAAExDQAAAAg1LzEvMjAyMBAAAAAJOC8xNi8yMDIw/2/KTPJB2AiTzapZ8kHYCCRDSVEuXlNQWC5JUV9MQVNUU0FMRVBSSUNFLjA3LzA5LzIwMTgBAAAAm7goAAIAAAAQMjg3MS42ODE1MjgzMDIwNwCKxTdR8kHYCKy9E3PyQdgIKENJUS5MU0U6VFNDTy5JUV9MQVNUU0FMRVBSSUNFLjI3LzA0LzIwMTgBAAAAMFAGAAIAAAAFMi4zODEAKeaFUvJB2AgXJwVx8kHYCCJDSVEuTllTRTpNQU5VLklRX1ZPTFVNRS4yNy8wNC8yMDE4AQAAAN1rDQACAAAACDAuMDEyMzI2ACnmhVLyQdgI7E0FcfJB2AgoQ0lRLkxTRTpUU0NPLklRX0xBU1RTQUxFUFJJQ0UuMDcvMDkvMjAxOAEAAAAwUAYAAgAAAAUyLjM4OQBDmIVS8kHYCB10EnHyQdgIIENJUS5OWVNFOktPLklRX1ZPTFVNRS4yNS8wNS8yMDE4AQAAABJo</t>
  </si>
  <si>
    <t>AAACAAAABzguODA2NDcAKeaFUvJB2AipKwlx8kHYCClDSVEuTllTRTpNQU5VLklRX0xBU1RTQUxFUFJJQ0UuMTQvMDIvMjAyMAEAAADdaw0AAgAAAAQxOS4yAAgPflPyQdgIJh1dWfJB2Ag7Q0lRLk5BU0RBUUdTOkNBS0UuSVFfREFfTUVESUFOX0VTVC4xMDAxLjMwLzA0LzIwMjAuLkYuVVNELkMBAAAACOAEAAIAAAAGOTcuMDQxAQ4AAAAFAAAAATMBAAAAATACAAAACjEwMDIyMjQyMjIDAAAABjExNDE5MAQAAAABMgYAAAABMAcAAAADMTYwCAAAAAExCQAAAAExCgAAAAEwCwAAAAsxMTg4NTE2MjA5NAwAAAABMQ0AAAAINS8xLzIwMjAQAAAACTgvMTYvMjAyMP9vykzyQdgI15WpWfJB2Ag+Q0lRLk5BU0RBUUdTOkNBS0UuSVFfQ0FQRVhfTUVESUFOX0VTVC4xMDAzLjMwLzA0LzIwMjAuLkYuVVNELkMBAAAACOAEAAIAAAAILTEzNC43OTMBDgAAAAUAAAABMwEAAAABMAIAAAAKMTAwMjIyNDIyNAMAAAAGMTA0MDkxBAAAAAEyBgAAAAEwBwAAAAMxNjAIAAAAATEJAAAAATEKAAAAATALAAAACzExODcwMTY0OTAxDAAAAAExDQAAAAg1LzEvMjAyMBAAAAAJOC8xNi8yMDIw/2/KTPJB2AiYf6pZ8kHYCD9DSVEuTFNFOlRTQ08uSVFfVE9UQUxfREVCVF9OT05fQ1VSUkVOVC4xMDAwLjMxLzEyLzIwMTkuLkYuR0JQLkMBAAAAMFAGAAIAAAAENTY3MwEIAAAABQAAAAExAQAAAAoxOTY4NzM2NTYzAwAAAAI1NQIAAAAF</t>
  </si>
  <si>
    <t>MjUyMjQEAAAAATEHAAAACjEyLzMxLzIwMTkIAAAACTgvMTYvMjAyMAkAAAABMBytF3jyQdgIaKT3ePJB2AgvQ0lRLk5ZU0U6S08uSVFfU0hBUkVTT1VUU1RBTkRJTkcuMzEvMTIvMjAxOS5VU0QBAAAAEmgAAAIAAAALNDI4NC40OTEzNzcAA0nKTPJB2Ag3N1528kHYCCZDSVEuTkFTREFRR1M6VFNMQS5JUV9WT0xVTUUuMjYvMTAvMjAxOAEAAAAQxqIBAgAAAAgyNy40MjU1MgBDmIVS8kHYCCq3FnHyQdgIKENJUS5MU0U6VFNDTy5JUV9MQVNUU0FMRVBSSUNFLjEyLzAxLzIwMTgBAAAAMFAGAAIAAAAFMi4wNDkAKCtCdfJB2AjJx1t28kHYCCZDSVEuTkFTREFRR1M6VFNMQS5JUV9WT0xVTUUuMTYvMDMvMjAxOAEAAAAQxqIBAgAAAAg2LjExNzI3OQAoK0J18kHYCIr+VXbyQdgINkNJUS5MU0U6U0ZPUi5JUV9DQVNIX1NUX0lOVkVTVC45OTguMzEvMTIvMjAxOS4uRi5HQlAuQwEAAADLU+QhAwAAAAAAO4YXePJB2AhH+fx48kHYCDdDSVEuTllTRTpSQUNFLklRX05JX01FRElBTl9FU1QuMTAwMi4zMS8xMi8yMDE5Li5GLkVVUi5DAQAAAD2CsBACAAAABzc1OC44OTUBDgAAAAUAAAABMwEAAAABMAIAAAAKMTAwMzIyNjgwNwMAAAAGMTAwMjUxBAAAAAEzBgAAAAEwBwAAAAI1MAgAAAABMQkAAAABMQoAAAABMAsAAAALMTE3MDUyNTE0MzIMAAAAATENAAAACDEvMS8yMDIwEAAAAAk4LzE2LzIwMjDaFJZ38kHYCCsY</t>
  </si>
  <si>
    <t>6XjyQdgIMUNJUS5OQVNEQVFHUzpDQUtFLklRX0VCSVQuOTk5LjMwLzA0LzIwMjAuLkYuVVNELkMBAAAACOAEAAIAAAAHMTM2LjgwOQEIAAAABQAAAAExAQAAAAoyMDIxNTgxNDIwAwAAAAMxNjACAAAAAzQwMAQAAAABMQcAAAAJNC8zMC8yMDIwCAAAAAk4LzE2LzIwMjAJAAAAATD/b8pM8kHYCEmQpFnyQdgIIkNJUS5OWVNFOk1BTlUuSVFfVk9MVU1FLjE3LzA0LzIwMjABAAAA3WsNAAIAAAAIMC4zMDE1MDEAlf0kVfJB2AinknlZ8kHYCD5DSVEuTFNFOlRTQ08uSVFfVE9UQUxfREVCVF9OT05fQ1VSUkVOVC45OTcuMzAvMDQvMjAyMC4uRi5HQlAuQwEAAAAwUAYAAgAAAAQ5NTkzAQgAAAAFAAAAATEBAAAACjE4ODg1MjUwNzQDAAAAAjU1AgAAAAUyNTIyNAQAAAABMQcAAAAJNC8zMC8yMDIwCAAAAAk4LzE2LzIwMjAJAAAAATDJMQdL8kHYCLOymFnyQdgIMUNJUS5MU0U6U0ZPUi5JUV9UT1RBTF9SRVYuOTk2LjMwLzA0LzIwMjAuLkYuR0JQLkMBAAAAy1PkIQMAAAAAANkKB0vyQdgI31KeWfJB2AgwQ0lRLk5ZU0U6S08uSVFfVE9UQUxfQ0wuMjAwMC4zMC8wNC8yMDIwLi5GLlVTRC5DAQAAABJoAAACAAAABTMyMzk3AQgAAAAFAAAAATEBAAAACjIwMzAzNzY4OTcDAAAAAzE2MAIAAAAEMTAwOQQAAAABMQcAAAAJNC8zMC8yMDIwCAAAAAk4LzE2LzIwMjAJAAAAATADScpM8kHYCO8El1nyQdgINUNJUS5OWVNF</t>
  </si>
  <si>
    <t>Ok1BTlUuSVFfVE9UQUxfQVNTRVRTLjk5Ny4zMS8xMi8yMDE5Li5GLkdCUC5DAQAAAN1rDQACAAAACDE0NTEuOTAzAQgAAAAFAAAAATEBAAAACjE5MTAyNDc0MDMDAAAAAjU1AgAAAAQxMDA3BAAAAAExBwAAAAoxMi8zMS8yMDE5CAAAAAk4LzE2LzIwMjAJAAAAATA7hhd48kHYCMLX+njyQdgINkNJUS5OQVNEQVFHUzpUU0xBLklRX1RPVEFMX0NBLjEwMDAuMzEvMTIvMjAxOS4uRi5VU0QuQwEAAAAQxqIBAgAAAAg4MzA2LjMwOAEIAAAABQAAAAExAQAAAAoxOTQ1ODczNTQ2AwAAAAMxNjACAAAABDEwMDgEAAAAATEHAAAACjEyLzMxLzIwMTkIAAAACTgvMTYvMjAyMAkAAAABMDuGF3jyQdgIa138ePJB2AgyQ0lRLk5BU0RBUUdTOlRTTEEuSVFfQ0FQRVguOTk3LjMxLzEyLzIwMTkuLkYuVVNELkMBAAAAEMaiAQIAAAAILTE2MzQuODUBCAAAAAUAAAABMQEAAAAKMTg3NTc2OTA4MgMAAAADMTYwAgAAAAQyMDIxBAAAAAExBwAAAAoxMi8zMS8yMDE5CAAAAAk4LzE2LzIwMjAJAAAAATDaFJZ38kHYCCpx5XjyQdgIMENJUS5MU0U6U0ZPUi5JUV9DT1NUX1JFVi45OTcuMzEvMTIvMjAxOS4uRi5HQlAuQwEAAADLU+QhAwAAAAAAHvsXePJB2Ah5A/F48kHYCDBDSVEuTkFTREFRR1M6VFNMQS5JUV9OSS4xMDAwLjMwLzA0LzIwMjAuLkYuVVNELkMBAAAAEMaiAQIAAAAELTg2MgEIAAAABQAAAAExAQAAAAoyMDEzOTA3</t>
  </si>
  <si>
    <t>NDYwAwAAAAMxNjACAAAAAjE1BAAAAAExBwAAAAk0LzMwLzIwMjAIAAAACTgvMTYvMjAyMAkAAAABMMkxB0vyQdgIMzeoWfJB2AggQ0lRLk5ZU0U6S08uSVFfVk9MVU1FLjE4LzA1LzIwMTgBAAAAEmgAAAIAAAAIMTEuOTUwMTcAKeaFUvJB2AjRjwhx8kHYCCFDSVEuTkFTREFRR1M6VFNMQS5JUV9DT01QQU5ZX05BTUUBAAAAEMaiAQMAAAALVGVzbGEsIEluYy4A/DokVfJB2Ah9FYpZ8kHYCCFDSVEuTFNFOlRTQ08uSVFfVk9MVU1FLjAzLzA1LzIwMTkBAAAAMFAGAAIAAAAIMTMuMzc5NDUAlf0kVfJB2AiHGL5y8kHYCDBDSVEuTkFTREFRR1M6VFNMQS5JUV9FQlQuOTk4LjMxLzEyLzIwMTkuLkYuVVNELkMBAAAAEMaiAQIAAAAILTc0Ni4zNDgBCAAAAAUAAAABMQEAAAAKMTk0NTg3MzU1MQMAAAADMTYwAgAAAAMxMzkEAAAAATEHAAAACjEyLzMxLzIwMTkIAAAACTgvMTYvMjAyMAkAAAABMNztlXfyQdgIyZ3qePJB2AgiQ0lRLk5ZU0U6UkFDRS5JUV9WT0xVTUUuMjEvMDYvMjAxOQEAAAA9grAQAgAAAAgwLjM2OTA3OQAlYbVT8kHYCBH3u3LyQdgIJ0NJUS5OWVNFOktPLklRX0xBU1RTQUxFUFJJQ0UuMjEvMDkvMjAxOAEAAAASaAAAAgAAAAU0Ni41OABDmIVS8kHYCMHSE3HyQdgIKUNJUS5OWVNFOlJBQ0UuSVFfTEFTVFNBTEVQUklDRS4xNS8wMy8yMDE5AQAAAD2CsBACAAAABjEzMS43OACkvH9T8kHYCHKl</t>
  </si>
  <si>
    <t>JHHyQdgIMENJUS5MU0U6U0ZPUi5JUV9TSEFSRVNPVVRTVEFORElORy4zMC8wNC8yMDIwLkdCUAEAAADLU+QhAgAAAAo0NjYuOTI0NzIzALNDw1ryQdgIUlfRWvJB2AguQ0lRLk5ZU0U6UkFDRS5JUV9QRVJJT0REQVRFLjEwMDAuMzEvMTIvMjAxOS4uRgEAAAA9grAQBQAAAAozMS8xMi8yMDE4AP4DQnXyQdgIw1JNdvJB2AgkQ0lRLl5TUFguSVFfTEFTVFNBTEVQUklDRS4yMy8wOC8yMDE5AQAAAJu4KAACAAAAEDI4NDcuMTEwOTgzNTU3ODUAR4WFUfJB2AgUXxJz8kHYCCBDSVEuTllTRTpLTy5JUV9WT0xVTUUuMTMvMTIvMjAxOQEAAAASaAAAAgAAAAcxMy4wNzI0AKPWJFXyQdgIB5PDcvJB2Ag2Q0lRLk5BU0RBUUdTOlRTTEEuSVFfVE9UQUxfQ0wuMTAwMC4zMC8wNC8yMDIwLi5GLlVTRC5DAQAAABDGogECAAAABTEwNjY3AQgAAAAFAAAAATEBAAAACjIwMTM5MDc0NjADAAAAAzE2MAIAAAAEMTAwOQQAAAABMQcAAAAJNC8zMC8yMDIwCAAAAAk4LzE2LzIwMjAJAAAAATC8WAdL8kHYCOYrl1nyQdgIMkNJUS5MU0U6U0ZPUi5JUV9UT1RBTF9MSUFCLjk5OS4zMS8xMi8yMDE5Li5GLkdCUC5DAQAAAMtT5CEDAAAAAACE1Bd48kHYCBC79XjyQdgILUNJUS5OQVNEQVFHUzpUU0xBLklRX0xBU1RTQUxFUFJJQ0UuMzAvMDYvMjAxNgEAAAAQxqIBAgAAAAYyMTIuMjgAwap+U/JB2Ai9fiRx8kHYCChDSVEuTFNFOlRT</t>
  </si>
  <si>
    <t>Q08uSVFfTEFTVFNBTEVQUklDRS4xMC8wMS8yMDIwAQAAADBQBgACAAAABTIuNDk0AAgPflPyQdgISuVbWfJB2Ag0Q0lRLkxTRTpTRk9SLklRX1RPVEFMX0FTU0VUUy45OTkuMzEvMTIvMjAxOS4uRi5HQlAuQwEAAADLU+QhAwAAAAAAO4YXePJB2AipJft48kHYCDNDSVFBVkcuSVE1MDAyNzU4MC5JUV9MQVNUU0FMRVBSSUNFLjQwMjk4LjMwLzA0LzIwMjABAAAAPFz7AgIAAAAQMS45NjE3Mjc2Mjc4NDA5MQCqJCVV8kHYCIVHhlnyQdgIKUNJUS5OWVNFOlJBQ0UuSVFfTEFTVFNBTEVQUklDRS4wNi8xMi8yMDE5AQAAAD2CsBACAAAABjE2Ni4xNwDoNX5T8kHYCHeeLXHyQdgIIkNJUS5OWVNFOk1BTlUuSVFfVk9MVU1FLjMwLzAzLzIwMTgBAAAA3WsNAAMAAAAAACgrQnXyQdgIgX9SdvJB2Ag+Q0lRLk5BU0RBUUdTOlRTTEEuSVFfRVNUX0VQU19HUk9XVEhfNVlSX01FRElBTi42MDAwLjMwLzA0LzIwMjABAAAAEMaiAQIAAAACNzABDgAAAAUAAAABNwEAAAAJMTA4ODAzOTE1AgAAAAoxMDAwODcyOTIzAwAAAAYxMDAxNjgEAAAAATIGAAAAATAHAAAAATAIAAAAATAJAAAAATEKAAAAATALAAAACzExODk3OTkyMjE5DAAAAAE4DQAAAAg1LzEvMjAyMBAAAAAJNC8zMC8yMDIwsa8kVfJB2AizqX9Z8kHYCDZDSVEuTFNFOlRTQ08uSVFfREFfTUVESUFOX0VTVC42MDAxLjMwLzA0LzIwMjAuLkYuR0JQLkMBAAAAMFAG</t>
  </si>
  <si>
    <t>AAMAAAAAAKR/B0vyQdgI/CCpWfJB2AgpQ0lRLk5ZU0U6TUFOVS5JUV9MQVNUU0FMRVBSSUNFLjIxLzEyLzIwMTgBAAAA3WsNAAIAAAAEMTguNADH4n9T8kHYCA+aIXHyQdgIKENJUS5MU0U6VFNDTy5JUV9MQVNUU0FMRVBSSUNFLjE4LzEwLzIwMTkBAAAAMFAGAAIAAAAEMi40NAAFXX5T8kHYCN8YLHHyQdgINkNJUS5OWVNFOk1BTlUuSVFfVE9UQUxfQVNTRVRTLjIwMDAuMzEvMTIvMjAxOS4uRi5HQlAuQwEAAADdaw0AAgAAAAgxNDE1LjIzNgEIAAAABQAAAAExAQAAAAoxOTkzNjIxMzIyAwAAAAI1NQIAAAAEMTAwNwQAAAABMQcAAAAKMTIvMzEvMjAxOQgAAAAJOC8xNi8yMDIwCQAAAAEwO4YXePJB2AhQcvt48kHYCC1DSVEuTllTRTpSQUNFLklRX0VCSVQuOTk3LjMxLzEyLzIwMTkuLkYuRVVSLkMBAAAAPYKwEAIAAAAHNDg2LjM0NgEIAAAABQAAAAExAQAAAAoxODc2MDQzMzEzAwAAAAI1MAIAAAADNDAwBAAAAAExBwAAAAoxMi8zMS8yMDE5CAAAAAk4LzE2LzIwMjAJAAAAATAeIhh48kHYCHuu63jyQdgIJENJUS5eQVNYLklRX0xBU1RTQUxFUFJJQ0UuMzAvMDQvMjAyMAEAAAAfU+sBAgAAAAszMjYyLjUwNjAwNQAA3jJS8kHYCOxYuFnyQdgIK0NJUS5OWVNFOlJBQ0UuSVFfTkkuOTk2LjMwLzA0LzIwMjAuLkYuRVVSLkMBAAAAPYKwEAIAAAAHMjg3LjgxNgEIAAAABQAAAAExAQAAAAoxODc2MDQzMzEz</t>
  </si>
  <si>
    <t>AwAAAAI1MAIAAAACMTUEAAAAATEHAAAACTQvMzAvMjAyMAgAAAAJOC8xNi8yMDIwCQAAAAEw2QoHS/JB2AgC06hZ8kHYCCBDSVEuLklRX0xBU1RTQUxFUFJJQ0UuMDEvMDIvMjAxOQUAAAAAAAAACAAAABQoSW52YWxpZCBJZGVudGlmaWVyKb1QN1HyQdgIwtRYc/JB2AgoQ0lRLkxTRTpTRk9SLklRX0xBU1RTQUxFUFJJQ0UuMTAvMDgvMjAxOAEAAADLU+QhAwAAAAAAOr+FUvJB2AgzLRBx8kHYCDZDSVEuTkFTREFRR1M6VFNMQS5JUV9DT1NUX1JFVi4xMDAwLjMxLzEyLzIwMTkuLkYuVVNELkMBAAAAEMaiAQIAAAAJMTc0MTkuMjQ3AQgAAAAFAAAAATEBAAAACjE5NDU4NzM1NDYDAAAAAzE2MAIAAAABMQQAAAABMQcAAAAKMTIvMzEvMjAxOQgAAAAJOC8xNi8yMDIwCQAAAAEwHvsXePJB2Ah8ePF48kHYCDZDSVEuTkFTREFRR1M6Q0FLRS5JUV9UT1RBTF9DQS4yMDAwLjMwLzA0LzIwMjAuLkYuVVNELkMBAAAACOAEAAIAAAAHMjQ0LjUxNQEIAAAABQAAAAExAQAAAAoyMDIxNTgyNzA0AwAAAAMxNjACAAAABDEwMDgEAAAAATEHAAAACTQvMzAvMjAyMAgAAAAJOC8xNi8yMDIwCQAAAAEwA0nKTPJB2AgqX5NZ8kHYCChDSVEuTFNFOlRTQ08uSVFfTEFTVFNBTEVQUklDRS4zMC8wNi8yMDE5AQAAADBQBgACAAAABTIuMjY3AAgPflPyQdgInwItcfJB2AglQ0lRLl5DT01QLklRX0xBU1RTQUxFUFJJQ0UuMTYvMDgv</t>
  </si>
  <si>
    <t>MjAxOQEAAACJuCgAAgAAAAc3ODk1Ljk5AHyrhVHyQdgIFgYWc/JB2AgyQ0lRLk5ZU0U6UkFDRS5JUV9UT1RBTF9SRVYuOTk5LjMwLzA0LzIwMjAuLkYuRVVSLkMBAAAAPYKwEAIAAAAIMzQyMC4zMjEBCAAAAAUAAAABMQEAAAAKMjAxNTYzOTgxOAMAAAACNTACAAAAAjI4BAAAAAExBwAAAAk0LzMwLzIwMjAIAAAACTgvMTYvMjAyMAkAAAABMNkKB0vyQdgIGd6dWfJB2AgtQ0lRLk5BU0RBUUdTOlRTTEEuSVFfTEFTVFNBTEVQUklDRS4wMy8wMS8yMDIwAQAAABDGogECAAAABjQ0My4wMQAID35T8kHYCGu+W1nyQdgILUNJUS5OQVNEQVFHUzpUU0xBLklRX0xBU1RTQUxFUFJJQ0UuMTIvMDQvMjAxOQEAAAAQxqIBAgAAAAUyNjcuNwC5lH9T8kHYCBO2JXHyQdgIK0NJUS5MU0U6VFNDTy5JUV9GSUxJTkdfQ1VSUkVOQ1kuLjMxLzEyLzIwMTkBAAAAMFAGAAMAAAADR0JQAP4DQnXyQdgI9MBddvJB2AggQ0lRLi5JUV9MQVNUU0FMRVBSSUNFLjMxLzEyLzIwMTUFAAAAAAAAAAgAAAAUKEludmFsaWQgSWRlbnRpZmllcinntDZR8kHYCH3mWXPyQdgIIkNJUS5OWVNFOlJBQ0UuSVFfVk9MVU1FLjE1LzAzLzIwMTkBAAAAPYKwEAIAAAAIMC4yNTI5MjYApLx/U/JB2Agtgrty8kHYCCdDSVEuTllTRTpLTy5JUV9MQVNUU0FMRVBSSUNFLjMxLzEyLzIwMTYBAAAAEmgAAAIAAAAFNDEuNDYA0YN+U/JB2Aga3SVx8kHYCCBD</t>
  </si>
  <si>
    <t>SVEuTllTRTpLTy5JUV9WT0xVTUUuMDkvMDMvMjAxOAEAAAASaAAAAgAAAAg5Ljc3ODY0MwAoK0J18kHYCAibVnbyQdgIP0NJUS5OQVNEQVFHUzpDQUtFLklRX0VCSVREQV9NRURJQU5fRVNULjEwMDIuMzAvMDQvMjAyMC4uRi5VU0QuQwEAAAAI4AQAAgAAAAUxOTEuNAEOAAAABQAAAAEzAQAAAAEwAgAAAAoxMDAyMjI0MjIzAwAAAAYxMDAxODgEAAAAATIGAAAAATAHAAAAAzE2MAgAAAABMQkAAAABMQoAAAABMAsAAAALMTE4ODUxNjIwNTEMAAAAATENAAAACDUvMS8yMDIwEAAAAAk4LzE2LzIwMjD/b8pM8kHYCCBeoVnyQdgILENJUS5OWVNFOktPLklRX0NBUEVYLjk5OC4zMS8xMi8yMDE5Li5GLlVTRC5DAQAAABJoAAACAAAABS0yMjYyAQgAAAAFAAAAATEBAAAACjE5NDY0MzA3ODIDAAAAAzE2MAIAAAAEMjAyMQQAAAABMQcAAAAKMTIvMzEvMjAxOQgAAAAJOC8xNi8yMDIwCQAAAAEw2hSWd/JB2AggmOV48kHYCChDSVEuJVRDTVNZMTAuSVFfTEFTVFNBTEVQUklDRS4zMC8wNC8yMDIwAQAAAB0fKAICAAAABDAuNjQAo9YkVfJB2AgPTYRZ8kHYCC1DSVEuTkFTREFRR1M6VFNMQS5JUV9MQVNUU0FMRVBSSUNFLjA2LzEyLzIwMTkBAAAAEMaiAQIAAAAGMzM1Ljg5AOg1flPyQdgIZuwtcfJB2Ag8Q0lRLk5ZU0U6TUFOVS5JUV9SRVZFTlVFX01FRElBTl9FU1QuMTAwMi4zMS8xMi8yMDE5Li5GLkdCUC5DAQAA</t>
  </si>
  <si>
    <t>AN1rDQACAAAACTYyNC44NDA4OAEOAAAABQAAAAEzAQAAAAEwAgAAAAoxMDAzMDkyNDMwAwAAAAYxMDAxODEEAAAAATMGAAAAATAHAAAAAjU1CAAAAAExCQAAAAExCgAAAAEwCwAAAAsxMTY5MjcyMzU1MgwAAAABMQ0AAAAIMS8xLzIwMjAQAAAACTgvMTYvMjAyMPNIGHjyQdgIiCPzePJB2AgnQ0lRLiRBRURDSEYuSVFfTEFTVFNBTEVQUklDRS4zMS8xMi8yMDE4AQAAACXrWgACAAAACjMuNzMyODc1MzIA3wbedPJB2AgmlEp28kHYCC5DSVEuTllTRTpNQU5VLklRX0NBUEVYLjk5OS4zMS8xMi8yMDE5Li5GLkdCUC5DAQAAAN1rDQACAAAABi0xMy4yNgEIAAAABQAAAAExAQAAAAoxOTg1ODQ1MDI5AwAAAAI1NQIAAAAEMjAyMQQAAAABMQcAAAAKMTIvMzEvMjAxOQgAAAAJOC8xNi8yMDIwCQAAAAEw2hSWd/JB2AgVv+V48kHYCDBDSVEuTFNFOlRTQ08uSVFfQ09TVF9SRVYuOTk3LjMwLzA0LzIwMjAuLkYuR0JQLkMBAAAAMFAGAAIAAAAFNTI5MzIBCAAAAAUAAAABMQEAAAAKMTg4ODUyNTA3NAMAAAACNTUCAAAAATEEAAAAATEHAAAACTQvMzAvMjAyMAgAAAAJOC8xNi8yMDIwCQAAAAEwyTEHS/JB2AixPJ9Z8kHYCCFDSVEuTFNFOlRTQ08uSVFfVk9MVU1FLjMwLzA4LzIwMTkBAAAAMFAGAAIAAAAIMTguNDQwNzQAlf0kVfJB2AhYjb5y8kHYCDBDSVEuTFNFOlRTQ08uSVFfSU5DX1RBWC4xMDAwLjMxLzEyLzIw</t>
  </si>
  <si>
    <t>MTkuLkYuR0JQLkMBAAAAMFAGAAIAAAADMzU0AQgAAAAFAAAAATEBAAAACjE5Njg3MzY1NjMDAAAAAjU1AgAAAAI3NQQAAAABMQcAAAAKMTIvMzEvMjAxOQgAAAAJOC8xNi8yMDIwCQAAAAEw3O2Vd/JB2AjqAep48kHYCCRDSVEuXkFTWC5JUV9MQVNUU0FMRVBSSUNFLjI2LzA3LzIwMTkBAAAAH1PrAQIAAAALNDEyNC4wNzU3OTIAfKuFUfJB2AjeIRpz8kHYCDVDSVEuTllTRTpNQU5VLklRX1RPVEFMX0FTU0VUUy45OTYuMzAvMDQvMjAyMC4uRi5HQlAuQwEAAADdaw0AAgAAAAgxMzAxLjU4OAEIAAAABQAAAAExAQAAAAoxODYxNzM2ODY5AwAAAAI1NQIAAAAEMTAwNwQAAAABMQcAAAAJNC8zMC8yMDIwCAAAAAk4LzE2LzIwMjAJAAAAATD/b8pM8kHYCMzklFnyQdgIOkNJUS5OQVNEQVFHUzpDQUtFLklRX0VRVUlUWV9NRVRIT0QuOTk5LjMwLzA0LzIwMjAuLkYuVVNELkMBAAAACOAEAAIAAAAGNzkuNzY3AQgAAAAFAAAAATEBAAAACjIwMjE1ODE0MjADAAAAAzE2MAIAAAAEMzA2MwQAAAABMQcAAAAJNC8zMC8yMDIwCAAAAAk4LzE2LzIwMjAJAAAAATADScpM8kHYCN0EkFnyQdgIM0NJUS5OWVNFOlJBQ0UuSVFfTFRfSU5WRVNULjIwMDAuMzAvMDQvMjAyMC4uRi5FVVIuQwEAAAA9grAQAgAAAAYzOC43MTYBCAAAAAUAAAABMQEAAAAKMjAxNTY0Mjk1NAMAAAACNTACAAAABDEwNTQEAAAAATEHAAAACTQvMzAv</t>
  </si>
  <si>
    <t>MjAyMAgAAAAJOC8xNi8yMDIwCQAAAAEw4OMGS/JB2AimWZVZ8kHYCBlDSVEuLklRX1ZPTFVNRS4xNS8xMS8yMDE5BQAAAAAAAAAIAAAAFChJbnZhbGlkIElkZW50aWZpZXIp2Tm1U/JB2AhGNLty8kHYCCJDSVEuTllTRTpSQUNFLklRX1ZPTFVNRS4wNC8wNS8yMDE4AQAAAD2CsBACAAAACDEuMjAxNjQ5ACnmhVLyQdgIyMIFcfJB2AgkQ0lRLl5TUFguSVFfTEFTVFNBTEVQUklDRS4zMC8wNC8yMDE3AQAAAJu4KAACAAAAEDIzODQuMTk1NTE3ODEzODEAfKuFUfJB2AjSUwhz8kHYCCFDSVEuTFNFOlRTQ08uSVFfVk9MVU1FLjI1LzEwLzIwMTkBAAAAMFAGAAIAAAAIMTguNjg4MzgAlf0kVfJB2AhYjb5y8kHYCCxDSVEuTFNFOlNGT1IuSVFfRUJJVC45OTYuMzAvMDQvMjAyMC4uRi5HQlAuQwEAAADLU+QhAwAAAAAA2QoHS/JB2AgOBaVZ8kHYCDVDSVEuTllTRTpSQUNFLklRX1RPVEFMX0FTU0VUUy45OTcuMzAvMDQvMjAyMC4uRi5FVVIuQwEAAAA9grAQAgAAAAgzODQ5LjYwNAEIAAAABQAAAAExAQAAAAoxOTQ3NDQ0MTg0AwAAAAI1MAIAAAAEMTAwNwQAAAABMQcAAAAJNC8zMC8yMDIwCAAAAAk4LzE2LzIwMjAJAAAAATDg4wZL8kHYCMzklFnyQdgIIUNJUS5MU0U6VFNDTy5JUV9WT0xVTUUuMTUvMDMvMjAxOQEAAAAwUAYAAgAAAAgyOS42OTM1OQCkvH9T8kHYCI/xvXLyQdgIJkNJUS5OQVNEQVFHUzpDQUtF</t>
  </si>
  <si>
    <t>LklRX1ZPTFVNRS4yOC8wMi8yMDIwAQAAAAjgBAACAAAACDIuMDU3MjEzAJX9JFXyQdgIyKJ6WfJB2AgoQ0lRLkxTRTpTRk9SLklRX0xBU1RTQUxFUFJJQ0UuMzEvMTIvMjAxNwEAAADLU+QhAwAAAAAABV1+U/JB2AjfcShx8kHYCBlDSVEuLklRX1ZPTFVNRS4yOC8wNi8yMDE5BQAAAAAAAAAIAAAAFChJbnZhbGlkIElkZW50aWZpZXIp2Tm1U/JB2AhSv7py8kHYCBdDSVEuTllTRTpLTy5JUV9FWENIQU5HRQEAAAASaAAAAwAAAAROWVNFAPw6JFXyQdgIcjyKWfJB2AgtQ0lRLk5BU0RBUUdTOkNBS0UuSVFfTEFTVFNBTEVQUklDRS4wNC8xMC8yMDE5AQAAAAjgBAACAAAABTM5LjY0AAVdflPyQdgI7MorcfJB2AgrQ0lRLk5ZU0U6S08uSVFfUEVSSU9EREFURS45OTQuMzAvMDQvMjAyMC4uRgEAAAASaAAABQAAAAozMS8xMi8yMDEzALGvJFXyQdgIVfZ/WfJB2AgsQ0lRLk5ZU0U6S08uSVFfUEVSSU9EREFURS4yMDAwLjMwLzA0LzIwMjAuLkYBAAAAEmgAAAUAAAAKMjcvMDMvMjAyMACxryRV8kHYCOtlglnyQdgIKUNJUS5OWVNFOk1BTlUuSVFfTEFTVFNBTEVQUklDRS4wMi8xMS8yMDE4AQAAAN1rDQACAAAABTIxLjI2AMfif1PyQdgI+2gXcfJB2Ag2Q0lRLkFVRC5JUV9GVUxMX0NVUlZFX0FOTlVBTC5BTExDT1JQLklHLjIwWS4zMC8wNC8yMDIwAQAAAAAAAAACAAAACTAuMDI4NzI5NQCqJCVV8kHYCIVHhlny</t>
  </si>
  <si>
    <t>QdgIIENJUS4uSVFfTEFTVFNBTEVQUklDRS4xOS8wNC8yMDE5BQAAAAAAAAAIAAAAFChJbnZhbGlkIElkZW50aWZpZXIp57Q2UfJB2Ag8M0xz8kHYCCBDSVEuLklRX0xBU1RTQUxFUFJJQ0UuMDUvMTAvMjAxOAUAAAAAAAAACAAAABQoSW52YWxpZCBJZGVudGlmaWVyKdPbNlHyQdgI/gZqc/JB2AgnQ0lRLiRBRURQTE4uSVFfTEFTVFNBTEVQUklDRS4zMC8wNC8yMDE5AQAAACXrWgACAAAACzAuOTU5NzU5NjAzAKokJVXyQdgID02EWfJB2AgnQ0lRLk5ZU0U6S08uSVFfTEFTVFNBTEVQUklDRS4yMS8wMi8yMDIwAQAAABJoAAACAAAABTYwLjEzAAgPflPyQdgIk2ldWfJB2AgtQ0lRLkxTRTpUU0NPLklRX0VCSVQuMTAwMC4zMS8xMi8yMDE5Li5GLkdCUC5DAQAAADBQBgACAAAABDIxMDIBCAAAAAUAAAABMQEAAAAKMTk2ODczNjU2MwMAAAACNTUCAAAAAzQwMAQAAAABMQcAAAAKMTIvMzEvMjAxOQgAAAAJOC8xNi8yMDIwCQAAAAEwHiIYePJB2AhMSux48kHYCChDSVEuTFNFOlNGT1IuSVFfTEFTVFNBTEVQUklDRS4yNS8wMS8yMDE5AQAAAMtT5CECAAAAAzEuMwCkvH9T8kHYCDggI3HyQdgIM0NJUS5OWVNFOk1BTlUuSVFfVE9UQUxfTElBQi45OTcuMzEvMTIvMjAxOS4uRi5HQlAuQwEAAADdaw0AAgAAAAc5OTMuNjIxAQgAAAAFAAAAATEBAAAACjE5MTAyNDc0MDMDAAAAAjU1AgAAAAQxMjc2BAAAAAExBwAA</t>
  </si>
  <si>
    <t>AAoxMi8zMS8yMDE5CAAAAAk4LzE2LzIwMjAJAAAAATCE1Bd48kHYCASU9XjyQdgIKkNJUS5MU0U6U0ZPUi5JUV9OSS45OTguMzAvMDQvMjAyMC4uRi5HQlAuQwEAAADLU+QhAwAAAAAA2QoHS/JB2AgdhahZ8kHYCC1DSVEuTkFTREFRR1M6VFNMQS5JUV9MQVNUU0FMRVBSSUNFLjEwLzA4LzIwMTgBAAAAEMaiAQIAAAAGMzU1LjQ5ADq/hVLyQdgIMy0QcfJB2AgpQ0lRLk5ZU0U6TUFOVS5JUV9MQVNUU0FMRVBSSUNFLjIyLzA2LzIwMTgBAAAA3WsNAAIAAAAFMjAuOTUAKeaFUvJB2Aj9mgtx8kHYCBlDSVEuLklRX1ZPTFVNRS4yMC8wNC8yMDE4BQAAAAAAAAAIAAAAFChJbnZhbGlkIElkZW50aWZpZXIp/gNCdfJB2AgKIVF28kHYCClDSVEuTllTRTpSQUNFLklRX0xBU1RTQUxFUFJJQ0UuMTgvMTAvMjAxOQEAAAA9grAQAgAAAAYxNTUuODUABV1+U/JB2AjfGCxx8kHYCCJDSVEuTllTRTpNQU5VLklRX1ZPTFVNRS4xMS8xMC8yMDE5AQAAAN1rDQACAAAACDAuMDU4NzkxAJX9JFXyQdgISsa/cvJB2AggQ0lRLi5JUV9MQVNUU0FMRVBSSUNFLjMwLzExLzIwMTYFAAAAAAAAAAgAAAAUKEludmFsaWQgSWRlbnRpZmllcimGXYVR8kHYCPZDTXPyQdgIJENJUS5eQVNYLklRX0xBU1RTQUxFUFJJQ0UuMzAvMDYvMjAxNwEAAAAfU+sBAgAAAAs0MDAyLjE3OTc1NgBHhYVR8kHYCAFgC3PyQdgIMUNJUS5MU0U6VFNDTy5J</t>
  </si>
  <si>
    <t>UV9UT1RBTF9DQS4xMDAwLjMxLzEyLzIwMTkuLkYuR0JQLkMBAAAAMFAGAAIAAAAFMTI2NjgBCAAAAAUAAAABMQEAAAAKMTk2ODczNjU2MwMAAAACNTUCAAAABDEwMDgEAAAAATEHAAAACjEyLzMxLzIwMTkIAAAACTgvMTYvMjAyMAkAAAABMDuGF3jyQdgIa138ePJB2AgiQ0lRLk5ZU0U6UkFDRS5JUV9WT0xVTUUuMDkvMTEvMjAxOAEAAAA9grAQAgAAAAgxLjQ1ODczNADH4n9T8kHYCOoHHXHyQdgILUNJUS5OQVNEQVFHUzpDQUtFLklRX0xBU1RTQUxFUFJJQ0UuMjAvMDQvMjAxOAEAAAAI4AQAAgAAAAQ1MS42AEFSQnXyQdgI9qtQdvJB2AgzQ0lRLkxTRTpUU0NPLklRX1RPVEFMX0xJQUIuMTAwMC4zMS8xMi8yMDE5Li5GLkdCUC5DAQAAADBQBgACAAAABTM0MjEzAQgAAAAFAAAAATEBAAAACjE5Njg3MzY1NjMDAAAAAjU1AgAAAAQxMjc2BAAAAAExBwAAAAoxMi8zMS8yMDE5CAAAAAk4LzE2LzIwMjAJAAAAATCE1Bd48kHYCPHh9XjyQdgIM0NJUS5OWVNFOlJBQ0UuSVFfRVNUX0VQU19HUk9XVEhfNVlSLjYwMDAuMzEvMTIvMjAxOQEAAAA9grAQAgAAAAgxMi41MTM2MwEOAAAABQAAAAE3AQAAAAkzMTM5NzQ5ODECAAAACjEwMDMyMjUxMjUDAAAABjEwMDE2NwQAAAABMwYAAAABMAcAAAABMAgAAAABMAkAAAABMQoAAAABMAsAAAALMTE2ODY2ODgxOTgMAAAAATgNAAAACDEvMS8yMDIwEAAAAAoxMi8zMS8y</t>
  </si>
  <si>
    <t>MDE5KCtCdfJB2AglO0528kHYCD9DSVEuTkFTREFRR1M6Q0FLRS5JUV9FQklUREFfTUVESUFOX0VTVC4xMDAyLjMxLzEyLzIwMTkuLkYuVVNELkMBAAAACOAEAAIAAAAIMjUxLjk4MjUBDgAAAAUAAAABMwEAAAABMAIAAAAKMTAwMjIyNDIyMgMAAAAGMTAwMTg4BAAAAAEyBgAAAAEwBwAAAAMxNjAIAAAAATEJAAAAATEKAAAAATALAAAACzExNzI0MTEwNDk5DAAAAAExDQAAAAgxLzEvMjAyMBAAAAAJOC8xNi8yMDIw80gYePJB2AiUL+948kHYCCdDSVEuTllTRTpLTy5JUV9MQVNUU0FMRVBSSUNFLjA5LzA4LzIwMTkBAAAAEmgAAAIAAAAFNTMuNDIA0YN+U/JB2AiIqSlx8kHYCDpDSVEuTllTRTpLTy5JUV9NRURJQU5fVEFSR0VUX1BSSUNFLjYwMDAuMzEvMTIvMjAxOS4uLlVTRC5DAQAAABJoAAACAAAABDU5LjUBDgAAAAUAAAABNwEAAAAHMjYwMTIwMQIAAAAFMjIyMDgDAAAABjEwMDE2MgQAAAADMjU1BgAAAAEwBwAAAAMxNjAIAAAAATEJAAAAATEKAAAAATALAAAACzExODYxNDYwMzUzDAAAAAE4DQAAAAgxLzEvMjAyMBAAAAAJOC8xNi8yMDIwHiIYePJB2AgUoAB58kHYCClDSVEuTllTRTpNQU5VLklRX0xBU1RTQUxFUFJJQ0UuMTEvMDEvMjAxOQEAAADdaw0AAgAAAAUxOC45NgCkvH9T8kHYCP+qInHyQdgINkNJUS5FVVIuSVFfRlVMTF9DVVJWRV9BTk5VQUwuQUxMQ09SUC5JRy4yMFkuMzEvMTIvMjAx</t>
  </si>
  <si>
    <t>OQEAAAAAAAAAAgAAAAkwLjAxNjk2NjkA2C3edPJB2AjKq0l28kHYCC1DSVEuTkFTREFRR1M6VFNMQS5JUV9MQVNUU0FMRVBSSUNFLjIyLzA2LzIwMTgBAAAAEMaiAQIAAAAGMzMzLjYzACnmhVLyQdgI/ZoLcfJB2AgwQ0lRLk5BU0RBUUdTOkNBS0UuSVFfRUJULjk5OS4zMS8xMi8yMDE5Li5GLlVTRC5DAQAAAAjgBAACAAAABzE0Ni40NjYBCAAAAAUAAAABMQEAAAAKMTk0ODE3NjY4MAMAAAADMTYwAgAAAAMxMzkEAAAAATEHAAAACjEyLzMxLzIwMTkIAAAACTgvMTYvMjAyMAkAAAABMNztlXfyQdgIu8TqePJB2AgpQ0lRLk5ZU0U6TUFOVS5JUV9MQVNUU0FMRVBSSUNFLjEwLzA4LzIwMTgBAAAA3WsNAAIAAAAEMjIuMQA6v4VS8kHYCDMtEHHyQdgIJENJUS5eQVNYLklRX0xBU1RTQUxFUFJJQ0UuMTMvMDcvMjAxOAEAAAAfU+sBAgAAAAk0MjEzLjIxOTQAisU3UfJB2AiBzhtz8kHYCCtDSVEuTllTRTpLTy5JUV9TR0EuMjAwMC4zMS8xMi8yMDE5Li5GLlVTRC5DAQAAABJoAAACAAAABTExMjUzAQgAAAAFAAAAATEBAAAACjE5ODg4MDE1MjYDAAAAAzE2MAIAAAACMjMEAAAAATEHAAAACjEyLzMxLzIwMTkIAAAACTgvMTYvMjAyMAkAAAABMB4iGHjyQdgIfBnwePJB2Ag2Q0lRLkxTRTpUU0NPLklRX0VTVF9FUFNfR1JPV1RIXzVZUl9OVU0uNjAwMC4zMS8xMi8yMDE5AQAAADBQBgABAAAAATIA/gNCdfJB2AjA</t>
  </si>
  <si>
    <t>sE528kHYCCRDSVEuXkFTWC5JUV9MQVNUU0FMRVBSSUNFLjA1LzA0LzIwMTkBAAAAH1PrAQIAAAAJNDA2Ny40Mzg5AKCeN1HyQdgI1JYac/JB2AgqQ0lRLkxTRTpTRk9SLklRX05JLjk5Ni4zMS8xMi8yMDE5Li5GLkdCUC5DAQAAAMtT5CEDAAAAAADaFJZ38kHYCGsu6HjyQdgIJ0NJUS4kQUVETVhOLklRX0xBU1RTQUxFUFJJQ0UuMzEvMTIvMjAxOAEAAAAl61oAAgAAAAswLjE4NjkxNjM2MwDfBt508kHYCBXiSnbyQdgILUNJUS5OWVNFOlJBQ0UuSVFfU0dBLjEwMDAuMzAvMDQvMjAyMC4uRi5FVVIuQwEAAAA9grAQAgAAAAczNDMuMTc5AQgAAAAFAAAAATEBAAAACjIwMTU2Mzk4MjIDAAAAAjUwAgAAAAIyMwQAAAABMQcAAAAJNC8zMC8yMDIwCAAAAAk4LzE2LzIwMjAJAAAAATDZCgdL8kHYCFaboFnyQdgIJ0NJUS4kQUVEQlJMLklRX0xBU1RTQUxFUFJJQ0UuMzAvMDQvMjAyMAEAAAAl61oAAgAAAAowLjY3OTUwNTY4AKokJVXyQdgIApuEWfJB2AgxQ0lRLk5ZU0U6UkFDRS5JUV9JTkNfVEFYLjIwMDAuMzAvMDQvMjAyMC4uRi5FVVIuQwEAAAA9grAQAgAAAAcxNzYuNjU2AQgAAAAFAAAAATEBAAAACjIwMTU2NDI5NTQDAAAAAjUwAgAAAAI3NQQAAAABMQcAAAAJNC8zMC8yMDIwCAAAAAk4LzE2LzIwMjAJAAAAATDZCgdL8kHYCP7HrFnyQdgIKENJUS5MU0U6U0ZPUi5JUV9MQVNUU0FMRVBSSUNFLjMxLzAx</t>
  </si>
  <si>
    <t>LzIwMTUBAAAAy1PkIQMAAAAAAEFSQnXyQdgIiVxQdvJB2AgtQ0lRLkxTRTpTRk9SLklRX0NBUEVYLjk5Ni4zMS8xMi8yMDE5Li5GLkdCUC5DAQAAAMtT5CEDAAAAAADaFJZ38kHYCDdK5XjyQdgINkNJUS5MU0U6U0ZPUi5JUV9FU1RfRVBTX0dST1dUSF81WVJfTE9XLjYwMDAuMzAvMDQvMjAyMAEAAADLU+QhAgAAAAIyNAEOAAAABQAAAAE3AQAAAAk1ODIwMjExNTYCAAAACjEwMDQzMTYwNDgDAAAABjEwMDE3MAQAAAABMwYAAAABMAcAAAABMAgAAAABMAkAAAABMQoAAAABMAsAAAALMTE4NDgyMDI1NzYMAAAAATgNAAAACDUvMS8yMDIwEAAAAAk0LzMwLzIwMjCxryRV8kHYCKJbf1nyQdgILUNJUS5OQVNEQVFHUzpDQUtFLklRX0xBU1RTQUxFUFJJQ0UuMzEvMDMvMjAxNwEAAAAI4AQAAgAAAAU2My4zNgDRg35T8kHYCN54JnHyQdgIJENJUS5eQVNYLklRX0xBU1RTQUxFUFJJQ0UuMTUvMTEvMjAxOQEAAAAfU+sBAgAAAAs0MDMxLjk4ODMzNQC1vDdS8kHYCAytGXPyQdgIGUNJUS4uSVFfVk9MVU1FLjI2LzA3LzIwMTkFAAAAAAAAAAgAAAAUKEludmFsaWQgSWRlbnRpZmllcinZObVT8kHYCFfmunLyQdgIK0NJUS5MU0U6U0ZPUi5JUV9BUC4yMDAwLjMwLzA0LzIwMjAuLkYuR0JQLkMBAAAAy1PkIQIAAAAHMTE4LjAxNAEIAAAABQAAAAExAQAAAAoyMDIyNTk5ODg3AwAAAAI1NQIAAAAEMTAxOAQAAAABMQcA</t>
  </si>
  <si>
    <t>AAAJNC8zMC8yMDIwCAAAAAk4LzE2LzIwMjAJAAAAATDZCgdL8kHYCP7vrFnyQdgINUNJUS5OQVNEQVFHUzpDQUtFLklRX1RPVEFMX0NMLjk5Ny4zMC8wNC8yMDIwLi5GLlVTRC5DAQAAAAjgBAACAAAABzM3Ni41MjYBCAAAAAUAAAABMQEAAAAKMTk0ODE3NjY2MgMAAAADMTYwAgAAAAQxMDA5BAAAAAExBwAAAAk0LzMwLzIwMjAIAAAACTgvMTYvMjAyMAkAAAABMANJykzyQdgI03mXWfJB2Ag0Q0lRLk5ZU0U6UkFDRS5JUV9UT1RBTF9MSUFCLjEwMDAuMzEvMTIvMjAxOS4uRi5FVVIuQwEAAAA9grAQAgAAAAgzNDk3Ljg5NAEIAAAABQAAAAExAQAAAAoxOTQ3NDQ0MTgzAwAAAAI1MAIAAAAEMTI3NgQAAAABMQcAAAAKMTIvMzEvMjAxOQgAAAAJOC8xNi8yMDIwCQAAAAEwhNQXePJB2Ajx4fV48kHYCCdDSVEuTllTRTpLTy5JUV9MQVNUU0FMRVBSSUNFLjA2LzA0LzIwMTgBAAAAEmgAAAIAAAAFNDMuOTIAKCtCdfJB2AjUvFF28kHYCC1DSVEuTkFTREFRR1M6VFNMQS5JUV9MQVNUU0FMRVBSSUNFLjAyLzExLzIwMTgBAAAAEMaiAQIAAAAGMzQ2LjQxAMfif1PyQdgI+2gXcfJB2AgtQ0lRLk5BU0RBUUdTOlRTTEEuSVFfTEFTVFNBTEVQUklDRS4xOS8wMS8yMDE4AQAAABDGogECAAAABjM1MC4wMgAoK0J18kHYCKMDW3byQdgIHkNJUS5MU0U6U0ZPUi5JUV9URVYuMzEvMTIvMjAxOQEAAADLU+QhAgAAAAk5MDcu</t>
  </si>
  <si>
    <t>MzkwODQBBgAAAAUAAAABMQEAAAAKMTk4NDA4MjE5MwMAAAACNTUCAAAABjEwMDA2MAQAAAABMAcAAAAKMTIvMzEvMjAxOUFSQnXyQdgIjyZPdvJB2AgxQ0lRLk5ZU0U6S08uSVFfVE9UQUxfTElBQi45OTkuMzEvMTIvMjAxOS4uRi5VU0QuQwEAAAASaAAAAgAAAAU2ODkxOQEIAAAABQAAAAExAQAAAAoxOTQ2NDMwNzc5AwAAAAMxNjACAAAABDEyNzYEAAAAATEHAAAACjEyLzMxLzIwMTkIAAAACTgvMTYvMjAyMAkAAAABMITUF3jyQdgI8eH1ePJB2AgwQ0lRLkxTRTpUU0NPLklRX1RPVEFMX0NMLjk5OC4zMS8xMi8yMDE5Li5GLkdCUC5DAQAAADBQBgACAAAABTE5NDA1AQgAAAAFAAAAATEBAAAACjE4ODg1MjUwNzQDAAAAAjU1AgAAAAQxMDA5BAAAAAExBwAAAAoxMi8zMS8yMDE5CAAAAAk4LzE2LzIwMjAJAAAAATAcrRd48kHYCC1n+HjyQdgIKENJUS4lVENNU1kwMy5JUV9MQVNUU0FMRVBSSUNFLjMwLzA0LzIwMjABAAAAFB8oAgIAAAAEMC4yNACj1iRV8kHYCBrChFnyQdgIKUNJUS5OWVNFOlJBQ0UuSVFfTEFTVFNBTEVQUklDRS4zMS8wNy8yMDE4AQAAAD2CsBACAAAABjEzMi42MgDoNX5T8kHYCFNFKnHyQdgIO0NJUS5MU0U6U0ZPUi5JUV9NRURJQU5fVEFSR0VUX1BSSUNFLjYwMDAuMzAvMDQvMjAyMC4uLkdCUC5DAQAAAMtT5CECAAAAEDEuODUxOTEwNzI3ODA3MTgBDgAAAAUAAAABNwEAAAAJNTgy</t>
  </si>
  <si>
    <t>MDIxMTU2AgAAAAoxMDA0MzE2MDQ4AwAAAAYxMDAxNjIEAAAAAzI1NQYAAAABMAcAAAACNTUIAAAAATEJAAAAATEKAAAAATALAAAACzExOTAyODA4OTcwDAAAAAE4DQAAAAg1LzEvMjAyMBAAAAAJOC8xNi8yMDIwpH8HS/JB2AgiG49Z8kHYCD9DSVEuTFNFOlNGT1IuSVFfVE9UQUxfREVCVF9OT05fQ1VSUkVOVC4yMDAwLjMwLzA0LzIwMjAuLkYuR0JQLkMBAAAAy1PkIQIAAAAGNjEuMTYxAQgAAAAFAAAAATEBAAAACjIwMjI1OTk4ODcDAAAAAjU1AgAAAAUyNTIyNAQAAAABMQcAAAAJNC8zMC8yMDIwCAAAAAk4LzE2LzIwMjAJAAAAATDJMQdL8kHYCJYVmFnyQdgILUNJUS5OQVNEQVFHUzpDQUtFLklRX0xBU1RTQUxFUFJJQ0UuMTIvMDEvMjAxOAEAAAAI4AQAAgAAAAU0OC4xOAAoK0J18kHYCOegW3byQdgILkNJUS5OWVNFOlJBQ0UuSVFfREFfQ0YuOTk5LjMxLzEyLzIwMTkuLkYuRVVSLkMBAAAAPYKwEAIAAAAHMTYwLjEwNAEIAAAABQAAAAExAQAAAAoxOTQ3NDQ0MTkwAwAAAAI1MAIAAAAEMjE2MAQAAAABMQcAAAAKMTIvMzEvMjAxOQgAAAAJOC8xNi8yMDIwCQAAAAEw2hSWd/JB2AhwHud48kHYCClDSVEuTFNFOlNGT1IuSVFfRElWSURFTkRfWUlFTEQuMzAvMDQvMjAyMAEAAADLU+QhAwAAAAAA4hIkVfJB2AgAmX5Z8kHYCCdDSVEuTFNFOlRTQ08uSVFfQkVUQV81WVJfUlNRLjMxLzEyLzIwMTkBAAAA</t>
  </si>
  <si>
    <t>MFAGAAIAAAASMC4wNDgxODM2Mjk3NjU4MDk2AN8G3nTyQdgIVmNHdvJB2AghQ0lRLkxTRTpTRk9SLklRX1ZPTFVNRS4xMC8wMS8yMDIwAQAAAMtT5CECAAAACDAuMzAwODMzAJX9JFXyQdgIvvt2WfJB2Ag1Q0lRLk5ZU0U6TUFOVS5JUV9QUklDRV9UQVJHRVQuNjAwMC4zMS8xMi8yMDE5Li4uR0JQLkMBAAAA3WsNAAIAAAAGMTYuNDQ4AQ4AAAAFAAAAATcBAAAACTIxNTA1NTM4NQIAAAAGNzAyNzI4AwAAAAYxMDAxNjEEAAAAAzI1NQYAAAABMAcAAAACNTUIAAAAATEJAAAAATEKAAAAATALAAAACzExNzI4NDAzOTMxDAAAAAE4DQAAAAgxLzEvMjAyMBAAAAAJOC8xNi8yMDIwHiIYePJB2AjUxQB58kHYCChDSVEuTllTRTpLTy5JUV9ESVZJREVORF9ZSUVMRC4zMC8wNC8yMDIwAQAAABJoAAACAAAABjMuNTczNwDiEiRV8kHYCJm+flnyQdgIKENJUS4lVENNU1kwNS5JUV9MQVNUU0FMRVBSSUNFLjMwLzA0LzIwMjABAAAAFx8oAgIAAAAEMC4zNgCj1iRV8kHYCBrChFnyQdgIPkNJUS5MU0U6U0ZPUi5JUV9UT1RBTF9ERUJUX05PTl9DVVJSRU5ULjk5Ni4zMS8xMi8yMDE5Li5GLkdCUC5DAQAAAMtT5CEDAAAAAACE1Bd48kHYCAUK93jyQdgIIkNJUS5OWVNFOk1BTlUuSVFfVk9MVU1FLjA3LzA2LzIwMTkBAAAA3WsNAAIAAAAIMC4wMTY4NDgAlf0kVfJB2AgmUL9y8kHYCClDSVEuTllTRTpNQU5VLklRX0xBU1RT</t>
  </si>
  <si>
    <t>QUxFUFJJQ0UuMjgvMDIvMjAxNQEAAADdaw0AAgAAAAUxNS45OQBBUkJ18kHYCBk3UHbyQdgIIkNJUS5OWVNFOlJBQ0UuSVFfVk9MVU1FLjE2LzAyLzIwMTgBAAAAPYKwEAIAAAAHMC41NzE4MQAoK0J18kHYCDbiWHbyQdgIJUNJUS5eQ09NUC5JUV9MQVNUU0FMRVBSSUNFLjI5LzAyLzIwMTYBAAAAibgoAAIAAAAHNDU1Ny45NQCgnjdR8kHYCDlOCnPyQdgILENJUS5MU0U6VFNDTy5JUV9QRVJJT0REQVRFLjk5Ni4zMC8wNC8yMDIwLi5GAQAAADBQBgAFAAAACjI3LzAyLzIwMTYAsa8kVfJB2AhcRYBZ8kHYCCdDSVEuJEFFRFVaUy5JUV9MQVNUU0FMRVBSSUNFLjMxLzEyLzIwMTgBAAAAJetaAAIAAAAKMC4wMDA0Mzk4OAD+A0J18kHYCLDdTHbyQdgIJ0NJUS5OWVNFOktPLklRX0xBU1RTQUxFUFJJQ0UuMzEvMDMvMjAxNwEAAAASaAAAAgAAAAU0Mi40NADRg35T8kHYCFOeJnHyQdgIMENJUS5OQVNEQVFHUzpDQUtFLklRX1NHQS45OTkuMzEvMTIvMjAxOS4uRi5VU0QuQwEAAAAI4AQAAgAAAAcyOTYuMTAzAQgAAAAFAAAAATEBAAAACjE5NDgxNzY2ODADAAAAAzE2MAIAAAACMjMEAAAAATEHAAAACjEyLzMxLzIwMTkIAAAACTgvMTYvMjAyMAkAAAABMB4iGHjyQdgIZcvvePJB2Ag5Q0lRLk5ZU0U6S08uSVFfVE9UQUxfREVCVF9DVVJSRU5ULjk5OS4zMS8xMi8yMDE5Li5GLlVTRC5DAQAAABJoAAACAAAABTE2</t>
  </si>
  <si>
    <t>NTAzAQgAAAAFAAAAATEBAAAACjE5NDY0MzA3NzkDAAAAAzE2MAIAAAAFMjUyMjMEAAAAATEHAAAACjEyLzMxLzIwMTkIAAAACTgvMTYvMjAyMAkAAAABMDuGF3jyQdgIQ1L5ePJB2AgwQ0lRLkxTRTpUU0NPLklRX1NIQVJFU09VVFNUQU5ESU5HLjIzLzAyLzIwMTkuR0JQAQAAADBQBgACAAAACzk3MzQuNDc2MDM0ABUiykzyQdgIss1gdvJB2Ag1Q0lRLk5BU0RBUUdTOlRTTEEuSVFfVEFSR0VUX1BSSUNFX05VTS42MDAwLjMwLzA0LzIwMjABAAAAEMaiAQEAAAACMzEAsa8kVfJB2AiqNH9Z8kHYCCBDSVEuLklRX0xBU1RTQUxFUFJJQ0UuMzAvMDkvMjAxNwUAAAAAAAAACAAAABQoSW52YWxpZCBJZGVudGlmaWVyKQmWN1LyQdgIHWVBc/JB2Ag7Q0lRLk5BU0RBUUdTOlRTTEEuSVFfTklfTUVESUFOX0VTVC4xMDAxLjMwLzA0LzIwMjAuLkYuVVNELkMBAAAAEMaiAQIAAAADODcxAQ4AAAAFAAAAATMBAAAAATACAAAACjEwMDA4NzI5NjMDAAAABjEwMDI1MQQAAAABMgYAAAABMAcAAAADMTYwCAAAAAExCQAAAAExCgAAAAEwCwAAAAsxMTkwMDgyMjIyNgwAAAABMQ0AAAAINS8xLzIwMjAQAAAACTgvMTYvMjAyMKR/B0vyQdgISsKnWfJB2AgkQ0lRLl5BU1guSVFfTEFTVFNBTEVQUklDRS4zMS8wNy8yMDE3AQAAAB9T6wECAAAACzQwNDYuMTk4MzY2AEeFhVHyQdgIAWALc/JB2AgnQ0lRLiRBRUROWkQuSVFfTEFT</t>
  </si>
  <si>
    <t>VFNBTEVQUklDRS4zMC8wNC8yMDIwAQAAACXrWgACAAAACzIuMjYwMTY4NjA1AKokJVXyQdgIxV2FWfJB2AguQ0lRLk5ZU0U6S08uSVFfUlVBX05FVC4yMDAwLjMwLzA0LzIwMjAuLi5MT0NBTAEAAAASaAAAAwAAAAAAsa8kVfJB2Aj//H1Z8kHYCC1DSVEuTllTRTpLTy5JUV9FQklUREEuOTk4LjMxLzEyLzIwMTkuLkYuVVNELkMBAAAAEmgAAAIAAAAFMTE1MTABCAAAAAUAAAABMQEAAAAKMTk0NjQzMDc4MgMAAAADMTYwAgAAAAQ0MDUxBAAAAAExBwAAAAoxMi8zMS8yMDE5CAAAAAk4LzE2LzIwMjAJAAAAATAeIhh48kHYCM5E7njyQdgIKUNJUS5OWVNFOk1BTlUuSVFfTEFTVFNBTEVQUklDRS4xMi8wNC8yMDE5AQAAAN1rDQACAAAABTE5Ljk3ALmUf1PyQdgIM48lcfJB2AgkQ0lRLk5ZU0U6UkFDRS5JUV9CRVRBXzJZUi4zMC8wNC8yMDIwAQAAAD2CsBACAAAAETAuNzczMDgwOTg0ODA0ODgzAKPWJFXyQdgIX5CIWfJB2Ag8Q0lRLkxTRTpTRk9SLklRX1RPVEFMX0NPTU1PTl9FUVVJVFkuMjAwMC4zMC8wNC8yMDIwLi5GLkdCUC5DAQAAAMtT5CECAAAABjQ2My41NAEIAAAABQAAAAExAQAAAAoyMDIyNTk5ODg3AwAAAAI1NQIAAAAEMTAwNgQAAAABMQcAAAAJNC8zMC8yMDIwCAAAAAk4LzE2LzIwMjAJAAAAATDZCgdL8kHYCJ3jm1nyQdgIN0NJUS5OWVNFOlJBQ0UuSVFfREFfTUVESUFOX0VTVC42MDAwLjMx</t>
  </si>
  <si>
    <t>LzEyLzIwMTkuLkYuRVVSLkMBAAAAPYKwEAIAAAADMzgxAQ4AAAAFAAAAAjExAQAAAAEwAgAAAAcyNzY0NzM0AwAAAAYxMTQxOTAEAAAAATMGAAAAATAHAAAAAjUwCAAAAAExCQAAAAExCgAAAAEwCwAAAAsxMTY2NzYxNjEyNgwAAAACMTINAAAACDEvMS8yMDIwEAAAAAk4LzE2LzIwMjA7PJZ38kHYCIbg53jyQdgIJ0NJUS5OWVNFOktPLklRX0xBU1RTQUxFUFJJQ0UuMjgvMDkvMjAxOAEAAAASaAAAAgAAAAU0Ni4xOQBDmIVS8kHYCJhuFHHyQdgIJENJUS5eU1BYLklRX0xBU1RTQUxFUFJJQ0UuMDUvMDQvMjAxOQEAAACbuCgAAgAAABAyODkyLjc0NDM5NzE1NzA0AKCeN1HyQdgI6voSc/JB2AgpQ0lRLk5ZU0U6TUFOVS5JUV9MQVNUU0FMRVBSSUNFLjI3LzAzLzIwMjABAAAA3WsNAAIAAAAFMTUuNTgAAeh9U/JB2Aioe15Z8kHYCCBDSVEuTllTRTpLTy5JUV9WT0xVTUUuMzEvMDUvMjAxOQEAAAASaAAAAgAAAAgxMS4zNjg2NACj1iRV8kHYCC73wnLyQdgIKENJUS5MU0U6U0ZPUi5JUV9MQVNUU0FMRVBSSUNFLjA0LzAxLzIwMTkBAAAAy1PkIQIAAAAEMS4xOQDH4n9T8kHYCDJdInHyQdgIMkNJUS5OQVNEQVFHUzpUU0xBLklRX0NBUEVYLjk5Ni4zMC8wNC8yMDIwLi5GLlVTRC5DAQAAABDGogECAAAACC0xNjM0Ljg1AQgAAAAFAAAAATEBAAAACjE4NzU3NjkwODIDAAAAAzE2MAIAAAAEMjAyMQQAAAABMQcA</t>
  </si>
  <si>
    <t>AAAJNC8zMC8yMDIwCAAAAAk4LzE2LzIwMjAJAAAAATDJMQdL8kHYCH4GrFnyQdgIJUNJUS5JUTQzOTQzODEyLklRX0xBU1RTQUxFUFJJQ0UuNDM1ODUBAAAAhIeeAgIAAAAJLTAuMzg4NzcyAKPWJFXyQdgIptKFWfJB2AgnQ0lRLiRBRURVU0QuSVFfTEFTVFNBTEVQUklDRS4zMS8xMi8yMDE1AQAAACXrWgACAAAABjMuNjcyNwAVIspM8kHYCAr6XnbyQdgILUNJUS5OQVNEQVFHUzpDQUtFLklRX0xBU1RTQUxFUFJJQ0UuMDUvMDcvMjAxOQEAAAAI4AQAAgAAAAU0NC4wMQDRg35T8kHYCHJMKHHyQdgIK0NJUS5MU0U6U0ZPUi5JUV9FQlQuOTk2LjMwLzA0LzIwMjAuLkYuR0JQLkMBAAAAy1PkIQMAAAAAANkKB0vyQdgIuoqmWfJB2AgyQ0lRLkxTRTpTRk9SLklRX1RPVEFMX0xJQUIuOTk2LjMwLzA0LzIwMjAuLkYuR0JQLkMBAAAAy1PkIQMAAAAAANkKB0vyQdgI8KuaWfJB2Ag1Q0lRLk5BU0RBUUdTOkNBS0UuSVFfVEFSR0VUX1BSSUNFX05VTS42MDAwLjMwLzA0LzIwMjABAAAACOAEAAEAAAACMTcAsa8kVfJB2AjqDX9Z8kHYCClDSVEuTllTRTpSQUNFLklRX0xBU1RTQUxFUFJJQ0UuMjQvMDQvMjAyMAEAAAA9grAQAgAAAAYxNTYuMzUAAeh9U/JB2Ait6WBZ8kHYCCVDSVEuXkNPTVAuSVFfTEFTVFNBTEVQUklDRS4yOC8wMi8yMDIwAQAAAIm4KAACAAAABzg1NjcuMzcASQUzUvJB2AilwrxZ8kHYCCFDSVEu</t>
  </si>
  <si>
    <t>TFNFOlNGT1IuSVFfVk9MVU1FLjA3LzAyLzIwMjABAAAAy1PkIQIAAAAIMC44OTI3OTYAlf0kVfJB2Ai++3ZZ8kHYCDZDSVEuQVVELklRX0ZVTExfQ1VSVkVfQU5OVUFMLkFMTENPUlAuSUcuMjBZLjMxLzEyLzIwMTkBAAAAAAAAAAIAAAAJMC4wMjk5OTEzANgt3nTyQdgISfhJdvJB2Ag7Q0lRLkxTRTpUU0NPLklRX1RPVEFMX0RFQlRfQ1VSUkVOVC4yMDAwLjMwLzA0LzIwMjAuLkYuR0JQLkMBAAAAMFAGAAIAAAAEMjA4OAEIAAAABQAAAAExAQAAAAoyMDI2NTA3Mzg4AwAAAAI1NQIAAAAFMjUyMjMEAAAAATEHAAAACTQvMzAvMjAyMAgAAAAJOC8xNi8yMDIwCQAAAAEwyTEHS/JB2AgtQpZZ8kHYCDZDSVEuTFNFOlRTQ08uSVFfQ0FTSF9TVF9JTlZFU1QuOTk5LjMwLzA0LzIwMjAuLkYuR0JQLkMBAAAAMFAGAAIAAAAEMjI2MwEIAAAABQAAAAExAQAAAAoxOTY4NzM2NTYzAwAAAAI1NQIAAAAEMTAwMgQAAAABMQcAAAAJNC8zMC8yMDIwCAAAAAk4LzE2LzIwMjAJAAAAATDJMQdL8kHYCFPqklnyQdgIJENJUS5eQVNYLklRX0xBU1RTQUxFUFJJQ0UuMzEvMTAvMjAxOQEAAAAfU+sBAgAAAAszOTkzLjQ1NzgyMQBJBTNS8kHYCCfDCnPyQdgIKUNJUS5OWVNFOk1BTlUuSVFfTEFTVFNBTEVQUklDRS4zMC8wNi8yMDE2AQAAAN1rDQACAAAABTE1LjkzAMGqflPyQdgIvX4kcfJB2Ag5Q0lRLk5ZU0U6TUFOVS5JUV9F</t>
  </si>
  <si>
    <t>QklUX01FRElBTl9FU1QuNjAwMS4zMC8wNC8yMDIwLi5GLkdCUC5DAQAAAN1rDQADAAAAAADqlspM8kHYCHqmo1nyQdgIMkNJUS5MU0U6VFNDTy5JUV9MVF9JTlZFU1QuMTAwMC4zMC8wNC8yMDIwLi5GLkdCUC5DAQAAADBQBgACAAAAAzIyNwEIAAAABQAAAAExAQAAAAoyMDI2NTA3MzA5AwAAAAI1NQIAAAAEMTA1NAQAAAABMQcAAAAJNC8zMC8yMDIwCAAAAAk4LzE2LzIwMjAJAAAAATDJMQdL8kHYCKZZlVnyQdgIKUNJUS5OWVNFOk1BTlUuSVFfTEFTVFNBTEVQUklDRS4yNS8wMS8yMDE5AQAAAN1rDQACAAAABTE5LjExAKS8f1PyQdgIOCAjcfJB2AgtQ0lRLk5ZU0U6UkFDRS5JUV9TR0EuMjAwMC4zMS8xMi8yMDE5Li5GLkVVUi5DAQAAAD2CsBACAAAABzM0Mi41MDMBCAAAAAUAAAABMQEAAAAKMTk5MDQyMzY4NwMAAAACNTACAAAAAjIzBAAAAAExBwAAAAoxMi8zMS8yMDE5CAAAAAk4LzE2LzIwMjAJAAAAATAeIhh48kHYCITx73jyQdgIOkNJUS5OWVNFOk1BTlUuSVFfQ0FQRVhfTUVESUFOX0VTVC42MDAxLjMwLzA0LzIwMjAuLkYuR0JQLkMBAAAA3WsNAAMAAAAAAOqWykzyQdgIk82qWfJB2AglQ0lRLl5DT01QLklRX0xBU1RTQUxFUFJJQ0UuMTIvMDEvMjAxOAEAAACJuCgAAgAAAAc3MjYxLjA2ANgt3nTyQdgIuARGdvJB2AgxQ0lRLk5ZU0U6S08uSVFfRVNUX0VQU19HUk9XVEhfNVlSLjYwMDAuMzAv</t>
  </si>
  <si>
    <t>MDQvMjAyMAEAAAASaAAAAgAAAAczLjAxMTI3AQ4AAAAFAAAAATcBAAAABzI2MDEyMDECAAAABTIyMjA4AwAAAAYxMDAxNjcEAAAAATIGAAAAATAHAAAAATAIAAAAATAJAAAAATEKAAAAATALAAAACzExODkxNTE2NzA5DAAAAAE4DQAAAAg1LzEvMjAyMBAAAAAJNC8zMC8yMDIwsa8kVfJB2AiO0H9Z8kHYCCJDSVEuTllTRTpSQUNFLklRX1ZPTFVNRS4xOS8wNy8yMDE5AQAAAD2CsBACAAAACDAuMzM1OTkzACVhtVPyQdgIEfe7cvJB2AgnQ0lRLiRBRURJTFMuSVFfTEFTVFNBTEVQUklDRS4zMS8xMi8yMDE5AQAAACXrWgACAAAACzEuMDYzMzczOTYxAP4DQnXyQdgI02hMdvJB2AgwQ0lRLkxTRTpTRk9SLklRX1NIQVJFU09VVFNUQU5ESU5HLjMxLzEyLzIwMTguR0JQAQAAAMtT5CECAAAACjM2My4zOTY5MjMAFSLKTPJB2AiyzWB28kHYCDFDSVEuTFNFOlNGT1IuSVFfQ09TVF9SRVYuMTAwMC4zMC8wNC8yMDIwLi5GLkdCUC5DAQAAAMtT5CECAAAABjQzLjgxNAEIAAAABQAAAAExAQAAAAoyMDIyNTk5Nzk5AwAAAAI1NQIAAAABMQQAAAABMQcAAAAJNC8zMC8yMDIwCAAAAAk4LzE2LzIwMjAJAAAAATDZCgdL8kHYCMHHnlnyQdgIKUNJUS5OWVNFOk1BTlUuSVFfTEFTVFNBTEVQUklDRS4zMS8xMi8yMDE4AQAAAN1rDQACAAAABTE4Ljk4AAgPflPyQdgI7MorcfJB2Ag5Q0lRLk5ZU0U6S08uSVFfVE9UQUxfREVC</t>
  </si>
  <si>
    <t>VF9DVVJSRU5ULjk5OS4zMC8wNC8yMDIwLi5GLlVTRC5DAQAAABJoAAACAAAABTE4ODM4AQgAAAAFAAAAATEBAAAACjIwMTY3OTEyNTEDAAAAAzE2MAIAAAAFMjUyMjMEAAAAATEHAAAACTQvMzAvMjAyMAgAAAAJOC8xNi8yMDIwCQAAAAEwA0nKTPJB2AgdaZZZ8kHYCC1DSVEuTllTRTpNQU5VLklRX0VCSVQuOTk3LjMwLzA0LzIwMjAuLkYuR0JQLkMBAAAA3WsNAAIAAAAGODYuMTM3AQgAAAAFAAAAATEBAAAACjE5MTAyNDc0MDMDAAAAAjU1AgAAAAM0MDAEAAAAATEHAAAACTQvMzAvMjAyMAgAAAAJOC8xNi8yMDIwCQAAAAEw/2/KTPJB2Agc3qRZ8kHYCDJDSVEuTllTRTpNQU5VLklRX0xUX0lOVkVTVC45OTguMzAvMDQvMjAyMC4uRi5HQlAuQwEAAADdaw0AAwAAAAAAvFgHS/JB2AiDp5VZ8kHYCChDSVEuTFNFOlRTQ08uSVFfTEFTVFNBTEVQUklDRS4wNC8wNS8yMDE4AQAAADBQBgACAAAABTIuNDA3ACnmhVLyQdgIvekFcfJB2AhBQ0lRLk5ZU0U6TUFOVS5JUV9NSU5PUklUWV9JTlRFUkVTVF9UT1RBTC4xMDAwLjMxLzEyLzIwMTkuLkYuR0JQLkMBAAAA3WsNAAMAAAAAAITUF3jyQdgI7qT2ePJB2AgtQ0lRLk5BU0RBUUdTOkNBS0UuSVFfTEFTVFNBTEVQUklDRS4xNi8xMS8yMDE4AQAAAAjgBAACAAAABTQ3LjkxAMfif1PyQdgIoBgecfJB2AgoQ0lRLkxTRTpTRk9SLklRX0xBU1RTQUxFUFJJQ0UuMDYv</t>
  </si>
  <si>
    <t>MDMvMjAyMAEAAADLU+QhAgAAAAUxLjgyNQAB6H1T8kHYCOu4XVnyQdgIGUNJUS4uSVFfVk9MVU1FLjA1LzA0LzIwMTkFAAAAAAAAAAgAAAAUKEludmFsaWQgSWRlbnRpZmllcimv+H5T8kHYCHWYunLyQdgIMENJUS5OQVNEQVFHUzpDQUtFLklRX0dQLjIwMDAuMzAvMDQvMjAyMC4uRi5VU0QuQwEAAAAI4AQAAgAAAAgxMDIxLjI0MgEIAAAABQAAAAExAQAAAAoyMDIxNTgyNzA0AwAAAAMxNjACAAAAAjEwBAAAAAExBwAAAAk0LzMwLzIwMjAIAAAACTgvMTYvMjAyMAkAAAABMP9vykzyQdgIpmOfWfJB2AguQ0lRLk5ZU0U6UkFDRS5JUV9QUklDRV9WT0xfSElTVF81WVIuMzAvMDQvMjAyMAEAAAA9grAQAwAAAAAA/DokVfJB2AjwaIhZ8kHYCCJDSVEuTllTRTpSQUNFLklRX1ZPTFVNRS4zMC8xMS8yMDE4AQAAAD2CsBACAAAACDAuNTYzNjM4AMfif1PyQdgI01EfcfJB2AgtQ0lRLk5BU0RBUUdTOkNBS0UuSVFfTEFTVFNBTEVQUklDRS4wNS8wMS8yMDE4AQAAAAjgBAACAAAABTUwLjIxACgrQnXyQdgISjtcdvJB2AgsQ0lRLkxTRTpUU0NPLklRX0VCVC4xMDAyLjMwLzA0LzIwMjAuLkYuR0JQLkMBAAAAMFAGAAMAAAAAAMkxB0vyQdgIEVOlWfJB2AgkQ0lRLl5BU1guSVFfTEFTVFNBTEVQUklDRS4wMy8wOC8yMDE4AQAAAB9T6wECAAAACzQyMDUuNjk4OTI0AIrFN1HyQdgIcKcbc/JB2AgvQ0lRLk5BU0RBUUdT</t>
  </si>
  <si>
    <t>OkNBS0UuSVFfTkkuOTk4LjMwLzA0LzIwMjAuLkYuVVNELkMBAAAACOAEAAIAAAAHMTU3LjM5MgEIAAAABQAAAAExAQAAAAoyMDIxNTgxNDA5AwAAAAMxNjACAAAAAjE1BAAAAAExBwAAAAk0LzMwLzIwMjAIAAAACTgvMTYvMjAyMAkAAAABMP9vykzyQdgIHYWoWfJB2AgpQ0lRLk5ZU0U6TUFOVS5JUV9MQVNUU0FMRVBSSUNFLjI2LzEwLzIwMTgBAAAA3WsNAAIAAAAFMjEuMTcAQ5iFUvJB2AgqtxZx8kHYCCVDSVEuXkNPTVAuSVFfTEFTVFNBTEVQUklDRS4zMS8wNS8yMDE3AQAAAIm4KAACAAAABzYxOTguNTIAR4WFUfJB2Ahn2Qlz8kHYCCRDSVEuXlNQWC5JUV9MQVNUU0FMRVBSSUNFLjMxLzA4LzIwMTUBAAAAm7goAAIAAAAQMTk3Mi4xODQ2ODg3MTA5MgCgnjdR8kHYCKPICHPyQdgIMkNJUS5OQVNEQVFHUzpUU0xBLklRX0RBX0NGLjk5OC4zMS8xMi8yMDE5Li5GLlVTRC5DAQAAABDGogECAAAABzk0Ny4wOTkBCAAAAAUAAAABMQEAAAAKMTk0NTg3MzU1MQMAAAADMTYwAgAAAAQyMTYwBAAAAAExBwAAAAoxMi8zMS8yMDE5CAAAAAk4LzE2LzIwMjAJAAAAATDaFJZ38kHYCHAe53jyQdgIIUNJUS5MU0U6VFNDTy5JUV9WT0xVTUUuMjcvMDQvMjAxOAEAAAAwUAYAAgAAAAg0OC42MzUxNgAp5oVS8kHYCBcnBXHyQdgIOkNJUS5OWVNFOktPLklRX1RPVEFMX0NPTU1PTl9FUVVJVFkuOTk3LjMxLzEyLzIwMTku</t>
  </si>
  <si>
    <t>LkYuVVNELkMBAAAAEmgAAAIAAAAFMjU1NTQBCAAAAAUAAAABMQEAAAAKMTg3NTc5NzgwOQMAAAADMTYwAgAAAAQxMDA2BAAAAAExBwAAAAoxMi8zMS8yMDE5CAAAAAk4LzE2LzIwMjAJAAAAATAe+xd48kHYCEkN9HjyQdgIIkNJUS5OWVNFOk1BTlUuSVFfVk9MVU1FLjA4LzAzLzIwMTkBAAAA3WsNAAIAAAAIMC4wOTE4NDIApLx/U/JB2AgeKb9y8kHYCCRDSVEuXlNQWC5JUV9MQVNUU0FMRVBSSUNFLjE5LzAxLzIwMTgBAAAAm7goAAIAAAAOMjgxMC4zMDI2ODM0OTIA2C3edPJB2AimK0Z28kHYCDZDSVEuTFNFOlNGT1IuSVFfRVNUX0VQU19HUk9XVEhfNVlSX05VTS42MDAwLjMxLzEyLzIwMTkBAAAAy1PkIQMAAAAAAP4DQnXyQdgIwLBOdvJB2AgsQ0lRLkxTRTpTRk9SLklRX1BFUklPRERBVEUuOTk0LjMwLzA0LzIwMjAuLkYBAAAAy1PkIQMAAAAAALGvJFXyQdgIVfZ/WfJB2Ag1Q0lRLk5BU0RBUUdTOlRTTEEuSVFfVE9UQUxfQ0wuOTk5LjMxLzEyLzIwMTkuLkYuVVNELkMBAAAAEMaiAQIAAAAHNzY3NC43NAEIAAAABQAAAAExAQAAAAoxOTQ1ODczNTUwAwAAAAMxNjACAAAABDEwMDkEAAAAATEHAAAACjEyLzMxLzIwMTkIAAAACTgvMTYvMjAyMAkAAAABMBytF3jyQdgItI/4ePJB2AgZQ0lRLi5JUV9WT0xVTUUuMjkvMTEvMjAxOQUAAAAAAAAACAAAABQoSW52YWxpZCBJZGVudGlmaWVyKdk5tVPyQdgI</t>
  </si>
  <si>
    <t>RjS7cvJB2Ag2Q0lRLk5ZU0U6UkFDRS5JUV9UT1RBTF9BU1NFVFMuMTAwMC4zMC8wNC8yMDIwLi5GLkVVUi5DAQAAAD2CsBACAAAACDU0NDYuMzcyAQgAAAAFAAAAATEBAAAACjIwMTU2Mzk4MjIDAAAAAjUwAgAAAAQxMDA3BAAAAAExBwAAAAk0LzMwLzIwMjAIAAAACTgvMTYvMjAyMAkAAAABMODjBkvyQdgI0m+UWfJB2AgvQ0lRLkxTRTpTRk9SLklRX1JVQV9ORVQuMjAwMC4zMS8xMi8yMDE5Li4uTE9DQUwBAAAAy1PkIQMAAAAAAP4DQnXyQdgIAxBQdvJB2AgyQ0lRLk5BU0RBUUdTOlRTTEEuSVFfREFfQ0YuOTk2LjMwLzA0LzIwMjAuLkYuVVNELkMBAAAAEMaiAQIAAAAGNDIyLjU5AQgAAAAFAAAAATEBAAAACjE4NzU3NjkwODIDAAAAAzE2MAIAAAAEMjE2MAQAAAABMQcAAAAJNC8zMC8yMDIwCAAAAAk4LzE2LzIwMjAJAAAAATDJMQdL8kHYCKBYqlnyQdgIIENJUS4uSVFfTEFTVFNBTEVQUklDRS4xMy8wNy8yMDE4BQAAAAAAAAAIAAAAFChJbnZhbGlkIElkZW50aWZpZXIpvVA3UfJB2AhxdnNz8kHYCCVDSVEuXkNPTVAuSVFfTEFTVFNBTEVQUklDRS4zMC8wOS8yMDE5AQAAAIm4KAACAAAABzc5OTkuMzQASQUzUvJB2AibPQlz8kHYCCVDSVEuXkNPTVAuSVFfTEFTVFNBTEVQUklDRS4wMi8xMS8yMDE4AQAAAIm4KAACAAAABDczNTcAisU3UfJB2AifZBdz8kHYCC1DSVEuTkFTREFRR1M6Q0FLRS5JUV9M</t>
  </si>
  <si>
    <t>QVNUU0FMRVBSSUNFLjE1LzAyLzIwMTkBAAAACOAEAAIAAAAFNDcuMDMApLx/U/JB2AgZuiNx8kHYCDZDSVEuR0JQLklRX0ZVTExfQ1VSVkVfQU5OVUFMLkFMTENPUlAuQUEuMjBZLjMxLzEyLzIwMTkBAAAAAAAAAAIAAAAJMC4wMTk3NzI2ANgt3nTyQdgIiA5JdvJB2AgoQ0lRLkxTRTpUU0NPLklRX0xBU1RTQUxFUFJJQ0UuMzEvMDEvMjAxOAEAAAAwUAYAAgAAAAQyLjA5AAVdflPyQdgITpoocfJB2AghQ0lRLkxTRTpUU0NPLklRX1ZPTFVNRS4yMi8wMy8yMDE5AQAAADBQBgACAAAACDE3LjM2NzYzALmUf1PyQdgIj/G9cvJB2Ag7Q0lRLk5ZU0U6UkFDRS5JUV9FQklUREFfTUVESUFOX0VTVC42MDAwLjMwLzA0LzIwMjAuLkYuRVVSLkMBAAAAPYKwEAIAAAAIMTM2MC40NTcBDgAAAAUAAAACMTEBAAAAATACAAAACjEwMDMyMjY4MDcDAAAABjEwMDE4OAQAAAABMwYAAAABMAcAAAACNTAIAAAAATEJAAAAATEKAAAAATALAAAACzExODk1NTM2MTY5DAAAAAIxMg0AAAAINS8xLzIwMjAQAAAACTgvMTYvMjAyMKR/B0vyQdgICqyhWfJB2AgxQ0lRLk5BU0RBUUdTOlRTTEEuSVFfRUJJVC45OTcuMzAvMDQvMjAyMC4uRi5VU0QuQwEAAAAQxqIBAgAAAActNjQ1LjY0AQgAAAAFAAAAATEBAAAACjE5NDU4NzM1NTEDAAAAAzE2MAIAAAADNDAwBAAAAAExBwAAAAk0LzMwLzIwMjAIAAAACTgvMTYvMjAyMAkAAAABMMkx</t>
  </si>
  <si>
    <t>B0vyQdgIHN6kWfJB2AgiQ0lRLk5ZU0U6UkFDRS5JUV9WT0xVTUUuMjUvMDUvMjAxOAEAAAA9grAQAgAAAAgwLjIxMjY5NAAp5oVS8kHYCLIECXHyQdgIN0NJUS5BVUQuSVFfRlVMTF9DVVJWRV9BTk5VQUwuQUxMQ09SUC5DQ0MuMjBZLjMxLzEyLzIwMTkBAAAAAAAAAAMAAAAAANgt3nTyQdgIfyBKdvJB2Ag1Q0lRLk5BU0RBUUdTOlRTTEEuSVFfVE9UQUxfQ0EuOTk5LjMwLzA0LzIwMjAuLkYuVVNELkMBAAAAEMaiAQIAAAAEODMwNwEIAAAABQAAAAExAQAAAAoyMDEzOTA3NDYzAwAAAAMxNjACAAAABDEwMDgEAAAAATEHAAAACTQvMzAvMjAyMAgAAAAJOC8xNi8yMDIwCQAAAAEwvFgHS/JB2Ajpq5NZ8kHYCC9DSVEuTkFTREFRR1M6VFNMQS5JUV9OSS45OTkuMzEvMTIvMjAxOS4uRi5VU0QuQwEAAAAQxqIBAgAAAActMTk2MS40AQgAAAAFAAAAATEBAAAACjE5NDU4NzM1NTADAAAAAzE2MAIAAAACMTUEAAAAATEHAAAACjEyLzMxLzIwMTkIAAAACTgvMTYvMjAyMAkAAAABMNztlXfyQdgIP8roePJB2AghQ0lRLkxTRTpUU0NPLklRX1ZPTFVNRS4wOC8wMy8yMDE5AQAAADBQBgACAAAACDIyLjg4ODIxAKS8f1PyQdgIj/G9cvJB2Ag2Q0lRLlVTRC5JUV9GVUxMX0NVUlZFX0FOTlVBTC5BTExDT1JQLklHLjIwWS4zMS8xMi8yMDE5AQAAAAAAAAACAAAACTAuMDQwMTM5MQDYLd508kHYCGiDSXbyQdgILkNJUS5M</t>
  </si>
  <si>
    <t>U0U6U0ZPUi5JUV9EQV9DRi4xMDAwLjMwLzA0LzIwMjAuLkYuR0JQLkMBAAAAy1PkIQIAAAAGMjQuOTcyAQgAAAAFAAAAATEBAAAACjIwMjI1OTk3OTkDAAAAAjU1AgAAAAQyMTYwBAAAAAExBwAAAAk0LzMwLzIwMjAIAAAACTgvMTYvMjAyMAkAAAABMNkKB0vyQdgIvuOpWfJB2Ag/Q0lRLk5BU0RBUUdTOlRTTEEuSVFfRUJJVERBX01FRElBTl9FU1QuNjAwMC4zMC8wNC8yMDIwLi5GLlVTRC5DAQAAABDGogECAAAACDQ5NDkuODUyAQ4AAAAFAAAAAjExAQAAAAEwAgAAAAgxNTM1NzY4NgMAAAAGMTAwMTg4BAAAAAEyBgAAAAEwBwAAAAMxNjAIAAAAATEJAAAAATEKAAAAATALAAAACzExODk4NjA2MDY3DAAAAAIxMg0AAAAINS8xLzIwMjAQAAAACTgvMTYvMjAyMKR/B0vyQdgIH4WhWfJB2AgiQ0lRLk5ZU0U6UkFDRS5JUV9WT0xVTUUuMjMvMDgvMjAxOQEAAAA9grAQAgAAAAgwLjczMTY5OQAlYbVT8kHYCAMevHLyQdgIJkNJUS5OQVNEQVFHUzpDQUtFLklRX1ZPTFVNRS4xMi8wNy8yMDE5AQAAAAjgBAACAAAACDAuNDg4MjA3AJX9JFXyQdgI067AcvJB2AgzQ0lRLkxTRTpUU0NPLklRX1BSRUZfRVFVSVRZLjk5OC4zMS8xMi8yMDE5Li5GLkdCUC5DAQAAADBQBgADAAAAAAAe+xd48kHYCATQ9HjyQdgIL0NJUS5OWVNFOlJBQ0UuSVFfTEFTVFNBTEVQUklDRS4zMC8wNC8yMDIwLkVVUi5DAQAAAD2CsBACAAAA</t>
  </si>
  <si>
    <t>CjEzMS41MzAwMjQAs0PDWvJB2AhGftFa8kHYCDZDSVEuTllTRTpNQU5VLklRX0VRVUlUWV9NRVRIT0QuOTk2LjMxLzEyLzIwMTkuLkYuR0JQLkMBAAAA3WsNAAMAAAAAAEdgF3jyQdgIbmj/ePJB2AhDQ0lRLk5BU0RBUUdTOlRTTEEuSVFfVE9UQUxfREVCVF9OT05fQ1VSUkVOVC45OTguMzAvMDQvMjAyMC4uRi5VU0QuQwEAAAAQxqIBAgAAAAkxMTE1Mi4wMTYBCAAAAAUAAAABMQEAAAAKMjAxMzkwNzQ3MAMAAAADMTYwAgAAAAUyNTIyNAQAAAABMQcAAAAJNC8zMC8yMDIwCAAAAAk4LzE2LzIwMjAJAAAAATC8WAdL8kHYCI5jmFnyQdgIIkNJUS5OWVNFOk1BTlUuSVFfVk9MVU1FLjI3LzA3LzIwMTgBAAAA3WsNAAIAAAAIMC4wMDc1MzkAOr+FUvJB2Ag89Q5x8kHYCCZDSVEuTkFTREFRR1M6VFNMQS5JUV9WT0xVTUUuMjMvMTEvMjAxOAEAAAAQxqIBAgAAAAg0LjIwMjY0MgDH4n9T8kHYCHy0HnHyQdgILUNJUS5OQVNEQVFHUzpUU0xBLklRX0xBU1RTQUxFUFJJQ0UuMDUvMDQvMjAxOQEAAAAQxqIBAgAAAAYyNzQuOTYAuZR/U/JB2AirZiVx8kHYCCdDSVEuTllTRTpLTy5JUV9MQVNUU0FMRVBSSUNFLjMwLzAzLzIwMTgBAAAAEmgAAAIAAAAFNDMuNDMAKCtCdfJB2AhtMVJ28kHYCCJDSVEuTllTRTpSQUNFLklRX1ZPTFVNRS4yMy8wMi8yMDE4AQAAAD2CsBACAAAACDAuMjU4NDQ5ACgrQnXyQdgIc/hXdvJB</t>
  </si>
  <si>
    <t>2Ag0Q0lRLkxTRTpTRk9SLklRX1BSSUNFX1RBUkdFVC42MDAwLjMwLzA0LzIwMjAuLi5HQlAuQwEAAADLU+QhAgAAABAxLjg1MTkxMDcyNzgwNzE4AQ4AAAAFAAAAATcBAAAACTU4MjAyMTE1NgIAAAAKMTAwNDMxNjA0OAMAAAAGMTAwMTYxBAAAAAMyNTUGAAAAATAHAAAAAjU1CAAAAAExCQAAAAExCgAAAAEwCwAAAAsxMTkwMjgwODk2OQwAAAABOA0AAAAINS8xLzIwMjAQAAAACTgvMTYvMjAyMKR/B0vyQdgIJvSOWfJB2AgvQ0lRLk5ZU0U6TUFOVS5JUV9DQVBFWC4yMDAwLjMxLzEyLzIwMTkuLkYuR0JQLkMBAAAA3WsNAAIAAAAHLTExLjk4NAEIAAAABQAAAAExAQAAAAoxOTkzNjIxMzIyAwAAAAI1NQIAAAAEMjAyMQQAAAABMQcAAAAKMTIvMzEvMjAxOQgAAAAJOC8xNi8yMDIwCQAAAAEw2hSWd/JB2AgWDeZ48kHYCCBDSVEuTllTRTpLTy5JUV9WT0xVTUUuMTAvMDEvMjAyMAEAAAASaAAAAgAAAAgxMy4wNDExMQCj1iRV8kHYCIN3fFnyQdgIMENJUUFWRy4kQUVERVVSLklRX0xBU1RTQUxFUFJJQ0UuNDM0NjUuMzEvMTIvMjAxOQEAAAAl61oAAgAAAAc0LjExMjIzAOqWykzyQdgIG3SLWfJB2Ag6Q0lRLkxTRTpUU0NPLklRX1RPVEFMX0RFQlRfQ1VSUkVOVC45OTYuMzEvMTIvMjAxOS4uRi5HQlAuQwEAAAAwUAYAAgAAAAQyMDA4AQgAAAAFAAAAATEBAAAACjE3OTE0NjgxNDYDAAAAAjU1AgAAAAUyNTIy</t>
  </si>
  <si>
    <t>MwQAAAABMQcAAAAKMTIvMzEvMjAxOQgAAAAJOC8xNi8yMDIwCQAAAAEwHK0XePJB2Ahn3fh48kHYCClDSVEuTllTRTpSQUNFLklRX0xBU1RTQUxFUFJJQ0UuMDMvMDQvMjAyMAEAAAA9grAQAgAAAAYxMzQuODMAAeh9U/JB2Ai7ol5Z8kHYCC1DSVEuTkFTREFRR1M6Q0FLRS5JUV9MQVNUU0FMRVBSSUNFLjIwLzA5LzIwMTkBAAAACOAEAAIAAAAFNDAuMDMABV1+U/JB2AgIVitx8kHYCCRDSVEuXkFTWC5JUV9MQVNUU0FMRVBSSUNFLjA5LzAzLzIwMTgBAAAAH1PrAQIAAAALMzk5My40NTI2NjYA2C3edPJB2Aht3EV28kHYCDVDSVEuTkFTREFRR1M6VFNMQS5JUV9UQVJHRVRfUFJJQ0VfTlVNLjYwMDAuMzEvMTIvMjAxOQEAAAAQxqIBAQAAAAIzMQD+A0J18kHYCAXXTnbyQdgIIkNJUS5OWVNFOlJBQ0UuSVFfVk9MVU1FLjMwLzA4LzIwMTkBAAAAPYKwEAIAAAAIMC40MDc0OTYAJWG1U/JB2AgDHrxy8kHYCBlDSVEuLklRX1ZPTFVNRS4yNy8wNC8yMDE4BQAAAAAAAAAIAAAAFChJbnZhbGlkIElkZW50aWZpZXIpQ5iFUvJB2AgXJwVx8kHYCCNDSVEuJVRDTVNZMzAuSVFfTEFTVFNBTEVQUklDRS40MzU4NQEAAAAjHygCAgAAAAQyLjkzAKPWJFXyQdgIHCaEWfJB2AgoQ0lRLkxTRTpTRk9SLklRX0xBU1RTQUxFUFJJQ0UuMTcvMDEvMjAyMAEAAADLU+QhAgAAAAUxLjg4NQAID35T8kHYCCYzXFnyQdgIJENJUS5e</t>
  </si>
  <si>
    <t>QVNYLklRX0xBU1RTQUxFUFJJQ0UuMzAvMTEvMjAxNgEAAAAfU+sBAgAAAAszNjkyLjM5NjQxMQB8q4VR8kHYCNiFC3PyQdgIIkNJUS5OWVNFOlJBQ0UuSVFfVk9MVU1FLjA3LzA5LzIwMTgBAAAAPYKwEAIAAAAHMC4yOTQzMQBDmIVS8kHYCB10EnHyQdgIOENJUS5MU0U6VFNDTy5JUV9FQklUX01FRElBTl9FU1QuMTAwMy4zMS8xMi8yMDE5Li5GLkdCUC5DAQAAADBQBgACAAAABDMyMDUBDgAAAAUAAAABMwEAAAABMAIAAAAKMTAwMDI2NDUwMAMAAAAGMTAwMjE2BAAAAAEzBgAAAAEwBwAAAAI1NQgAAAABMQkAAAABMQoAAAABMAsAAAALMTE3MjIxMDYxNDcMAAAAATENAAAACDEvMS8yMDIwEAAAAAk4LzE2LzIwMjDzSBh48kHYCPD27XjyQdgIJENJUS5eU1BYLklRX0xBU1RTQUxFUFJJQ0UuMzAvMDYvMjAxNQEAAACbuCgAAgAAABAyMDYzLjExMTgzMjIyMzY3AKCeN1HyQdgIxO8Ic/JB2AgZQ0lRLi5JUV9WT0xVTUUuMjAvMDMvMjAyMAUAAAAAAAAACAAAABQoSW52YWxpZCBJZGVudGlmaWVyKdk5tVPyQdgIPk91WfJB2AgZQ0lRLi5JUV9WT0xVTUUuMjgvMDkvMjAxOAUAAAAAAAAACAAAABQoSW52YWxpZCBJZGVudGlmaWVyKXL8hFLyQdgIqUcUcfJB2AggQ0lRLi5JUV9MQVNUU0FMRVBSSUNFLjMxLzA4LzIwMTcFAAAAAAAAAAgAAAAUKEludmFsaWQgSWRlbnRpZmllcikJljdS8kHYCOt1QnPyQdgILUNJ</t>
  </si>
  <si>
    <t>US5MU0U6U0ZPUi5JUV9QRVJJT0REQVRFLjEwMDAuMzAvMDQvMjAyMC4uRgEAAADLU+QhBQAAAAozMS8xMi8yMDE5ALGvJFXyQdgI62WCWfJB2AggQ0lRLi5JUV9MQVNUU0FMRVBSSUNFLjE1LzExLzIwMTkFAAAAAAAAAAgAAAAUKEludmFsaWQgSWRlbnRpZmllcinCRzdS8kHYCEtfJ3PyQdgIJENJUS5eU1BYLklRX0xBU1RTQUxFUFJJQ0UuMjYvMTAvMjAxOAEAAACbuCgAAgAAABAyNjU4LjY4NTExMzEzNzgyAIrFN1HyQdgIq5YTc/JB2AgkQ0lRLl5TUFguSVFfTEFTVFNBTEVQUklDRS4yOC8wMi8yMDE3AQAAAJu4KAACAAAAEDIzNjMuNjM4MTk3MTI4OTQAfKuFUfJB2AjKewhz8kHYCDVDSVEuTllTRTpNQU5VLklRX1BSRUZfRVFVSVRZLjEwMDAuMzEvMTIvMjAxOS4uRi5HQlAuQwEAAADdaw0AAwAAAAAAhNQXePJB2Aj69vR48kHYCD1DSVEuTkFTREFRR1M6Q0FLRS5JUV9FQklUX01FRElBTl9FU1QuNjAwMS4zMC8wNC8yMDIwLi5GLlVTRC5DAQAAAAjgBAADAAAAAAD/b8pM8kHYCHqmo1nyQdgILENJUS5OQVNEQVFHUzpUU0xBLklRX0VQU19FU1QuNjAwMC4zMS8xMi8yMDE5AQAAABDGogECAAAABjUuOTc2NwEOAAAABQAAAAIxMQEAAAAJMTA4ODAzOTE1AgAAAAgxNTM1NzY4NQMAAAAGMTAwMTczBAAAAAEyBgAAAAEwBwAAAAMxNjAIAAAAATAJAAAAATEKAAAAATALAAAACzExNzI5MDkwNDQyDAAAAAIx</t>
  </si>
  <si>
    <t>Mg0AAAAIMS8xLzIwMjAQAAAACjEyLzMxLzIwMTkoK0J18kHYCAX0S3byQdgIH0NJUS5OWVNFOk1BTlUuSVFfVEVWLjMwLzA0LzIwMjABAAAA3WsNAAIAAAALMzI5NC43MDg3MDgBBgAAAAUAAAABMQEAAAAKMjAxODYyNzk3NQMAAAADMTYwAgAAAAYxMDAwNjAEAAAAATAHAAAACTQvMzAvMjAyMKPWJFXyQdgImb5+WfJB2AhAQ0lRLkxTRTpUU0NPLklRX01JTk9SSVRZX0lOVEVSRVNUX1RPVEFMLjIwMDAuMzEvMTIvMjAxOS4uRi5HQlAuQwEAAAAwUAYAAgAAAAMtMjQBCAAAAAUAAAABMQEAAAAKMTk4Njc5MzI0MAMAAAACNTUCAAAABDEzMTIEAAAAATEHAAAACjEyLzMxLzIwMTkIAAAACTgvMTYvMjAyMAkAAAABMITUF3jyQdgI8+H2ePJB2AgoQ0lRLkxTRTpTRk9SLklRX0xBU1RTQUxFUFJJQ0UuMDEvMDIvMjAxOQEAAADLU+QhAgAAAAQxLjM1AKS8f1PyQdgIB0cjcfJB2AgmQ0lRLk5BU0RBUUdTOlRTTEEuSVFfVk9MVU1FLjIxLzA2LzIwMTkBAAAAEMaiAQIAAAAIOC4yMDIwNzgAo9YkVfJB2AiDv8Fy8kHYCDxDSVEuTllTRTpSQUNFLklRX1JFVkVOVUVfTUVESUFOX0VTVC42MDAwLjMxLzEyLzIwMTkuLkYuRVVSLkMBAAAAPYKwEAIAAAAINDA2My42NzIBDgAAAAUAAAACMTEBAAAAATACAAAABzI3NjQ3MzQDAAAABjEwMDE4MQQAAAABMwYAAAABMAcAAAACNTAIAAAAATEJAAAAATEKAAAAATALAAAACzEx</t>
  </si>
  <si>
    <t>NzA1MjUxNzkzDAAAAAIxMg0AAAAIMS8xLzIwMjAQAAAACTgvMTYvMjAyMPNIGHjyQdgIg/zyePJB2AgnQ0lRLiRBRURFVVIuSVFfTEFTVFNBTEVQUklDRS4zMS8xMi8yMDE4AQAAACXrWgACAAAACzQuMjA1NDA0MTY4ABUiykzyQdgI06pedvJB2AgnQ0lRLiRBRURVU0QuSVFfTEFTVFNBTEVQUklDRS4zMC8wNC8yMDIwAQAAACXrWgACAAAABTMuNjczAJX9JFXyQdgIZmOKWfJB2Ag1Q0lRLkFVRC5JUV9GVUxMX0NVUlZFX0FOTlVBTC5BTExDT1JQLkIuMjBZLjMwLzA0LzIwMjABAAAAAAAAAAIAAAAJMC4wOTA4NDA3AKokJVXyQdgIeW6GWfJB2AguQ0lRLkxTRTpTRk9SLklRX0NBUEVYLjIwMDAuMzEvMTIvMjAxOS4uRi5HQlAuQwEAAADLU+QhAgAAAAktMi41MzAyODYBCAAAAAUAAAABMQEAAAAKMTk2MTExNzQwMQMAAAACNTUCAAAABDIwMjEEAAAAATEHAAAACjEyLzMxLzIwMTkIAAAACTgvMTYvMjAyMAkAAAABMNoUlnfyQdgIFg3mePJB2AgmQ0lRLk5BU0RBUUdTOlRTTEEuSVFfVk9MVU1FLjI4LzAyLzIwMjABAAAAEMaiAQIAAAAIMjQuNTY0MTcAo9YkVfJB2AirjXtZ8kHYCDtDSVEuTllTRTpSQUNFLklRX0VCSVREQV9NRURJQU5fRVNULjEwMDEuMzAvMDQvMjAyMC4uRi5FVVIuQwEAAAA9grAQAgAAAAgxMzYwLjQ1NwEOAAAABQAAAAEzAQAAAAEwAgAAAAoxMDAzMjI2ODA3AwAAAAYxMDAxODgEAAAA</t>
  </si>
  <si>
    <t>ATMGAAAAATAHAAAAAjUwCAAAAAExCQAAAAExCgAAAAEwCwAAAAsxMTg5NTUzNjE2OQwAAAABMQ0AAAAINS8xLzIwMjAQAAAACTgvMTYvMjAyMKR/B0vyQdgIEnCiWfJB2AggQ0lRLi5JUV9MQVNUU0FMRVBSSUNFLjI5LzAyLzIwMjAFAAAAAAAAAAgAAAAUKEludmFsaWQgSWRlbnRpZmllcilxhS9S8kHYCKn7xFnyQdgIIUNJUS5MU0U6U0ZPUi5JUV9WT0xVTUUuMjgvMDkvMjAxOAEAAADLU+QhAgAAAAgwLjM0NDM0NABDmIVS8kHYCKlHFHHyQdgIP0NJUS5OQVNEQVFHUzpDQUtFLklRX1RPVEFMX0RFQlRfQ1VSUkVOVC45OTYuMzEvMTIvMjAxOS4uRi5VU0QuQwEAAAAI4AQAAwAAAAAAHK0XePJB2AhxBPl48kHYCDBDSVEuTllTRTpNQU5VLklRX0lOQ19UQVguOTk3LjMwLzA0LzIwMjAuLkYuR0JQLkMBAAAA3WsNAAIAAAAGMTIuNDYyAQgAAAAFAAAAATEBAAAACjE5MTAyNDc0MDMDAAAAAjU1AgAAAAI3NQQAAAABMQcAAAAJNC8zMC8yMDIwCAAAAAk4LzE2LzIwMjAJAAAAATC8WAdL8kHYCGtNp1nyQdgIKENJUS5MU0U6U0ZPUi5JUV9MQVNUU0FMRVBSSUNFLjMxLzA4LzIwMTYBAAAAy1PkIQMAAAAAAMGqflPyQdgIhMwkcfJB2Ag2Q0lRLk5BU0RBUUdTOlRTTEEuSVFfVE9UQUxfUkVWLjk5Ni4zMS8xMi8yMDE5Li5GLlVTRC5DAQAAABDGogECAAAACDMxOTguMzU2AQgAAAAFAAAAATEBAAAACjE4MzAxNDMz</t>
  </si>
  <si>
    <t>MDADAAAAAzE2MAIAAAACMjgEAAAAATEHAAAACjEyLzMxLzIwMTkIAAAACTgvMTYvMjAyMAkAAAABMB77F3jyQdgIju3xePJB2AgxQ0lRLkxTRTpTRk9SLklRX0xUX0lOVkVTVC45OTYuMzAvMDQvMjAyMC4uRi5HQlAuQwEAAADLU+QhAwAAAAAA2QoHS/JB2AiW9ZVZ8kHYCDFDSVEuTkFTREFRR1M6Q0FLRS5JUV9QRVJJT0REQVRFLjk5Ni4zMS8xMi8yMDE5Li5GAQAAAAjgBAAFAAAACjMwLzEyLzIwMTQA/gNCdfJB2Aijx0128kHYCCVDSVEuXkNPTVAuSVFfTEFTVFNBTEVQUklDRS4zMS8wOC8yMDE3AQAAAIm4KAACAAAABzY0MjguNjYAtbw3UvJB2Ahn2Qlz8kHYCCVDSVEuXkNPTVAuSVFfTEFTVFNBTEVQUklDRS4xNi8wMy8yMDE4AQAAAIm4KAACAAAABzc0ODEuOTkA2C3edPJB2AimK0Z28kHYCCBDSVEuLklRX0xBU1RTQUxFUFJJQ0UuMTAvMDgvMjAxOAUAAAAAAAAACAAAABQoSW52YWxpZCBJZGVudGlmaWVyKcwpN1HyQdgI50luc/JB2AgzQ0lRLk5ZU0U6UkFDRS5JUV9UT1RBTF9MSUFCLjk5OS4zMC8wNC8yMDIwLi5GLkVVUi5DAQAAAD2CsBACAAAACDM0OTcuODk0AQgAAAAFAAAAATEBAAAACjIwMTU2Mzk4MTgDAAAAAjUwAgAAAAQxMjc2BAAAAAExBwAAAAk0LzMwLzIwMjAIAAAACTgvMTYvMjAyMAkAAAABMNkKB0vyQdgIBl6aWfJB2AgvQ0lRLkxTRTpUU0NPLklRX0lOQ19UQVguOTk4LjMxLzEy</t>
  </si>
  <si>
    <t>LzIwMTkuLkYuR0JQLkMBAAAAMFAGAAIAAAACODcBCAAAAAUAAAABMQEAAAAKMTg4ODUyNTA3NAMAAAACNTUCAAAAAjc1BAAAAAExBwAAAAoxMi8zMS8yMDE5CAAAAAk4LzE2LzIwMjAJAAAAATDc7ZV38kHYCP+z6XjyQdgIIENJUS4uSVFfTEFTVFNBTEVQUklDRS4yOS8xMi8yMDE3BQAAAAAAAAAIAAAAFChJbnZhbGlkIElkZW50aWZpZXIpCbZBdfJB2AhYdF128kHYCClDSVEuTllTRTpSQUNFLklRX0xBU1RTQUxFUFJJQ0UuMTkvMDQvMjAxOQEAAAA9grAQAgAAAAYxMzkuOTEAuZR/U/JB2AgTtiVx8kHYCC9DSVEuTkFTREFRR1M6Q0FLRS5JUV9GSVNDQUxfUS41MDAuMzEvMTIvMjAxOS4uRgEAAAAI4AQAAwAAAAJRMwDfBt508kHYCFbuRnbyQdgIL0NJUS5OWVNFOlJBQ0UuSVFfQ0FQRVguMTAwMC4zMS8xMi8yMDE5Li5GLkVVUi5DAQAAAD2CsBACAAAACC0zMDAuNzk0AQgAAAAFAAAAATEBAAAACjE5NDc0NDQxODMDAAAAAjUwAgAAAAQyMDIxBAAAAAExBwAAAAoxMi8zMS8yMDE5CAAAAAk4LzE2LzIwMjAJAAAAATDaFJZ38kHYCBW/5XjyQdgIJ0NJUS4kQUVETUFELklRX0xBU1RTQUxFUFJJQ0UuMzAvMDQvMjAyMAEAAAAl61oAAgAAAAswLjM3MjUzNDEwNACqJCVV8kHYCD8Vg1nyQdgIJENJUS5eU1BYLklRX0xBU1RTQUxFUFJJQ0UuMzEvMTAvMjAxOQEAAACbuCgAAgAAABAzMDM3LjU2NDQzNTI1OTk2</t>
  </si>
  <si>
    <t>AEkFM1LyQdgI/JAHc/JB2AgoQ0lRLkxTRTpTRk9SLklRX0xBU1RTQUxFUFJJQ0UuMjgvMDIvMjAxNQEAAADLU+QhAwAAAAAAQVJCdfJB2AiJXFB28kHYCCRDSVEuTllTRTpSQUNFLklRX0JFVEFfMllSLjMxLzEyLzIwMTkBAAAAPYKwEAIAAAARMC44OTYwNjM4MjU1ODg1NjcA3wbedPJB2Ahlikd28kHYCCJDSVEuTllTRTpNQU5VLklRX1ZPTFVNRS4wMS8wNi8yMDE4AQAAAN1rDQACAAAACDAuMDIxMjM1ACnmhVLyQdgIjaAJcfJB2AgoQ0lRLkxTRTpTRk9SLklRX0xBU1RTQUxFUFJJQ0UuMzAvMDkvMjAxNwEAAADLU+QhAwAAAAAABV1+U/JB2AiKsCdx8kHYCDFDSVEuTkFTREFRR1M6Q0FLRS5JUV9FQlQuMjAwMC4zMS8xMi8yMDE5Li5GLlVTRC5DAQAAAAjgBAACAAAABjk5LjI4MQEIAAAABQAAAAExAQAAAAoxOTkxMzI3MDQwAwAAAAMxNjACAAAAAzEzOQQAAAABMQcAAAAKMTIvMzEvMjAxOQgAAAAJOC8xNi8yMDIwCQAAAAEw3O2Vd/JB2AinEut48kHYCCRDSVEuXlNQWC5JUV9MQVNUU0FMRVBSSUNFLjMxLzAzLzIwMTYBAAAAm7goAAIAAAAQMjA1OS43NDExNzY2MDExNgB8q4VR8kHYCCmiCHPyQdgIJ0NJUS5OWVNFOktPLklRX0xBU1RTQUxFUFJJQ0UuMzEvMDgvMjAxNgEAAAASaAAAAgAAAAU0My40MwDBqn5T8kHYCMbzJHHyQdgIMkNJUS5OWVNFOlJBQ0UuSVFfVE9UQUxfQ0EuMjAwMC4zMC8wNC8y</t>
  </si>
  <si>
    <t>MDIwLi5GLkVVUi5DAQAAAD2CsBACAAAACDI2NDEuMjAxAQgAAAAFAAAAATEBAAAACjIwMTU2NDI5NTQDAAAAAjUwAgAAAAQxMDA4BAAAAAExBwAAAAk0LzMwLzIwMjAIAAAACTgvMTYvMjAyMAkAAAABMODjBkvyQdgIKl+TWfJB2AgjQ0lRLk5BU0RBUUdTOkNBS0UuSVFfQ09VTlRSWV9PRl9JTkMBAAAACOAEAAMAAAANVW5pdGVkIFN0YXRlcwD8OiRV8kHYCDqxg1nyQdgINENJUS5OQVNEQVFHUzpUU0xBLklRX0lOQ19UQVguOTk5LjMxLzEyLzIwMTkuLkYuVVNELkMBAAAAEMaiAQIAAAAGMzEuNTQ2AQgAAAAFAAAAATEBAAAACjE5NDU4NzM1NTADAAAAAzE2MAIAAAACNzUEAAAAATEHAAAACjEyLzMxLzIwMTkIAAAACTgvMTYvMjAyMAkAAAABMNztlXfyQdgI6gHqePJB2Ag1Q0lRLk5BU0RBUUdTOlRTTEEuSVFfU0hBUkVTT1VUU1RBTkRJTkcuMzEvMTIvMjAxNC5VU0QBAAAAEMaiAQIAAAAKMTI1LjM4MTc5OABHYBd48kHYCAvuAHnyQdgIGUNJUS4uSVFfVk9MVU1FLjEzLzA3LzIwMTgFAAAAAAAAAAgAAAAUKEludmFsaWQgSWRlbnRpZmllcilRSoVS8kHYCHdHDXHyQdgILUNJUS5OQVNEQVFHUzpDQUtFLklRX0xBU1RTQUxFUFJJQ0UuMjYvMTAvMjAxOAEAAAAI4AQAAgAAAAU0OC42MwBDmIVS8kHYCCq3FnHyQdgINUNJUS5OQVNEQVFHUzpDQUtFLklRX1RPVEFMX0NBLjk5Ny4zMS8xMi8yMDE5Li5GLlVT</t>
  </si>
  <si>
    <t>RC5DAQAAAAjgBAACAAAABzIyNS4zOTYBCAAAAAUAAAABMQEAAAAKMTg3NzE0NDQzOAMAAAADMTYwAgAAAAQxMDA4BAAAAAExBwAAAAoxMi8zMS8yMDE5CAAAAAk4LzE2LzIwMjAJAAAAATA7hhd48kHYCLTo+3jyQdgIIUNJUS5MU0U6VFNDTy5JUV9WT0xVTUUuMjYvMTAvMjAxOAEAAAAwUAYAAgAAAAgxNy41NDI3NwBDmIVS8kHYCCq3FnHyQdgIK0NJUS5OWVNFOk1BTlUuSVFfR1AuOTk2LjMxLzEyLzIwMTkuLkYuR0JQLkMBAAAA3WsNAAIAAAAHMzQ3LjIzMQEIAAAABQAAAAExAQAAAAoxODYxNzM2ODY5AwAAAAI1NQIAAAACMTAEAAAAATEHAAAACjEyLzMxLzIwMTkIAAAACTgvMTYvMjAyMAkAAAABMB4iGHjyQdgIfBnwePJB2AgkQ0lRLl5BU1guSVFfTEFTVFNBTEVQUklDRS4yMy8wMi8yMDE4AQAAAB9T6wECAAAACzM5OTEuNTAzMDI3ANgt3nTyQdgIprZFdvJB2AgoQ0lRLk5ZU0U6TUFOVS5JUV9CRVRBXzJZUl9SU1EuMzEvMTIvMjAxOQEAAADdaw0AAgAAABIwLjA4NDYyNTYyMDQxODU5OTEA3wbedPJB2Ag/PEd28kHYCDZDSVEuTFNFOlNGT1IuSVFfREFfTUVESUFOX0VTVC4xMDAzLjMxLzEyLzIwMTkuLkYuR0JQLkMBAAAAy1PkIQMAAAAAANoUlnfyQdgIay7oePJB2AggQ0lRLk5ZU0U6S08uSVFfVk9MVU1FLjMxLzA4LzIwMTgBAAAAEmgAAAIAAAAIMTkuODM0NDQAQ5iFUvJB2Ag9/xFx8kHYCChD</t>
  </si>
  <si>
    <t>SVEuTFNFOlNGT1IuSVFfTEFTVFNBTEVQUklDRS4zMS8wMy8yMDE3AQAAAMtT5CEDAAAAAADRg35T8kHYCN54JnHyQdgILUNJUS5OQVNEQVFHUzpDQUtFLklRX0xBU1RTQUxFUFJJQ0UuMzEvMDEvMjAxNQEAAAAI4AQAAgAAAAU1Mi41MQBBUkJ18kHYCIlcUHbyQdgIN0NJUS5OWVNFOk1BTlUuSVFfREFfTUVESUFOX0VTVC42MDAxLjMwLzA0LzIwMjAuLkYuR0JQLkMBAAAA3WsNAAMAAAAAAOqWykzyQdgI/CCpWfJB2AgtQ0lRLk5ZU0U6TUFOVS5JUV9FQklULjk5OS4zMC8wNC8yMDIwLi5GLkdCUC5DAQAAAN1rDQACAAAABjI4LjU4MgEIAAAABQAAAAExAQAAAAoxOTg1ODQ1MDI5AwAAAAI1NQIAAAADNDAwBAAAAAExBwAAAAk0LzMwLzIwMjAIAAAACTgvMTYvMjAyMAkAAAABMP9vykzyQdgISZCkWfJB2AgyQ0lRLk5ZU0U6TUFOVS5JUV9MVF9JTlZFU1QuOTk2LjMwLzA0LzIwMjAuLkYuR0JQLkMBAAAA3WsNAAMAAAAAALxYB0vyQdgIlvWVWfJB2Ag7Q0lRLk5ZU0U6UkFDRS5JUV9UT1RBTF9ERUJUX0NVUlJFTlQuOTk3LjMwLzA0LzIwMjAuLkYuRVVSLkMBAAAAPYKwEAIAAAAHMzk5Ljg3NgEIAAAABQAAAAExAQAAAAoxOTQ3NDQ0MTg0AwAAAAI1MAIAAAAFMjUyMjMEAAAAATEHAAAACTQvMzAvMjAyMAgAAAAJOC8xNi8yMDIwCQAAAAEw4OMGS/JB2AgF3pZZ8kHYCCdDSVEuJEFFRE1BRC5JUV9MQVNUU0FM</t>
  </si>
  <si>
    <t>RVBSSUNFLjMxLzEyLzIwMTgBAAAAJetaAAIAAAALMC4zODQwNDAzMTcA/gNCdfJB2AjIj0x28kHYCClDSVEuTllTRTpNQU5VLklRX0xBU1RTQUxFUFJJQ0UuMDUvMTAvMjAxOAEAAADdaw0AAgAAAAUyMS4xMgBDmIVS8kHYCHPjFHHyQdgIKUNJUS5OWVNFOk1BTlUuSVFfTEFTVFNBTEVQUklDRS4wMS8xMS8yMDE5AQAAAN1rDQACAAAABTE3LjExAAVdflPyQdgIvo0scfJB2AgnQ0lRLiRBRURKT0QuSVFfTEFTVFNBTEVQUklDRS4zMS8xMi8yMDE5AQAAACXrWgACAAAACzUuMTgxOTk3NzQzAP4DQnXyQdgIAUJMdvJB2AgxQ0lRQVZHLiVUQ01TWTAyLklRX0xBU1RTQUxFUFJJQ0UuNDAxNzguMzEvMTIvMjAxOQEAAAARHygCAgAAABEwLjk2MDc3MTY5MTMyMzQ3MQBBUkJ18kHYCFh0XXbyQdgINkNJUS5OQVNEQVFHUzpDQUtFLklRX1RPVEFMX1JFVi45OTcuMzEvMTIvMjAxOS4uRi5VU0QuQwEAAAAI4AQAAgAAAAgyMTAwLjYwOQEIAAAABQAAAAExAQAAAAoxODc3MTQ0NDM4AwAAAAMxNjACAAAAAjI4BAAAAAExBwAAAAoxMi8zMS8yMDE5CAAAAAk4LzE2LzIwMjAJAAAAATAe+xd48kHYCMcS8njyQdgILUNJUS5OQVNEQVFHUzpUU0xBLklRX0xBU1RTQUxFUFJJQ0UuMjIvMDMvMjAxOQEAAAAQxqIBAgAAAAYyNjQuNTMAuZR/U/JB2AjG8yRx8kHYCCdDSVEuTllTRTpLTy5JUV9MQVNUU0FMRVBSSUNFLjAzLzA1</t>
  </si>
  <si>
    <t>LzIwMTkBAAAAEmgAAAIAAAAFNDguNzIA3tJ+U/JB2AgPUiZx8kHYCCdDSVEuJEFFREpQWS5JUV9MQVNUU0FMRVBSSUNFLjMxLzEyLzIwMTgBAAAAJetaAAIAAAALMC4wMzM0Nzc2NDcA3wbedPJB2Ag5Rkp28kHYCCBDSVEuTllTRTpLTy5JUV9WT0xVTUUuMDEvMDIvMjAxOQEAAAASaAAAAgAAAAgxOS4xMzAxNACkvH9T8kHYCFiCwnLyQdgIIkNJUS5OWVNFOlJBQ0UuSVFfVk9MVU1FLjE0LzA5LzIwMTgBAAAAPYKwEAIAAAAIMC42NzI1ODEAQ5iFUvJB2AgA6RJx8kHYCChDSVEuTFNFOlRTQ08uSVFfTEFTVFNBTEVQUklDRS4yNy8wMy8yMDIwAQAAADBQBgACAAAABTIuMzI2AAHofVPyQdgIqHteWfJB2AgqQ0lRLk5ZU0U6S08uSVFfU0dBLjk5Ni4zMS8xMi8yMDE5Li5GLlVTRC5DAQAAABJoAAACAAAABTE3MjE4AQgAAAAFAAAAATEBAAAACjE4MjkyMzA5NTYDAAAAAzE2MAIAAAACMjMEAAAAATEHAAAACjEyLzMxLzIwMTkIAAAACTgvMTYvMjAyMAkAAAABMB4iGHjyQdgIgH3vePJB2AgzQ0lRLk5ZU0U6UkFDRS5JUV9UT1RBTF9SRVYuMTAwMC4zMC8wNC8yMDIwLi5GLkVVUi5DAQAAAD2CsBACAAAACDM3NjYuNjE1AQgAAAAFAAAAATEBAAAACjIwMTU2Mzk4MjIDAAAAAjUwAgAAAAIyOAQAAAABMQcAAAAJNC8zMC8yMDIwCAAAAAk4LzE2LzIwMjAJAAAAATDZCgdL8kHYCCO3nVnyQdgIIUNJUS5MU0U6VFND</t>
  </si>
  <si>
    <t>Ty5JUV9WT0xVTUUuMjAvMTIvMjAxOQEAAAAwUAYAAgAAAAg1Ny44NjIwMwCV/SRV8kHYCE3bvnLyQdgIJ0NJUS4kQUVEQkdOLklRX0xBU1RTQUxFUFJJQ0UuMzEvMTIvMjAxOQEAAAAl61oAAgAAAAsyLjEwNzQwNzE5NQD+A0J18kHYCArNS3byQdgIK0NJUS5MU0U6VFNDTy5JUV9FQlQuOTk3LjMxLzEyLzIwMTkuLkYuR0JQLkMBAAAAMFAGAAIAAAADMjAyAQgAAAAFAAAAATEBAAAACjE4NDc4MjUxNDgDAAAAAjU1AgAAAAMxMzkEAAAAATEHAAAACjEyLzMxLzIwMTkIAAAACTgvMTYvMjAyMAkAAAABMNztlXfyQdgI1U/qePJB2AgiQ0lRLk5ZU0U6UkFDRS5JUV9WT0xVTUUuMjYvMDEvMjAxOAEAAAA9grAQAgAAAAgwLjI2MzgxOAAoK0J18kHYCAiQWnbyQdgILUNJUS5OQVNEQVFHUzpUU0xBLklRX0xBU1RTQUxFUFJJQ0UuMDEvMDYvMjAxOAEAAAAQxqIBAgAAAAYyOTEuODIAKeaFUvJB2AiBxwlx8kHYCCZDSVEuTkFTREFRR1M6Q0FLRS5JUV9WT0xVTUUuMjQvMDQvMjAyMAEAAAAI4AQAAgAAAAgyLjUxNTQxOQCj1iRV8kHYCEbKelnyQdgIIUNJUS5MU0U6VFNDTy5JUV9WT0xVTUUuMjAvMDQvMjAxOAEAAAAwUAYAAgAAAAgyOS41NjY3MgBBUkJ18kHYCParUHbyQdgIKUNJUS5OWVNFOlJBQ0UuSVFfTEFTVFNBTEVQUklDRS4zMS8wNS8yMDE3AQAAAD2CsBACAAAABTg2LjcyANGDflPyQdgISscmcfJB2Agl</t>
  </si>
  <si>
    <t>Q0lRLl5DT01QLklRX0xBU1RTQUxFUFJJQ0UuMzEvMTIvMjAxNwEAAACJuCgAAgAAAAc2OTAzLjM5ALW8N1LyQdgIbLIJc/JB2AgwQ0lRLk5BU0RBUUdTOkNBS0UuSVFfRUJULjk5OS4zMC8wNC8yMDIwLi5GLlVTRC5DAQAAAAjgBAACAAAABzEwNy40MTEBCAAAAAUAAAABMQEAAAAKMjAyMTU4MTQyMAMAAAADMTYwAgAAAAMxMzkEAAAAATEHAAAACTQvMzAvMjAyMAgAAAAJOC8xNi8yMDIwCQAAAAEw/2/KTPJB2AjGFaZZ8kHYCCBDSVEuLklRX0xBU1RTQUxFUFJJQ0UuMzEvMDUvMjAxNwUAAAAAAAAACAAAABQoSW52YWxpZCBJZGVudGlmaWVyKZwPhVHyQdgI4UNGc/JB2AgkQ0lRLl5TUFguSVFfTEFTVFNBTEVQUklDRS4zMC8wOS8yMDE5AQAAAJu4KAACAAAAEDI5NzYuNzM3MjcxNzQ0MzMASQUzUvJB2Aj8kAdz8kHYCCtDSVEuTllTRTpSQUNFLklRX0dQLjk5Ni4zMS8xMi8yMDE5Li5GLkVVUi5DAQAAAD2CsBACAAAACDEyNTYuNDcxAQgAAAAFAAAAATEBAAAACjE4MzA0NzQwOTQDAAAAAjUwAgAAAAIxMAQAAAABMQcAAAAKMTIvMzEvMjAxOQgAAAAJOC8xNi8yMDIwCQAAAAEwHiIYePJB2Ah8GfB48kHYCC1DSVEuTkFTREFRR1M6VFNMQS5JUV9MQVNUU0FMRVBSSUNFLjE2LzAyLzIwMTgBAAAAEMaiAQIAAAAGMzM1LjQ5ACgrQnXyQdgIPLtYdvJB2AggQ0lRLi5JUV9MQVNUU0FMRVBSSUNFLjI2LzEwLzIw</t>
  </si>
  <si>
    <t>MTgFAAAAAAAAAAgAAAAUKEludmFsaWQgSWRlbnRpZmllcinntDZR8kHYCHiBaHPyQdgIPkNJUS5OQVNEQVFHUzpUU0xBLklRX0hJR0hfVEFSR0VUX1BSSUNFLjYwMDAuMzAvMDQvMjAyMC4uLlVTRC5DAQAAABDGogECAAAABDExMDABDgAAAAUAAAABNwEAAAAJMTA4ODAzOTE1AgAAAAoxMDAwODcyOTIzAwAAAAYxMDAxNjMEAAAAAzI1NQYAAAABMAcAAAADMTYwCAAAAAExCQAAAAExCgAAAAEwCwAAAAsxMTg5OTE4MzQ1OAwAAAABOA0AAAAINS8xLzIwMjAQAAAACTgvMTYvMjAyMKR/B0vyQdgIDUKPWfJB2AgzQ0lRLk5BU0RBUUdTOlRTTEEuSVFfRUJJVERBLjk5OS4zMS8xMi8yMDE5Li5GLlVTRC5DAQAAABDGogECAAAABjI5LjcxNwEIAAAABQAAAAExAQAAAAoxOTQ1ODczNTUwAwAAAAMxNjACAAAABDQwNTEEAAAAATEHAAAACjEyLzMxLzIwMTkIAAAACTgvMTYvMjAyMAkAAAABMB4iGHjyQdgIwmvuePJB2AgxQ0lRLkxTRTpTRk9SLklRX1RPVEFMX1JFVi45OTkuMzEvMTIvMjAxOS4uRi5HQlAuQwEAAADLU+QhAwAAAAAAHvsXePJB2Ai/OfJ48kHYCD5DSVEuTllTRTpLTy5JUV9NSU5PUklUWV9JTlRFUkVTVF9UT1RBTC45OTkuMzEvMTIvMjAxOS4uRi5VU0QuQwEAAAASaAAAAgAAAAQxOTA1AQgAAAAFAAAAATEBAAAACjE5NDY0MzA3NzkDAAAAAzE2MAIAAAAEMTMxMgQAAAABMQcAAAAKMTIvMzEvMjAx</t>
  </si>
  <si>
    <t>OQgAAAAJOC8xNi8yMDIwCQAAAAEwhNQXePJB2AjupPZ48kHYCCVDSVEuLklRX1BSSUNFX1ZPTF9ISVNUXzVZUi4zMS8xMi8yMDE5BQAAAAAAAAAIAAAAFChJbnZhbGlkIElkZW50aWZpZXIprAzcdPJB2AiIDkl28kHYCCRDSVEuXkFTWC5JUV9MQVNUU0FMRVBSSUNFLjMxLzA1LzIwMTUBAAAAH1PrAQIAAAAHMzc5Ny4xMgCgnjdR8kHYCNIhDHPyQdgIKUNJUS5OWVNFOk1BTlUuSVFfTEFTVFNBTEVQUklDRS4xMC8wMS8yMDIwAQAAAN1rDQACAAAABTIwLjA2AAgPflPyQdgISuVbWfJB2AgtQ0lRLk5BU0RBUUdTOkNBS0UuSVFfTEFTVFNBTEVQUklDRS4xNy8wMS8yMDIwAQAAAAjgBAACAAAABTM4Ljg0AAgPflPyQdgIJjNcWfJB2Ag3Q0lRLk5BU0RBUUdTOkNBS0UuSVFfSU5WRU5UT1JZLjIwMDAuMzEvMTIvMjAxOS4uRi5VU0QuQwEAAAAI4AQAAgAAAAY0Ny43NzgBCAAAAAUAAAABMQEAAAAKMTk5MTMyNzA0MAMAAAADMTYwAgAAAAQxMDQzBAAAAAExBwAAAAoxMi8zMS8yMDE5CAAAAAk4LzE2LzIwMjAJAAAAATDaFJZ38kHYCDdK5XjyQdgIIENJUS5OWVNFOktPLklRX1ZPTFVNRS4yMy8wMy8yMDE4AQAAABJoAAACAAAACDEzLjQ3NTIxACgrQnXyQdgIdvRSdvJB2AggQ0lRLk5ZU0U6S08uSVFfVk9MVU1FLjA3LzAyLzIwMjABAAAAEmgAAAIAAAAGOC43NTc4AKPWJFXyQdgIg3d8WfJB2AgtQ0lRLk5BU0RB</t>
  </si>
  <si>
    <t>UUdTOkNBS0UuSVFfTEFTVFNBTEVQUklDRS4wMi8wMy8yMDE4AQAAAAjgBAACAAAABTQ4LjA3ACgrQnXyQdgI0V1XdvJB2AgpQ0lRLk5ZU0U6UkFDRS5JUV9MQVNUU0FMRVBSSUNFLjIxLzAyLzIwMjABAAAAPYKwEAIAAAAFMTcyLjkACA9+U/JB2AgERF1Z8kHYCD1DSVEuTllTRTpLTy5JUV9UT1RBTF9ERUJUX05PTl9DVVJSRU5ULjk5Ni4zMS8xMi8yMDE5Li5GLlVTRC5DAQAAABJoAAACAAAABTE5MTAwAQgAAAAFAAAAATEBAAAACjE4MjkyMzA5NTYDAAAAAzE2MAIAAAAFMjUyMjQEAAAAATEHAAAACjEyLzMxLzIwMTkIAAAACTgvMTYvMjAyMAkAAAABMBytF3jyQdgI3jD3ePJB2AguQ0lRLkxTRTpTRk9SLklRX1RPVEFMX1JFVjpDVVJSRU5DWS4uMzEvMTIvMjAxOQEAAADLU+QhAwAAAANHQlABCAAAAAUAAAABMQEAAAAKMjAzNjE2NzkwMwMAAAACNTUCAAAAAjI4BAAAAAEwBwAAAAoxMi8zMS8yMDE5CAAAAAoxMi8zMS8yMDE5CQAAAAEw/gNCdfJB2AjMDl528kHYCCFDSVEuTFNFOlNGT1IuSVFfVk9MVU1FLjA5LzAyLzIwMTgBAAAAy1PkIQMAAAAAACgrQnXyQdgIEVdZdvJB2AgiQ0lRLk5ZU0U6UkFDRS5JUV9WT0xVTUUuMDgvMTEvMjAxOQEAAAA9grAQAgAAAAgwLjI5MTUwOQAlYbVT8kHYCPlEvHLyQdgIOkNJUS5OWVNFOk1BTlUuSVFfSElHSF9UQVJHRVRfUFJJQ0UuNjAwMC4zMS8xMi8yMDE5Li4u</t>
  </si>
  <si>
    <t>R0JQLkMBAAAA3WsNAAIAAAAGMjAuMDQ4AQ4AAAAFAAAAATcBAAAACTIxNTA1NTM4NQIAAAAGNzAyNzI4AwAAAAYxMDAxNjMEAAAAAzI1NQYAAAABMAcAAAACNTUIAAAAATEJAAAAATEKAAAAATALAAAACzExNzI4NDAzOTMzDAAAAAE4DQAAAAgxLzEvMjAyMBAAAAAJOC8xNi8yMDIwHiIYePJB2AhEeQB58kHYCCdDSVEuJEFFRElSUi5JUV9MQVNUU0FMRVBSSUNFLjMwLzA0LzIwMjABAAAAJetaAAIAAAAIOC43NEUtMDUAqiQlVfJB2AhQY4NZ8kHYCC1DSVEuTllTRTpSQUNFLklRX1BFUklPRERBVEUuOTk1LjMwLzA0LzIwMjAuLkYBAAAAPYKwEAUAAAAKMzEvMTIvMjAxNACxryRV8kHYCDcdgFnyQdgIKENJUS5MU0U6U0ZPUi5JUV9MQVNUU0FMRVBSSUNFLjA4LzA2LzIwMTgBAAAAy1PkIQMAAAAAACnmhVLyQdgIRmMKcfJB2AgyQ0lRLkxTRTpTRk9SLklRX1RPVEFMX0xJQUIuOTk4LjMxLzEyLzIwMTkuLkYuR0JQLkMBAAAAy1PkIQMAAAAAAITUF3jyQdgIBJT1ePJB2AgpQ0lRLk5ZU0U6TUFOVS5JUV9MQVNUU0FMRVBSSUNFLjMxLzAzLzIwMTcBAAAA3WsNAAIAAAAEMTYuOQDRg35T8kHYCN54JnHyQdgIIENJUS5OWVNFOktPLklRX1ZPTFVNRS4yOS8wMy8yMDE5AQAAABJoAAACAAAACDE2LjA0NTU1ALmUf1PyQdgIR6nCcvJB2AgmQ0lRLk5BU0RBUUdTOkNBS0UuSVFfVk9MVU1FLjEzLzA0LzIwMTgBAAAA</t>
  </si>
  <si>
    <t>COAEAAIAAAAIMS4xNDI5NjkAQVJCdfJB2AgKIVF28kHYCCRDSVEuXlNQWC5JUV9MQVNUU0FMRVBSSUNFLjI5LzEyLzIwMTcBAAAAm7goAAIAAAAQMjY3My42MTA1MjMxNTE3NADYLd508kHYCKYrRnbyQdgIJ0NJUS5OWVNFOktPLklRX0xBU1RTQUxFUFJJQ0UuMTcvMDQvMjAyMAEAAAASaAAAAgAAAAU0OC4wNgAB6H1T8kHYCK3pYFnyQdgIJ0NJUS4kQUVEQVJTLklRX0xBU1RTQUxFUFJJQ0UuMzAvMDQvMjAyMAEAAAAl61oAAgAAAAswLjA1NDk1NjIzNgCqJCVV8kHYCCT/g1nyQdgIJkNJUS5OQVNEQVFHUzpDQUtFLklRX1ZPTFVNRS4wOS8wMy8yMDE4AQAAAAjgBAACAAAACDAuODAzNDA4ACgrQnXyQdgIz8BWdvJB2Ag7Q0lRLkxTRTpTRk9SLklRX1RPVEFMX0RFQlRfQ1VSUkVOVC4yMDAwLjMxLzEyLzIwMTkuLkYuR0JQLkMBAAAAy1PkIQMAAAAAADuGF3jyQdgIWaD5ePJB2AgvQ0lRLk5BU0RBUUdTOkNBS0UuSVFfR1AuOTk3LjMxLzEyLzIwMTkuLkYuVVNELkMBAAAACOAEAAIAAAAGOTExLjc2AQgAAAAFAAAAATEBAAAACjE4NzcxNDQ0MzgDAAAAAzE2MAIAAAACMTAEAAAAATEHAAAACjEyLzMxLzIwMTkIAAAACTgvMTYvMjAyMAkAAAABMB4iGHjyQdgIPGbwePJB2AgtQ0lRLkxTRTpUU0NPLklRX1BSSUNFX1ZPTF9ISVNUXzVZUi4zMS8xMi8yMDE5AQAAADBQBgACAAAABjI3LjAxNQDr39108kHYCD88</t>
  </si>
  <si>
    <t>R3byQdgINUNJUUFWRy4kQUVERVVSLklRX0xBU1RTQUxFUFJJQ0UuMzEvMTIvMjAxNy4zMS8xMi8yMDE4AQAAACXrWgACAAAACDQuMzM3MjIyAOqWykzyQdgIZZRfdvJB2AgkQ0lRLl5BU1guSVFfTEFTVFNBTEVQUklDRS4xMi8wNy8yMDE5AQAAAB9T6wECAAAACzQwOTQuOTQwMjIxAHyrhVHyQdgI4Ugac/JB2AgqQ0lRLkxTRTpUU0NPLklRX0dQLjk5OC4zMC8wNC8yMDIwLi5GLkdCUC5DAQAAADBQBgACAAAABDI3MjEBCAAAAAUAAAABMQEAAAAKMTk2ODczNjU1OQMAAAACNTUCAAAAAjEwBAAAAAExBwAAAAk0LzMwLzIwMjAIAAAACTgvMTYvMjAyMAkAAAABMMkxB0vyQdgIhv+fWfJB2Ag9Q0lRLk5BU0RBUUdTOlRTTEEuSVFfRUJJVF9NRURJQU5fRVNULjEwMDMuMzAvMDQvMjAyMC4uRi5VU0QuQwEAAAAQxqIBAgAAAAQ0MDk1AQ4AAAAFAAAAATMBAAAAATACAAAACjEwMDE4Njg5MTcDAAAABjEwMDIxNgQAAAABMgYAAAABMAcAAAADMTYwCAAAAAExCQAAAAExCgAAAAEwCwAAAAsxMTkwMDgyMjI1NgwAAAABMQ0AAAAINS8xLzIwMjAQAAAACTgvMTYvMjAyMKR/B0vyQdgI04CjWfJB2AgyQ0lRLk5ZU0U6S08uSVFfUFJFRl9FUVVJVFkuOTk3LjMwLzA0LzIwMjAuLkYuVVNELkMBAAAAEmgAAAMAAAAAAANJykzyQdgIspWbWfJB2AgvQ0lRLk5ZU0U6UkFDRS5JUV9MQVNUU0FMRVBSSUNFLjMxLzEyLzIwMTYu</t>
  </si>
  <si>
    <t>RVVSLkMBAAAAPYKwEAIAAAAJNDkuMTM5OTI4ABUiykzyQdgIlH9gdvJB2AghQ0lRLkxTRTpTRk9SLklRX1ZPTFVNRS4wMS8xMS8yMDE5AQAAAMtT5CECAAAACDAuMTkzMTc5AJX9JFXyQdgIt3y9cvJB2AgpQ0lRLk5ZU0U6S08uSVFfR1AuOTk2LjMxLzEyLzIwMTkuLkYuVVNELkMBAAAAEmgAAAIAAAAFMjgxMDkBCAAAAAUAAAABMQEAAAAKMTgyOTIzMDk1NgMAAAADMTYwAgAAAAIxMAQAAAABMQcAAAAKMTIvMzEvMjAxOQgAAAAJOC8xNi8yMDIwCQAAAAEwHiIYePJB2AhzQPB48kHYCDZDSVEuTkFTREFRR1M6VFNMQS5JUV9TSEFSRVNPVVRTVEFORElOR19PVVQuMzEvMTIvMjAxOS4BAAAAEMaiAQIAAAAKMTgxLjM4NDE3NgAoK0J18kHYCE5oXXXyQdgILUNJUS5OQVNEQVFHUzpDQUtFLklRX0xBU1RTQUxFUFJJQ0UuMzAvMTEvMjAxNwEAAAAI4AQAAgAAAAU0OS4wNAAFXX5T8kHYCHJMKHHyQdgINENJUS5OQVNEQVFHUzpDQUtFLklRX0lOQ19UQVguOTk3LjMxLzEyLzIwMTkuLkYuVVNELkMBAAAACOAEAAIAAAAGNDIuODI5AQgAAAAFAAAAATEBAAAACjE4NzcxNDQ0MzgDAAAAAzE2MAIAAAACNzUEAAAAATEHAAAACjEyLzMxLzIwMTkIAAAACTgvMTYvMjAyMAkAAAABMNztlXfyQdgI/7PpePJB2AgwQ0lRLkxTRTpTRk9SLklRX1RBUkdFVF9QUklDRV9OVU0uNjAwMC4zMC8wNC8yMDIwAQAAAMtT5CEBAAAA</t>
  </si>
  <si>
    <t>ATIAsa8kVfJB2AjqDX9Z8kHYCC1DSVEuTkFTREFRR1M6Q0FLRS5JUV9MQVNUU0FMRVBSSUNFLjMxLzA1LzIwMTgBAAAACOAEAAIAAAAFNTEuODEA6DV+U/JB2AiA0Clx8kHYCCtDSVEuTllTRTpLTy5JUV9FQlQuMTAwMy4zMS8xMi8yMDE5Li5GLlVTRC5DAQAAABJoAAADAAAAAAAeIhh48kHYCIeH63jyQdgIOkNJUS5MU0U6U0ZPUi5JUV9FQklUREFfTUVESUFOX0VTVC4xMDAxLjMxLzEyLzIwMTkuLkYuR0JQLkMBAAAAy1PkIQIAAAAQMzQuNDMzODQ5NDE3MzI5NgEOAAAABQAAAAEzAQAAAAEwAgAAAAoxMDA0MzE2MDUwAwAAAAYxMDAxODgEAAAAATMGAAAAATAHAAAAAjU1CAAAAAExCQAAAAExCgAAAAEwCwAAAAsxMTY5ODE4NjM1MQwAAAABMQ0AAAAIMS8xLzIwMjAQAAAACTgvMTYvMjAyMPNIGHjyQdgIrbnuePJB2Ag7Q0lRLk5ZU0U6TUFOVS5JUV9UT1RBTF9ERUJUX0NVUlJFTlQuOTk3LjMxLzEyLzIwMTkuLkYuR0JQLkMBAAAA3WsNAAIAAAAFNS41NjQBCAAAAAUAAAABMQEAAAAKMTkxMDI0NzQwMwMAAAACNTUCAAAABTI1MjIzBAAAAAExBwAAAAoxMi8zMS8yMDE5CAAAAAk4LzE2LzIwMjAJAAAAATAcrRd48kHYCHEE+XjyQdgIJ0NJUS5OWVNFOktPLklRX0xBU1RTQUxFUFJJQ0UuMzAvMDQvMjAyMAEAAAASaAAAAgAAAAU0NS44OQAB6H1T8kHYCJY3YVnyQdgILUNJUS5OQVNEQVFHUzpUU0xBLklR</t>
  </si>
  <si>
    <t>X0xBU1RTQUxFUFJJQ0UuMTEvMDUvMjAxOAEAAAAQxqIBAgAAAAYzMDEuMDYAKeaFUvJB2AibhQZx8kHYCBlDSVEuLklRX1ZPTFVNRS4wOC8wNi8yMDE4BQAAAAAAAAAIAAAAFChJbnZhbGlkIElkZW50aWZpZXIpQ3GFUvJB2AijPApx8kHYCCJDSVEuTllTRTpSQUNFLklRX1ZPTFVNRS4wNS8wNC8yMDE5AQAAAD2CsBACAAAACDAuMjU1NDAzALmUf1PyQdgIKqm7cvJB2Ag2Q0lRLkxTRTpUU0NPLklRX0NBU0hfU1RfSU5WRVNULjk5Ny4zMS8xMi8yMDE5Li5GLkdCUC5DAQAAADBQBgACAAAABDU5OTEBCAAAAAUAAAABMQEAAAAKMTg0NzgyNTE0OAMAAAACNTUCAAAABDEwMDIEAAAAATEHAAAACjEyLzMxLzIwMTkIAAAACTgvMTYvMjAyMAkAAAABMDuGF3jyQdgIWtL8ePJB2AgkQ0lRLl5BU1guSVFfTEFTVFNBTEVQUklDRS4wNS8wNy8yMDE5AQAAAB9T6wECAAAACzQxMjAuNTA1NDg5AHyrhVHyQdgI4Ugac/JB2AgnQ0lRLiRBRURUTkQuSVFfTEFTVFNBTEVQUklDRS4zMS8xMi8yMDE4AQAAACXrWgACAAAACzEuMjIwMDYzMTEyAP4DQnXyQdgI1LZMdvJB2AgwQ0lRLkxTRTpUU0NPLklRX1RPVEFMX0NBLjk5Ni4zMS8xMi8yMDE5Li5GLkdCUC5DAQAAADBQBgACAAAABTExOTU4AQgAAAAFAAAAATEBAAAACjE3OTE0NjgxNDYDAAAAAjU1AgAAAAQxMDA4BAAAAAExBwAAAAoxMi8zMS8yMDE5CAAAAAk4LzE2LzIw</t>
  </si>
  <si>
    <t>MjAJAAAAATA7hhd48kHYCEWZ+3jyQdgIM0NJUS5OQVNEQVFHUzpDQUtFLklRX0VCSVREQS45OTYuMzAvMDQvMjAyMC4uRi5VU0QuQwEAAAAI4AQAAgAAAAYyNTYuODIBCAAAAAUAAAABMQEAAAAKMTg3NzE0NDQzOAMAAAADMTYwAgAAAAQ0MDUxBAAAAAExBwAAAAk0LzMwLzIwMjAIAAAACTgvMTYvMjAyMAkAAAABMP9vykzyQdgIlVijWfJB2AglQ0lRLl5DT01QLklRX0xBU1RTQUxFUFJJQ0UuMzEvMDcvMjAxNQEAAACJuCgAAgAAAAc1MTI4LjI4AKCeN1HyQdgIV3UKc/JB2AgoQ0lRLkxTRTpTRk9SLklRX0xBU1RTQUxFUFJJQ0UuMTMvMDkvMjAxOQEAAADLU+QhAgAAAAUxLjM3NQAFXX5T8kHYCMXhKnHyQdgIIENJUS4uSVFfTEFTVFNBTEVQUklDRS4xOC8wNS8yMDE4BQAAAAAAAAAIAAAAFChJbnZhbGlkIElkZW50aWZpZXIpoJ43UfJB2AhQy3hz8kHYCC9DSVEuTFNFOlNGT1IuSVFfRUJJVERBLjIwMDAuMzEvMTIvMjAxOS4uRi5HQlAuQwEAAADLU+QhAgAAAAg4LjA1MjAwMQEIAAAABQAAAAExAQAAAAoxOTYxMTE3NDAxAwAAAAI1NQIAAAAENDA1MQQAAAABMQcAAAAKMTIvMzEvMjAxOQgAAAAJOC8xNi8yMDIwCQAAAAEwHiIYePJB2Aitue548kHYCDBDSVEuTllTRTpNQU5VLklRX0VCSVREQS4yMDAwLjMxLzEyLzIwMTkuLkYuR0JQLkMBAAAA3WsNAAIAAAAHMTkwLjcwMgEIAAAABQAAAAExAQAAAAox</t>
  </si>
  <si>
    <t>OTkzNjIxMzIyAwAAAAI1NQIAAAAENDA1MQQAAAABMQcAAAAKMTIvMzEvMjAxOQgAAAAJOC8xNi8yMDIwCQAAAAEwHiIYePJB2Aitue548kHYCCtDSVEuTllTRTpLTy5JUV9FQlQuMTAwMS4zMS8xMi8yMDE5Li5GLlVTRC5DAQAAABJoAAADAAAAAADc7ZV38kHYCJs563jyQdgIMENJUS5OWVNFOk1BTlUuSVFfSU5DX1RBWC45OTkuMzAvMDQvMjAyMC4uRi5HQlAuQwEAAADdaw0AAgAAAAY2My40NjIBCAAAAAUAAAABMQEAAAAKMTk4NTg0NTAyOQMAAAACNTUCAAAAAjc1BAAAAAExBwAAAAk0LzMwLzIwMjAIAAAACTgvMTYvMjAyMAkAAAABMP9vykzyQdgIgf+mWfJB2Ag1Q0lRLk5ZU0U6S08uSVFfRVFVSVRZX01FVEhPRC4yMDAwLjMxLzEyLzIwMTkuLkYuVVNELkMBAAAAEmgAAAIAAAAFMTg2ODkBCAAAAAUAAAABMQEAAAAKMTk4ODgwMTUyNgMAAAADMTYwAgAAAAQzMDYzBAAAAAExBwAAAAoxMi8zMS8yMDE5CAAAAAk4LzE2LzIwMjAJAAAAATBHYBd48kHYCDMrAHnyQdgILUNJUS5OWVNFOk1BTlUuSVFfU0dBLjEwMDAuMzEvMTIvMjAxOS4uRi5HQlAuQwEAAADdaw0AAgAAAAczMzMuODAxAQgAAAAFAAAAATEBAAAACjE5ODU4NDUwNjMDAAAAAjU1AgAAAAIyMwQAAAABMQcAAAAKMTIvMzEvMjAxOQgAAAAJOC8xNi8yMDIwCQAAAAEwHiIYePJB2AiE8e948kHYCDVDSVEuTllTRTpLTy5JUV9DQVNIX1NUX0lO</t>
  </si>
  <si>
    <t>VkVTVC45OTYuMzAvMDQvMjAyMC4uRi5VU0QuQwEAAAASaAAAAgAAAAUxOTkyMAEIAAAABQAAAAExAQAAAAoxODc1Nzk3ODA5AwAAAAMxNjACAAAABDEwMDIEAAAAATEHAAAACTQvMzAvMjAyMAgAAAAJOC8xNi8yMDIwCQAAAAEwA0nKTPJB2AgpOJNZ8kHYCChDSVEuTFNFOlNGT1IuSVFfTEFTVFNBTEVQUklDRS4wNi8wNy8yMDE4AQAAAMtT5CEDAAAAAAA6v4VS8kHYCLmrDHHyQdgIJUNJUS5eQ09NUC5JUV9MQVNUU0FMRVBSSUNFLjA1LzEwLzIwMTgBAAAAibgoAAIAAAAHNzc4OC40NQCKxTdR8kHYCMKLF3PyQdgIOENJUS5OQVNEQVFHUzpDQUtFLklRX1BSRUZfRVFVSVRZLjk5Ni4zMS8xMi8yMDE5Li5GLlVTRC5DAQAAAAjgBAADAAAAAAAe+xd48kHYCBmC9HjyQdgIOkNJUS5OQVNEQVFHUzpUU0xBLklRX0lOVEVSRVNUX0VYUC4yMDAwLjMwLzA0LzIwMjAuLkYuVVNELkMBAAAAEMaiAQIAAAAELTc1NgEIAAAABQAAAAExAQAAAAoyMDMyMDQ1MzM0AwAAAAMxNjACAAAAAjgyBAAAAAExBwAAAAk0LzMwLzIwMjAIAAAACTgvMTYvMjAyMAkAAAABMMkxB0vyQdgIHXqsWfJB2AgzQ0lRLk5ZU0U6S08uSVFfU0hBUkVTT1VUU1RBTkRJTkdfT1VULjMwLzA0LzIwMjAuVVNEAQAAABJoAAACAAAACzQyOTQuODkxMzUzALNDw1ryQdgIUlfRWvJB2AgnQ0lRLk5ZU0U6S08uSVFfTEFTVFNBTEVQUklDRS4zMS8wMy8y</t>
  </si>
  <si>
    <t>MDE4AQAAABJoAAACAAAABTQzLjQzAAVdflPyQdgIl1spcfJB2Ag1Q0lRLk5BU0RBUUdTOkNBS0UuSVFfVE9UQUxfQ0wuOTk4LjMxLzEyLzIwMTkuLkYuVVNELkMBAAAACOAEAAIAAAAHMzc2LjUyNgEIAAAABQAAAAExAQAAAAoxOTQ4MTc2NjYyAwAAAAMxNjACAAAABDEwMDkEAAAAATEHAAAACjEyLzMxLzIwMTkIAAAACTgvMTYvMjAyMAkAAAABMBytF3jyQdgILWf4ePJB2AgxQ0lRLkxTRTpUU0NPLklRX1RPVEFMX0NMLjIwMDAuMzEvMTIvMjAxOS4uRi5HQlAuQwEAAAAwUAYAAgAAAAUyMDU2MwEIAAAABQAAAAExAQAAAAoxOTg2NzkzMjQwAwAAAAI1NQIAAAAEMTAwOQQAAAABMQcAAAAKMTIvMzEvMjAxOQgAAAAJOC8xNi8yMDIwCQAAAAEwHK0XePJB2Ahn3fh48kHYCDpDSVEuTFNFOlRTQ08uSVFfRUJJVERBX01FRElBTl9FU1QuMTAwMy4zMC8wNC8yMDIwLi5GLkdCUC5DAQAAADBQBgACAAAACTQ4MjQuNTY2NQEOAAAABQAAAAEzAQAAAAEwAgAAAAoxMDAxNDE2MDc3AwAAAAYxMDAxODgEAAAAATMGAAAAATAHAAAAAjU1CAAAAAExCQAAAAExCgAAAAEwCwAAAAsxMTg5MzM0NTYxNQwAAAABMQ0AAAAINS8xLzIwMjAQAAAACTgvMTYvMjAyMKR/B0vyQdgIJzehWfJB2AgoQ0lRLkxTRTpTRk9SLklRX0xBU1RTQUxFUFJJQ0UuMjcvMDQvMjAxOAEAAADLU+QhAwAAAAAAKeaFUvJB2AjsTQVx8kHYCChDSVEu</t>
  </si>
  <si>
    <t>TFNFOlNGT1IuSVFfTEFTVFNBTEVQUklDRS4xMi8wNy8yMDE5AQAAAMtT5CECAAAABTEuNTc1ANGDflPyQdgI33EocfJB2AgkQ0lRLk5ZU0U6UkFDRS5JUV9CRVRBXzVZUi4zMC8wNC8yMDIwAQAAAD2CsBACAAAAETAuOTExNDQ5NTA4MjQ2NjA4AKPWJFXyQdgI8GiIWfJB2AggQ0lRLi5JUV9MQVNUU0FMRVBSSUNFLjMwLzA0LzIwMTkFAAAAAAAAAAgAAAAUKEludmFsaWQgSWRlbnRpZmllcikgtzJS8kHYCMmoKXPyQdgIJkNJUS5OQVNEQVFHUzpDQUtFLklRX1ZPTFVNRS4wNy8wNi8yMDE5AQAAAAjgBAACAAAACDAuNDIxODA2AJX9JFXyQdgI3ofAcvJB2AgnQ0lRLk5ZU0U6S08uSVFfTEFTVFNBTEVQUklDRS4xMy8wOS8yMDE5AQAAABJoAAACAAAABTU0LjI2AAVdflPyQdgIowgrcfJB2AgtQ0lRLk5BU0RBUUdTOkNBS0UuSVFfTEFTVFNBTEVQUklDRS4yNC8wMS8yMDIwAQAAAAjgBAACAAAABTM5LjQ4AAgPflPyQdgIEFpcWfJB2AgvQ0lRLk5ZU0U6S08uSVFfU0hBUkVTT1VUU1RBTkRJTkcuMzEvMTIvMjAxNi5VU0QBAAAAEmgAAAIAAAAHNDMxMi45NgADScpM8kHYCHv0YHbyQdgIIkNJUS5OWVNFOk1BTlUuSVFfVk9MVU1FLjEwLzAxLzIwMjABAAAA3WsNAAIAAAAIMC4wNzI3NzMAlf0kVfJB2AgeRHlZ8kHYCClDSVEuTkFTREFRR1M6VFNMQS5JUV9TUF9MQ19MVC4uMzEvMTIvMjAxOQEAAAAQxqIBAwAA</t>
  </si>
  <si>
    <t>AAJCKwD+A0J18kHYCO4aTHbyQdgIKUNJUS5OWVNFOlJBQ0UuSVFfTEFTVFNBTEVQUklDRS4wNi8wNy8yMDE4AQAAAD2CsBACAAAABjEzNS4zNgA6v4VS8kHYCLmrDHHyQdgIOENJUS5OQVNEQVFHUzpUU0xBLklRX1BSRUZfRVFVSVRZLjk5OC4zMS8xMi8yMDE5Li5GLlVTRC5DAQAAABDGogEDAAAAAAAe+xd48kHYCATQ9HjyQdgIJ0NJUS4kQUVEWldMLklRX0xBU1RTQUxFUFJJQ0UuMzAvMDQvMjAyMAEAAAAl61oAAgAAAAswLjAxMTM4OTE0NwCqJCVV8kHYCI2zglnyQdgIJUNJUS5eQ09NUC5JUV9MQVNUU0FMRVBSSUNFLjMxLzAzLzIwMTYBAAAAibgoAAIAAAAHNDg2OS44NQB8q4VR8kHYCDlOCnPyQdgILkNJUS5OWVNFOlJBQ0UuSVFfUEVSSU9EREFURS4xMDAwLjMwLzA0LzIwMjAuLkYBAAAAPYKwEAUAAAAKMzEvMTIvMjAxOQCxryRV8kHYCOtlglnyQdgIJENJUS5eU1BYLklRX0xBU1RTQUxFUFJJQ0UuMDkvMTEvMjAxOAEAAACbuCgAAgAAABAyNzgxLjAwOTE1NjcyMDQyAIrFN1HyQdgIzG8Tc/JB2AggQ0lRLi5JUV9MQVNUU0FMRVBSSUNFLjEwLzA1LzIwMTkFAAAAAAAAAAgAAAAUKEludmFsaWQgSWRlbnRpZmllcinsjTZR8kHYCDuzSHPyQdgIP0NJUS5OWVNFOlJBQ0UuSVFfVE9UQUxfREVCVF9OT05fQ1VSUkVOVC45OTcuMzEvMTIvMjAxOS4uRi5FVVIuQwEAAAA9grAQAgAAAAgxMzQwLjk4MQEI</t>
  </si>
  <si>
    <t>AAAABQAAAAExAQAAAAoxODc2MDQzMzEzAwAAAAI1MAIAAAAFMjUyMjQEAAAAATEHAAAACjEyLzMxLzIwMTkIAAAACTgvMTYvMjAyMAkAAAABMBytF3jyQdgI3jD3ePJB2AgsQ0lRLk5ZU0U6TUFOVS5JUV9FQlQuOTk2LjMwLzA0LzIwMjAuLkYuR0JQLkMBAAAA3WsNAAIAAAAGLTMuNTY3AQgAAAAFAAAAATEBAAAACjE4NjE3MzY4NjkDAAAAAjU1AgAAAAMxMzkEAAAAATEHAAAACTQvMzAvMjAyMAgAAAAJOC8xNi8yMDIwCQAAAAEwvFgHS/JB2Ai6iqZZ8kHYCDlDSVEuTllTRTpNQU5VLklRX0VCSVRfTUVESUFOX0VTVC4xMDAzLjMwLzA0LzIwMjAuLkYuR0JQLkMBAAAA3WsNAAIAAAAGNDkuNjQ5AQ4AAAAFAAAAATMBAAAAATACAAAACjEwMDM3MjgyMDEDAAAABjEwMDIxNgQAAAABMwYAAAABMAcAAAACNTUIAAAAATEJAAAAATEKAAAAATALAAAACzExODY4NjI0MjY0DAAAAAExDQAAAAg1LzEvMjAyMBAAAAAJOC8xNi8yMDIwpH8HS/JB2AjTgKNZ8kHYCCZDSVEuTkFTREFRR1M6VFNMQS5JUV9WT0xVTUUuMjYvMDcvMjAxOQEAAAAQxqIBAgAAAAcxMC4wMjc3AKPWJFXyQdgId+bBcvJB2AgzQ0lRLkxTRTpTRk9SLklRX1RPVEFMX0xJQUIuMTAwMC4zMS8xMi8yMDE5Li5GLkdCUC5DAQAAAMtT5CECAAAABzE1OS43MTQBCAAAAAUAAAABMQEAAAAKMTk2MTExNjI3MQMAAAACNTUCAAAABDEyNzYEAAAAATEHAAAA</t>
  </si>
  <si>
    <t>CjEyLzMxLzIwMTkIAAAACTgvMTYvMjAyMAkAAAABMITUF3jyQdgI8eH1ePJB2AglQ0lRLk5ZU0U6TUFOVS5JUV9TUF9MQ19MVC4uMzEvMTIvMjAxOQEAAADdaw0AAwAAAAAA/gNCdfJB2AjuGkx28kHYCCFDSVEuTFNFOlNGT1IuSVFfVk9MVU1FLjIwLzA0LzIwMTgBAAAAy1PkIQMAAAAAAEFSQnXyQdgI9qtQdvJB2Ag2Q0lRLkVVUi5JUV9GVUxMX0NVUlZFX0FOTlVBTC5BTExDT1JQLkJCLjIwWS4zMC8wNC8yMDIwAQAAAAAAAAACAAAACTAuMDQ2NTE4OQCqJCVV8kHYCG+VhlnyQdgIMENJUUFWRy4kQUVEVVNELklRX0xBU1RTQUxFUFJJQ0UuNDM1NTIuMjcvMDMvMjAyMAEAAAAl61oAAgAAAAgzLjY3MzAxMgDqlspM8kHYCCZNi1nyQdgIL0NJUS5MU0U6VFNDTy5JUV9SVUFfTkVULjIwMDAuMzEvMTIvMjAxOS4uLkxPQ0FMAQAAADBQBgADAAAAAAD+A0J18kHYCAMQUHbyQdgIJ0NJUS5OWVNFOktPLklRX0xBU1RTQUxFUFJJQ0UuMTIvMDcvMjAxOQEAAAASaAAAAgAAAAU1Mi4xMgDRg35T8kHYCE6aKHHyQdgIOUNJUS5OQVNEQVFHUzpUU0xBLklRX1NIQVJFU09VVFNUQU5ESU5HX09VVC4zMS8xMi8yMDE4LlVTRAEAAAAQxqIBAgAAAAoxNzEuODI5ODI4ABUiykzyQdgIXWlhdvJB2AgrQ0lRLkxTRTpTRk9SLklRX0ZJTElOR19DVVJSRU5DWS4uMzAvMDQvMjAyMAEAAADLU+QhAwAAAANHQlAAsa8kVfJB2AiO</t>
  </si>
  <si>
    <t>0H9Z8kHYCCZDSVEuTkFTREFRR1M6Q0FLRS5JUV9WT0xVTUUuMjcvMDcvMjAxOAEAAAAI4AQAAgAAAAgwLjk2MDkzMwA6v4VS8kHYCA4bD3HyQdgIKENJUS5MU0U6VFNDTy5JUV9MQVNUU0FMRVBSSUNFLjMxLzEyLzIwMTcBAAAAMFAGAAIAAAAGMi4wOTI1AAVdflPyQdgI33EocfJB2AghQ0lRLkxTRTpTRk9SLklRX1ZPTFVNRS4yNi8xMC8yMDE4AQAAAMtT5CECAAAACDAuMDgyMDE5AEOYhVLyQdgI7Y8WcfJB2AgzQ0lRLkxTRTpUU0NPLklRX1BSRUZfRVFVSVRZLjk5Ni4zMS8xMi8yMDE5Li5GLkdCUC5DAQAAADBQBgADAAAAAAAe+xd48kHYCBmC9HjyQdgIKUNJUS5OWVNFOlJBQ0UuSVFfTEFTVFNBTEVQUklDRS4yOC8wMi8yMDE3AQAAAD2CsBACAAAABTY1LjA2ANGDflPyQdgIDgQmcfJB2AgoQ0lRLkxTRTpUU0NPLklRX0xBU1RTQUxFUFJJQ0UuMzEvMDUvMjAxNwEAAAAwUAYAAgAAAAUxLjgzNwDRg35T8kHYCBLuJnHyQdgIMUNJUS5OWVNFOlJBQ0UuSVFfVE9UQUxfQ0wuOTk5LjMwLzA0LzIwMjAuLkYuRVVSLkMBAAAAPYKwEAIAAAAIMTI4NS45NjIBCAAAAAUAAAABMQEAAAAKMjAxNTYzOTgxOAMAAAACNTACAAAABDEwMDkEAAAAATEHAAAACTQvMzAvMjAyMAgAAAAJOC8xNi8yMDIwCQAAAAEw4OMGS/JB2AjYUpdZ8kHYCClDSVEuTllTRTpNQU5VLklRX0xBU1RTQUxFUFJJQ0UuMzEvMTIvMjAxNQEA</t>
  </si>
  <si>
    <t>AADdaw0AAgAAAAUxNy44MQC5lH9T8kHYCDggI3HyQdgIRENJUS5OQVNEQVFHUzpUU0xBLklRX01JTk9SSVRZX0lOVEVSRVNUX1RPVEFMLjk5Ny4zMC8wNC8yMDIwLi5GLlVTRC5DAQAAABDGogECAAAACDExNTIuMjE0AQgAAAAFAAAAATEBAAAACjE5NDU4NzM1NTEDAAAAAzE2MAIAAAAEMTMxMgQAAAABMQcAAAAJNC8zMC8yMDIwCAAAAAk4LzE2LzIwMjAJAAAAATC8WAdL8kHYCDDCmVnyQdgIMkNJUS5OQVNEQVFHUzpDQUtFLklRX1BFUklPRERBVEUuMTAwMC4zMS8xMi8yMDE5Li5GAQAAAAjgBAAFAAAACjAxLzAxLzIwMTkA/gNCdfJB2AjPK0128kHYCCZDSVEuTkFTREFRR1M6VFNMQS5JUV9WT0xVTUUuMjEvMDkvMjAxOAEAAAAQxqIBAgAAAAg1LjA1MDQ3OABDmIVS8kHYCMHSE3HyQdgIKENJUS5MU0U6VFNDTy5JUV9MQVNUU0FMRVBSSUNFLjMwLzExLzIwMTkBAAAAMFAGAAIAAAAFMi4yOTQAAeh9U/JB2AhWOi5x8kHYCDBDSVEuTFNFOlNGT1IuSVFfQ09TVF9SRVYuOTk4LjMwLzA0LzIwMjAuLkYuR0JQLkMBAAAAy1PkIQMAAAAAAMkxB0vyQdgIwhWfWfJB2AggQ0lRLi5JUV9MQVNUU0FMRVBSSUNFLjEzLzA0LzIwMTgFAAAAAAAAAAgAAAAUKEludmFsaWQgSWRlbnRpZmllcilfM9x08kHYCIznQXbyQdgILENJUS5OQVNEQVFHUzpDQUtFLklRX0JFVEFfNVlSX1JTUS4zMC8wNC8yMDIwAQAAAAjgBAAC</t>
  </si>
  <si>
    <t>AAAAETAuMzYxMTQ2MDA4MjExMTQzALGvJFXyQdgIp3mJWfJB2AgsQ0lRLk5ZU0U6S08uSVFfREFfQ0YuOTk3LjMxLzEyLzIwMTkuLkYuVVNELkMBAAAAEmgAAAIAAAAEMTk3MAEIAAAABQAAAAExAQAAAAoxODc1Nzk3ODA5AwAAAAMxNjACAAAABDIxNjAEAAAAATEHAAAACjEyLzMxLzIwMTkIAAAACTgvMTYvMjAyMAkAAAABMNoUlnfyQdgIv/bmePJB2AgwQ0lRLk5BU0RBUUdTOlRTTEEuSVFfRUJULjk5Ny4zMS8xMi8yMDE5Li5GLlVTRC5DAQAAABDGogECAAAACC04NzUuNjI0AQgAAAAFAAAAATEBAAAACjE4NzU3NjkwODIDAAAAAzE2MAIAAAADMTM5BAAAAAExBwAAAAoxMi8zMS8yMDE5CAAAAAk4LzE2LzIwMjAJAAAAATDc7ZV38kHYCMt26njyQdgIJ0NJUS4kQUVER0JQLklRX0xBU1RTQUxFUFJJQ0UuMjMvMDIvMjAxMwEAAAAl61oAAgAAAAs1LjYwNjUwMjMyOABHYBd48kHYCC87AXnyQdgIQUNJUS5OWVNFOlJBQ0UuSVFfTUlOT1JJVFlfSU5URVJFU1RfVE9UQUwuMjAwMC4zMC8wNC8yMDIwLi5GLkVVUi5DAQAAAD2CsBACAAAABTUuOTk4AQgAAAAFAAAAATEBAAAACjIwMTU2NDI5NTQDAAAAAjUwAgAAAAQxMzEyBAAAAAExBwAAAAk0LzMwLzIwMjAIAAAACTgvMTYvMjAyMAkAAAABMNkKB0vyQdgIyk6ZWfJB2AgvQ0lRLk5BU0RBUUdTOkNBS0UuSVFfTkkuOTk2LjMwLzA0LzIwMjAuLkYuVVNELkMB</t>
  </si>
  <si>
    <t>AAAACOAEAAIAAAAHMTE2LjUyMwEIAAAABQAAAAExAQAAAAoxODc3MTQ0NDM4AwAAAAMxNjACAAAAAjE1BAAAAAExBwAAAAk0LzMwLzIwMjAIAAAACTgvMTYvMjAyMAkAAAABMP9vykzyQdgIAtOoWfJB2AgiQ0lRLk5ZU0U6TUFOVS5JUV9WT0xVTUUuMDkvMDMvMjAxOAEAAADdaw0AAgAAAAgwLjAxNTk1NAAoK0J18kHYCM/AVnbyQdgIIkNJUS5OWVNFOk1BTlUuSVFfVk9MVU1FLjA2LzA3LzIwMTgBAAAA3WsNAAIAAAAIMC4wMDU2NTUAOr+FUvJB2Ait0gxx8kHYCCRDSVEuXlNQWC5JUV9MQVNUU0FMRVBSSUNFLjE4LzAxLzIwMTkBAAAAm7goAAIAAAAQMjY3MC43MTE3MTI1MTExMQCKxTdR8kHYCBNJE3PyQdgIJ0NJUS5OWVNFOktPLklRX0xBU1RTQUxFUFJJQ0UuMDMvMDgvMjAxOAEAAAASaAAAAgAAAAU0Ni42MgA6v4VS8kHYCNW2D3HyQdgIKUNJUS5OWVNFOlJBQ0UuSVFfTEFTVFNBTEVQUklDRS4zMS8wMS8yMDIwAQAAAD2CsBACAAAABjE2OC44MgAID35T8kHYCLuiXlnyQdgIJUNJUS5eQ09NUC5JUV9MQVNUU0FMRVBSSUNFLjIxLzA2LzIwMTkBAAAAibgoAAIAAAAHODAzMS43MQB8q4VR8kHYCBlUFnPyQdgIPkNJUS5OQVNEQVFHUzpUU0xBLklRX0NBUEVYX01FRElBTl9FU1QuMTAwMi4zMC8wNC8yMDIwLi5GLlVTRC5DAQAAABDGogECAAAACy0yNzE2LjA0ODcyAQ4AAAAFAAAAATMBAAAAATACAAAA</t>
  </si>
  <si>
    <t>CjEwMDE1NTY2NDEDAAAABjEwNDA5MQQAAAABMgYAAAABMAcAAAADMTYwCAAAAAExCQAAAAExCgAAAAEwCwAAAAsxMTg5ODkxMjA5MwwAAAABMQ0AAAAINS8xLzIwMjAQAAAACTgvMTYvMjAyMKR/B0vyQdgIk82qWfJB2AgxQ0lRLkxTRTpUU0NPLklRX1JVQV9HUk9TUy4yMDAwLjMwLzA0LzIwMjAuLi5MT0NBTAEAAAAwUAYAAgAAAAQ2ODc0AQgAAAAFAAAAATEBAAAACjIwMzc0NDY4MjcDAAAAAjU1AgAAAAU0ODM2NQQAAAABMAcAAAAJNC8zMC8yMDIwCAAAAAkyLzI5LzIwMjAJAAAAATCxryRV8kHYCA3WfVnyQdgINkNJUS5OQVNEQVFHUzpDQUtFLklRX1RPVEFMX1JFVi45OTguMzEvMTIvMjAxOS4uRi5VU0QuQwEAAAAI4AQAAgAAAAgyMjc1LjcxOQEIAAAABQAAAAExAQAAAAoxOTQ4MTc2NjYyAwAAAAMxNjACAAAAAjI4BAAAAAExBwAAAAoxMi8zMS8yMDE5CAAAAAk4LzE2LzIwMjAJAAAAATAe+xd48kHYCL858njyQdgIK0NJUS5OWVNFOktPLklRX0VCSVQuOTk5LjMwLzA0LzIwMjAuLkYuVVNELkMBAAAAEmgAAAIAAAAFMTAyMDMBCAAAAAUAAAABMQEAAAAKMjAxNjc5MTI1MQMAAAADMTYwAgAAAAM0MDAEAAAAATEHAAAACTQvMzAvMjAyMAgAAAAJOC8xNi8yMDIwCQAAAAEwA0nKTPJB2AhJkKRZ8kHYCBlDSVEuLklRX1ZPTFVNRS4wMi8wMi8yMDE4BQAAAAAAAAAIAAAAFChJbnZhbGlkIElkZW50aWZp</t>
  </si>
  <si>
    <t>ZXIpGN1BdfJB2Aj7aFp28kHYCD5DSVEuTkFTREFRR1M6Q0FLRS5JUV9DQVBFWF9NRURJQU5fRVNULjYwMDEuMzAvMDQvMjAyMC4uRi5VU0QuQwEAAAAI4AQAAwAAAAAA/2/KTPJB2AiSpqpZ8kHYCDJDSVEuTllTRTpNQU5VLklRX1RPVEFMX1JFVi45OTcuMzEvMTIvMjAxOS4uRi5HQlAuQwEAAADdaw0AAgAAAAc1MTUuMzQ1AQgAAAAFAAAAATEBAAAACjE5MTAyNDc0MDMDAAAAAjU1AgAAAAIyOAQAAAABMQcAAAAKMTIvMzEvMjAxOQgAAAAJOC8xNi8yMDIwCQAAAAEwHvsXePJB2AjHEvJ48kHYCCRDSVEuXlNQWC5JUV9MQVNUU0FMRVBSSUNFLjMxLzA4LzIwMTgBAAAAm7goAAIAAAAQMjkwMS41MTc2NzcwNDA1MgC1vDdS8kHYCATlE3PyQdgINUNJUS5MU0U6U0ZPUi5JUV9FUVVJVFlfTUVUSE9ELjk5Ni4zMS8xMi8yMDE5Li5GLkdCUC5DAQAAAMtT5CEDAAAAAABHYBd48kHYCG5o/3jyQdgIJ0NJUS4kQUVEUUFSLklRX0xBU1RTQUxFUFJJQ0UuMzEvMTIvMjAxOAEAAAAl61oAAgAAAAoxLjAwODg0NDIxAP4DQnXyQdgIyI9MdvJB2Ag7Q0lRLk5BU0RBUUdTOkNBS0UuSVFfREFfTUVESUFOX0VTVC4xMDAyLjMxLzEyLzIwMTkuLkYuVVNELkMBAAAACOAEAAIAAAAFMTA5LjcBDgAAAAUAAAABMwEAAAABMAIAAAAKMTAwMjIyNDIyMgMAAAAGMTE0MTkwBAAAAAEyBgAAAAEwBwAAAAMxNjAIAAAAATEJAAAAATEK</t>
  </si>
  <si>
    <t>AAAAATALAAAACzExNzIzNjE0NTE4DAAAAAExDQAAAAgxLzEvMjAyMBAAAAAJOC8xNi8yMDIw2hSWd/JB2AiG4Od48kHYCClDSVEuTllTRTpNQU5VLklRX0xBU1RTQUxFUFJJQ0UuMTgvMDEvMjAxOQEAAADdaw0AAgAAAAUxOS41NQCkvH9T8kHYCPf4InHyQdgIHUNJUS5eQVNYLklRX0NPTVBBTllfTkFNRV9MT05HAQAAAB9T6wEDAAAAIUZUU0UgQWxsLVNoYXJlIEluZGV4IChHQlApICheQVNYKQAA3jJS8kHYCFtTwVnyQdgIIUNJUS5MU0U6U0ZPUi5JUV9WT0xVTUUuMzAvMDMvMjAxOAEAAADLU+QhAwAAAAAAKCtCdfJB2AiBf1J28kHYCCxDSVEuTllTRTpLTy5JUV9EQV9DRi45OTkuMzAvMDQvMjAyMC4uRi5VU0QuQwEAAAASaAAAAgAAAAQxMDg2AQgAAAAFAAAAATEBAAAACjIwMTY3OTEyNTEDAAAAAzE2MAIAAAAEMjE2MAQAAAABMQcAAAAJNC8zMC8yMDIwCAAAAAk4LzE2LzIwMjAJAAAAATADScpM8kHYCL7jqVnyQdgIMUNJUS5OQVNEQVFHUzpDQUtFLklRX0VCSVQuOTk3LjMxLzEyLzIwMTkuLkYuVVNELkMBAAAACOAEAAIAAAAHMTcxLjI1NwEIAAAABQAAAAExAQAAAAoxODc3MTQ0NDM4AwAAAAMxNjACAAAAAzQwMAQAAAABMQcAAAAKMTIvMzEvMjAxOQgAAAAJOC8xNi8yMDIwCQAAAAEwHiIYePJB2Ahn/Ot48kHYCDRDSVEuTFNFOlNGT1IuSVFfVE9UQUxfQVNTRVRTLjk5Ni4zMS8xMi8yMDE5Li5G</t>
  </si>
  <si>
    <t>LkdCUC5DAQAAAMtT5CEDAAAAAAA7hhd48kHYCM+w+njyQdgIMENJUS5OWVNFOlJBQ0UuSVFfSU5DX1RBWC45OTYuMzEvMTIvMjAxOS4uRi5FVVIuQwEAAAA9grAQAgAAAAcxMzMuMjE4AQgAAAAFAAAAATEBAAAACjE4MzA0NzQwOTQDAAAAAjUwAgAAAAI3NQQAAAABMQcAAAAKMTIvMzEvMjAxOQgAAAAJOC8xNi8yMDIwCQAAAAEw3O2Vd/JB2AgbZul48kHYCC1DSVEuTkFTREFRR1M6Q0FLRS5JUV9MQVNUU0FMRVBSSUNFLjIwLzA3LzIwMTgBAAAACOAEAAIAAAAFNTkuMDUAOr+FUvJB2AiKWQ5x8kHYCCJDSVEuTllTRTpNQU5VLklRX1ZPTFVNRS4yMy8wMy8yMDE4AQAAAN1rDQACAAAACDAuMDE3MjU5ACgrQnXyQdgI0RlTdvJB2AglQ0lRLl5DT01QLklRX0xBU1RTQUxFUFJJQ0UuMjcvMTIvMjAxOQEAAACJuCgAAgAAAAc5MDA2LjYyAAmWN1LyQdgIPGoVc/JB2AgwQ0lRLk5ZU0U6S08uSVFfUlVBX0dST1NTLjIwMDAuMzEvMTIvMjAxOS4uLkxPQ0FMAQAAABJoAAADAAAAAAD+A0J18kHYCCbpT3byQdgIIUNJUS5MU0U6VFNDTy5JUV9WT0xVTUUuMDkvMDMvMjAxOAEAAAAwUAYAAgAAAAczNi4yNTIyACgrQnXyQdgICJtWdvJB2AglQ0lRLl5DT01QLklRX0xBU1RTQUxFUFJJQ0UuMzAvMDkvMjAxNgEAAACJuCgAAgAAAAQ1MzEyAHyrhVHyQdgIXScKc/JB2AgzQ0lRLk5BU0RBUUdTOlRTTEEuSVFfREFfQ0Yu</t>
  </si>
  <si>
    <t>MTAwMC4zMS8xMi8yMDE5Li5GLlVTRC5DAQAAABDGogECAAAABzE4ODcuNzUBCAAAAAUAAAABMQEAAAAKMTk0NTg3MzU0NgMAAAADMTYwAgAAAAQyMTYwBAAAAAExBwAAAAoxMi8zMS8yMDE5CAAAAAk4LzE2LzIwMjAJAAAAATDaFJZ38kHYCKBr53jyQdgIKkNJUS5OWVNFOktPLklRX0VCVC45OTcuMzAvMDQvMjAyMC4uRi5VU0QuQwEAAAASaAAAAgAAAAQ4MTM2AQgAAAAFAAAAATEBAAAACjE5NDY0MzA3ODIDAAAAAzE2MAIAAAADMTM5BAAAAAExBwAAAAk0LzMwLzIwMjAIAAAACTgvMTYvMjAyMAkAAAABMANJykzyQdgItmOmWfJB2AgoQ0lRLkxTRTpUU0NPLklRX0xBU1RTQUxFUFJJQ0UuMTYvMDgvMjAxOQEAAAAwUAYAAgAAAAUyLjE2MQDRg35T8kHYCIipKXHyQdgIKENJUS5MU0U6VFNDTy5JUV9MQVNUU0FMRVBSSUNFLjMxLzAxLzIwMTcBAAAAMFAGAAIAAAAFMS45NDYA0YN+U/JB2AgOBCZx8kHYCCxDSVEuTFNFOlNGT1IuSVFfUEVSSU9EREFURS45OTcuMzEvMTIvMjAxOS4uRgEAAADLU+QhAwAAAAAA/gNCdfJB2AiloE128kHYCDtDSVEuTkFTREFRR1M6VFNMQS5JUV9OSV9NRURJQU5fRVNULjEwMDMuMzEvMTIvMjAxOS4uRi5VU0QuQwEAAAAQxqIBAgAAAAkxNzk2LjI0NDUBDgAAAAUAAAABMwEAAAABMAIAAAAKMTAwMTU1NjY0MQMAAAAGMTAwMjUxBAAAAAEyBgAAAAEwBwAAAAMxNjAIAAAAATEJ</t>
  </si>
  <si>
    <t>AAAAATEKAAAAATALAAAACzExNzI5MDg5NTQxDAAAAAExDQAAAAgxLzEvMjAyMBAAAAAJOC8xNi8yMDIw2hSWd/JB2AgbZul48kHYCC1DSVEuTkFTREFRR1M6VFNMQS5JUV9MQVNUU0FMRVBSSUNFLjMwLzA0LzIwMTYBAAAAEMaiAQIAAAAGMjQwLjc2AMGqflPyQdgI1QkkcfJB2Ag0Q0lRLk5BU0RBUUdTOkNBS0UuSVFfRUJJVERBLjIwMDAuMzEvMTIvMjAxOS4uRi5VU0QuQwEAAAAI4AQAAgAAAAcyMjEuMjA1AQgAAAAFAAAAATEBAAAACjE5OTEzMjcwNDADAAAAAzE2MAIAAAAENDA1MQQAAAABMQcAAAAKMTIvMzEvMjAxOQgAAAAJOC8xNi8yMDIwCQAAAAEwHiIYePJB2Aitue548kHYCDNDSVEuTkFTREFRR1M6Q0FLRS5JUV9DQVBFWC4yMDAwLjMwLzA0LzIwMjAuLkYuVVNELkMBAAAACOAEAAIAAAAHLTczLjc2NQEIAAAABQAAAAExAQAAAAoyMDIxNTgyNzA0AwAAAAMxNjACAAAABDIwMjEEAAAAATEHAAAACTQvMzAvMjAyMAgAAAAJOC8xNi8yMDIwCQAAAAEw/2/KTPJB2AhqQqtZ8kHYCDRDSVEuTFNFOlRTQ08uSVFfUFJFUEFJRF9FWFAuMjAwMC4zMC8wNC8yMDIwLi5GLkdCUC5DAQAAADBQBgADAAAAAADJMQdL8kHYCB16rFnyQdgIMUNJUS5OQVNEQVFHUzpDQUtFLklRX0VCVC4xMDAwLjMwLzA0LzIwMjAuLkYuVVNELkMBAAAACOAEAAIAAAAHMTQwLjMzNAEIAAAABQAAAAExAQAAAAoyMDIxNTgxNDEx</t>
  </si>
  <si>
    <t>AwAAAAMxNjACAAAAAzEzOQQAAAABMQcAAAAJNC8zMC8yMDIwCAAAAAk4LzE2LzIwMjAJAAAAATD/b8pM8kHYCOTupVnyQdgIMUNJUS5MU0U6VFNDTy5JUV9MVF9JTlZFU1QuOTk3LjMxLzEyLzIwMTkuLkYuR0JQLkMBAAAAMFAGAAIAAAAEMTg2MwEIAAAABQAAAAExAQAAAAoxODQ3ODI1MTQ4AwAAAAI1NQIAAAAEMTA1NAQAAAABMQcAAAAKMTIvMzEvMjAxOQgAAAAJOC8xNi8yMDIwCQAAAAEwO4YXePJB2Ag67vl48kHYCC9DSVEuTkFTREFRR1M6Q0FLRS5JUV9OSS45OTguMzEvMTIvMjAxOS4uRi5VU0QuQwEAAAAI4AQAAgAAAAcxMzkuNDk0AQgAAAAFAAAAATEBAAAACjE5NDgxNzY2NjIDAAAAAzE2MAIAAAACMTUEAAAAATEHAAAACjEyLzMxLzIwMTkIAAAACTgvMTYvMjAyMAkAAAABMNoUlnfyQdgISqPoePJB2AgzQ0lRLk5ZU0U6TUFOVS5JUV9UT1RBTF9MSUFCLjk5Ni4zMC8wNC8yMDIwLi5GLkdCUC5DAQAAAN1rDQACAAAABjgyMy42NwEIAAAABQAAAAExAQAAAAoxODYxNzM2ODY5AwAAAAI1NQIAAAAEMTI3NgQAAAABMQcAAAAJNC8zMC8yMDIwCAAAAAk4LzE2LzIwMjAJAAAAATD/b8pM8kHYCPCrmlnyQdgIJkNJUS5OQVNEQVFHUzpDQUtFLklRX1ZPTFVNRS4xNy8wMS8yMDIwAQAAAAjgBAACAAAACDEuMDY3NjcxAJX9JFXyQdgIwnt6WfJB2AgkQ0lRLl5TUFguSVFfTEFTVFNBTEVQUklDRS4yNS8x</t>
  </si>
  <si>
    <t>MC8yMDE5AQAAAJu4KAACAAAAEDMwMjIuNTQ5NjQzNjkwMTIAtbw3UvJB2AgkOBJz8kHYCCJDSVEuTllTRTpSQUNFLklRX1ZPTFVNRS4yMi8wNi8yMDE4AQAAAD2CsBACAAAACDAuNzMxMjIyACnmhVLyQdgIBnQLcfJB2AgzQ0lRLk5ZU0U6S08uSVFfU0hBUkVTT1VUU1RBTkRJTkdfT1VULjMxLzEyLzIwMTkuVVNEAQAAABJoAAACAAAACzQzMjkuMjA5MTczAANJykzyQdgIL+lddvJB2Ag1Q0lRLkxTRTpUU0NPLklRX0VRVUlUWV9NRVRIT0QuOTk3LjMwLzA0LzIwMjAuLkYuR0JQLkMBAAAAMFAGAAIAAAADNjY4AQgAAAAFAAAAATEBAAAACjE4ODg1MjUwNzQDAAAAAjU1AgAAAAQzMDYzBAAAAAExBwAAAAk0LzMwLzIwMjAIAAAACTgvMTYvMjAyMAkAAAABMMkxB0vyQdgIylKQWfJB2AglQ0lRLl5DT01QLklRX0xBU1RTQUxFUFJJQ0UuMTkvMDcvMjAxOQEAAACJuCgAAgAAAAc4MTQ2LjQ5AHyrhVHyQdgIAy0Wc/JB2AgtQ0lRLk5ZU0U6TUFOVS5JUV9FQklULjk5Ny4zMS8xMi8yMDE5Li5GLkdCUC5DAQAAAN1rDQACAAAABjg2LjEzNwEIAAAABQAAAAExAQAAAAoxOTEwMjQ3NDAzAwAAAAI1NQIAAAADNDAwBAAAAAExBwAAAAoxMi8zMS8yMDE5CAAAAAk4LzE2LzIwMjAJAAAAATAeIhh48kHYCHPV63jyQdgIP0NJUS5OWVNFOlJBQ0UuSVFfVE9UQUxfREVCVF9OT05fQ1VSUkVOVC45OTcuMzAvMDQvMjAyMC4u</t>
  </si>
  <si>
    <t>Ri5FVVIuQwEAAAA9grAQAgAAAAgxNDQ4LjE2NQEIAAAABQAAAAExAQAAAAoxOTQ3NDQ0MTg0AwAAAAI1MAIAAAAFMjUyMjQEAAAAATEHAAAACTQvMzAvMjAyMAgAAAAJOC8xNi8yMDIwCQAAAAEw2QoHS/JB2AizsphZ8kHYCCxDSVEuTkFTREFRR1M6VFNMQS5JUV9CRVRBXzVZUl9SU1EuMzEvMTIvMjAxOQEAAAAQxqIBAgAAABIwLjAzMzY5NDc5MDY2MjMxODMA3wbedPJB2AhW7kZ28kHYCCdDSVEuTllTRTpLTy5JUV9MQVNUU0FMRVBSSUNFLjA5LzAyLzIwMTgBAAAAEmgAAAIAAAAFNDMuMTMAKCtCdfJB2AgaMFl28kHYCCJDSVEuTllTRTpNQU5VLklRX1ZPTFVNRS4wMy8wOC8yMDE4AQAAAN1rDQACAAAACDAuMDA3MDc3ADq/hVLyQdgIFpEPcfJB2AgpQ0lRLk5ZU0U6TUFOVS5JUV9MQVNUU0FMRVBSSUNFLjMxLzA4LzIwMTYBAAAA3WsNAAIAAAAFMTYuNjQAwap+U/JB2AiEzCRx8kHYCCZDSVEuTkFTREFRR1M6VFNMQS5JUV9WT0xVTUUuMTMvMDcvMjAxOAEAAAAQxqIBAgAAAAc1Ljg3NTc3ADq/hVLyQdgIbZUNcfJB2AgtQ0lRLk5BU0RBUUdTOkNBS0UuSVFfTEFTVFNBTEVQUklDRS4yMy8wOC8yMDE5AQAAAAjgBAACAAAABTM3LjI2ANGDflPyQdgIcR4qcfJB2Ag7Q0lRLk5BU0RBUUdTOlRTTEEuSVFfTklfTUVESUFOX0VTVC4xMDAxLjMxLzEyLzIwMTkuLkYuVVNELkMBAAAAEMaiAQIAAAAJLTY4LjEz</t>
  </si>
  <si>
    <t>NTQ4AQ4AAAAFAAAAATMBAAAAATACAAAACjEwMDA4NzI5NTgDAAAABjEwMDI1MQQAAAABMgYAAAABMAcAAAADMTYwCAAAAAExCQAAAAExCgAAAAEwCwAAAAsxMTcyOTA4OTYwMQwAAAABMQ0AAAAIMS8xLzIwMjAQAAAACTgvMTYvMjAyMNoUlnfyQdgIJD/pePJB2AgmQ0lRLk5BU0RBUUdTOkNBS0UuSVFfVk9MVU1FLjEzLzAzLzIwMjABAAAACOAEAAIAAAAHMi41NDkyOQCV/SRV8kHYCMiielnyQdgIJUNJUS5JUTUwMDI3NTgxLklRX0xBU1RTQUxFUFJJQ0UuNDM0NjUBAAAAPVz7AgIAAAAFMC43NjMA2C3edPJB2Ah/NUl28kHYCDJDSVEuTllTRTpNQU5VLklRX1JVQV9HUk9TUy4yMDAwLjMwLzA0LzIwMjAuLi5MT0NBTAEAAADdaw0AAgAAAAU2LjIxNQEIAAAABQAAAAExAQAAAAoyMDM3NzA2Mzk0AwAAAAI1NQIAAAAFNDgzNjUEAAAAATAHAAAACTQvMzAvMjAyMAgAAAAJMy8zMS8yMDIwCQAAAAEwsa8kVfJB2AgN1n1Z8kHYCDFDSVEuTllTRTpLTy5JUV9MVF9JTlZFU1QuMTAwMC4zMS8xMi8yMDE5Li5GLlVTRC5DAQAAABJoAAACAAAABTIxNTMzAQgAAAAFAAAAATEBAAAACjE5NDY0MzA3ODEDAAAAAzE2MAIAAAAEMTA1NAQAAAABMQcAAAAKMTIvMzEvMjAxOQgAAAAJOC8xNi8yMDIwCQAAAAEwO4YXePJB2AifYfp48kHYCCJDSVEuTllTRTpSQUNFLklRX1ZPTFVNRS4xMi8wNy8yMDE5AQAAAD2CsBACAAAA</t>
  </si>
  <si>
    <t>CDAuMjQ1Mjk3ACVhtVPyQdgIEfe7cvJB2AhBQ0lRLk5ZU0U6UkFDRS5JUV9NSU5PUklUWV9JTlRFUkVTVF9UT1RBTC4xMDAwLjMwLzA0LzIwMjAuLkYuRVVSLkMBAAAAPYKwEAIAAAAFNS45OTgBCAAAAAUAAAABMQEAAAAKMjAxNTYzOTgyMgMAAAACNTACAAAABDEzMTIEAAAAATEHAAAACTQvMzAvMjAyMAgAAAAJOC8xNi8yMDIwCQAAAAEw2QoHS/JB2AhKdJlZ8kHYCDpDSVEuTkFTREFRR1M6VFNMQS5JUV9UT1RBTF9BU1NFVFMuMjAwMC4zMS8xMi8yMDE5Li5GLlVTRC5DAQAAABDGogECAAAABTMyNzk1AQgAAAAFAAAAATEBAAAACjE5ODk0NTMxMzADAAAAAzE2MAIAAAAEMTAwNwQAAAABMQcAAAAKMTIvMzEvMjAxOQgAAAAJOC8xNi8yMDIwCQAAAAEwO4YXePJB2AhQcvt48kHYCC1DSVEuTkFTREFRR1M6Q0FLRS5JUV9MQVNUU0FMRVBSSUNFLjMxLzEwLzIwMTkBAAAACOAEAAIAAAAFNDEuNzkAAeh9U/JB2AhYEy5x8kHYCCxDSVEuTllTRTpSQUNFLklRX0dQLjIwMDAuMzAvMDQvMjAyMC4uRi5FVVIuQwEAAAA9grAQAgAAAAgxOTYxLjMwNQEIAAAABQAAAAExAQAAAAoyMDE1NjQyOTU0AwAAAAI1MAIAAAACMTAEAAAAATEHAAAACTQvMzAvMjAyMAgAAAAJOC8xNi8yMDIwCQAAAAEw2QoHS/JB2Aifip9Z8kHYCBlDSVEuLklRX1ZPTFVNRS4yMy8xMS8yMDE4BQAAAAAAAAAIAAAAFChJbnZhbGlkIElkZW50</t>
  </si>
  <si>
    <t>aWZpZXIpum1/U/JB2AiLZh5x8kHYCClDSVEuTllTRTpSQUNFLklRX0xBU1RTQUxFUFJJQ0UuMjkvMDMvMjAxOQEAAAA9grAQAgAAAAUxMzMuOAC5lH9T8kHYCMbzJHHyQdgIKUNJUS5OWVNFOk1BTlUuSVFfTEFTVFNBTEVQUklDRS4xNi8wMi8yMDE4AQAAAN1rDQACAAAABTE5LjE1ACgrQnXyQdgIPLtYdvJB2AggQ0lRLi5JUV9MQVNUU0FMRVBSSUNFLjAyLzAyLzIwMTgFAAAAAAAAAAgAAAAUKEludmFsaWQgSWRlbnRpZmllcilJgdx08kHYCNukPXbyQdgIJENJUS5eU1BYLklRX0xBU1RTQUxFUFJJQ0UuMzAvMDYvMjAxOAEAAACbuCgAAgAAABAyNzE4LjM3MzQ2NTAyMjIzALW8N1LyQdgIkgYIc/JB2AgtQ0lRLk5BU0RBUUdTOlRTTEEuSVFfTEFTVFNBTEVQUklDRS4xNC8wNi8yMDE5AQAAABDGogECAAAABjIxNC45MgDBqn5T8kHYCIqwJ3HyQdgIN0NJUS5HQlAuSVFfRlVMTF9DVVJWRV9BTk5VQUwuQUxMQ09SUC5BQUEuMjBZLjMwLzA0LzIwMjABAAAAAAAAAAIAAAAKMC4wMDkyNjA3MQCqJCVV8kHYCFMKh1nyQdgIMUNJUS5MU0U6U0ZPUi5JUV9UT1RBTF9DTC4yMDAwLjMxLzEyLzIwMTkuLkYuR0JQLkMBAAAAy1PkIQIAAAAGODEuODg2AQgAAAAFAAAAATEBAAAACjE5NjExMTc0MDEDAAAAAjU1AgAAAAQxMDA5BAAAAAExBwAAAAoxMi8zMS8yMDE5CAAAAAk4LzE2LzIwMjAJAAAAATAcrRd48kHYCKS2</t>
  </si>
  <si>
    <t>+HjyQdgIK0NJUS5OWVNFOktPLklRX0VCVC4xMDAyLjMwLzA0LzIwMjAuLkYuVVNELkMBAAAAEmgAAAMAAAAAAANJykzyQdgIBCylWfJB2AgpQ0lRLk5ZU0U6TUFOVS5JUV9MQVNUU0FMRVBSSUNFLjI5LzAyLzIwMjABAAAA3WsNAAIAAAAFMTcuNDkAAeh9U/JB2AiH8F5Z8kHYCCBDSVEuLklRX0xBU1RTQUxFUFJJQ0UuMzEvMDcvMjAxNQUAAAAAAAAACAAAABQoSW52YWxpZCBJZGVudGlmaWVyKQgDN1HyQdgI2dRfc/JB2AgqQ0lRLklRNTAwMjc1ODIuSVFfTEFTVFNBTEVQUklDRS4zMS8xMi8yMDE5AQAAAD5c+wICAAAABTEuMzI4AN8G3nTyQdgIOUZKdvJB2AgkQ0lRLl5TUFguSVFfTEFTVFNBTEVQUklDRS4zMC8xMS8yMDE3AQAAAJu4KAACAAAAEDI2NDcuNTc5OTI3NDgzMDcAtbw3UvJB2AjULAhz8kHYCCRDSVEuXlNQWC5JUV9MQVNUU0FMRVBSSUNFLjMxLzEyLzIwMTYBAAAAm7goAAIAAAAQMjIzOC44MjY2ODE3MDc1NQB8q4VR8kHYCMp7CHPyQdgIOUNJUS5MU0U6VFNDTy5JUV9ISUdIX1RBUkdFVF9QUklDRS42MDAwLjMxLzEyLzIwMTkuLi5HQlAuQwEAAAAwUAYAAgAAAAQzLjE1AQ4AAAAFAAAAATcBAAAACDIwMTU3ODc5AgAAAAY0MTE2ODADAAAABjEwMDE2MwQAAAADMjU1BgAAAAEwBwAAAAI1NQgAAAABMQkAAAABMQoAAAABMAsAAAALMTE3MTIyMzQ5MDMMAAAAATgNAAAACDEvMS8yMDIwEAAA</t>
  </si>
  <si>
    <t>AAk4LzE2LzIwMjAeIhh48kHYCER5AHnyQdgIJkNJUS5OQVNEQVFHUzpUU0xBLklRX1ZPTFVNRS4xOC8wMS8yMDE5AQAAABDGogECAAAACDI0LjE1MDc2AKS8f1PyQdgIo0rBcvJB2AgnQ0lRLiRBRURFVVIuSVFfTEFTVFNBTEVQUklDRS4zMS8xMi8yMDE1AQAAACXrWgACAAAACzMuOTg4ODEzNDY3ABUiykzyQdgICvpedvJB2AgxQ0lRLk5ZU0U6TUFOVS5JUV9TSEFSRVNPVVRTVEFORElORy4zMC8wNi8yMDE4LkdCUAEAAADdaw0AAgAAAAoxNjQuMTk0NzU0ABUiykzyQdgIe/RgdvJB2Ag2Q0lRLk5BU0RBUUdTOkNBS0UuSVFfTFRfSU5WRVNULjk5Ny4zMC8wNC8yMDIwLi5GLlVTRC5DAQAAAAjgBAACAAAAAjQyAQgAAAAFAAAAATEBAAAACjE5NDgxNzY2NjIDAAAAAzE2MAIAAAAEMTA1NAQAAAABMQcAAAAJNC8zMC8yMDIwCAAAAAk4LzE2LzIwMjAJAAAAATADScpM8kHYCCHPlVnyQdgIMUNJUS5OWVNFOktPLklRX0xUX0lOVkVTVC4xMDAwLjMwLzA0LzIwMjAuLkYuVVNELkMBAAAAEmgAAAIAAAAFMjE3MzABCAAAAAUAAAABMQEAAAAKMjAxNjc5MTI0NQMAAAADMTYwAgAAAAQxMDU0BAAAAAExBwAAAAk0LzMwLzIwMjAIAAAACTgvMTYvMjAyMAkAAAABMANJykzyQdgIplmVWfJB2AghQ0lRLkxTRTpTRk9SLklRX1ZPTFVNRS4wNi8xMi8yMDE5AQAAAMtT5CECAAAACDAuMDg1NTg5AJX9JFXyQdgIoaO9cvJB</t>
  </si>
  <si>
    <t>2AgpQ0lRLk5ZU0U6UkFDRS5JUV9MQVNUU0FMRVBSSUNFLjMwLzExLzIwMTcBAAAAPYKwEAIAAAAFMTA4LjYABV1+U/JB2AjmIyhx8kHYCDNDSVEuTllTRTpNQU5VLklRX1RPVEFMX0xJQUIuOTk4LjMxLzEyLzIwMTkuLkYuR0JQLkMBAAAA3WsNAAIAAAAIMTA1My41NjUBCAAAAAUAAAABMQEAAAAKMTk4NTg0NTA0NQMAAAACNTUCAAAABDEyNzYEAAAAATEHAAAACjEyLzMxLzIwMTkIAAAACTgvMTYvMjAyMAkAAAABMITUF3jyQdgIBJT1ePJB2AgqQ0lRLkxTRTpTRk9SLklRX0ZJU0NBTF9ZLjUwMC4zMS8xMi8yMDE5Li5GAQAAAMtT5CEBAAAABDIwMTkA3wbedPJB2AhWY0d28kHYCDdDSVEuVVNELklRX0ZVTExfQ1VSVkVfQU5OVUFMLkFMTENPUlAuQ0NDLjIwWS4zMC8wNC8yMDIwAQAAAAAAAAACAAAACDAuMTM5NTc3AKokJVXyQdgIWuOGWfJB2AgnQ0lRLk5ZU0U6S08uSVFfTEFTVFNBTEVQUklDRS4yMy8wMi8yMDE4AQAAABJoAAACAAAABTQ0LjA0ACgrQnXyQdgIitFXdvJB2Ag1Q0lRLkxTRTpUU0NPLklRX0VRVUlUWV9NRVRIT0QuOTk5LjMxLzEyLzIwMTkuLkYuR0JQLkMBAAAAMFAGAAIAAAADNTk5AQgAAAAFAAAAATEBAAAACjE5Njg3MzY1NTkDAAAAAjU1AgAAAAQzMDYzBAAAAAExBwAAAAoxMi8zMS8yMDE5CAAAAAk4LzE2LzIwMjAJAAAAATBHYBd48kHYCELd/3jyQdgIKENJUS5MU0U6VFNDTy5J</t>
  </si>
  <si>
    <t>UV9MQVNUU0FMRVBSSUNFLjMxLzEwLzIwMTYBAAAAMFAGAAIAAAAGMi4xMDc1ANGDflPyQdgINkElcfJB2AgsQ0lRLkxTRTpUU0NPLklRX0VCVC4xMDAzLjMwLzA0LzIwMjAuLkYuR0JQLkMBAAAAMFAGAAMAAAAAAMkxB0vyQdgIBCylWfJB2AgpQ0lRLk5ZU0U6TUFOVS5JUV9MQVNUU0FMRVBSSUNFLjMxLzAxLzIwMTUBAAAA3WsNAAIAAAAFMTUuOTgAQVJCdfJB2AiJXFB28kHYCCtDSVEuTllTRTpNQU5VLklRX05JLjk5Ni4zMC8wNC8yMDIwLi5GLkdCUC5DAQAAAN1rDQACAAAABi0wLjg5NQEIAAAABQAAAAExAQAAAAoxODYxNzM2ODY5AwAAAAI1NQIAAAACMTUEAAAAATEHAAAACTQvMzAvMjAyMAgAAAAJOC8xNi8yMDIwCQAAAAEwvFgHS/JB2AgC06hZ8kHYCDRDSVEuTFNFOlRTQ08uSVFfUFJFRl9FUVVJVFkuMTAwMC4zMS8xMi8yMDE5Li5GLkdCUC5DAQAAADBQBgADAAAAAACE1Bd48kHYCPr29HjyQdgINUNJUS5OWVNFOk1BTlUuSVFfVE9UQUxfQVNTRVRTLjk5OC4zMS8xMi8yMDE5Li5GLkdCUC5DAQAAAN1rDQACAAAACDE1MzMuNjUyAQgAAAAFAAAAATEBAAAACjE5ODU4NDUwNDUDAAAAAjU1AgAAAAQxMDA3BAAAAAExBwAAAAoxMi8zMS8yMDE5CAAAAAk4LzE2LzIwMjAJAAAAATA7hhd48kHYCKkl+3jyQdgILUNJUS5OWVNFOlJBQ0UuSVFfUEVSSU9EREFURS45OTcuMzEvMTIvMjAxOS4uRgEAAAA9</t>
  </si>
  <si>
    <t>grAQBQAAAAozMS8xMi8yMDE1AP4DQnXyQdgIo8dNdvJB2AgtQ0lRLk5BU0RBUUdTOkNBS0UuSVFfTEFTVFNBTEVQUklDRS4yOS8wMi8yMDE2AQAAAAjgBAACAAAABDQ5LjkAwap+U/JB2AiflCNx8kHYCC5DSVEuTFNFOlNGT1IuSVFfQ0FQRVguMjAwMC4zMC8wNC8yMDIwLi5GLkdCUC5DAQAAAMtT5CECAAAABi03Ljg2NQEIAAAABQAAAAExAQAAAAoyMDIyNTk5ODg3AwAAAAI1NQIAAAAEMjAyMQQAAAABMQcAAAAJNC8zMC8yMDIwCAAAAAk4LzE2LzIwMjAJAAAAATDZCgdL8kHYCGRpq1nyQdgIOENJUS5OWVNFOktPLklRX0NBUEVYX01FRElBTl9FU1QuMTAwMS4zMS8xMi8yMDE5Li5GLlVTRC5DAQAAABJoAAACAAAACy0yMTg2LjA3Mzk2AQ4AAAAFAAAAATMBAAAAATACAAAACjEwMDE0MTY0MTUDAAAABjEwNDA5MQQAAAABMgYAAAABMAcAAAADMTYwCAAAAAExCQAAAAExCgAAAAEwCwAAAAsxMTY0ODg1MjU2MAwAAAABMQ0AAAAIMS8xLzIwMjAQAAAACTgvMTYvMjAyMDs8lnfyQdgI71rmePJB2AgsQ0lRLk5ZU0U6TUFOVS5JUV9FQlQuOTk4LjMwLzA0LzIwMjAuLkYuR0JQLkMBAAAA3WsNAAIAAAAGNTYuNTg4AQgAAAAFAAAAATEBAAAACjE5ODU4NDUwNDUDAAAAAjU1AgAAAAMxMzkEAAAAATEHAAAACTQvMzAvMjAyMAgAAAAJOC8xNi8yMDIwCQAAAAEw/2/KTPJB2AjPPKZZ8kHYCDhDSVEuTkFTREFRR1M6</t>
  </si>
  <si>
    <t>Q0FLRS5JUV9QUkVGX0VRVUlUWS45OTkuMzEvMTIvMjAxOS4uRi5VU0QuQwEAAAAI4AQAAwAAAAAAHvsXePJB2Aj69vR48kHYCClDSVEuTllTRTpSQUNFLklRX0xBU1RTQUxFUFJJQ0UuMDcvMDkvMjAxOAEAAAA9grAQAgAAAAYxMjYuODYAQ5iFUvJB2AgddBJx8kHYCChDSVEuTFNFOlRTQ08uSVFfTEFTVFNBTEVQUklDRS4yMS8xMi8yMDE4AQAAADBQBgACAAAABjEuOTM3NQDH4n9T8kHYCF5zIXHyQdgIKENJUS5MU0U6VFNDTy5JUV9MQVNUU0FMRVBSSUNFLjI2LzAxLzIwMTgBAAAAMFAGAAIAAAAFMi4xMTUAKCtCdfJB2AgIkFp28kHYCCdDSVEuJEFFRFVTRC5JUV9MQVNUU0FMRVBSSUNFLjMwLzA5LzIwMTkBAAAAJetaAAIAAAAFMy42NzMAR2AXePJB2AjXYgF58kHYCC1DSVEuTkFTREFRR1M6Q0FLRS5JUV9MQVNUU0FMRVBSSUNFLjIwLzEyLzIwMTkBAAAACOAEAAIAAAAFMzkuNjgACA9+U/JB2AhWOi5x8kHYCCJDSVEuTllTRTpSQUNFLklRX1ZPTFVNRS4zMS8wMS8yMDIwAQAAAD2CsBACAAAACDAuNTk3NDY1ANk5tVPyQdgIARJ2WfJB2AhAQ0lRLk5BU0RBUUdTOlRTTEEuSVFfVE9UQUxfQ09NTU9OX0VRVUlUWS45OTYuMzAvMDQvMjAyMC4uRi5VU0QuQwEAAAAQxqIBAgAAAAgxMDgzLjcwNAEIAAAABQAAAAExAQAAAAoxODc1NzY5MDgyAwAAAAMxNjACAAAABDEwMDYEAAAAATEHAAAACTQvMzAvMjAy</t>
  </si>
  <si>
    <t>MAgAAAAJOC8xNi8yMDIwCQAAAAEwvFgHS/JB2Ahxf5xZ8kHYCDJDSVEuTllTRTpLTy5JUV9QUkVGX0VRVUlUWS45OTkuMzEvMTIvMjAxOS4uRi5VU0QuQwEAAAASaAAAAwAAAAAAhNQXePJB2Aj69vR48kHYCCFDSVEuTFNFOlRTQ08uSVFfVk9MVU1FLjI3LzAzLzIwMjABAAAAMFAGAAIAAAAINDYuMjQ5NzIAlf0kVfJB2AhqM3hZ8kHYCChDSVEuTFNFOlRTQ08uSVFfTEFTVFNBTEVQUklDRS4xNS8xMS8yMDE5AQAAADBQBgACAAAABTIuMzM4AOg1flPyQdgInwItcfJB2AgmQ0lRLk5BU0RBUUdTOkNBS0UuSVFfQ09NUEFOWV9OQU1FX0xPTkcBAAAACOAEAAMAAAAzVGhlIENoZWVzZWNha2UgRmFjdG9yeSBJbmNvcnBvcmF0ZWQgKE5hc2RhcUdTOkNBS0UpAAHofVPyQdgIi15hWfJB2AgoQ0lRLkxTRTpUU0NPLklRX0xBU1RTQUxFUFJJQ0UuMTMvMDQvMjAxOAEAAAAwUAYAAgAAAAUyLjMzNgBBUkJ18kHYCAohUXbyQdgIKUNJUS5OWVNFOk1BTlUuSVFfTEFTVFNBTEVQUklDRS4xNC8xMi8yMDE4AQAAAN1rDQACAAAABTE3LjQ5AMfif1PyQdgIbrAgcfJB2AgoQ0lRLkxTRTpTRk9SLklRX0xBU1RTQUxFUFJJQ0UuMDkvMTEvMjAxOAEAAADLU+QhAgAAAAUxLjE3NQDH4n9T8kHYCOAuHXHyQdgIP0NJUS5MU0U6U0ZPUi5JUV9NSU5PUklUWV9JTlRFUkVTVF9UT1RBTC45OTkuMzAvMDQvMjAyMC4uRi5HQlAuQwEA</t>
  </si>
  <si>
    <t>AADLU+QhAgAAAAMwLjEBCAAAAAUAAAABMQEAAAAKMTk2MTExNjI3MQMAAAACNTUCAAAABDEzMTIEAAAAATEHAAAACTQvMzAvMjAyMAgAAAAJOC8xNi8yMDIwCQAAAAEw2QoHS/JB2AhKdJlZ8kHYCChDSVEuTFNFOlNGT1IuSVFfTEFTVFNBTEVQUklDRS4zMS8wMy8yMDE4AQAAAMtT5CEDAAAAAAAFXX5T8kHYCK8NKXHyQdgILENJUS5OWVNFOk1BTlUuSVFfR1AuMTAwMC4zMS8xMi8yMDE5Li5GLkdCUC5DAQAAAN1rDQACAAAABzU2MS4yNTEBCAAAAAUAAAABMQEAAAAKMTk4NTg0NTA2MwMAAAACNTUCAAAAAjEwBAAAAAExBwAAAAoxMi8zMS8yMDE5CAAAAAk4LzE2LzIwMjAJAAAAATAeIhh48kHYCJe18HjyQdgIO0NJUS5MU0U6VFNDTy5JUV9UT1RBTF9DT01NT05fRVFVSVRZLjk5Ni4zMS8xMi8yMDE5Li5GLkdCUC5DAQAAADBQBgACAAAABDcwNzEBCAAAAAUAAAABMQEAAAAKMTc5MTQ2ODE0NgMAAAACNTUCAAAABDEwMDYEAAAAATEHAAAACjEyLzMxLzIwMTkIAAAACTgvMTYvMjAyMAkAAAABMB77F3jyQdgIkpnzePJB2AgxQ0lRLk5BU0RBUUdTOlRTTEEuSVFfRUJULjEwMDIuMzEvMTIvMjAxOS4uRi5VU0QuQwEAAAAQxqIBAwAAAAAAHiIYePJB2AidYOt48kHYCDFDSVFBVkcuJVRDTVNZMDMuSVFfTEFTVFNBTEVQUklDRS40MDE3OC4zMS8xMi8yMDE5AQAAABQfKAICAAAAEDEuMTg0MzEwMjc1ODg5NjQA</t>
  </si>
  <si>
    <t>QVJCdfJB2Aj7L0t28kHYCCdDSVEuJEFFREdCUC5JUV9MQVNUU0FMRVBSSUNFLjMxLzEyLzIwMTgBAAAAJetaAAIAAAALNC42ODEzMDY2MzYAFSLKTPJB2AjTql528kHYCDlDSVEuTllTRTpSQUNFLklRX0VCSVRfTUVESUFOX0VTVC4xMDAzLjMwLzA0LzIwMjAuLkYuRVVSLkMBAAAAPYKwEAIAAAAKMTI1MS4zOTQwOAEOAAAABQAAAAEzAQAAAAEwAgAAAAoxMDAzMjI2ODU5AwAAAAYxMDAyMTYEAAAAATMGAAAAATAHAAAAAjUwCAAAAAExCQAAAAExCgAAAAEwCwAAAAsxMTg5NTUzNTE1NgwAAAABMQ0AAAAINS8xLzIwMjAQAAAACTgvMTYvMjAyMKR/B0vyQdgIeqajWfJB2AhAQ0lRLk5ZU0U6UkFDRS5JUV9NSU5PUklUWV9JTlRFUkVTVF9UT1RBTC45OTcuMzEvMTIvMjAxOS4uRi5FVVIuQwEAAAA9grAQAgAAAAQ1LjcyAQgAAAAFAAAAATEBAAAACjE4NzYwNDMzMTMDAAAAAjUwAgAAAAQxMzEyBAAAAAExBwAAAAoxMi8zMS8yMDE5CAAAAAk4LzE2LzIwMjAJAAAAATCE1Bd48kHYCKIu9njyQdgIMENJUS5MU0U6VFNDTy5JUV9UT1RBTF9DTC45OTcuMzEvMTIvMjAxOS4uRi5HQlAuQwEAAAAwUAYAAgAAAAUxNzg2NgEIAAAABQAAAAExAQAAAAoxODQ3ODI1MTQ4AwAAAAI1NQIAAAAEMTAwOQQAAAABMQcAAAAKMTIvMzEvMjAxOQgAAAAJOC8xNi8yMDIwCQAAAAEwHK0XePJB2AikQfh48kHYCDZDSVEuTkFTREFR</t>
  </si>
  <si>
    <t>R1M6Q0FLRS5JUV9SVUFfR1JPU1MuMjAwMC4zMS8xMi8yMDE5Li4uTE9DQUwBAAAACOAEAAMAAAAAAP4DQnXyQdgIJulPdvJB2AgnQ0lRLiRBRURCRFQuSVFfTEFTVFNBTEVQUklDRS4zMC8wNC8yMDE5AQAAACXrWgACAAAACzAuMDQzNDgyODkzAKokJVXyQdgIMdiDWfJB2AgoQ0lRLkxTRTpUU0NPLklRX0xBU1RTQUxFUFJJQ0UuMzAvMDkvMjAxNQEAAAAwUAYAAgAAAAUxLjgzMgC5lH9T8kHYCDJdInHyQdgIJkNJUS5OQVNEQVFHUzpDQUtFLklRX1ZPTFVNRS4zMC8wMy8yMDE4AQAAAAjgBAADAAAAAAAoK0J18kHYCIF/UnbyQdgINUNJUS5MU0U6U0ZPUi5JUV9UT1RBTF9BU1NFVFMuMTAwMC4zMC8wNC8yMDIwLi5GLkdCUC5DAQAAAMtT5CECAAAABzc3MS45MTQBCAAAAAUAAAABMQEAAAAKMjAyMjU5OTc5OQMAAAACNTUCAAAABDEwMDcEAAAAATEHAAAACTQvMzAvMjAyMAgAAAAJOC8xNi8yMDIwCQAAAAEw2QoHS/JB2AjSb5RZ8kHYCCdDSVEuJEFFRFVHWC5JUV9MQVNUU0FMRVBSSUNFLjMxLzEyLzIwMTgBAAAAJetaAAIAAAALMC4wMDA5ODg2NDEA/gNCdfJB2AjUtkx28kHYCDFDSVEuTllTRTpLTy5JUV9UT1RBTF9MSUFCLjk5Ny4zMS8xMi8yMDE5Li5GLlVTRC5DAQAAABJoAAACAAAABTY0MjMyAQgAAAAFAAAAATEBAAAACjE4NzU3OTc4MDkDAAAAAzE2MAIAAAAEMTI3NgQAAAABMQcAAAAKMTIvMzEv</t>
  </si>
  <si>
    <t>MjAxOQgAAAAJOC8xNi8yMDIwCQAAAAEwhNQXePJB2AgElPV48kHYCDBDSVEuTllTRTpLTy5JUV9UT1RBTF9SRVYuOTk5LjMxLzEyLzIwMTkuLkYuVVNELkMBAAAAEmgAAAIAAAAFMzU0MTABCAAAAAUAAAABMQEAAAAKMTk0NjQzMDc3OQMAAAADMTYwAgAAAAIyOAQAAAABMQcAAAAKMTIvMzEvMjAxOQgAAAAJOC8xNi8yMDIwCQAAAAEwHvsXePJB2Ag3YvJ48kHYCDtDSVEuTFNFOlNGT1IuSVFfVE9UQUxfQ09NTU9OX0VRVUlUWS45OTkuMzEvMTIvMjAxOS4uRi5HQlAuQwEAAADLU+QhAwAAAAAAHvsXePJB2AgvNPR48kHYCClDSVEuTllTRTpSQUNFLklRX0xBU1RTQUxFUFJJQ0UuMTUvMDIvMjAxOQEAAAA9grAQAgAAAAYxMjUuOTgApLx/U/JB2AiflCNx8kHYCChDSVEuTFNFOlRTQ08uSVFfTEFTVFNBTEVQUklDRS4yOS8xMi8yMDE3AQAAADBQBgACAAAABjIuMDkyNQAoK0J18kHYCKrYXHbyQdgINkNJUS5MU0U6U0ZPUi5JUV9OSV9NRURJQU5fRVNULjEwMDMuMzEvMTIvMjAxOS4uRi5HQlAuQwEAAADLU+QhAgAAABA1Mi4wMTY4ODAzNjczNDEzAQ4AAAAFAAAAATMBAAAAATACAAAACjEwMDQzNDk2NjADAAAABjEwMDI1MQQAAAABMwYAAAABMAcAAAACNTUIAAAAATEJAAAAATEKAAAAATALAAAACzExNjk4MTg1NjMxDAAAAAExDQAAAAgxLzEvMjAyMBAAAAAJOC8xNi8yMDIw2hSWd/JB2AgbZul48kHYCCdD</t>
  </si>
  <si>
    <t>SVEuJEFFRFpXTC5JUV9MQVNUU0FMRVBSSUNFLjMxLzEyLzIwMTkBAAAAJetaAAIAAAALMC4wMTEzODkxNDcA/gNCdfJB2Aiw3Ux28kHYCCpDSVEuTllTRTpLTy5JUV9OSS4xMDAwLjMwLzA0LzIwMjAuLkYuVVNELkMBAAAAEmgAAAIAAAAEODkyMAEIAAAABQAAAAExAQAAAAoyMDE2NzkxMjQ1AwAAAAMxNjACAAAAAjE1BAAAAAExBwAAAAk0LzMwLzIwMjAIAAAACTgvMTYvMjAyMAkAAAABMANJykzyQdgIMzeoWfJB2Ag1Q0lRQVZHLiRBRURVU0QuSVFfTEFTVFNBTEVQUklDRS4zMS8xMi8yMDE3LjMxLzEyLzIwMTgBAAAAJetaAAIAAAAIMy42NzI5MzgA6pbKTPJB2AhllF928kHYCCxDSVEuTFNFOlNGT1IuSVFfRUJULjEwMDMuMzEvMTIvMjAxOS4uRi5HQlAuQwEAAADLU+QhAwAAAAAAHiIYePJB2AidYOt48kHYCCdDSVEuTllTRTpLTy5JUV9MQVNUU0FMRVBSSUNFLjMwLzA0LzIwMTUBAAAAEmgAAAIAAAAFNDAuNTYApLx/U/JB2AgLeR9x8kHYCCZDSVEuSVExMDA4ODk5NDcuSVFfTEFTVFNBTEVQUklDRS40MzQ2NQEAAABbdQMGAgAAAAUxLjYzMQDfBt508kHYCH8gSnbyQdgIJ0NJUS4kQUVEQUVELklRX0xBU1RTQUxFUFJJQ0UuMzEvMTIvMjAxOAEAAAAl61oAAgAAAAExAP4DQnXyQdgIsN1MdvJB2AggQ0lRLi5JUV9MQVNUU0FMRVBSSUNFLjEzLzA5LzIwMTkFAAAAAAAAAAgAAAAUKEludmFsaWQgSWRl</t>
  </si>
  <si>
    <t>bnRpZmllcikJljdS8kHYCHDfMXPyQdgIMENJUS5OQVNEQVFHUzpDQUtFLklRX1NHQS45OTcuMzEvMTIvMjAxOS4uRi5VU0QuQwEAAAAI4AQAAgAAAAcyODUuMzExAQgAAAAFAAAAATEBAAAACjE4NzcxNDQ0MzgDAAAAAzE2MAIAAAACMjMEAAAAATEHAAAACjEyLzMxLzIwMTkIAAAACTgvMTYvMjAyMAkAAAABMB4iGHjyQdgIgH3vePJB2AgnQ0lRLk5ZU0U6S08uSVFfTEFTVFNBTEVQUklDRS4zMS8wMS8yMDE3AQAAABJoAAACAAAABTQxLjU3ANGDflPyQdgIESsmcfJB2AgqQ0lRLkxTRTpTRk9SLklRX0dQLjk5OS4zMC8wNC8yMDIwLi5GLkdCUC5DAQAAAMtT5CECAAAACTYzLjcwOTcyNQEIAAAABQAAAAExAQAAAAoxOTYxMTE2MjcxAwAAAAI1NQIAAAACMTAEAAAAATEHAAAACTQvMzAvMjAyMAgAAAAJOC8xNi8yMDIwCQAAAAEw2QoHS/JB2Ah92J9Z8kHYCDtDSVEuTFNFOlRTQ08uSVFfUkVWRU5VRV9NRURJQU5fRVNULjYwMDAuMzEvMTIvMjAxOS4uRi5HQlAuQwEAAAAwUAYAAgAAAAo2NTE0NS44MzYxAQ4AAAAFAAAAAjExAQAAAAEwAgAAAAc4NDE2NzkyAwAAAAYxMDAxODEEAAAAATMGAAAAATAHAAAAAjU1CAAAAAExCQAAAAExCgAAAAEwCwAAAAsxMTcyMjExMzEwOAwAAAACMTINAAAACDEvMS8yMDIwEAAAAAk4LzE2LzIwMjDzSBh48kHYCIP88njyQdgIJ0NJUS4kQUVEVVNELklRX0xBU1RTQUxFUFJJ</t>
  </si>
  <si>
    <t>Q0UuMzAvMTIvMjAxNAEAAAAl61oAAgAAAAYzLjY3MzIAW5PiTfJB2AgK+l528kHYCCBDSVEuTFNFOlNGT1IuSVFfRklSU1RQUklDSU5HREFURQEAAADLU+QhBQAAAAoyOC8wOS8yMDE4APw6JFXyQdgIHIh9WfJB2AgjQ0lRLk5BU0RBUUdTOlRTTEEuSVFfVEVWLjMxLzEyLzIwMTkBAAAAEMaiAQIAAAAMODYxNDEuODMxNDQ3AQYAAAAFAAAAATEBAAAACjE5ODk0NTIwMTcDAAAAAzE2MAIAAAAGMTAwMDYwBAAAAAEwBwAAAAoxMi8zMS8yMDE5QVJCdfJB2AhQ/0528kHYCCRDSVEuXlNQWC5JUV9MQVNUU0FMRVBSSUNFLjAxLzAzLzIwMTkBAAAAm7goAAIAAAAQMjgwMy42OTQzNTQzNTMwOACgnjdR8kHYCN4hE3PyQdgIIENJUS4uSVFfTEFTVFNBTEVQUklDRS4wMS8wMy8yMDE5BQAAAAAAAAAIAAAAFChJbnZhbGlkIElkZW50aWZpZXIpzCk3UfJB2AgLRFRz8kHYCDpDSVEuTkFTREFRR1M6VFNMQS5JUV9UT1RBTF9SRUNFSVYuMjAwMC4zMS8xMi8yMDE5Li5GLlVTRC5DAQAAABDGogECAAAABDExMjgBCAAAAAUAAAABMQEAAAAKMTk4OTQ1MzEzMAMAAAADMTYwAgAAAAQxMDAxBAAAAAExBwAAAAoxMi8zMS8yMDE5CAAAAAk4LzE2LzIwMjAJAAAAATDaFJZ38kHYCFXV5HjyQdgIOENJUS5OWVNFOlJBQ0UuSVFfUkVUVVJOX0lOVkVTVEVEX0NBUElUQUwuMjAwMC4zMS8xMi8yMDE5AQAAAD2CsBACAAAABzE0LjY3</t>
  </si>
  <si>
    <t>MzQA/gNCdfJB2Agm6U928kHYCC1DSVEuTFNFOlNGT1IuSVFfRUJJVC4yMDAwLjMwLzA0LzIwMjAuLkYuR0JQLkMBAAAAy1PkIQIAAAAFOC45NzEBCAAAAAUAAAABMQEAAAAKMjAyMjU5OTg4NwMAAAACNTUCAAAAAzQwMAQAAAABMQcAAAAJNC8zMC8yMDIwCAAAAAk4LzE2LzIwMjAJAAAAATDZCgdL8kHYCFZDpFnyQdgIN0NJUS5MU0U6U0ZPUi5JUV9FU1RfRVBTX0dST1dUSF81WVJfSElHSC42MDAwLjMwLzA0LzIwMjABAAAAy1PkIQIAAAACMjQBDgAAAAUAAAABNwEAAAAJNTgyMDIxMTU2AgAAAAoxMDA0MzE2MDQ4AwAAAAYxMDAxNjkEAAAAATMGAAAAATAHAAAAATAIAAAAATAJAAAAATEKAAAAATALAAAACzExODQ4MjAyNTc1DAAAAAE4DQAAAAg1LzEvMjAyMBAAAAAJNC8zMC8yMDIwsa8kVfJB2AiiW39Z8kHYCDdDSVEuR0JQLklRX0ZVTExfQ1VSVkVfQU5OVUFMLkFMTENPUlAuQUFBLjIwWS4zMS8xMi8yMDE5AQAAAAAAAAACAAAACTAuMDE2MjM5OQDYLd508kHYCH81SXbyQdgIIENJUS5OWVNFOktPLklRX0NPTVBBTllfTkFNRV9MT05HAQAAABJoAAADAAAAH1RoZSBDb2NhLUNvbGEgQ29tcGFueSAoTllTRTpLTykAAeh9U/JB2AiLXmFZ8kHYCCRDSVEuXkFTWC5JUV9MQVNUU0FMRVBSSUNFLjEwLzA4LzIwMTgBAAAAH1PrAQIAAAALNDIxMC42NTk0MjIAisU3UfJB2Ahwpxtz8kHYCCVDSVEuXkNPTVAu</t>
  </si>
  <si>
    <t>SVFfTEFTVFNBTEVQUklDRS4xMS8xMC8yMDE5AQAAAIm4KAACAAAABzgwNTcuMDQAtbw3UvJB2AgluBVz8kHYCDxDSVEuTllTRTpSQUNFLklRX1RPVEFMX0NPTU1PTl9FUVVJVFkuOTk2LjMwLzA0LzIwMjAuLkYuRVVSLkMBAAAAPYKwEAIAAAAHLTI1LjEyMwEIAAAABQAAAAExAQAAAAoxODc2MDQzMzEzAwAAAAI1MAIAAAAEMTAwNgQAAAABMQcAAAAJNC8zMC8yMDIwCAAAAAk4LzE2LzIwMjAJAAAAATDZCgdL8kHYCGemnFnyQdgIMkNJUS5OWVNFOlJBQ0UuSVFfVE9UQUxfQ0EuMTAwMC4zMC8wNC8yMDIwLi5GLkVVUi5DAQAAAD2CsBACAAAACDI2NDEuMjAxAQgAAAAFAAAAATEBAAAACjIwMTU2Mzk4MjIDAAAAAjUwAgAAAAQxMDA4BAAAAAExBwAAAAk0LzMwLzIwMjAIAAAACTgvMTYvMjAyMAkAAAABMODjBkvyQdgIFYaTWfJB2Ag2Q0lRLk5BU0RBUUdTOkNBS0UuSVFfVE9UQUxfQ0wuMjAwMC4zMS8xMi8yMDE5Li5GLlVTRC5DAQAAAAjgBAACAAAABzQzMy43ODYBCAAAAAUAAAABMQEAAAAKMTk5MTMyNzA0MAMAAAADMTYwAgAAAAQxMDA5BAAAAAExBwAAAAoxMi8zMS8yMDE5CAAAAAk4LzE2LzIwMjAJAAAAATAcrRd48kHYCKS2+HjyQdgIJUNJUS5eQ09NUC5JUV9MQVNUU0FMRVBSSUNFLjMxLzAzLzIwMjABAAAAibgoAAIAAAAGNzcwMC4xAADeMlLyQdgIV4W2WfJB2AgtQ0lRLk5BU0RBUUdTOkNBS0Uu</t>
  </si>
  <si>
    <t>SVFfTEFTVFNBTEVQUklDRS4wOS8wOC8yMDE5AQAAAAjgBAACAAAABTQwLjA1ANGDflPyQdgIloIpcfJB2AgiQ0lRLk5ZU0U6UkFDRS5JUV9WT0xVTUUuMTUvMDIvMjAxOQEAAAA9grAQAgAAAAgwLjQzMDAwNACkvH9T8kHYCC2Cu3LyQdgINENJUUFWRy5JUTEwMDg4OTk0Ny5JUV9MQVNUU0FMRVBSSUNFLjQwMTc4LjMxLzEyLzIwMTkBAAAAW3UDBgIAAAAQMi40ODU0NDk3NzIwMDk4MgDYLd508kHYCH8gSnbyQdgIK0NJUS5MU0U6U0ZPUi5JUV9TR0EuOTk5LjMwLzA0LzIwMjAuLkYuR0JQLkMBAAAAy1PkIQIAAAAJNDMuMTE5NDM2AQgAAAAFAAAAATEBAAAACjE5NjExMTYyNzEDAAAAAjU1AgAAAAIyMwQAAAABMQcAAAAJNC8zMC8yMDIwCAAAAAk4LzE2LzIwMjAJAAAAATDZCgdL8kHYCFaboFnyQdgIMENJUS5OWVNFOk1BTlUuSVFfSU5DX1RBWC45OTYuMzAvMDQvMjAyMC4uRi5HQlAuQwEAAADdaw0AAgAAAAYtMi42NzIBCAAAAAUAAAABMQEAAAAKMTg2MTczNjg2OQMAAAACNTUCAAAAAjc1BAAAAAExBwAAAAk0LzMwLzIwMjAIAAAACTgvMTYvMjAyMAkAAAABMP9vykzyQdgIYHSnWfJB2AgkQ0lRLl5TUFguSVFfTEFTVFNBTEVQUklDRS4wOC8wNi8yMDE4AQAAAJu4KAACAAAAEDI3NzkuMDI4NTkwNjE5MDYAisU3UfJB2AjBWRRz8kHYCChDSVEuTFNFOlNGT1IuSVFfTEFTVFNBTEVQUklDRS4wOS8wOC8y</t>
  </si>
  <si>
    <t>MDE5AQAAAMtT5CECAAAABTEuNDI1ANGDflPyQdgIloIpcfJB2AgrQ0lRLkxTRTpTRk9SLklRX0FQLjIwMDAuMzEvMTIvMjAxOS4uRi5HQlAuQwEAAADLU+QhAgAAAAY2MC43MDQBCAAAAAUAAAABMQEAAAAKMTk2MTExNzQwMQMAAAACNTUCAAAABDEwMTgEAAAAATEHAAAACjEyLzMxLzIwMTkIAAAACTgvMTYvMjAyMAkAAAABMNoUlnfyQdgIuYfkePJB2AghQ0lRLk5BU0RBUUdTOlRTTEEuSVFfQ09VTlRSWV9OQU1FAQAAABDGogEDAAAADVVuaXRlZCBTdGF0ZXMA/DokVfJB2AiG7olZ8kHYCCRDSVEuXlNQWC5JUV9MQVNUU0FMRVBSSUNFLjIyLzAzLzIwMTkBAAAAm7goAAIAAAAQMjgwMC43MTI0NDcwNTg4NgCgnjdR8kHYCOr6EnPyQdgINUNJUS5MU0U6VFNDTy5JUV9FUVVJVFlfTUVUSE9ELjk5OS4zMC8wNC8yMDIwLi5GLkdCUC5DAQAAADBQBgACAAAAAzYxOAEIAAAABQAAAAExAQAAAAoxOTY4NzM2NTYzAwAAAAI1NQIAAAAEMzA2MwQAAAABMQcAAAAJNC8zMC8yMDIwCAAAAAk4LzE2LzIwMjAJAAAAATDJMQdL8kHYCN0EkFnyQdgIMUNJUS5MU0U6U0ZPUi5JUV9UT1RBTF9DTC4yMDAwLjMwLzA0LzIwMjAuLkYuR0JQLkMBAAAAy1PkIQIAAAAHMTgzLjk0MgEIAAAABQAAAAExAQAAAAoyMDIyNTk5ODg3AwAAAAI1NQIAAAAEMTAwOQQAAAABMQcAAAAJNC8zMC8yMDIwCAAAAAk4LzE2LzIwMjAJAAAAATDZ</t>
  </si>
  <si>
    <t>CgdL8kHYCO8El1nyQdgIK0NJUS5OWVNFOktPLklRX1BFUklPRERBVEUuOTk5LjMwLzA0LzIwMjAuLkYBAAAAEmgAAAUAAAAKMzEvMTIvMjAxOACxryRV8kHYCOZ7gVnyQdgIJUNJUS5OWVNFOlJBQ0UuSVFfU1BfTENfTFQuLjMxLzEyLzIwMTkBAAAAPYKwEAMAAAAAAP4DQnXyQdgIAUJMdvJB2Ag3Q0lRLk5ZU0U6TUFOVS5JUV9EQV9NRURJQU5fRVNULjYwMDEuMzEvMTIvMjAxOS4uRi5HQlAuQwEAAADdaw0AAwAAAAAA2hSWd/JB2Ah7B+h48kHYCDRDSVEuTkFTREFRR1M6Q0FLRS5JUV9JTkNfVEFYLjk5OC4zMC8wNC8yMDIwLi5GLlVTRC5DAQAAAAjgBAACAAAABy0xMC45MjYBCAAAAAUAAAABMQEAAAAKMjAyMTU4MTQwOQMAAAADMTYwAgAAAAI3NQQAAAABMQcAAAAJNC8zMC8yMDIwCAAAAAk4LzE2LzIwMjAJAAAAATD/b8pM8kHYCHUmp1nyQdgIKENJUS5MU0U6U0ZPUi5JUV9MQVNUU0FMRVBSSUNFLjMwLzExLzIwMTgBAAAAy1PkIQIAAAAFMS4xMTUAx+J/U/JB2Ahwhytx8kHYCDNDSVEuTFNFOlRTQ08uSVFfUFJFRl9FUVVJVFkuOTk3LjMwLzA0LzIwMjAuLkYuR0JQLkMBAAAAMFAGAAMAAAAAAMkxB0vyQdgIspWbWfJB2AgkQ0lRLl5BU1guSVFfTEFTVFNBTEVQUklDRS4xMC8wNC8yMDIwAQAAAB9T6wECAAAACzMyMzMuMjQyNTI1AADeMlLyQdgIROW+WfJB2AgpQ0lRLk5ZU0U6TUFOVS5JUV9MQVNU</t>
  </si>
  <si>
    <t>U0FMRVBSSUNFLjMwLzA0LzIwMTkBAAAA3WsNAAIAAAAFMTkuNzEACA9+U/JB2Ai4tCxx8kHYCDJDSVEuTllTRTpNQU5VLklRX1RPVEFMX0NMLjEwMDAuMzEvMTIvMjAxOS4uRi5HQlAuQwEAAADdaw0AAgAAAAc0MjguODQ0AQgAAAAFAAAAATEBAAAACjE5ODU4NDUwNjMDAAAAAjU1AgAAAAQxMDA5BAAAAAExBwAAAAoxMi8zMS8yMDE5CAAAAAk4LzE2LzIwMjAJAAAAATAcrRd48kHYCKS2+HjyQdgINkNJUS5OQVNEQVFHUzpDQUtFLklRX1RPVEFMX0NBLjEwMDAuMzAvMDQvMjAyMC4uRi5VU0QuQwEAAAAI4AQAAgAAAAcyNDQuNTE1AQgAAAAFAAAAATEBAAAACjIwMjE1ODE0MTEDAAAAAzE2MAIAAAAEMTAwOAQAAAABMQcAAAAJNC8zMC8yMDIwCAAAAAk4LzE2LzIwMjAJAAAAATADScpM8kHYCBWGk1nyQdgILUNJUS5OWVNFOk1BTlUuSVFfUEVSSU9EREFURS45OTkuMzAvMDQvMjAyMC4uRgEAAADdaw0ABQAAAAozMC8wNi8yMDE4ALGvJFXyQdgI5nuBWfJB2AgsQ0lRLkxTRTpUU0NPLklRX1BFUklPRERBVEUuOTk0LjMwLzA0LzIwMjAuLkYBAAAAMFAGAAUAAAAKMjIvMDIvMjAxNACxryRV8kHYCFX2f1nyQdgIKUNJUS5OWVNFOk1BTlUuSVFfTEFTVFNBTEVQUklDRS4wOS8wMi8yMDE4AQAAAN1rDQACAAAABTE5LjA1ACgrQnXyQdgIEVdZdvJB2AgmQ0lRLk5BU0RBUUdTOkNBS0UuSVFfVk9MVU1FLjI4LzEy</t>
  </si>
  <si>
    <t>LzIwMTgBAAAACOAEAAIAAAAIMC42OTUxNzgAx+J/U/JB2AgbNiJx8kHYCCRDSVEuXkFTWC5JUV9MQVNUU0FMRVBSSUNFLjE5LzAxLzIwMTgBAAAAH1PrAQIAAAALNDI0MC40OTc1NjMA2C3edPJB2AimtkV28kHYCDJDSVEuTllTRTpNQU5VLklRX0xUX0lOVkVTVC45OTkuMzEvMTIvMjAxOS4uRi5HQlAuQwEAAADdaw0AAgAAAAQ0LjQ5AQgAAAAFAAAAATEBAAAACjE5ODU4NDUwMjkDAAAAAjU1AgAAAAQxMDU0BAAAAAExBwAAAAoxMi8zMS8yMDE5CAAAAAk4LzE2LzIwMjAJAAAAATA7hhd48kHYCPE7+njyQdgILUNJUS5OQVNEQVFHUzpDQUtFLklRX0xBU1RTQUxFUFJJQ0UuMzEvMDUvMjAxNQEAAAAI4AQAAgAAAAU1MS41NwCkvH9T8kHYCL0UIHHyQdgIMkNJUS5OWVNFOk1BTlUuSVFfVE9UQUxfUkVWLjk5Ni4zMC8wNC8yMDIwLi5GLkdCUC5DAQAAAN1rDQACAAAABzM5NS4xNzgBCAAAAAUAAAABMQEAAAAKMTg2MTczNjg2OQMAAAACNTUCAAAAAjI4BAAAAAExBwAAAAk0LzMwLzIwMjAIAAAACTgvMTYvMjAyMAkAAAABMP9vykzyQdgI31KeWfJB2AgoQ0lRLkxTRTpTRk9SLklRX0xBU1RTQUxFUFJJQ0UuMDYvMDQvMjAxOAEAAADLU+QhAwAAAAAAKCtCdfJB2Agf4lF28kHYCCtDSVEuTllTRTpSQUNFLklRX0NPU1RfQk9SUk9XSU5HLi4zMC8wNC8yMDIwAQAAAD2CsBACAAAABjIuMzAxNAEIAAAABQAAAAEx</t>
  </si>
  <si>
    <t>AQAAAAoyMDMzMTY5OTAyAwAAAAI1MAIAAAAFMjE2ODEEAAAAATAHAAAACTQvMzAvMjAyMAgAAAAJMy8zMS8yMDIwCQAAAAEwsa8kVfJB2AgAmX5Z8kHYCCxDSVEuTllTRTpLTy5JUV9QUklDRV9WT0xfSElTVF81WVIuMzAvMDQvMjAyMAEAAAASaAAAAgAAAAcyMC4zMDM2AOISJFXyQdgIfRWKWfJB2Ag3Q0lRLlVTRC5JUV9GVUxMX0NVUlZFX0FOTlVBTC5BTExDT1JQLkJCQi4yMFkuMzEvMTIvMjAxOQEAAAAAAAAAAgAAAAkwLjA0MjI3NDEA2C3edPJB2Ah0XEl28kHYCC1DSVEuTllTRTpSQUNFLklRX0VCSVQuOTk4LjMwLzA0LzIwMjAuLkYuRVVSLkMBAAAAPYKwEAIAAAAHNzcwLjM5NAEIAAAABQAAAAExAQAAAAoyMDE1NjM5ODA1AwAAAAI1MAIAAAADNDAwBAAAAAExBwAAAAk0LzMwLzIwMjAIAAAACTgvMTYvMjAyMAkAAAABMNkKB0vyQdgIM7ikWfJB2AgzQ0lRLk5ZU0U6TUFOVS5JUV9UT1RBTF9SRVYuMjAwMC4zMC8wNC8yMDIwLi5GLkdCUC5DAQAAAN1rDQACAAAABjU4Ny4zMQEIAAAABQAAAAExAQAAAAoyMDE4NjMyMDAzAwAAAAI1NQIAAAACMjgEAAAAATEHAAAACTQvMzAvMjAyMAgAAAAJOC8xNi8yMDIwCQAAAAEw/2/KTPJB2AgqkJ1Z8kHYCDtDSVEuTkFTREFRR1M6VFNMQS5JUV9EQV9NRURJQU5fRVNULjYwMDEuMzAvMDQvMjAyMC4uRi5VU0QuQwEAAAAQxqIBAwAAAAAApH8HS/JB2Aj9+ahZ</t>
  </si>
  <si>
    <t>8kHYCDlDSVEuTllTRTpSQUNFLklRX0xPV19UQVJHRVRfUFJJQ0UuNjAwMC4zMS8xMi8yMDE5Li4uRVVSLkMBAAAAPYKwEAIAAAAGNzMuNTk1AQ4AAAAFAAAAATcBAAAACTMxMzk3NDk4MQIAAAAKMTAwMzIyNTEyNQMAAAAGMTAwMTY0BAAAAAMyNTUGAAAAATAHAAAAAjUwCAAAAAExCQAAAAExCgAAAAEwCwAAAAsxMTcwNTI1MTI2NAwAAAABOA0AAAAIMS8xLzIwMjAQAAAACTgvMTYvMjAyMPNIGHjyQdgIOFIAefJB2AgiQ0lRLk5ZU0U6TUFOVS5JUV9WT0xVTUUuMDMvMDUvMjAxOQEAAADdaw0AAgAAAAgwLjAxNTY2OQCV/SRV8kHYCB4pv3LyQdgIPUNJUS5OQVNEQVFHUzpUU0xBLklRX0xPV19UQVJHRVRfUFJJQ0UuNjAwMC4zMS8xMi8yMDE5Li4uVVNELkMBAAAAEMaiAQIAAAADMjAwAQ4AAAAFAAAAATcBAAAACTEwODgwMzkxNQIAAAAKMTAwMDg3MjkyMwMAAAAGMTAwMTY0BAAAAAMyNTUGAAAAATAHAAAAAzE2MAgAAAABMQkAAAABMQoAAAABMAsAAAALMTE3MjkwOTAyNzUMAAAAATgNAAAACDEvMS8yMDIwEAAAAAk4LzE2LzIwMjAeIhh48kHYCDhSAHnyQdgIMUNJUS5OWVNFOk1BTlUuSVFfU0hBUkVTT1VUU1RBTkRJTkcuMzEvMTIvMjAxOS5HQlABAAAA3WsNAAIAAAAKMTY0LjU3MjY4NwBHYBd48kHYCNdiAXnyQdgIMENJUS5MU0U6VFNDTy5JUV9TSEFSRVNPVVRTVEFORElORy4yNC8wMi8yMDE4LkdC</t>
  </si>
  <si>
    <t>UAEAAAAwUAYAAgAAAAs4MTMzLjAxODY3NwAVIspM8kHYCHv0YHbyQdgIOkNJUS5OQVNEQVFHUzpUU0xBLklRX0VRVUlUWV9NRVRIT0QuOTk2LjMxLzEyLzIwMTkuLkYuVVNELkMBAAAAEMaiAQMAAAAAAEdgF3jyQdgIbmj/ePJB2Ag3Q0lRLk5BU0RBUUdTOlRTTEEuSVFfVE9UQUxfTElBQi45OTYuMzAvMDQvMjAyMC4uRi5VU0QuQwEAAAAQxqIBAgAAAAg2OTg0LjIzNQEIAAAABQAAAAExAQAAAAoxODc1NzY5MDgyAwAAAAMxNjACAAAABDEyNzYEAAAAATEHAAAACTQvMzAvMjAyMAgAAAAJOC8xNi8yMDIwCQAAAAEwvFgHS/JB2Ajwq5pZ8kHYCCZDSVEuTkFTREFRR1M6VFNMQS5JUV9WT0xVTUUuMDYvMTIvMjAxOQEAAAAQxqIBAgAAAAg3LjYxODkzNwCj1iRV8kHYCEs0wnLyQdgIRENJUS5OQVNEQVFHUzpDQUtFLklRX01JTk9SSVRZX0lOVEVSRVNUX1RPVEFMLjk5OC4zMC8wNC8yMDIwLi5GLlVTRC5DAQAAAAjgBAADAAAAAAD/b8pM8kHYCDubmVnyQdgIJUNJUS5eQ09NUC5JUV9MQVNUU0FMRVBSSUNFLjA0LzEwLzIwMTkBAAAAibgoAAIAAAAHNzk4Mi40NwC1vDdS8kHYCA/fFXPyQdgIKENJUS5MU0U6VFNDTy5JUV9MQVNUU0FMRVBSSUNFLjAxLzExLzIwMTkBAAAAMFAGAAIAAAAFMi4zNzkABV1+U/JB2Ai+jSxx8kHYCBhDSVEuTFNFOlRTQ08uSVFfRVhDSEFOR0UBAAAAMFAGAAMAAAADTFNFAPw6JFXy</t>
  </si>
  <si>
    <t>QdgIviuJWfJB2AghQ0lRLkxTRTpUU0NPLklRX1ZPTFVNRS4wMy8wNC8yMDIwAQAAADBQBgACAAAACDI0Ljk5NDIyAJX9JFXyQdgIbgx4WfJB2AgzQ0lRLk5ZU0U6UkFDRS5JUV9JTlZFTlRPUlkuMjAwMC4zMS8xMi8yMDE5Li5GLkVVUi5DAQAAAD2CsBACAAAABzM5MC44NDgBCAAAAAUAAAABMQEAAAAKMTk5MDQyMzY4NwMAAAACNTACAAAABDEwNDMEAAAAATEHAAAACjEyLzMxLzIwMTkIAAAACTgvMTYvMjAyMAkAAAABMNoUlnfyQdgIPyPlePJB2AgtQ0lRLk5BU0RBUUdTOlRTTEEuSVFfTEFTVFNBTEVQUklDRS4yNy8wOS8yMDE5AQAAABDGogECAAAABjI0Mi4xMwAFXX5T8kHYCD+lK3HyQdgIPENJUS5OWVNFOlJBQ0UuSVFfUkVWRU5VRV9NRURJQU5fRVNULjEwMDMuMzEvMTIvMjAxOS4uRi5FVVIuQwEAAAA9grAQAgAAAAo0NDQyLjgxMDM0AQ4AAAAFAAAAATMBAAAAATACAAAACjEwMDMyMjY4NTQDAAAABjEwMDE4MQQAAAABMwYAAAABMAcAAAACNTAIAAAAATEJAAAAATEKAAAAATALAAAACzExODYwNTU5NDM2DAAAAAExDQAAAAgxLzEvMjAyMBAAAAAJOC8xNi8yMDIw80gYePJB2AhkcfN48kHYCCFDSVEuTFNFOlNGT1IuSVFfVk9MVU1FLjAzLzA1LzIwMTkBAAAAy1PkIQIAAAAIMi40MDE0NDEA2Tm1U/JB2Aji4Lxy8kHYCD9DSVEuTkFTREFRR1M6Q0FLRS5JUV9UT1RBTF9ERUJUX0NVUlJFTlQuOTk4</t>
  </si>
  <si>
    <t>LjMxLzEyLzIwMTkuLkYuVVNELkMBAAAACOAEAAMAAAAAABytF3jyQdgIVSv5ePJB2Ag1Q0lRLk5BU0RBUUdTOkNBS0UuSVFfQ09TVF9SRVYuOTk2LjMwLzA0LzIwMjAuLkYuVVNELkMBAAAACOAEAAIAAAAIMTE4OC44NDkBCAAAAAUAAAABMQEAAAAKMTg3NzE0NDQzOAMAAAADMTYwAgAAAAExBAAAAAExBwAAAAk0LzMwLzIwMjAIAAAACTgvMTYvMjAyMAkAAAABMP9vykzyQdgIsTyfWfJB2AgtQ0lRLk5BU0RBUUdTOkNBS0UuSVFfTEFTVFNBTEVQUklDRS4wNi8xMi8yMDE5AQAAAAjgBAACAAAABTQzLjIyAOg1flPyQdgIZuwtcfJB2AgrQ0lRLk5ZU0U6TUFOVS5JUV9OSS45OTguMzAvMDQvMjAyMC4uRi5HQlAuQwEAAADdaw0AAgAAAAYzOS4yMDkBCAAAAAUAAAABMQEAAAAKMTk4NTg0NTA0NQMAAAACNTUCAAAAAjE1BAAAAAExBwAAAAk0LzMwLzIwMjAIAAAACTgvMTYvMjAyMAkAAAABMLxYB0vyQdgIHYWoWfJB2AgoQ0lRLkxTRTpUU0NPLklRX0xBU1RTQUxFUFJJQ0UuMzEvMDMvMjAxNQEAAAAwUAYAAgAAAAYyLjQxODUAQVJCdfJB2AgZN1B28kHYCDBDSVEuTllTRTpLTy5JUV9UT1RBTF9DQS4yMDAwLjMxLzEyLzIwMTkuLkYuVVNELkMBAAAAEmgAAAIAAAAFMjMxMTcBCAAAAAUAAAABMQEAAAAKMTk4ODgwMTUyNgMAAAADMTYwAgAAAAQxMDA4BAAAAAExBwAAAAoxMi8zMS8yMDE5CAAAAAk4LzE2LzIw</t>
  </si>
  <si>
    <t>MjAJAAAAATA7hhd48kHYCPmp/HjyQdgIJ0NJUS5OWVNFOktPLklRX0xBU1RTQUxFUFJJQ0UuMDYvMDMvMjAyMAEAAAASaAAAAgAAAAU1NS4yNgAB6H1T8kHYCPPfXVnyQdgIJ0NJUS4kQUVESVJSLklRX0xBU1RTQUxFUFJJQ0UuMzEvMTIvMjAxOQEAAAAl61oAAgAAAAg4Ljc0RS0wNQD+A0J18kHYCAFCTHbyQdgIIUNJUS5MU0U6VFNDTy5JUV9WT0xVTUUuMDMvMDgvMjAxOAEAAAAwUAYAAgAAAAgyMC41MzA0OQA6v4VS8kHYCBaRD3HyQdgIN0NJUS5OWVNFOlJBQ0UuSVFfQ0FTSF9TVF9JTlZFU1QuOTk3LjMwLzA0LzIwMjAuLkYuRVVSLkMBAAAAPYKwEAIAAAAHNDY0LjM1MgEIAAAABQAAAAExAQAAAAoxOTQ3NDQ0MTg0AwAAAAI1MAIAAAAEMTAwMgQAAAABMQcAAAAJNC8zMC8yMDIwCAAAAAk4LzE2LzIwMjAJAAAAATDg4wZL8kHYCCk4k1nyQdgIIENJUS4uSVFfTEFTVFNBTEVQUklDRS4zMC8wNC8yMDE2BQAAAAAAAAAIAAAAFChJbnZhbGlkIElkZW50aWZpZXIpR4WFUfJB2AjDVVVz8kHYCCRDSVEuXlNQWC5JUV9MQVNUU0FMRVBSSUNFLjA4LzExLzIwMTkBAAAAm7goAAIAAAAQMzA5My4wODQ4MDMyNjc1NAC1vDdS8kHYCDAREnPyQdgIIENJUS4uSVFfTEFTVFNBTEVQUklDRS4xMy8wMy8yMDIwBQAAAAAAAAAIAAAAFChJbnZhbGlkIElkZW50aWZpZXIp3KsvUvJB2Ain8MhZ8kHYCCpDSVEuTllTRTpL</t>
  </si>
  <si>
    <t>Ty5JUV9TR0EuOTk2LjMwLzA0LzIwMjAuLkYuVVNELkMBAAAAEmgAAAIAAAAFMTY0MjcBCAAAAAUAAAABMQEAAAAKMTg3NTc5NzgwOQMAAAADMTYwAgAAAAIyMwQAAAABMQcAAAAJNC8zMC8yMDIwCAAAAAk4LzE2LzIwMjAJAAAAATADScpM8kHYCEDpoFnyQdgINUNJUS5OQVNEQVFHUzpDQUtFLklRX0NPU1RfUkVWLjk5OS4zMS8xMi8yMDE5Li5GLlVTRC5DAQAAAAjgBAACAAAACDEyOTYuOTgzAQgAAAAFAAAAATEBAAAACjE5NDgxNzY2ODADAAAAAzE2MAIAAAABMQQAAAABMQcAAAAKMTIvMzEvMjAxOQgAAAAJOC8xNi8yMDIwCQAAAAEwHvsXePJB2AhZUfF48kHYCCZDSVEuTkFTREFRR1M6VFNMQS5JUV9WT0xVTUUuMjcvMDcvMjAxOAEAAAAQxqIBAgAAAAg1LjcwMzMyNgA6v4VS8kHYCDz1DnHyQdgIJ0NJUS4kQUVEUEVOLklRX0xBU1RTQUxFUFJJQ0UuMzAvMDQvMjAyMAEAAAAl61oAAgAAAAsxLjA4OTU4NzY1OQCqJCVV8kHYCEkYg1nyQdgIKENJUS5MU0U6VFNDTy5JUV9MQVNUU0FMRVBSSUNFLjMwLzA0LzIwMjABAAAAMFAGAAIAAAAFMi4zNTEAAeh9U/JB2AjeEGFZ8kHYCDVDSVEuTkFTREFRR1M6Q0FLRS5JUV9TSEFSRVNPVVRTVEFORElORy4wMy8wMS8yMDE3LlVTRAEAAAAI4AQAAgAAAAU0Ny40MwBbk+JN8kHYCEAaYXbyQdgIPENJUS5OWVNFOlJBQ0UuSVFfUkVWRU5VRV9NRURJQU5fRVNULjEw</t>
  </si>
  <si>
    <t>MDMuMzAvMDQvMjAyMC4uRi5FVVIuQwEAAAA9grAQAgAAAAo0ODA1LjE5Mzc2AQ4AAAAFAAAAATMBAAAAATACAAAACjEwMDMyMjY4NTkDAAAABjEwMDE4MQQAAAABMwYAAAABMAcAAAACNTAIAAAAATEJAAAAATEKAAAAATALAAAACzExODk1NTM1Mjg5DAAAAAExDQAAAAg1LzEvMjAyMBAAAAAJOC8xNi8yMDIwpH8HS/JB2AhdzZxZ8kHYCChDSVEuTFNFOlRTQ08uSVFfTEFTVFNBTEVQUklDRS4xNC8xMi8yMDE4AQAAADBQBgACAAAABTEuOTI5AMfif1PyQdgIbrAgcfJB2AgoQ0lRLkxTRTpUU0NPLklRX0xBU1RTQUxFUFJJQ0UuMjgvMDIvMjAxNwEAAAAwUAYAAgAAAAUxLjg4NADRg35T8kHYCBErJnHyQdgIKUNJUS5OWVNFOk1BTlUuSVFfTEFTVFNBTEVQUklDRS4wOC8xMS8yMDE5AQAAAN1rDQACAAAABTE2LjYzAOg1flPyQdgIqNsscfJB2AgwQ0lRLkxTRTpTRk9SLklRX1RPVEFMX0NBLjk5Ni4zMS8xMi8yMDE5Li5GLkdCUC5DAQAAAMtT5CEDAAAAAAA7hhd48kHYCEWZ+3jyQdgIIENJUS5OWVNFOktPLklRX1ZPTFVNRS4xMy8wNC8yMDE4AQAAABJoAAACAAAACDEwLjc3NDE2AEFSQnXyQdgICiFRdvJB2AgnQ0lRLkxTRTpTRk9SLklRX0JFVEFfMllSX1JTUS4zMC8wNC8yMDIwAQAAAMtT5CECAAAAETAuMzkzNjQxOTcyNjA3ODc5AKPWJFXyQdgIz92IWfJB2AgtQ0lRLk5BU0RBUUdTOlRTTEEuSVFfTEFT</t>
  </si>
  <si>
    <t>VFNBTEVQUklDRS4yOS8wMi8yMDIwAQAAABDGogECAAAABjY2Ny45OQAB6H1T8kHYCIfwXlnyQdgIKENJUS5MU0U6U0ZPUi5JUV9MQVNUU0FMRVBSSUNFLjI5LzA2LzIwMTgBAAAAy1PkIQMAAAAAADq/hVLyQdgI1TYMcfJB2Ag2Q0lRLkxTRTpUU0NPLklRX0RBX01FRElBTl9FU1QuMTAwMi4zMS8xMi8yMDE5Li5GLkdCUC5DAQAAADBQBgACAAAABzIwNzEuNjIBDgAAAAUAAAABMwEAAAABMAIAAAAKMTAwMDI2NDQ5OQMAAAAGMTE0MTkwBAAAAAEzBgAAAAEwBwAAAAI1NQgAAAABMQkAAAABMQoAAAABMAsAAAALMTE5NDg2NTIwODkMAAAAATENAAAACDEvMS8yMDIwEAAAAAk4LzE2LzIwMjDaFJZ38kHYCHsH6HjyQdgIIkNJUS5OWVNFOk1BTlUuSVFfVk9MVU1FLjA0LzEwLzIwMTkBAAAA3WsNAAIAAAAIMC4wMzAyMjkAlf0kVfJB2AhKxr9y8kHYCClDSVEuTllTRTpSQUNFLklRX0xBU1RTQUxFUFJJQ0UuMzAvMDYvMjAxOAEAAAA9grAQAgAAAAYxMzUuMDEA6DV+U/JB2Ah39ylx8kHYCClDSVEuTllTRTpSQUNFLklRX0xBU1RTQUxFUFJJQ0UuMTIvMDQvMjAxOQEAAAA9grAQAgAAAAYxMzguNTcAuZR/U/JB2AgzjyVx8kHYCChDSVEuTFNFOlNGT1IuSVFfTEFTVFNBTEVQUklDRS4yMy8wMi8yMDE4AQAAAMtT5CEDAAAAAAAoK0J18kHYCHP4V3byQdgIJ0NJUS4kQUVEUk9OLklRX0xBU1RTQUxFUFJJQ0UuMzEv</t>
  </si>
  <si>
    <t>MTIvMjAxOAEAAAAl61oAAgAAAAswLjkwMzcwMDQyMwD+A0J18kHYCNS2THbyQdgIIUNJUS5MU0U6U0ZPUi5JUV9WT0xVTUUuMzAvMDgvMjAxOQEAAADLU+QhAgAAAAcwLjA3Mzg3AJX9JFXyQdgIty69cvJB2Ag7Q0lRLk5ZU0U6TUFOVS5JUV9UT1RBTF9ERUJUX0NVUlJFTlQuOTk2LjMxLzEyLzIwMTkuLkYuR0JQLkMBAAAA3WsNAAIAAAAFMC40ODUBCAAAAAUAAAABMQEAAAAKMTg2MTczNjg2OQMAAAACNTUCAAAABTI1MjIzBAAAAAExBwAAAAoxMi8zMS8yMDE5CAAAAAk4LzE2LzIwMjAJAAAAATAcrRd48kHYCGfd+HjyQdgIKENJUS4lVENNU00wMy5JUV9MQVNUU0FMRVBSSUNFLjMwLzA0LzIwMjABAAAACB8oAgIAAAAEMC4wOQCj1iRV8kHYCM82hVnyQdgIMkNJUS5OWVNFOlJBQ0UuSVFfTFRfSU5WRVNULjk5Ny4zMC8wNC8yMDIwLi5GLkVVUi5DAQAAAD2CsBACAAAABjIxLjk2OAEIAAAABQAAAAExAQAAAAoxOTQ3NDQ0MTg0AwAAAAI1MAIAAAAEMTA1NAQAAAABMQcAAAAJNC8zMC8yMDIwCAAAAAk4LzE2LzIwMjAJAAAAATDg4wZL8kHYCCHPlVnyQdgILkNJUS5OWVNFOk1BTlUuSVFfUFJJQ0VfVk9MX0hJU1RfNVlSLjMwLzA0LzIwMjABAAAA3WsNAAIAAAAHMjcuNDkzOAD8OiRV8kHYCLFSiVnyQdgIJ0NJUS4kQUVERVVSLklRX0xBU1RTQUxFUFJJQ0UuMzAvMDQvMjAxOQEAAAAl61oAAgAAAAs0LjEx</t>
  </si>
  <si>
    <t>NTQwNjE2MgCV/SRV8kHYCKL5hVnyQdgINkNJUS5MU0U6VFNDTy5JUV9DQVNIX1NUX0lOVkVTVC45OTYuMzEvMTIvMjAxOS4uRi5HQlAuQwEAAAAwUAYAAgAAAAQyMTQyAQgAAAAFAAAAATEBAAAACjE3OTE0NjgxNDYDAAAAAjU1AgAAAAQxMDAyBAAAAAExBwAAAAoxMi8zMS8yMDE5CAAAAAk4LzE2LzIwMjAJAAAAATA7hhd48kHYCPmp/HjyQdgIO0NJUS5OWVNFOk1BTlUuSVFfRUJJVERBX01FRElBTl9FU1QuMTAwMi4zMS8xMi8yMDE5Li5GLkdCUC5DAQAAAN1rDQACAAAACDE3Ni4xNzg1AQ4AAAAFAAAAATMBAAAAATACAAAACjEwMDMwOTI0MzADAAAABjEwMDE4OAQAAAABMwYAAAABMAcAAAACNTUIAAAAATEJAAAAATEKAAAAATALAAAACzExNjkyNzIzNTE2DAAAAAExDQAAAAgxLzEvMjAyMBAAAAAJOC8xNi8yMDIw80gYePJB2AjRCO948kHYCChDSVEuTFNFOlRTQ08uSVFfTEFTVFNBTEVQUklDRS4zMS8wOC8yMDE5AQAAADBQBgACAAAABTIuMTkyAAgPflPyQdgId54tcfJB2AgmQ0lRLk5ZU0U6S08uSVFfRVBTX0VTVC42MDAwLjMwLzA0LzIwMjABAAAAEmgAAAIAAAAGMS45MDIyAQ4AAAAFAAAAAjExAQAAAAcyNjAxMjAxAgAAAAg3ODg4NzQ5NAMAAAAGMTAwMTczBAAAAAEyBgAAAAEwBwAAAAMxNjAIAAAAATAJAAAAATEKAAAAATALAAAACzExOTI1ODgyMDg3DAAAAAIxMg0AAAAINS8xLzIwMjAQAAAA</t>
  </si>
  <si>
    <t>CTQvMzAvMjAyMLGvJFXyQdgIMdiDWfJB2Ag7Q0lRLkxTRTpUU0NPLklRX1RPVEFMX0NPTU1PTl9FUVVJVFkuOTk5LjMwLzA0LzIwMjAuLkYuR0JQLkMBAAAAMFAGAAIAAAAFMTQ4NTgBCAAAAAUAAAABMQEAAAAKMTk2ODczNjU2MwMAAAACNTUCAAAABDEwMDYEAAAAATEHAAAACTQvMzAvMjAyMAgAAAAJOC8xNi8yMDIwCQAAAAEwyTEHS/JB2AiLMZxZ8kHYCC9DSVEuTkFTREFRR1M6VFNMQS5JUV9OSS45OTguMzEvMTIvMjAxOS4uRi5VU0QuQwEAAAAQxqIBAgAAAAgtNjc0LjkxNAEIAAAABQAAAAExAQAAAAoxOTQ1ODczNTUxAwAAAAMxNjACAAAAAjE1BAAAAAExBwAAAAoxMi8zMS8yMDE5CAAAAAk4LzE2LzIwMjAJAAAAATDc7ZV38kHYCEqj6HjyQdgIKUNJUS5OWVNFOk1BTlUuSVFfTEFTVFNBTEVQUklDRS4yNC8wNS8yMDE5AQAAAN1rDQACAAAABTE4LjM5AMGqflPyQdgIEu4mcfJB2AgoQ0lRLk5BU0RBUUdTOkNBS0UuSVFfQkVUQV8yWVIuMzAvMDQvMjAyMAEAAAAI4AQAAgAAABAxLjQwODE0NjM0NDc2NjExALGvJFXyQdgIm6CJWfJB2AgnQ0lRLiRBRURVWVUuSVFfTEFTVFNBTEVQUklDRS4zMS8xMi8yMDE4AQAAACXrWgACAAAACzAuMTEzMTg5NTIyAP4DQnXyQdgI1LZMdvJB2AgoQ0lRLkxTRTpTRk9SLklRX0xBU1RTQUxFUFJJQ0UuMzEvMTIvMjAxNQEAAADLU+QhAwAAAAAAuZR/U/JB2Ag4ICNx</t>
  </si>
  <si>
    <t>8kHYCDdDSVEuTllTRTpSQUNFLklRX0VTVF9FUFNfR1JPV1RIXzVZUl9MT1cuNjAwMC4zMC8wNC8yMDIwAQAAAD2CsBACAAAABzkuMjcxMjQBDgAAAAUAAAABNwEAAAAJMzEzOTc0OTgxAgAAAAoxMDAzMjI1MTI1AwAAAAYxMDAxNzAEAAAAATMGAAAAATAHAAAAATAIAAAAATAJAAAAATEKAAAAATALAAAACzExODg0MjI3ODQ0DAAAAAE4DQAAAAg1LzEvMjAyMBAAAAAJNC8zMC8yMDIwsa8kVfJB2AiiW39Z8kHYCCdDSVEuJEFFRFNHRC5JUV9MQVNUU0FMRVBSSUNFLjMxLzEyLzIwMTkBAAAAJetaAAIAAAALMi43MzA4NzUzMjIA3wbedPJB2AgV4kp28kHYCClDSVEuTllTRTpNQU5VLklRX0xBU1RTQUxFUFJJQ0UuMzEvMDcvMjAxOAEAAADdaw0AAgAAAAQyMC43AOg1flPyQdgIWGwqcfJB2AgyQ0lRLk5BU0RBUUdTOlRTTEEuSVFfREFfQ0YuOTk2LjMxLzEyLzIwMTkuLkYuVVNELkMBAAAAEMaiAQIAAAAHMjMxLjkzMQEIAAAABQAAAAExAQAAAAoxODMwMTQzMzAwAwAAAAMxNjACAAAABDIxNjAEAAAAATEHAAAACjEyLzMxLzIwMTkIAAAACTgvMTYvMjAyMAkAAAABMNoUlnfyQdgIOdDmePJB2AgkQ0lRLl5TUFguSVFfTEFTVFNBTEVQUklDRS4yOS8wNi8yMDE4AQAAAJu4KAACAAAAEDI3MTguMzczNDY1MDIyMjMAisU3UfJB2AiVMhRz8kHYCCNDSVEuJVRDTVNZMDMuSVFfTEFTVFNBTEVQUklDRS40MzU4NQEA</t>
  </si>
  <si>
    <t>AAAUHygCAgAAAAQyLjI0AKPWJFXyQdgIGsKEWfJB2Ag8Q0lRLk5ZU0U6UkFDRS5JUV9UT1RBTF9DT01NT05fRVFVSVRZLjk5OS4zMS8xMi8yMDE5Li5GLkVVUi5DAQAAAD2CsBACAAAABzc3OC42NzgBCAAAAAUAAAABMQEAAAAKMTk0NzQ0NDE5MAMAAAACNTACAAAABDEwMDYEAAAAATEHAAAACjEyLzMxLzIwMTkIAAAACTgvMTYvMjAyMAkAAAABMB77F3jyQdgISQ30ePJB2AgtQ0lRLk5BU0RBUUdTOlRTTEEuSVFfTEFTVFNBTEVQUklDRS4xNi8wOC8yMDE5AQAAABDGogECAAAABjIxOS45NADRg35T8kHYCIDQKXHyQdgINUNJUS5OWVNFOktPLklRX0RBX01FRElBTl9FU1QuMTAwMi4zMC8wNC8yMDIwLi5GLlVTRC5DAQAAABJoAAACAAAABjE0NDkuMQEOAAAABQAAAAEzAQAAAAEwAgAAAAoxMDAxNjU2Mjc4AwAAAAYxMTQxOTAEAAAAATIGAAAAATAHAAAAAzE2MAgAAAABMQkAAAABMQoAAAABMAsAAAALMTE4ODM2MTI1MTcMAAAAATENAAAACDUvMS8yMDIwEAAAAAk4LzE2LzIwMjD/b8pM8kHYCPwgqVnyQdgIJENJUS5eQVNYLklRX0xBU1RTQUxFUFJJQ0UuMTEvMTAvMjAxOQEAAAAfU+sBAgAAAAszOTkyLjE1Njk4OAC1vDdS8kHYCPvTGXPyQdgILENJUS5OWVNFOktPLklRX0NBUEVYLjk5Ni4zMC8wNC8yMDIwLi5GLlVTRC5DAQAAABJoAAACAAAABS0yNTUzAQgAAAAFAAAAATEBAAAACjE4NzU3OTc4MDkD</t>
  </si>
  <si>
    <t>AAAAAzE2MAIAAAAEMjAyMQQAAAABMQcAAAAJNC8zMC8yMDIwCAAAAAk4LzE2LzIwMjAJAAAAATADScpM8kHYCH4GrFnyQdgIJkNJUS5OQVNEQVFHUzpDQUtFLklRX1ZPTFVNRS4yMy8wMi8yMDE4AQAAAAjgBAACAAAACDEuMjY1MjczACgrQnXyQdgIc/hXdvJB2AgqQ0lRLkxTRTpTRk9SLklRX0dQLjk5Ny4zMC8wNC8yMDIwLi5GLkdCUC5DAQAAAMtT5CEDAAAAAADZCgdL8kHYCHMmoFnyQdgIJ0NJUS4kQUVERFpELklRX0xBU1RTQUxFUFJJQ0UuMzEvMTIvMjAxOAEAAAAl61oAAgAAAAswLjAzMDk1OTk4NwD+A0J18kHYCArNS3byQdgIJUNJUS5eQ09NUC5JUV9MQVNUU0FMRVBSSUNFLjA5LzAyLzIwMTgBAAAAibgoAAIAAAAHNjg3NC40OQDYLd508kHYCLgERnbyQdgIKENJUS5MU0U6U0ZPUi5JUV9MQVNUU0FMRVBSSUNFLjMxLzA3LzIwMTgBAAAAy1PkIQMAAAAAAOg1flPyQdgIcR4qcfJB2Ag/Q0lRLk5ZU0U6S08uSVFfTUlOT1JJVFlfSU5URVJFU1RfVE9UQUwuMjAwMC4zMS8xMi8yMDE5Li5GLlVTRC5DAQAAABJoAAACAAAABDE5NzABCAAAAAUAAAABMQEAAAAKMTk4ODgwMTUyNgMAAAADMTYwAgAAAAQxMzEyBAAAAAExBwAAAAoxMi8zMS8yMDE5CAAAAAk4LzE2LzIwMjAJAAAAATCE1Bd48kHYCAUK93jyQdgIL0NJUS5MU0U6VFNDTy5JUV9JTkNfVEFYLjk5Ny4zMS8xMi8yMDE5Li5GLkdCUC5DAQAA</t>
  </si>
  <si>
    <t>ADBQBgACAAAAAy01NAEIAAAABQAAAAExAQAAAAoxODQ3ODI1MTQ4AwAAAAI1NQIAAAACNzUEAAAAATEHAAAACjEyLzMxLzIwMTkIAAAACTgvMTYvMjAyMAkAAAABMNztlXfyQdgI/7PpePJB2AgtQ0lRLk5BU0RBUUdTOkNBS0UuSVFfTEFTVFNBTEVQUklDRS4yOS8wMy8yMDE5AQAAAAjgBAACAAAABTQ4LjkyALmUf1PyQdgIuxglcfJB2AgtQ0lRLkxTRTpUU0NPLklRX1BFUklPRERBVEUuMjAwMC4zMC8wNC8yMDIwLi5GAQAAADBQBgAFAAAACjI5LzAyLzIwMjAAsa8kVfJB2Ai6F4JZ8kHYCDFDSVEuTkFTREFRR1M6VFNMQS5JUV9QRVJJT0REQVRFLjk5OS4zMC8wNC8yMDIwLi5GAQAAABDGogEFAAAACjMxLzEyLzIwMTgAsa8kVfJB2AjXooFZ8kHYCCtDSVEuTllTRTpLTy5JUV9FQlQuMTAwMC4zMS8xMi8yMDE5Li5GLlVTRC5DAQAAABJoAAACAAAABDgzNTABCAAAAAUAAAABMQEAAAAKMTk0NjQzMDc4MQMAAAADMTYwAgAAAAMxMzkEAAAAATEHAAAACjEyLzMxLzIwMTkIAAAACTgvMTYvMjAyMAkAAAABMNztlXfyQdgIsevqePJB2AgpQ0lRLk5ZU0U6UkFDRS5JUV9MQVNUU0FMRVBSSUNFLjMxLzA4LzIwMTUBAAAAPYKwEAMAAAAAALmUf1PyQdgImw0icfJB2AgxQ0lRLk5ZU0U6UkFDRS5JUV9DT1NUX1JFVi45OTcuMzEvMTIvMjAxOS4uRi5FVVIuQwEAAAA9grAQAgAAAAgxNDk4LjgwNgEIAAAABQAAAAEx</t>
  </si>
  <si>
    <t>AQAAAAoxODc2MDQzMzEzAwAAAAI1MAIAAAABMQQAAAABMQcAAAAKMTIvMzEvMjAxOQgAAAAJOC8xNi8yMDIwCQAAAAEwHvsXePJB2Ah5A/F48kHYCCBDSVEuLklRX0xBU1RTQUxFUFJJQ0UuMjkvMDIvMjAxNgUAAAAAAAAACAAAABQoSW52YWxpZCBJZGVudGlmaWVyKeyNNlHyQdgIFsVXc/JB2AgpQ0lRLk5ZU0U6UkFDRS5JUV9MQVNUU0FMRVBSSUNFLjA3LzA2LzIwMTkBAAAAPYKwEAIAAAAGMTUwLjM0AMGqflPyQdgItjsncfJB2AghQ0lRLkxTRTpTRk9SLklRX1ZPTFVNRS4wMy8wNC8yMDIwAQAAAMtT5CECAAAACDAuMDg0ODQyAJX9JFXyQdgI/yN3WfJB2AgmQ0lRLk5BU0RBUUdTOlRTTEEuSVFfVk9MVU1FLjIyLzA2LzIwMTgBAAAAEMaiAQIAAAAIMTAuMjY2MDYAKeaFUvJB2Aj9mgtx8kHYCCBDSVEuLklRX0xBU1RTQUxFUFJJQ0UuMDUvMDQvMjAxOQUAAAAAAAAACAAAABQoSW52YWxpZCBJZGVudGlmaWVyKdPbNlHyQdgIjKJOc/JB2AgxQ0lRLk5ZU0U6TUFOVS5JUV9UQVJHRVRfUFJJQ0VfTlVNLjYwMDAuMzAvMDQvMjAyMAEAAADdaw0AAQAAAAEzALGvJFXyQdgI6g1/WfJB2AgtQ0lRLk5BU0RBUUdTOlRTTEEuSVFfTEFTVFNBTEVQUklDRS4yMS8wMi8yMDIwAQAAABDGogECAAAAAzkwMQAID35T8kHYCJNpXVnyQdgINENJUS5OWVNFOk1BTlUuSVFfUFJFRl9FUVVJVFkuOTk2LjMwLzA0LzIwMjAu</t>
  </si>
  <si>
    <t>LkYuR0JQLkMBAAAA3WsNAAMAAAAAALxYB0vyQdgIp7ybWfJB2Ag2Q0lRLkxTRTpUU0NPLklRX0VRVUlUWV9NRVRIT0QuMTAwMC4zMS8xMi8yMDE5Li5GLkdCUC5DAQAAADBQBgACAAAAAzYxOAEIAAAABQAAAAExAQAAAAoxOTY4NzM2NTYzAwAAAAI1NQIAAAAEMzA2MwQAAAABMQcAAAAKMTIvMzEvMjAxOQgAAAAJOC8xNi8yMDIwCQAAAAEwR2AXePJB2AgQAwB58kHYCCVDSVEuXkNPTVAuSVFfTEFTVFNBTEVQUklDRS4zMC8wNi8yMDE2AQAAAIm4KAACAAAABzQ4NDIuNjcAfKuFUfJB2AhdJwpz8kHYCC1DSVEuTkFTREFRR1M6VFNMQS5JUV9MQVNUU0FMRVBSSUNFLjIwLzA3LzIwMTgBAAAAEMaiAQIAAAAGMzEzLjU4ADq/hVLyQdgIilkOcfJB2Ag2Q0lRLk5BU0RBUUdTOlRTTEEuSVFfQ09TVF9SRVYuMjAwMC4zMS8xMi8yMDE5Li5GLlVTRC5DAQAAABDGogECAAAACTIwMjk5LjI0NwEIAAAABQAAAAExAQAAAAoxOTg5NDUzMTMwAwAAAAMxNjACAAAAATEEAAAAATEHAAAACjEyLzMxLzIwMTkIAAAACTgvMTYvMjAyMAkAAAABMB77F3jyQdgIh5/xePJB2Ag3Q0lRLkVVUi5JUV9GVUxMX0NVUlZFX0FOTlVBTC5BTExDT1JQLkNDQy4yMFkuMzEvMTIvMjAxOQEAAAAAAAAAAgAAAAgwLjEyNTA4MQDYLd508kHYCMqrSXbyQdgIJENJUS5eQVNYLklRX0xBU1RTQUxFUFJJQ0UuMzEvMDgvMjAxNwEAAAAfU+sBAgAA</t>
  </si>
  <si>
    <t>AAs0MDcyLjk4MDI1MQC1vDdS8kHYCAFgC3PyQdgIMUNJUUFWRy4lVENNU1kyMC5JUV9MQVNUU0FMRVBSSUNFLjQwMTc4LjMxLzEyLzIwMTkBAAAAIB8oAgIAAAAQMi45MjI4NzQ4NTAwNTk5OABBUkJ18kHYCNh9S3byQdgIIUNJUS5MU0U6VFNDTy5JUV9WT0xVTUUuMDkvMTEvMjAxOAEAAAAwUAYAAgAAAAgxNi4yNzQ1NgDH4n9T8kHYCOAuHXHyQdgIJUNJUS5eQ09NUC5JUV9MQVNUU0FMRVBSSUNFLjIyLzAzLzIwMTkBAAAAibgoAAIAAAAHNzY0Mi42NwCgnjdR8kHYCOGhFnPyQdgIKUNJUS5OWVNFOlJBQ0UuSVFfTEFTVFNBTEVQUklDRS4zMC8wOS8yMDE4AQAAAD2CsBACAAAABjEzNi45MQDoNX5T8kHYCMXhKnHyQdgILENJUS5OWVNFOk1BTlUuSVFfR1AuMTAwMC4zMC8wNC8yMDIwLi5GLkdCUC5DAQAAAN1rDQACAAAABzU2MS4yNTEBCAAAAAUAAAABMQEAAAAKMTk4NTg0NTA2MwMAAAACNTUCAAAAAjEwBAAAAAExBwAAAAk0LzMwLzIwMjAIAAAACTgvMTYvMjAyMAkAAAABMLxYB0vyQdgIwbKfWfJB2AgtQ0lRLk5BU0RBUUdTOkNBS0UuSVFfTEFTVFNBTEVQUklDRS4zMC8wNi8yMDE2AQAAAAjgBAACAAAABTQ4LjE0AMGqflPyQdgIvX4kcfJB2AgnQ0lRLk5ZU0U6S08uSVFfTEFTVFNBTEVQUklDRS4zMS8wNy8yMDE4AQAAABJoAAACAAAABTQ2LjYzAOg1flPyQdgIWJMqcfJB2AgmQ0lRLk5BU0RBUUdT</t>
  </si>
  <si>
    <t>OlRTTEEuSVFfVk9MVU1FLjEyLzA3LzIwMTkBAAAAEMaiAQIAAAAIOS4yMDA1MjEAo9YkVfJB2AiDv8Fy8kHYCCRDSVEuXlNQWC5JUV9MQVNUU0FMRVBSSUNFLjMxLzAxLzIwMTYBAAAAm7goAAIAAAAQMTk0MC4yMzk2Nzc4MTg0NQCgnjdR8kHYCCmiCHPyQdgIKENJUS5MU0U6U0ZPUi5JUV9MQVNUU0FMRVBSSUNFLjE1LzExLzIwMTkBAAAAy1PkIQIAAAAFMS44ODUA6DV+U/JB2AifAi1x8kHYCDVDSVEuTFNFOlRTQ08uSVFfVE9UQUxfQVNTRVRTLjEwMDAuMzEvMTIvMjAxOS4uRi5HQlAuQwEAAAAwUAYAAgAAAAU0OTA0NwEIAAAABQAAAAExAQAAAAoxOTY4NzM2NTYzAwAAAAI1NQIAAAAEMTAwNwQAAAABMQcAAAAKMTIvMzEvMjAxOQgAAAAJOC8xNi8yMDIwCQAAAAEwO4YXePJB2AhcS/t48kHYCEBDSVEuTkFTREFRR1M6Q0FLRS5JUV9NRURJQU5fVEFSR0VUX1BSSUNFLjYwMDAuMzAvMDQvMjAyMC4uLlVTRC5DAQAAAAjgBAACAAAAAjI2AQ4AAAAFAAAAATcBAAAABzI1OTk2OTUCAAAABjI3Mzg4OAMAAAAGMTAwMTYyBAAAAAMyNTUGAAAAATAHAAAAAzE2MAgAAAABMQkAAAABMQoAAAABMAsAAAALMTE5MDIzOTMyMTkMAAAAATgNAAAACDUvMS8yMDIwEAAAAAk4LzE2LzIwMjD/b8pM8kHYCCIbj1nyQdgII0NJUS4lVENNU1kwNS5JUV9MQVNUU0FMRVBSSUNFLjQzNTg1AQAAABcfKAICAAAABDIuMjgAo9Yk</t>
  </si>
  <si>
    <t>VfJB2AgRdIRZ8kHYCChDSVEuTFNFOlRTQ08uSVFfTEFTVFNBTEVQUklDRS4yNi8wNC8yMDE5AQAAADBQBgACAAAAAzIuNQC5lH9T8kHYCA4EJnHyQdgILUNJUS5OWVNFOktPLklRX0xBU1RTQUxFUFJJQ0UuMzEvMTIvMjAxNi5VU0QuQwEAAAASaAAAAgAAAAU0MS40NgADScpM8kHYCJR/YHbyQdgIN0NJUS5BVUQuSVFfRlVMTF9DVVJWRV9BTk5VQUwuQUxMQ09SUC5CQkIuMjBZLjMwLzA0LzIwMjABAAAAAAAAAAIAAAAJMC4wNDE4NDU1AKokJVXyQdgIhUeGWfJB2AgiQ0lRLk5ZU0U6TUFOVS5JUV9WT0xVTUUuMjYvMDQvMjAxOQEAAADdaw0AAgAAAAcwLjA1MjkzALmUf1PyQdgIHim/cvJB2AgpQ0lRLk5ZU0U6UkFDRS5JUV9MQVNUU0FMRVBSSUNFLjIyLzA2LzIwMTgBAAAAPYKwEAIAAAAGMTM5LjQ4ACnmhVLyQdgIBnQLcfJB2Ag4Q0lRLkxTRTpUU0NPLklRX0VCSVRfTUVESUFOX0VTVC42MDAxLjMwLzA0LzIwMjAuLkYuR0JQLkMBAAAAMFAGAAMAAAAAAKR/B0vyQdgIeqajWfJB2AgZQ0lRLi5JUV9WT0xVTUUuMjIvMTEvMjAxOQUAAAAAAAAACAAAABQoSW52YWxpZCBJZGVudGlmaWVyKdk5tVPyQdgIRjS7cvJB2AgiQ0lRLkxTRTpUU0NPLklRX1RFVl9PVVQuMzAvMDQvMjAyMAEAAAAwUAYAAgAAAAwzNzA1MC40MzQxODYBBgAAAAUAAAABMQEAAAAKMjAyNjUwNzM4MgMAAAACNTUCAAAABTQ2MjE0BAAA</t>
  </si>
  <si>
    <t>AAEwBwAAAAk0LzMwLzIwMjCj1iRV8kHYCHfnflnyQdgIKENJUS5MU0U6U0ZPUi5JUV9MQVNUU0FMRVBSSUNFLjMxLzAxLzIwMTcBAAAAy1PkIQMAAAAAANGDflPyQdgIGt0lcfJB2AgwQ0lRLk5ZU0U6S08uSVFfQ09TVF9SRVYuMjAwMC4zMS8xMi8yMDE5Li5GLlVTRC5DAQAAABJoAAACAAAABTEyODU4AQgAAAAFAAAAATEBAAAACjE5ODg4MDE1MjYDAAAAAzE2MAIAAAABMQQAAAABMQcAAAAKMTIvMzEvMjAxOQgAAAAJOC8xNi8yMDIwCQAAAAEwHvsXePJB2AiHn/F48kHYCCdDSVEuTFNFOlNGT1IuSVFfQkVUQV81WVJfUlNRLjMwLzA0LzIwMjABAAAAy1PkIQMAAAAAAKPWJFXyQdgI27aIWfJB2AghQ0lRLkxTRTpUU0NPLklRX1ZPTFVNRS4wNC8wMS8yMDE5AQAAADBQBgACAAAACDMxLjA1MTI2AMfif1PyQdgIoaO9cvJB2AgnQ0lRLk5ZU0U6S08uSVFfTEFTVFNBTEVQUklDRS4yMC8wNy8yMDE4AQAAABJoAAACAAAABTQ1LjI4ADq/hVLyQdgIilkOcfJB2AgtQ0lRLk5BU0RBUUdTOkNBS0UuSVFfTEFTVFNBTEVQUklDRS4yMi8wNi8yMDE4AQAAAAjgBAACAAAABTU3LjY3ACnmhVLyQdgI/ZoLcfJB2AgkQ0lRLkxTRTpTRk9SLklRX1NQX0xDX0xULi4zMS8xMi8yMDE5AQAAAMtT5CEDAAAAAAD+A0J18kHYCAFCTHbyQdgIJUNJUS5JUTUwMDI3NTgyLklRX0xBU1RTQUxFUFJJQ0UuNDM1ODUBAAAAPlz7AgIA</t>
  </si>
  <si>
    <t>AAAFMS42ODkAo9YkVfJB2AiVIIZZ8kHYCClDSVEuTllTRTpNQU5VLklRX0xBU1RTQUxFUFJJQ0UuMzAvMDkvMjAxOAEAAADdaw0AAgAAAAQyMi41AOg1flPyQdgIowgrcfJB2AgiQ0lRLk5ZU0U6TUFOVS5JUV9WT0xVTUUuMDgvMDIvMjAxOQEAAADdaw0AAgAAAAgwLjAzNzQ2NgCkvH9T8kHYCE3bvnLyQdgIQENJUS5OQVNEQVFHUzpDQUtFLklRX1RPVEFMX0NPTU1PTl9FUVVJVFkuOTk4LjMwLzA0LzIwMjAuLkYuVVNELkMBAAAACOAEAAIAAAAGNjEzLjUzAQgAAAAFAAAAATEBAAAACjIwMjE1ODE0MDkDAAAAAzE2MAIAAAAEMTAwNgQAAAABMQcAAAAJNC8zMC8yMDIwCAAAAAk4LzE2LzIwMjAJAAAAATD/b8pM8kHYCIsxnFnyQdgIP0NJUS5OWVNFOk1BTlUuSVFfVE9UQUxfREVCVF9OT05fQ1VSUkVOVC45OTcuMzEvMTIvMjAxOS4uRi5HQlAuQwEAAADdaw0AAgAAAAc0OTQuMjM4AQgAAAAFAAAAATEBAAAACjE5MTAyNDc0MDMDAAAAAjU1AgAAAAUyNTIyNAQAAAABMQcAAAAKMTIvMzEvMjAxOQgAAAAJOC8xNi8yMDIwCQAAAAEwHK0XePJB2AjeMPd48kHYCCFDSVEuTFNFOlNGT1IuSVFfVk9MVU1FLjE0LzA5LzIwMTgBAAAAy1PkIQMAAAAAAEOYhVLyQdgIYxATcfJB2Ag7Q0lRLk5BU0RBUUdTOkNBS0UuSVFfQ0FTSF9TVF9JTlZFU1QuOTk5LjMwLzA0LzIwMjAuLkYuVVNELkMBAAAACOAEAAIAAAAGMjYu</t>
  </si>
  <si>
    <t>NTc4AQgAAAAFAAAAATEBAAAACjIwMjE1ODE0MjADAAAAAzE2MAIAAAAEMTAwMgQAAAABMQcAAAAJNC8zMC8yMDIwCAAAAAk4LzE2LzIwMjAJAAAAATADScpM8kHYCB/DklnyQdgINkNJUS5OWVNFOk1BTlUuSVFfSU5URVJFU1RfRVhQLjIwMDAuMzAvMDQvMjAyMC4uRi5HQlAuQwEAAADdaw0AAgAAAActMjAuMzIxAQgAAAAFAAAAATEBAAAACjIwMTg2MzIwMDMDAAAAAjU1AgAAAAI4MgQAAAABMQcAAAAJNC8zMC8yMDIwCAAAAAk4LzE2LzIwMjAJAAAAATD/b8pM8kHYCB16rFnyQdgIJUNJUS5eQ09NUC5JUV9MQVNUU0FMRVBSSUNFLjMwLzA4LzIwMTkBAAAAibgoAAIAAAAHNzk2Mi44OABHhYVR8kHYCBYGFnPyQdgILkNJUS5OWVNFOk1BTlUuSVFfRUJJVC4xMDAwLjMxLzEyLzIwMTkuLkYuR0JQLkMBAAAA3WsNAAIAAAAGNDQuODMzAQgAAAAFAAAAATEBAAAACjE5ODU4NDUwNjMDAAAAAjU1AgAAAAM0MDAEAAAAATEHAAAACjEyLzMxLzIwMTkIAAAACTgvMTYvMjAyMAkAAAABMB4iGHjyQdgITErsePJB2AgnQ0lRLk5ZU0U6S08uSVFfTEFTVFNBTEVQUklDRS4zMC8wNi8yMDE3AQAAABJoAAACAAAABTQ0Ljg1ANGDflPyQdgItjsncfJB2AgZQ0lRLi5JUV9WT0xVTUUuMzAvMDMvMjAxOAUAAAAAAAAACAAAABQoSW52YWxpZCBJZGVudGlmaWVyKRjdQXXyQdgIdvRSdvJB2Ag1Q0lRLk5BU0RBUUdTOlRTTEEu</t>
  </si>
  <si>
    <t>SVFfU0hBUkVTT1VUU1RBTkRJTkcuMzEvMTIvMjAxNS5VU0QBAAAAEMaiAQIAAAAKMTMwLjk1MTMxOQAVIspM8kHYCEAaYXbyQdgIKUNJUS5OWVNFOk1BTlUuSVFfTEFTVFNBTEVQUklDRS4wNy8wNi8yMDE5AQAAAN1rDQACAAAABTE4LjAyAMGqflPyQdgI22IncfJB2AggQ0lRLi5JUV9MQVNUU0FMRVBSSUNFLjMxLzA3LzIwMTgFAAAAAAAAAAgAAAAUKEludmFsaWQgSWRlbnRpZmllcinsIDdS8kHYCNsANHPyQdgIKENJUS5MU0U6U0ZPUi5JUV9MQVNUU0FMRVBSSUNFLjI3LzA3LzIwMTgBAAAAy1PkIQMAAAAAADq/hVLyQdgIPPUOcfJB2AggQ0lRLk5ZU0U6S08uSVFfVk9MVU1FLjAyLzExLzIwMTgBAAAAEmgAAAIAAAAIMTcuNTg1MDYAx+J/U/JB2AhqjRdx8kHYCD9DSVEuTFNFOlNGT1IuSVFfTUlOT1JJVFlfSU5URVJFU1RfVE9UQUwuOTk2LjMwLzA0LzIwMjAuLkYuR0JQLkMBAAAAy1PkIQMAAAAAANkKB0vyQdgILemZWfJB2Ag3Q0lRLkdCUC5JUV9GVUxMX0NVUlZFX0FOTlVBTC5BTExDT1JQLkJCQi4yMFkuMzAvMDQvMjAyMAEAAAAAAAAAAgAAAAkwLjAyNzcxMDIAqiQlVfJB2AhTCodZ8kHYCDNDSVEuTkFTREFRR1M6VFNMQS5JUV9FQklUREEuOTk3LjMxLzEyLzIwMTkuLkYuVVNELkMBAAAAEMaiAQIAAAAILTI5NC4wMzkBCAAAAAUAAAABMQEAAAAKMTg3NTc2OTA4MgMAAAADMTYwAgAAAAQ0MDUx</t>
  </si>
  <si>
    <t>BAAAAAExBwAAAAoxMi8zMS8yMDE5CAAAAAk4LzE2LzIwMjAJAAAAATAeIhh48kHYCM5E7njyQdgILUNJUS5OQVNEQVFHUzpDQUtFLklRX0xBU1RTQUxFUFJJQ0UuMTgvMDUvMjAxOAEAAAAI4AQAAgAAAAU1MC40MQAp5oVS8kHYCNGPCHHyQdgIIUNJUS5MU0U6U0ZPUi5JUV9WT0xVTUUuMDQvMDUvMjAxOAEAAADLU+QhAwAAAAAAKeaFUvJB2AjIwgVx8kHYCCpDSVEuSVE0Mzk0MzgxMi5JUV9MQVNUU0FMRVBSSUNFLjMxLzEyLzIwMTkBAAAAhIeeAgIAAAAJLTAuNDQ2Mzc3AN8G3nTyQdgIMW1KdvJB2AgwQ0lRLk5ZU0U6S08uSVFfU0hBUkVTT1VUU1RBTkRJTkdfT1VULjMxLzEyLzIwMTkuAQAAABJoAAACAAAACzQzMjkuMjA5MTczACgrQnXyQdgI/4hfdfJB2AgvQ0lRLk5ZU0U6S08uSVFfQ09TVF9SRVYuOTk5LjMwLzA0LzIwMjAuLkYuVVNELkMBAAAAEmgAAAIAAAAFMTMwNjcBCAAAAAUAAAABMQEAAAAKMjAxNjc5MTI1MQMAAAADMTYwAgAAAAExBAAAAAExBwAAAAk0LzMwLzIwMjAIAAAACTgvMTYvMjAyMAkAAAABMANJykzyQdgIwceeWfJB2AghQ0lRLkxTRTpUU0NPLklRX1ZPTFVNRS4xNi8wOC8yMDE5AQAAADBQBgACAAAACDIwLjU3MTM4AJX9JFXyQdgIYWa+cvJB2Ag0Q0lRLk5ZU0U6S08uSVFfRVFVSVRZX01FVEhPRC45OTcuMzAvMDQvMjAyMC4uRi5VU0QuQwEAAAASaAAAAgAAAAUxNjI2MAEI</t>
  </si>
  <si>
    <t>AAAABQAAAAExAQAAAAoxOTQ2NDMwNzgyAwAAAAMxNjACAAAABDMwNjMEAAAAATEHAAAACTQvMzAvMjAyMAgAAAAJOC8xNi8yMDIwCQAAAAEwA0nKTPJB2AjRK5BZ8kHYCCFDSVEuTFNFOlRTQ08uSVFfVk9MVU1FLjA4LzAyLzIwMTkBAAAAMFAGAAIAAAAIMTYuNDAwMjQApLx/U/JB2AiSyr1y8kHYCDdDSVEuTkFTREFRR1M6VFNMQS5JUV9UT1RBTF9SRVYuMjAwMC4zMC8wNC8yMDIwLi5GLlVTRC5DAQAAABDGogECAAAABTI2MDIyAQgAAAAFAAAAATEBAAAACjIwMzIwNDUzMzQDAAAAAzE2MAIAAAACMjgEAAAAATEHAAAACTQvMzAvMjAyMAgAAAAJOC8xNi8yMDIwCQAAAAEwvFgHS/JB2AgyaZ1Z8kHYCCRDSVEuXkFTWC5JUV9MQVNUU0FMRVBSSUNFLjMxLzA3LzIwMTkBAAAAH1PrAQIAAAALNDEzNC4wMjc0NTgASQUzUvJB2Agnwwpz8kHYCClDSVEuTllTRTpNQU5VLklRX0xBU1RTQUxFUFJJQ0UuMjEvMDIvMjAyMAEAAADdaw0AAgAAAAUxOS4yOQAID35T8kHYCAREXVnyQdgIMkNJUS5MU0U6VFNDTy5JUV9UT1RBTF9SRVYuMTAwMC4zMC8wNC8yMDIwLi5GLkdCUC5DAQAAADBQBgACAAAABTY0NzYwAQgAAAAFAAAAATEBAAAACjIwMjY1MDczMDkDAAAAAjU1AgAAAAIyOAQAAAABMQcAAAAJNC8zMC8yMDIwCAAAAAk4LzE2LzIwMjAJAAAAATDJMQdL8kHYCCO3nVnyQdgIJ0NJUS4kQUVESEtELklRX0xBU1RT</t>
  </si>
  <si>
    <t>QUxFUFJJQ0UuMzEvMTIvMjAxOQEAAAAl61oAAgAAAAkwLjQ3MTU1NTgA3wbedPJB2AgV4kp28kHYCCJDSVEuTllTRTpLTy5JUV9CRVRBXzVZUi4zMS8xMi8yMDE5AQAAABJoAAACAAAAETAuNDIwNzg1MTA4NDA5NTY0AN8G3nTyQdgIZcdGdvJB2AhAQ0lRLk5BU0RBUUdTOlRTTEEuSVFfVE9UQUxfQ09NTU9OX0VRVUlUWS45OTkuMzEvMTIvMjAxOS4uRi5VU0QuQwEAAAAQxqIBAgAAAAg0MjM3LjI0MgEIAAAABQAAAAExAQAAAAoxOTQ1ODczNTUwAwAAAAMxNjACAAAABDEwMDYEAAAAATEHAAAACjEyLzMxLzIwMTkIAAAACTgvMTYvMjAyMAkAAAABMB77F3jyQdgILzT0ePJB2AgxQ0lRLk5ZU0U6UkFDRS5JUV9UT1RBTF9DQS45OTcuMzEvMTIvMjAxOS4uRi5FVVIuQwEAAAA9grAQAgAAAAgyMDE5LjgyMwEIAAAABQAAAAExAQAAAAoxODc2MDQzMzEzAwAAAAI1MAIAAAAEMTAwOAQAAAABMQcAAAAKMTIvMzEvMjAxOQgAAAAJOC8xNi8yMDIwCQAAAAEwO4YXePJB2Aidwft48kHYCChDSVEuTFNFOlNGT1IuSVFfTEFTVFNBTEVQUklDRS4zMS8wNS8yMDE3AQAAAMtT5CEDAAAAAADRg35T8kHYCErHJnHyQdgINkNJUS5OQVNEQVFHUzpUU0xBLklRX1RPVEFMX0NBLjIwMDAuMzEvMTIvMjAxOS4uRi5VU0QuQwEAAAAQxqIBAgAAAAUxMDk0MAEIAAAABQAAAAExAQAAAAoxOTg5NDUzMTMwAwAAAAMxNjACAAAABDEw</t>
  </si>
  <si>
    <t>MDgEAAAAATEHAAAACjEyLzMxLzIwMTkIAAAACTgvMTYvMjAyMAkAAAABMDuGF3jyQdgICoP8ePJB2AgoQ0lRLkxTRTpTRk9SLklRX0xBU1RTQUxFUFJJQ0UuMjgvMTIvMjAxOAEAAADLU+QhAgAAAAQxLjE4AMfif1PyQdgIGzYicfJB2AgpQ0lRLk5ZU0U6TUFOVS5JUV9MQVNUU0FMRVBSSUNFLjMxLzAxLzIwMTgBAAAA3WsNAAIAAAAEMjAuMQAFXX5T8kHYCIfAKHHyQdgIIUNJUS5MU0U6U0ZPUi5JUV9WT0xVTUUuMjIvMDYvMjAxOAEAAADLU+QhAwAAAAAAKeaFUvJB2AgGdAtx8kHYCDpDSVEuTllTRTpLTy5JUV9SRVZFTlVFX01FRElBTl9FU1QuMTAwMS4zMS8xMi8yMDE5Li5GLlVTRC5DAQAAABJoAAACAAAACzM3MDk5LjU1NTY1AQ4AAAAFAAAAATMBAAAAATACAAAACjEwMDE0MTY0MTUDAAAABjEwMDE4MQQAAAABMgYAAAABMAcAAAADMTYwCAAAAAExCQAAAAExCgAAAAEwCwAAAAsxMTY3MDMxNDUwNQwAAAABMQ0AAAAIMS8xLzIwMjAQAAAACTgvMTYvMjAyMPNIGHjyQdgIg/zyePJB2Ag6Q0lRLk5ZU0U6S08uSVFfUkVWRU5VRV9NRURJQU5fRVNULjYwMDEuMzAvMDQvMjAyMC4uRi5VU0QuQwEAAAASaAAAAwAAAAAA/2/KTPJB2AhdzZxZ8kHYCClDSVEuTllTRTpSQUNFLklRX0xBU1RTQUxFUFJJQ0UuMjQvMDUvMjAxOQEAAAA9grAQAgAAAAYxNDQuMjkAwap+U/JB2AgS7iZx8kHYCDNDSVEuTllTRTpS</t>
  </si>
  <si>
    <t>QUNFLklRX1RPVEFMX0xJQUIuOTk2LjMwLzA0LzIwMjAuLkYuRVVSLkMBAAAAPYKwEAIAAAAIMzg5NC44MDIBCAAAAAUAAAABMQEAAAAKMTg3NjA0MzMxMwMAAAACNTACAAAABDEyNzYEAAAAATEHAAAACTQvMzAvMjAyMAgAAAAJOC8xNi8yMDIwCQAAAAEw2QoHS/JB2Ajwq5pZ8kHYCCFDSVEuTFNFOlNGT1IuSVFfVk9MVU1FLjIwLzA3LzIwMTgBAAAAy1PkIQMAAAAAADq/hVLyQdgITjEOcfJB2AgnQ0lRLiRBRURVU0QuSVFfTEFTVFNBTEVQUklDRS4zMS8xMi8yMDE3AQAAACXrWgACAAAABjMuNjczMgAVIspM8kHYCNOqXnbyQdgIMkNJUS5OWVNFOktPLklRX1BSRUZfRVFVSVRZLjk5Ni4zMC8wNC8yMDIwLi5GLlVTRC5DAQAAABJoAAADAAAAAAADScpM8kHYCLKVm1nyQdgILUNJUS5OQVNEQVFHUzpUU0xBLklRX0xBU1RTQUxFUFJJQ0UuMzEvMTIvMjAxNwEAAAAQxqIBAgAAAAYzMTEuMzUABV1+U/JB2AjfcShx8kHYCC1DSVEuTFNFOlRTQ08uSVFfUEVSSU9EREFURS4xMDAwLjMxLzEyLzIwMTkuLkYBAAAAMFAGAAUAAAAKMjMvMDIvMjAxOQD+A0J18kHYCMNSTXbyQdgIO0NJUS5OWVNFOk1BTlUuSVFfRUJJVERBX01FRElBTl9FU1QuNjAwMC4zMC8wNC8yMDIwLi5GLkdCUC5DAQAAAN1rDQACAAAABzE0Ni4wMzgBDgAAAAUAAAACMTEBAAAAATACAAAABzM2MTc4ODUDAAAABjEwMDE4OAQAAAABMwYAAAAB</t>
  </si>
  <si>
    <t>MAcAAAACNTUIAAAAATEJAAAAATEKAAAAATALAAAACzExODY4NjMwOTgzDAAAAAIxMg0AAAAINS8xLzIwMjAQAAAACTgvMTYvMjAyMKR/B0vyQdgIH4WhWfJB2AgvQ0lRLk5BU0RBUUdTOkNBS0UuSVFfR1AuOTk5LjMxLzEyLzIwMTkuLkYuVVNELkMBAAAACOAEAAIAAAAHOTYzLjUxOQEIAAAABQAAAAExAQAAAAoxOTQ4MTc2NjgwAwAAAAMxNjACAAAAAjEwBAAAAAExBwAAAAoxMi8zMS8yMDE5CAAAAAk4LzE2LzIwMjAJAAAAATAeIhh48kHYCJqO8HjyQdgIJUNJUS5eQ09NUC5JUV9MQVNUU0FMRVBSSUNFLjEwLzAxLzIwMjABAAAAibgoAAIAAAAHOTE3OC44NgD/KzNS8kHYCJzqvFnyQdgIP0NJUS5MU0U6U0ZPUi5JUV9NSU5PUklUWV9JTlRFUkVTVF9UT1RBTC45OTguMzEvMTIvMjAxOS4uRi5HQlAuQwEAAADLU+QhAwAAAAAAhNQXePJB2AjLVvZ48kHYCClDSVEuTllTRTpSQUNFLklRX0xBU1RTQUxFUFJJQ0UuMTcvMDQvMjAyMAEAAAA9grAQAgAAAAYxNjEuMzQAAeh9U/JB2AiXF19Z8kHYCCRDSVEuXlNQWC5JUV9MQVNUU0FMRVBSSUNFLjI3LzA3LzIwMTgBAAAAm7goAAIAAAAQMjgxOC44MTc2MjYyOTYxNgCKxTdR8kHYCI4LFHPyQdgIQENJUS5OQVNEQVFHUzpUU0xBLklRX1RPVEFMX0NPTU1PTl9FUVVJVFkuOTk3LjMwLzA0LzIwMjAuLkYuVVNELkMBAAAAEMaiAQIAAAAINDc1Mi45MTEBCAAAAAUA</t>
  </si>
  <si>
    <t>AAABMQEAAAAKMTk0NTg3MzU1MQMAAAADMTYwAgAAAAQxMDA2BAAAAAExBwAAAAk0LzMwLzIwMjAIAAAACTgvMTYvMjAyMAkAAAABMLxYB0vyQdgIglicWfJB2AgoQ0lRLkxTRTpTRk9SLklRX0xBU1RTQUxFUFJJQ0UuMDgvMTEvMjAxOQEAAADLU+QhAgAAAAQxLjg0AOg1flPyQdgIuLQscfJB2AgZQ0lRLi5JUV9WT0xVTUUuMDYvMDMvMjAyMAUAAAAAAAAACAAAABQoSW52YWxpZCBJZGVudGlmaWVyKdk5tVPyQdgISSh1WfJB2AgyQ0lRLkxTRTpUU0NPLklRX0VTVF9FUFNfR1JPV1RIXzVZUi42MDAwLjMxLzEyLzIwMTkBAAAAMFAGAAIAAAAIMTAuOTU0MzEBDgAAAAUAAAABNwEAAAAIMjAxNTc4NzkCAAAABjQxMTY4MAMAAAAGMTAwMTY3BAAAAAEzBgAAAAEwBwAAAAEwCAAAAAEwCQAAAAExCgAAAAEwCwAAAAsxMTYyMzQ5NTUxNAwAAAABOA0AAAAIMS8xLzIwMjAQAAAACjEyLzMxLzIwMTkoK0J18kHYCDQUTnbyQdgIKUNJUS5OWVNFOlJBQ0UuSVFfTEFTVFNBTEVQUklDRS4yNi8wMS8yMDE4AQAAAD2CsBACAAAABjExOS45NgAoK0J18kHYCAiQWnbyQdgIIUNJUS5MU0U6VFNDTy5JUV9WT0xVTUUuMTQvMDkvMjAxOAEAAAAwUAYAAgAAAAgzNy44MzA2MgBDmIVS8kHYCOw2E3HyQdgIMUNJUS5MU0U6VFNDTy5JUV9MVF9JTlZFU1QuOTk2LjMxLzEyLzIwMTkuLkYuR0JQLkMBAAAAMFAGAAIAAAAEMTkxNQEI</t>
  </si>
  <si>
    <t>AAAABQAAAAExAQAAAAoxNzkxNDY4MTQ2AwAAAAI1NQIAAAAEMTA1NAQAAAABMQcAAAAKMTIvMzEvMjAxOQgAAAAJOC8xNi8yMDIwCQAAAAEwO4YXePJB2AjGxfl48kHYCDVDSVEuTkFTREFRR1M6VFNMQS5JUV9DT1NUX1JFVi45OTcuMzAvMDQvMjAyMC4uRi5VU0QuQwEAAAAQxqIBAgAAAAg1NDAwLjg3NQEIAAAABQAAAAExAQAAAAoxOTQ1ODczNTUxAwAAAAMxNjACAAAAATEEAAAAATEHAAAACTQvMzAvMjAyMAgAAAAJOC8xNi8yMDIwCQAAAAEwvFgHS/JB2AjCFZ9Z8kHYCCBDSVEuLklRX0xBU1RTQUxFUFJJQ0UuMTIvMTAvMjAxOAUAAAAAAAAACAAAABQoSW52YWxpZCBJZGVudGlmaWVyKee0NlHyQdgITWxpc/JB2AgnQ0lRLk5ZU0U6S08uSVFfTEFTVFNBTEVQUklDRS4wMi8wMi8yMDE4AQAAABJoAAACAAAABTQ2LjczACgrQnXyQdgI8MtZdvJB2Ag/Q0lRLk5ZU0U6UkFDRS5JUV9UT1RBTF9ERUJUX05PTl9DVVJSRU5ULjk5OS4zMC8wNC8yMDIwLi5GLkVVUi5DAQAAAD2CsBACAAAACDE1NzQuNzU4AQgAAAAFAAAAATEBAAAACjIwMTU2Mzk4MTgDAAAAAjUwAgAAAAUyNTIyNAQAAAABMQcAAAAJNC8zMC8yMDIwCAAAAAk4LzE2LzIwMjAJAAAAATDg4wZL8kHYCI5jmFnyQdgIJ0NJUS5OWVNFOktPLklRX0xBU1RTQUxFUFJJQ0UuMzEvMTAvMjAxOAEAAAASaAAAAgAAAAU0Ny44OAAID35T8kHYCAhWK3Hy</t>
  </si>
  <si>
    <t>QdgIJ0NJUS5OWVNFOktPLklRX0xBU1RTQUxFUFJJQ0UuMzEvMDUvMjAxNwEAAAASaAAAAgAAAAU0NS40NwDRg35T8kHYCBLuJnHyQdgIO0NJUS5OQVNEQVFHUzpUU0xBLklRX0RBX01FRElBTl9FU1QuNjAwMC4zMS8xMi8yMDE5Li5GLlVTRC5DAQAAABDGogECAAAABzIxMTkuNDUBDgAAAAUAAAACMTEBAAAAATACAAAACDE1MzU3Njg1AwAAAAYxMTQxOTAEAAAAATIGAAAAATAHAAAAAzE2MAgAAAABMQkAAAABMQoAAAABMAsAAAALMTE3MzMxNjEzNjYMAAAAAjEyDQAAAAgxLzEvMjAyMBAAAAAJOC8xNi8yMDIwOzyWd/JB2AiG4Od48kHYCD9DSVEuTkFTREFRR1M6VFNMQS5JUV9UT1RBTF9ERUJUX0NVUlJFTlQuOTk2LjMxLzEyLzIwMTkuLkYuVVNELkMBAAAAEMaiAQIAAAAHNjkwLjI5NQEIAAAABQAAAAExAQAAAAoxODMwMTQzMzAwAwAAAAMxNjACAAAABTI1MjIzBAAAAAExBwAAAAoxMi8zMS8yMDE5CAAAAAk4LzE2LzIwMjAJAAAAATAcrRd48kHYCGfd+HjyQdgILUNJUS5OQVNEQVFHUzpDQUtFLklRX0xBU1RTQUxFUFJJQ0UuMDYvMDMvMjAyMAEAAAAI4AQAAgAAAAUzMS40NAAB6H1T8kHYCOu4XVnyQdgILUNJUS5OWVNFOktPLklRX0RBX0NGLjEwMDAuMzAvMDQvMjAyMC4uRi5VU0QuQwEAAAASaAAAAgAAAAQxMzY1AQgAAAAFAAAAATEBAAAACjIwMTY3OTEyNDUDAAAAAzE2MAIAAAAEMjE2MAQAAAAB</t>
  </si>
  <si>
    <t>MQcAAAAJNC8zMC8yMDIwCAAAAAk4LzE2LzIwMjAJAAAAATADScpM8kHYCMa8qVnyQdgIIkNJUS5OWVNFOk1BTlUuSVFfVk9MVU1FLjEyLzA3LzIwMTkBAAAA3WsNAAIAAAAHMC4wNTEyMQCV/SRV8kHYCAl3v3LyQdgIIkNJUS5OWVNFOk1BTlUuSVFfVk9MVU1FLjA2LzA0LzIwMTgBAAAA3WsNAAIAAAAIMC4wMzYwMDYAKCtCdfJB2AjUvFF28kHYCDlDSVEuTFNFOlRTQ08uSVFfSElHSF9UQVJHRVRfUFJJQ0UuNjAwMC4zMC8wNC8yMDIwLi4uR0JQLkMBAAAAMFAGAAIAAAAEMy4xNQEOAAAABQAAAAE3AQAAAAgyMDE1Nzg3OQIAAAAGNDExNjgwAwAAAAYxMDAxNjMEAAAAAzI1NQYAAAABMAcAAAACNTUIAAAAATEJAAAAATEKAAAAATALAAAACzExODkyMzU4MjM5DAAAAAE4DQAAAAg1LzEvMjAyMBAAAAAJOC8xNi8yMDIwpH8HS/JB2AgNQo9Z8kHYCCRDSVEuXkFTWC5JUV9MQVNUU0FMRVBSSUNFLjE2LzAzLzIwMTgBAAAAH1PrAQIAAAALMzk1Ny4wODQxNzYA2C3edPJB2Aht3EV28kHYCCtDSVEuTFNFOlNGT1IuSVFfU0dBLjk5Ni4zMC8wNC8yMDIwLi5GLkdCUC5DAQAAAMtT5CEDAAAAAADZCgdL8kHYCDEQoVnyQdgIMkNJUS5OQVNEQVFHUzpDQUtFLklRX1BFUklPRERBVEUuMTAwMC4zMC8wNC8yMDIwLi5GAQAAAAjgBAAFAAAACjMxLzEyLzIwMTkAsa8kVfJB2AidjIJZ8kHYCD5DSVEuTkFTREFRR1M6VFNM</t>
  </si>
  <si>
    <t>QS5JUV9DQVBFWF9NRURJQU5fRVNULjYwMDEuMzEvMTIvMjAxOS4uRi5VU0QuQwEAAAAQxqIBAwAAAAAAOzyWd/JB2AjggeZ48kHYCDJDSVEuTFNFOlRTQ08uSVFfSU5WRU5UT1JZLjIwMDAuMzEvMTIvMjAxOS4uRi5HQlAuQwEAAAAwUAYAAgAAAAQyNzE5AQgAAAAFAAAAATEBAAAACjE5ODY3OTMyNDADAAAAAjU1AgAAAAQxMDQzBAAAAAExBwAAAAoxMi8zMS8yMDE5CAAAAAk4LzE2LzIwMjAJAAAAATDaFJZ38kHYCD8j5XjyQdgINUNJUS5MU0U6VFNDTy5JUV9FUVVJVFlfTUVUSE9ELjk5Ni4zMC8wNC8yMDIwLi5GLkdCUC5DAQAAADBQBgACAAAAAzc4NQEIAAAABQAAAAExAQAAAAoxODQ3ODI1MTQ4AwAAAAI1NQIAAAAEMzA2MwQAAAABMQcAAAAJNC8zMC8yMDIwCAAAAAk4LzE2LzIwMjAJAAAAATDJMQdL8kHYCLt5kFnyQdgIKENJUS5OQVNEQVFHUzpUU0xBLklRX0JFVEFfMllSLjMxLzEyLzIwMTkBAAAAEMaiAQIAAAARMC44MTMzMTMyMzYxNTUxNjcA3wbedPJB2AhW7kZ28kHYCCtDSVEuTllTRTpNQU5VLklRX0dQLjk5OS4zMS8xMi8yMDE5Li5GLkdCUC5DAQAAAN1rDQACAAAABzUxMS44MjIBCAAAAAUAAAABMQEAAAAKMTk4NTg0NTAyOQMAAAACNTUCAAAAAjEwBAAAAAExBwAAAAoxMi8zMS8yMDE5CAAAAAk4LzE2LzIwMjAJAAAAATAeIhh48kHYCJqO8HjyQdgIL0NJUS5MU0U6U0ZPUi5JUV9JTkNf</t>
  </si>
  <si>
    <t>VEFYLjk5Ni4zMS8xMi8yMDE5Li5GLkdCUC5DAQAAAMtT5CEDAAAAAADc7ZV38kHYCBtm6XjyQdgIKENJUS5MU0U6VFNDTy5JUV9MQVNUU0FMRVBSSUNFLjMwLzA5LzIwMTgBAAAAMFAGAAIAAAAFMi4zOTgA6DV+U/JB2AjF4Spx8kHYCDlDSVEuTkFTREFRR1M6VFNMQS5JUV9TSEFSRVNPVVRTVEFORElOR19PVVQuMzEvMTIvMjAxNi5VU0QBAAAAEMaiAQIAAAAKMTYxLjgwMzc3MwAVIspM8kHYCDqQYXbyQdgIM0NJUUFWRy5JUTQzOTQzODA2LklRX0xBU1RTQUxFUFJJQ0UuNDAxNzguMzEvMTIvMjAxOQEAAAB+h54CAgAAABAtMC4xMzMxODE1MDY0ODg0AEFSQnXyQdgIWHRddvJB2AgwQ0lRLkxTRTpUU0NPLklRX1RPVEFMX0NMLjk5Ny4zMC8wNC8yMDIwLi5GLkdCUC5DAQAAADBQBgACAAAABTE5NDA1AQgAAAAFAAAAATEBAAAACjE4ODg1MjUwNzQDAAAAAjU1AgAAAAQxMDA5BAAAAAExBwAAAAk0LzMwLzIwMjAIAAAACTgvMTYvMjAyMAkAAAABMMkxB0vyQdgIwqCXWfJB2AgiQ0lRLk5ZU0U6TUFOVS5JUV9WT0xVTUUuMjIvMDYvMjAxOAEAAADdaw0AAgAAAAgwLjAxMDA2NwAp5oVS8kHYCP2aC3HyQdgIO0NJUS5OWVNFOk1BTlUuSVFfRUJJVERBX01FRElBTl9FU1QuNjAwMS4zMC8wNC8yMDIwLi5GLkdCUC5DAQAAAN1rDQADAAAAAADqlspM8kHYCCBeoVnyQdgIJUNJUS5eQ09NUC5JUV9MQVNUU0FMRVBS</t>
  </si>
  <si>
    <t>SUNFLjEyLzEwLzIwMTgBAAAAibgoAAIAAAAHNzQ5Ni44OQCKxTdR8kHYCMKLF3PyQdgINUNJUS5OWVNFOktPLklRX05JX01FRElBTl9FU1QuMTAwMy4zMC8wNC8yMDIwLi5GLlVTRC5DAQAAABJoAAACAAAACjk5NTUuNDk1NzYBDgAAAAUAAAABMwEAAAABMAIAAAAKMTAwMTc5Njg1NgMAAAAGMTAwMjUxBAAAAAEyBgAAAAEwBwAAAAMxNjAIAAAAATEJAAAAATEKAAAAATALAAAACzExODg1MDExMDgzDAAAAAExDQAAAAg1LzEvMjAyMBAAAAAJOC8xNi8yMDIw/2/KTPJB2AhgdKdZ8kHYCDhDSVEuTllTRTpNQU5VLklRX0NBU0hfU1RfSU5WRVNULjIwMDAuMzEvMTIvMjAxOS4uRi5HQlAuQwEAAADdaw0AAgAAAAcxNDAuMzA3AQgAAAAFAAAAATEBAAAACjE5OTM2MjEzMjIDAAAAAjU1AgAAAAQxMDAyBAAAAAExBwAAAAoxMi8zMS8yMDE5CAAAAAk4LzE2LzIwMjAJAAAAATA7hhd48kHYCEVA/3jyQdgIM0NJUS5MU0U6U0ZPUi5JUV9UT1RBTF9MSUFCLjIwMDAuMzAvMDQvMjAyMC4uRi5HQlAuQwEAAADLU+QhAgAAAAczMDguMjc0AQgAAAAFAAAAATEBAAAACjIwMjI1OTk4ODcDAAAAAjU1AgAAAAQxMjc2BAAAAAExBwAAAAk0LzMwLzIwMjAIAAAACTgvMTYvMjAyMAkAAAABMNkKB0vyQdgIGRCaWfJB2AgnQ0lRLk5ZU0U6S08uSVFfTEFTVFNBTEVQUklDRS4zMC8wNC8yMDE4AQAAABJoAAACAAAABTQzLjIxAOg1</t>
  </si>
  <si>
    <t>flPyQdgIiKkpcfJB2AgtQ0lRLk5BU0RBUUdTOlRTTEEuSVFfTEFTVFNBTEVQUklDRS4zMS8wMS8yMDIwAQAAABDGogECAAAABjY1MC41NwAID35T8kHYCLuiXlnyQdgIK0NJUS5OWVNFOk1BTlUuSVFfRklTQ0FMX1kuNTAwLjMwLzA0LzIwMjAuLkYBAAAA3WsNAAEAAAAEMjAyMAD8OiRV8kHYCKd5iVnyQdgIIUNJUS5MU0U6VFNDTy5JUV9WT0xVTUUuMjcvMDkvMjAxOQEAAAAwUAYAAgAAAAcxOC4zODk2AJX9JFXyQdgIWI2+cvJB2AgZQ0lRLi5JUV9WT0xVTUUuMTQvMDkvMjAxOAUAAAAAAAAACAAAABQoSW52YWxpZCBJZGVudGlmaWVyKW8jhVLyQdgIYxATcfJB2Ag7Q0lRLk5BU0RBUUdTOkNBS0UuSVFfRVFVSVRZX01FVEhPRC4xMDAwLjMwLzA0LzIwMjAuLkYuVVNELkMBAAAACOAEAAMAAAAAAANJykzyQdgI592PWfJB2Ag2Q0lRLk5BU0RBUUdTOlRTTEEuSVFfVE9UQUxfUkVWLjk5OC4zMC8wNC8yMDIwLi5GLlVTRC5DAQAAABDGogECAAAABTExNzU5AQgAAAAFAAAAATEBAAAACjIwMTM5MDc0NzADAAAAAzE2MAIAAAACMjgEAAAAATEHAAAACTQvMzAvMjAyMAgAAAAJOC8xNi8yMDIwCQAAAAEwvFgHS/JB2AgEBZ5Z8kHYCDtDSVEuTllTRTpSQUNFLklRX1RPVEFMX0RFQlRfQ1VSUkVOVC45OTcuMzEvMTIvMjAxOS4uRi5FVVIuQwEAAAA9grAQAgAAAAc5MTkuNDA5AQgAAAAFAAAAATEBAAAACjE4NzYw</t>
  </si>
  <si>
    <t>NDMzMTMDAAAAAjUwAgAAAAUyNTIyMwQAAAABMQcAAAAKMTIvMzEvMjAxOQgAAAAJOC8xNi8yMDIwCQAAAAEwHK0XePJB2AhxBPl48kHYCCBDSVEuTllTRTpLTy5JUV9WT0xVTUUuMjEvMTIvMjAxOAEAAAASaAAAAgAAAAczMi40Nzc3AMfif1PyQdgIGMEhcfJB2AgsQ0lRLk5ZU0U6UkFDRS5JUV9OSS4yMDAwLjMxLzEyLzIwMTkuLkYuRVVSLkMBAAAAPYKwEAIAAAAHNzE4LjA5NwEIAAAABQAAAAExAQAAAAoxOTkwNDIzNjg3AwAAAAI1MAIAAAACMTUEAAAAATEHAAAACjEyLzMxLzIwMTkIAAAACTgvMTYvMjAyMAkAAAABMNztlXfyQdgIOfHoePJB2AgkQ0lRLkxTRTpTRk9SLklRX0JVU0lORVNTX0RFU0NSSVBUSU9OAQAAAMtT5CEDAAAAgAVTNCBDYXBpdGFsIHBsYywgdG9nZXRoZXIgd2l0aCBpdHMgc3Vic2lkaWFyaWVzLCBvcGVyYXRlcyBhcyBhIGRpZ2l0YWwgYWR2ZXJ0aXNpbmcgYW5kIG1hcmtldGluZyBzZXJ2aWNlcyBjb21wYW55IGluIHRoZSBBbWVyaWNhcywgRXVyb3BlIGFuZCB0aGUgTWlkZGxlIEVhc3QsIGFuZCB0aGUgQXNpYSBQYWNpZmljLiBJdCBvcGVyYXRlcyB0aHJvdWdoIEZpcnN0LVBhcnR5IERhdGEgUHJhY3RpY2UsIENvbnRlbnQsIGFuZCBQcm9ncmFtbWF0aWMgc2VnbWVudHMuIFRoZSBjb21wYW55IG9mZmVycyBjb250ZW50cywgY2FtcGFpZ25zLCBhbmQgYXNzZXRzIGZvciBw</t>
  </si>
  <si>
    <t>YWlkLCBzb2NpYWwsIGFuZCBlYXJuZWQgbWVkaWEsIHN1Y2ggYXMgZGlnaXRhbCBwbGF0Zm9ybXMgYW5kIGFwcHMsIGFzIHdlbGwgYXMgYnJhbmQgYWN0aXZhdGlvbnMuIEl0IHByb3ZpZGVzIGNhbXBhaWduIG1hbmFnZW1lbnQgYW5hbHl0aWNzLCBjcmVhdGl2ZSBwcm9kdWN0aW9uIGFuZCBhZCBzZXJ2aW5nLCBwbGF0Zm9ybSBhbmQgc3lzdGVtcyBpbnRlZ3JhdGlvbiBhbmQgdHJhbnNpdGlvbiwgYW5kIHRyYWluaW5nIGFuZCBlZHVjYXRpb24gc2VydmljZXMuIFRoZSBjb21wYW55IGlzIGhlYWRxdWFydGVyZWQgaW4gTG9uZG9uLCB0aGUgVW5pdGVkIEtpbmdkb20uAPw6JFXyQdgIz92IWfJB2AglQ0lRLl5DT01QLklRX0xBU1RTQUxFUFJJQ0UuMDcvMDkvMjAxOAEAAACJuCgAAgAAAAc3OTAyLjU0AIrFN1HyQdgIvbIXc/JB2AgxQ0lRLk5ZU0U6UkFDRS5JUV9TSEFSRVNPVVRTVEFORElORy4zMS8xMi8yMDE5LkVVUgEAAAA9grAQAgAAAAoxODUuMjgzMzIzABUiykzyQdgINzdedvJB2AgmQ0lRLk5ZU0U6S08uSVFfQkVUQV81WVJfUlNRLjMwLzA0LzIwMjABAAAAEmgAAAIAAAARMC4zMTQyOTUyOTYxNTY4NTgAsa8kVfJB2Ah9FYpZ8kHYCDVDSVEuTFNFOlRTQ08uSVFfRVFVSVRZX01FVEhPRC45OTguMzEvMTIvMjAxOS4uRi5HQlAuQwEAAAAwUAYAAgAAAAM2NjgBCAAAAAUAAAABMQEAAAAKMTg4ODUy</t>
  </si>
  <si>
    <t>NTA3NAMAAAACNTUCAAAABDMwNjMEAAAAATEHAAAACjEyLzMxLzIwMTkIAAAACTgvMTYvMjAyMAkAAAABMEdgF3jyQdgIKbX/ePJB2AgiQ0lRLk5ZU0U6UkFDRS5JUV9WT0xVTUUuMjMvMTEvMjAxOAEAAAA9grAQAgAAAAgwLjE4MDY5NQDH4n9T8kHYCJmNHnHyQdgIMkNJUS5OQVNEQVFHUzpUU0xBLklRX0RBX0NGLjk5OS4zMS8xMi8yMDE5Li5GLlVTRC5DAQAAABDGogECAAAACDE2MzYuMDAzAQgAAAAFAAAAATEBAAAACjE5NDU4NzM1NTADAAAAAzE2MAIAAAAEMjE2MAQAAAABMQcAAAAKMTIvMzEvMjAxOQgAAAAJOC8xNi8yMDIwCQAAAAEw2hSWd/JB2AisROd48kHYCCRDSVEuXkFTWC5JUV9MQVNUU0FMRVBSSUNFLjMwLzA5LzIwMTcBAAAAH1PrAQIAAAALNDA0OS44OTM2MTcAtbw3UvJB2AgBYAtz8kHYCD5DSVEuTllTRTpLTy5JUV9NSU5PUklUWV9JTlRFUkVTVF9UT1RBTC45OTYuMzEvMTIvMjAxOS4uRi5VU0QuQwEAAAASaAAAAgAAAAMyNDEBCAAAAAUAAAABMQEAAAAKMTgyOTIzMDk1NgMAAAADMTYwAgAAAAQxMzEyBAAAAAExBwAAAAoxMi8zMS8yMDE5CAAAAAk4LzE2LzIwMjAJAAAAATCE1Bd48kHYCKIu9njyQdgILUNJUS5OQVNEQVFHUzpDQUtFLklRX0xBU1RTQUxFUFJJQ0UuMDkvMDIvMjAxOAEAAAAI4AQAAgAAAAU0NS4xNAAoK0J18kHYCBFXWXbyQdgIOUNJUS5OQVNEQVFHUzpDQUtFLklR</t>
  </si>
  <si>
    <t>X1RPVEFMX0FTU0VUUy45OTguMzEvMTIvMjAxOS4uRi5VU0QuQwEAAAAI4AQAAgAAAAgxMjkzLjMxOQEIAAAABQAAAAExAQAAAAoxOTQ4MTc2NjYyAwAAAAMxNjACAAAABDEwMDcEAAAAATEHAAAACjEyLzMxLzIwMTkIAAAACTgvMTYvMjAyMAkAAAABMDuGF3jyQdgIef36ePJB2AgjQ0lRLiVUQ01TWTA3LklRX0xBU1RTQUxFUFJJQ0UuNDM0NjUBAAAAGh8oAgIAAAAEMi41OQBBUkJ18kHYCO9WS3byQdgIJENJUS5eU1BYLklRX0xBU1RTQUxFUFJJQ0UuMDkvMDIvMjAxOAEAAACbuCgAAgAAAA8yNjE5LjU0NTU5NDkyMzEA2C3edPJB2AiAUkZ28kHYCDJDSVEuTFNFOlNGT1IuSVFfVE9UQUxfUkVWLjEwMDAuMzEvMTIvMjAxOS4uRi5HQlAuQwEAAADLU+QhAgAAAAk5NC4wMjAwMTYBCAAAAAUAAAABMQEAAAAKMTk2MTExNjI3MQMAAAACNTUCAAAAAjI4BAAAAAExBwAAAAoxMi8zMS8yMDE5CAAAAAk4LzE2LzIwMjAJAAAAATAe+xd48kHYCDdi8njyQdgIOENJUS5OQVNEQVFHUzpUU0xBLklRX1BSRUZfRVFVSVRZLjk5Ni4zMS8xMi8yMDE5Li5GLlVTRC5DAQAAABDGogEDAAAAAAAe+xd48kHYCBmC9HjyQdgINENJUS5OQVNEQVFHUzpDQUtFLklRX0lOQ19UQVguOTk2LjMwLzA0LzIwMjAuLkYuVVNELkMBAAAACOAEAAIAAAAGNDIuODI5AQgAAAAFAAAAATEBAAAACjE4NzcxNDQ0MzgDAAAAAzE2MAIAAAACNzUE</t>
  </si>
  <si>
    <t>AAAAATEHAAAACTQvMzAvMjAyMAgAAAAJOC8xNi8yMDIwCQAAAAEw/2/KTPJB2AhgdKdZ8kHYCCBDSVEuTllTRTpLTy5JUV9WT0xVTUUuMDQvMTAvMjAxOQEAAAASaAAAAgAAAAg5LjkyNjYxOACj1iRV8kHYCCRFw3LyQdgILUNJUS5OQVNEQVFHUzpUU0xBLklRX0xBU1RTQUxFUFJJQ0UuMjIvMDIvMjAxOQEAAAAQxqIBAgAAAAYyOTQuNzEApLx/U/JB2AjVCSRx8kHYCDRDSVEuTFNFOlNGT1IuSVFfU0hBUkVTT1VUU1RBTkRJTkdfT1VULjMwLzA0LzIwMjAuR0JQAQAAAMtT5CECAAAACjQ2Ni45MjQ3MjMAs0PDWvJB2AheMNFa8kHYCChDSVEuTkFTREFRR1M6Q0FLRS5JUV9CRVRBXzJZUi4zMS8xMi8yMDE5AQAAAAjgBAACAAAAETAuNjQxNzM3OTkxMTU0NjYyAN8G3nTyQdgIaBVHdvJB2AgkQ0lRLl5BU1guSVFfTEFTVFNBTEVQUklDRS4yMy8wOC8yMDE5AQAAAB9T6wECAAAACzM4OTguNTc5NDk0AEeFhVHyQdgI3iEac/JB2AghQ0lRLkxTRTpUU0NPLklRX1ZPTFVNRS4wMS8wNi8yMDE4AQAAADBQBgACAAAACDIyLjE5NDk4ACnmhVLyQdgIgccJcfJB2AglQ0lRLl5DT01QLklRX0xBU1RTQUxFUFJJQ0UuMzEvMDEvMjAxNgEAAACJuCgAAgAAAAc0NjEzLjk1AKCeN1HyQdgIOU4Kc/JB2AgrQ0lRLk5ZU0U6TUFOVS5JUV9OSS45OTcuMzAvMDQvMjAyMC4uRi5HQlAuQwEAAADdaw0AAgAAAAYzNi4zNzEBCAAA</t>
  </si>
  <si>
    <t>AAUAAAABMQEAAAAKMTkxMDI0NzQwMwMAAAACNTUCAAAAAjE1BAAAAAExBwAAAAk0LzMwLzIwMjAIAAAACTgvMTYvMjAyMAkAAAABMP9vykzyQdgID6yoWfJB2AgkQ0lRLl5BU1guSVFfTEFTVFNBTEVQUklDRS4wNi8wMy8yMDIwAQAAAB9T6wECAAAACzM2MDAuOTQ4Nzc3AEkFM1LyQdgIAQu/WfJB2AgxQ0lRQVZHLiVUQ01TWTEwLklRX0xBU1RTQUxFUFJJQ0UuNDAyOTguMzAvMDQvMjAyMAEAAAAdHygCAgAAABAyLjMyMDI1OTg5NjA0MTU4AKokJVXyQdgID02EWfJB2Ag2Q0lRLkxTRTpTRk9SLklRX0VTVF9FUFNfR1JPV1RIXzVZUl9MT1cuNjAwMC4zMS8xMi8yMDE5AQAAAMtT5CEDAAAAAAD+A0J18kHYCA+JTnbyQdgIKENJUS5MU0U6VFNDTy5JUV9MQVNUU0FMRVBSSUNFLjMxLzA3LzIwMTgBAAAAMFAGAAIAAAAFMi42MDMA6DV+U/JB2AhTRSpx8kHYCClDSVEuTllTRTpSQUNFLklRX0xBU1RTQUxFUFJJQ0UuMzAvMDQvMjAxOQEAAAA9grAQAgAAAAYxMzYuMDMACA9+U/JB2Ai+jSxx8kHYCDVDSVEuTllTRTpSQUNFLklRX1NIQVJFU09VVFNUQU5ESU5HX09VVC4zMS8xMi8yMDE5LkVVUgEAAAA9grAQAgAAAAoxODUuMjgzMzIzABUiykzyQdgIzA5edvJB2AhEQ0lRLk5BU0RBUUdTOkNBS0UuSVFfTUlOT1JJVFlfSU5URVJFU1RfVE9UQUwuOTk3LjMxLzEyLzIwMTkuLkYuVVNELkMBAAAACOAEAAMAAAAA</t>
  </si>
  <si>
    <t>AITUF3jyQdgIoi72ePJB2AgkQ0lRLl5TUFguSVFfTEFTVFNBTEVQUklDRS4yNC8wMS8yMDIwAQAAAJu4KAACAAAAEDMyOTUuNDczNDQ5MzEzNjEASQUzUvJB2AgrobpZ8kHYCEBDSVEuTkFTREFRR1M6VFNMQS5JUV9SRVZFTlVFX01FRElBTl9FU1QuMTAwMy4zMC8wNC8yMDIwLi5GLlVTRC5DAQAAABDGogECAAAACzQ4Mzc2LjQwNjk4AQ4AAAAFAAAAATMBAAAAATACAAAACjEwMDE4Njg5MTcDAAAABjEwMDE4MQQAAAABMgYAAAABMAcAAAADMTYwCAAAAAExCQAAAAExCgAAAAEwCwAAAAsxMTkwMDgyMjQwMAwAAAABMQ0AAAAINS8xLzIwMjAQAAAACTgvMTYvMjAyMKR/B0vyQdgIZ6acWfJB2Ag8Q0lRLk5BU0RBUUdTOlRTTEEuSVFfQ0FTSF9TVF9JTlZFU1QuMjAwMC4zMS8xMi8yMDE5Li5GLlVTRC5DAQAAABDGogECAAAABDUzMzgBCAAAAAUAAAABMQEAAAAKMTk4OTQ1MzEzMAMAAAADMTYwAgAAAAQxMDAyBAAAAAExBwAAAAoxMi8zMS8yMDE5CAAAAAk4LzE2LzIwMjAJAAAAATA7hhd48kHYCG5o/3jyQdgIJENJUS5eU1BYLklRX0xBU1RTQUxFUFJJQ0UuMzAvMDgvMjAxOQEAAACbuCgAAgAAABAyOTI2LjQ1ODEyODYwODg4AEeFhVHyQdgIFF8Sc/JB2AgtQ0lRLk5BU0RBUUdTOlRTTEEuSVFfTEFTVFNBTEVQUklDRS4zMS8wMy8yMDE5AQAAABDGogECAAAABjI3OS44NgAID35T8kHYCMlmLHHyQdgIMUNJ</t>
  </si>
  <si>
    <t>US5OQVNEQVFHUzpUU0xBLklRX0VCVC4yMDAwLjMxLzEyLzIwMTkuLkYuVVNELkMBAAAAEMaiAQIAAAAILTYwNi43NDUBCAAAAAUAAAABMQEAAAAKMTk4OTQ1MzEzMAMAAAADMTYwAgAAAAMxMzkEAAAAATEHAAAACjEyLzMxLzIwMTkIAAAACTgvMTYvMjAyMAkAAAABMNztlXfyQdgIpxLrePJB2Ag/Q0lRLkxTRTpUU0NPLklRX01JTk9SSVRZX0lOVEVSRVNUX1RPVEFMLjk5Ny4zMS8xMi8yMDE5Li5GLkdCUC5DAQAAADBQBgACAAAAAy0xMAEIAAAABQAAAAExAQAAAAoxODQ3ODI1MTQ4AwAAAAI1NQIAAAAEMTMxMgQAAAABMQcAAAAKMTIvMzEvMjAxOQgAAAAJOC8xNi8yMDIwCQAAAAEwhNQXePJB2AjLVvZ48kHYCCRDSVEuXlNQWC5JUV9MQVNUU0FMRVBSSUNFLjA2LzA0LzIwMTgBAAAAm7goAAIAAAAQMjYwNC40NjkzODQ1MjkzMgDYLd508kHYCIBSRnbyQdgIL0NJUS5OWVNFOlJBQ0UuSVFfRUJJVERBLjk5Ni4zMC8wNC8yMDIwLi5GLkVVUi5DAQAAAD2CsBACAAAABzY0Ni4yNDcBCAAAAAUAAAABMQEAAAAKMTg3NjA0MzMxMwMAAAACNTACAAAABDQwNTEEAAAAATEHAAAACTQvMzAvMjAyMAgAAAAJOC8xNi8yMDIwCQAAAAEw2QoHS/JB2AjTgKNZ8kHYCDFDSVEuTFNFOlRTQ08uSVFfVE9UQUxfUkVWLjk5OS4zMC8wNC8yMDIwLi5GLkdCUC5DAQAAADBQBgACAAAABTYzOTExAQgAAAAFAAAAATEBAAAACjE5</t>
  </si>
  <si>
    <t>Njg3MzY1NjMDAAAAAjU1AgAAAAIyOAQAAAABMQcAAAAJNC8zMC8yMDIwCAAAAAk4LzE2LzIwMjAJAAAAATDJMQdL8kHYCBnenVnyQdgINENJUS5MU0U6VFNDTy5JUV9UT1RBTF9BU1NFVFMuOTk3LjMwLzA0LzIwMjAuLkYuR0JQLkMBAAAAMFAGAAIAAAAFNDU4NTMBCAAAAAUAAAABMQEAAAAKMTg4ODUyNTA3NAMAAAACNTUCAAAABDEwMDcEAAAAATEHAAAACTQvMzAvMjAyMAgAAAAJOC8xNi8yMDIwCQAAAAEwyTEHS/JB2AjM5JRZ8kHYCDdDSVEuTllTRTpNQU5VLklRX0NBU0hfU1RfSU5WRVNULjk5Ny4zMS8xMi8yMDE5Li5GLkdCUC5DAQAAAN1rDQACAAAABzIyOS4xOTQBCAAAAAUAAAABMQEAAAAKMTkxMDI0NzQwMwMAAAACNTUCAAAABDEwMDIEAAAAATEHAAAACjEyLzMxLzIwMTkIAAAACTgvMTYvMjAyMAkAAAABMDuGF3jyQdgIWtL8ePJB2Ag1Q0lRLk5ZU0U6TUFOVS5JUV9UT1RBTF9BU1NFVFMuOTk4LjMwLzA0LzIwMjAuLkYuR0JQLkMBAAAA3WsNAAIAAAAIMTUzMy42NTIBCAAAAAUAAAABMQEAAAAKMTk4NTg0NTA0NQMAAAACNTUCAAAABDEwMDcEAAAAATEHAAAACTQvMzAvMjAyMAgAAAAJOC8xNi8yMDIwCQAAAAEw/2/KTPJB2Ai8vZRZ8kHYCC9DSVEuTllTRTpNQU5VLklRX0VCSVREQS45OTYuMzAvMDQvMjAyMC4uRi5HQlAuQwEAAADdaw0AAgAAAAcxMjUuMjY1AQgAAAAFAAAAATEBAAAACjE4</t>
  </si>
  <si>
    <t>NjE3MzY4NjkDAAAAAjU1AgAAAAQ0MDUxBAAAAAExBwAAAAk0LzMwLzIwMjAIAAAACTgvMTYvMjAyMAkAAAABMP9vykzyQdgIlVijWfJB2AgvQ0lRLk5BU0RBUUdTOlRTTEEuSVFfR1AuOTk5LjMwLzA0LzIwMjAuLkYuVVNELkMBAAAAEMaiAQIAAAAENDA0MgEIAAAABQAAAAExAQAAAAoyMDEzOTA3NDYzAwAAAAMxNjACAAAAAjEwBAAAAAExBwAAAAk0LzMwLzIwMjAIAAAACTgvMTYvMjAyMAkAAAABMLxYB0vyQdgIwbKfWfJB2AghQ0lRLk5BU0RBUUdTOkNBS0UuSVFfQ09VTlRSWV9OQU1FAQAAAAjgBAADAAAADVVuaXRlZCBTdGF0ZXMA/DokVfJB2AiboIlZ8kHYCCFDSVEuTFNFOlNGT1IuSVFfVk9MVU1FLjE1LzAzLzIwMTkBAAAAy1PkIQIAAAAIMC4xNjczMjkApLx/U/JB2Ajaubxy8kHYCClDSVEuTllTRTpNQU5VLklRX0xBU1RTQUxFUFJJQ0UuMTMvMDQvMjAxOAEAAADdaw0AAgAAAAUxOS4yNQBBUkJ18kHYCKtHUXbyQdgIHUNJUS5eU1BYLklRX0NPTVBBTllfTkFNRV9MT05HAQAAAJu4KAADAAAADlMmUCA1MDAgKF5TUFgpAADeMlLyQdgIY3rBWfJB2Ag7Q0lRLkxTRTpTRk9SLklRX1JFVkVOVUVfTUVESUFOX0VTVC42MDAxLjMxLzEyLzIwMTkuLkYuR0JQLkMBAAAAy1PkIQMAAAAAAPNIGHjyQdgIdkrzePJB2AgvQ0lRLk5ZU0U6S08uSVFfQ09TVF9SRVYuOTk3LjMwLzA0LzIwMjAuLkYuVVNELkMB</t>
  </si>
  <si>
    <t>AAAAEmgAAAIAAAAFMTY0NjUBCAAAAAUAAAABMQEAAAAKMTk0NjQzMDc4MgMAAAADMTYwAgAAAAExBAAAAAExBwAAAAk0LzMwLzIwMjAIAAAACTgvMTYvMjAyMAkAAAABMANJykzyQdgIwhWfWfJB2Ag/Q0lRLkxTRTpTRk9SLklRX01JTk9SSVRZX0lOVEVSRVNUX1RPVEFMLjk5OC4zMC8wNC8yMDIwLi5GLkdCUC5DAQAAAMtT5CEDAAAAAADZCgdL8kHYCDubmVnyQdgIO0NJUS5MU0U6U0ZPUi5JUV9UT1RBTF9DT01NT05fRVFVSVRZLjk5OC4zMS8xMi8yMDE5Li5GLkdCUC5DAQAAAMtT5CEDAAAAAAAe+xd48kHYCGnn83jyQdgIMkNJUS5OWVNFOk1BTlUuSVFfVE9UQUxfQ0wuMTAwMC4zMC8wNC8yMDIwLi5GLkdCUC5DAQAAAN1rDQACAAAABzQyOC44NDQBCAAAAAUAAAABMQEAAAAKMTk4NTg0NTA2MwMAAAACNTUCAAAABDEwMDkEAAAAATEHAAAACTQvMzAvMjAyMAgAAAAJOC8xNi8yMDIwCQAAAAEw/2/KTPJB2AjmK5dZ8kHYCClDSVEuTllTRTpLTy5JUV9OSS45OTYuMzAvMDQvMjAyMC4uRi5VU0QuQwEAAAASaAAAAgAAAAQ3MzUxAQgAAAAFAAAAATEBAAAACjE4NzU3OTc4MDkDAAAAAzE2MAIAAAACMTUEAAAAATEHAAAACTQvMzAvMjAyMAgAAAAJOC8xNi8yMDIwCQAAAAEwA0nKTPJB2AgPrKhZ8kHYCEBDSVEuTkFTREFRR1M6Q0FLRS5JUV9SRVZFTlVFX01FRElBTl9FU1QuNjAwMC4zMC8wNC8yMDIwLi5G</t>
  </si>
  <si>
    <t>LlVTRC5DAQAAAAjgBAACAAAABjIxMzcuNwEOAAAABQAAAAIxMQEAAAABMAIAAAAKMTAwMjIyNDIyMgMAAAAGMTAwMTgxBAAAAAEyBgAAAAEwBwAAAAMxNjAIAAAAATEJAAAAATEKAAAAATALAAAACzExODg1MTUzODI5DAAAAAIxMg0AAAAINS8xLzIwMjAQAAAACTgvMTYvMjAyMP9vykzyQdgIQ0KdWfJB2AgoQ0lRLk5ZU0U6S08uSVFfRElWSURFTkRfWUlFTEQuMzEvMTIvMjAxOQEAAAASaAAAAgAAAAYyLjg5MDYA/gNCdfJB2AiPJk928kHYCC1DSVEuTFNFOlRTQ08uSVFfQ0FQRVguOTk5LjMxLzEyLzIwMTkuLkYuR0JQLkMBAAAAMFAGAAIAAAAFLTE0NDABCAAAAAUAAAABMQEAAAAKMTk2ODczNjU1OQMAAAACNTUCAAAABDIwMjEEAAAAATEHAAAACjEyLzMxLzIwMTkIAAAACTgvMTYvMjAyMAkAAAABMNoUlnfyQdgIIJjlePJB2Ag6Q0lRLk5BU0RBUUdTOkNBS0UuSVFfRVFVSVRZX01FVEhPRC45OTcuMzEvMTIvMjAxOS4uRi5VU0QuQwEAAAAI4AQAAwAAAAAAR2AXePJB2AjUjv948kHYCDNDSVEuTkFTREFRR1M6VFNMQS5JUV9FQklUREEuOTk3LjMwLzA0LzIwMjAuLkYuVVNELkMBAAAAEMaiAQIAAAAHMzAxLjQ1OQEIAAAABQAAAAExAQAAAAoxOTQ1ODczNTUxAwAAAAMxNjACAAAABDQwNTEEAAAAATEHAAAACTQvMzAvMjAyMAgAAAAJOC8xNi8yMDIwCQAAAAEwyTEHS/JB2AioMaNZ8kHYCCBDSVEuTllT</t>
  </si>
  <si>
    <t>RTpLTy5JUV9WT0xVTUUuMTMvMDcvMjAxOAEAAAASaAAAAgAAAAc1LjU4NTk4ADq/hVLyQdgIbZUNcfJB2Ag5Q0lRLk5ZU0U6TUFOVS5JUV9FQklUX01FRElBTl9FU1QuMTAwMy4zMS8xMi8yMDE5Li5GLkdCUC5DAQAAAN1rDQACAAAACDY4LjQ1NTg0AQ4AAAAFAAAAATMBAAAAATACAAAACjEwMDM3MjgyMDEDAAAABjEwMDIxNgQAAAABMwYAAAABMAcAAAACNTUIAAAAATEJAAAAATEKAAAAATALAAAACzExNjkyNTQwMDUxDAAAAAExDQAAAAgxLzEvMjAyMBAAAAAJOC8xNi8yMDIw80gYePJB2Ajw9u148kHYCCVDSVEuXkNPTVAuSVFfTEFTVFNBTEVQUklDRS4zMS8wOC8yMDE5AQAAAIm4KAACAAAABzc5NjIuODgASQUzUvJB2AibPQlz8kHYCC1DSVEuTkFTREFRR1M6Q0FLRS5JUV9MQVNUU0FMRVBSSUNFLjExLzA1LzIwMTgBAAAACOAEAAIAAAAFNTMuNTYAKeaFUvJB2AidXgZx8kHYCDNDSVEuTllTRTpSQUNFLklRX1RPVEFMX0xJQUIuOTk5LjMxLzEyLzIwMTkuLkYuRVVSLkMBAAAAPYKwEAIAAAAIMzM1Ny4xNjgBCAAAAAUAAAABMQEAAAAKMTk0NzQ0NDE5MAMAAAACNTACAAAABDEyNzYEAAAAATEHAAAACjEyLzMxLzIwMTkIAAAACTgvMTYvMjAyMAkAAAABMITUF3jyQdgIELv1ePJB2AgxQ0lRLk5ZU0U6TUFOVS5JUV9UT1RBTF9DQS45OTYuMzAvMDQvMjAyMC4uRi5HQlAuQwEAAADdaw0AAgAAAAYyMzku</t>
  </si>
  <si>
    <t>NTMBCAAAAAUAAAABMQEAAAAKMTg2MTczNjg2OQMAAAACNTUCAAAABDEwMDgEAAAAATEHAAAACTQvMzAvMjAyMAgAAAAJOC8xNi8yMDIwCQAAAAEwvFgHS/JB2AjPIZRZ8kHYCDdDSVEuRVVSLklRX0ZVTExfQ1VSVkVfQU5OVUFMLkFMTENPUlAuQkJCLjIwWS4zMC8wNC8yMDIwAQAAAAAAAAACAAAACTAuMDIyNzU3MQCqJCVV8kHYCG+VhlnyQdgILUNJUS5OQVNEQVFHUzpUU0xBLklRX0xBU1RTQUxFUFJJQ0UuMDMvMDQvMjAyMAEAAAAQxqIBAgAAAAY0ODAuMDEAAeh9U/JB2AiWyV5Z8kHYCCxDSVEuTllTRTpSQUNFLklRX0dQLjEwMDAuMzEvMTIvMjAxOS4uRi5FVVIuQwEAAAA9grAQAgAAAAgxNzk1Ljk2NQEIAAAABQAAAAExAQAAAAoxOTQ3NDQ0MTgzAwAAAAI1MAIAAAACMTAEAAAAATEHAAAACjEyLzMxLzIwMTkIAAAACTgvMTYvMjAyMAkAAAABMB4iGHjyQdgIl7XwePJB2Ag2Q0lRLkVVUi5JUV9GVUxMX0NVUlZFX0FOTlVBTC5BTExDT1JQLkhZLjIwWS4zMS8xMi8yMDE5AQAAAAAAAAACAAAACTAuMDU5MzQ3OQDYLd508kHYCJ/SSXbyQdgIGUNJUS4uSVFfVk9MVU1FLjA0LzEwLzIwMTkFAAAAAAAAAAgAAAAUKEludmFsaWQgSWRlbnRpZmllcinZObVT8kHYCEwNu3LyQdgILUNJUS5OQVNEQVFHUzpUU0xBLklRX0xBU1RTQUxFUFJJQ0UuMzEvMDUvMjAxOAEAAAAQxqIBAgAAAAYyODQuNzMA6DV+U/JB</t>
  </si>
  <si>
    <t>2AiA0Clx8kHYCC5DSVEuTllTRTpLTy5JUV9JTkNfVEFYLjk5OC4zMC8wNC8yMDIwLi5GLlVTRC5DAQAAABJoAAACAAAABDU2MDcBCAAAAAUAAAABMQEAAAAKMjAxNjc5MTI1MAMAAAADMTYwAgAAAAI3NQQAAAABMQcAAAAJNC8zMC8yMDIwCAAAAAk4LzE2LzIwMjAJAAAAATADScpM8kHYCIH/plnyQdgIIkNJUS5OWVNFOk1BTlUuSVFfVk9MVU1FLjI1LzEwLzIwMTkBAAAA3WsNAAIAAAAIMC4wNjM1NjQAlf0kVfJB2Ajt679y8kHYCCpDSVEuTFNFOlNGT1IuSVFfTkkuOTk2LjMwLzA0LzIwMjAuLkYuR0JQLkMBAAAAy1PkIQMAAAAAANkKB0vyQdgIAtOoWfJB2AgZQ0lRLi5JUV9WT0xVTUUuMTcvMDUvMjAxOQUAAAAAAAAACAAAABQoSW52YWxpZCBJZGVudGlmaWVyKdk5tVPyQdgIdZi6cvJB2AgmQ0lRLk5BU0RBUUdTOlRTTEEuSVFfVk9MVU1FLjAzLzA1LzIwMTkBAAAAEMaiAQIAAAAIMjMuNzA2NzcAo9YkVfJB2AiMmMFy8kHYCD5DSVEuTkFTREFRR1M6Q0FLRS5JUV9DQVBFWF9NRURJQU5fRVNULjYwMDAuMzEvMTIvMjAxOS4uRi5VU0QuQwEAAAAI4AQAAgAAAAktMTM0LjgzMjUBDgAAAAUAAAACMTEBAAAAATACAAAACTY1MjU3Mzk0MgMAAAAGMTA0MDkxBAAAAAEyBgAAAAEwBwAAAAMxNjAIAAAAATEJAAAAATEKAAAAATALAAAACzExNjU2Mjg4NjM2DAAAAAIxMg0AAAAIMS8xLzIwMjAQAAAACTgvMTYv</t>
  </si>
  <si>
    <t>MjAyMDs8lnfyQdgI71rmePJB2AgxQ0lRLk5ZU0U6TUFOVS5JUV9UT1RBTF9DQS45OTcuMzEvMTIvMjAxOS4uRi5HQlAuQwEAAADdaw0AAgAAAAczNjYuNjY1AQgAAAAFAAAAATEBAAAACjE5MTAyNDc0MDMDAAAAAjU1AgAAAAQxMDA4BAAAAAExBwAAAAoxMi8zMS8yMDE5CAAAAAk4LzE2LzIwMjAJAAAAATA7hhd48kHYCJ3B+3jyQdgIIENJUS5OWVNFOktPLklRX1ZPTFVNRS4yOS8xMS8yMDE5AQAAABJoAAACAAAACDcuMjIyMzQ3AKPWJFXyQdgIEGzDcvJB2Ag0Q0lRLk5BU0RBUUdTOkNBS0UuSVFfRUJJVERBLjEwMDAuMzAvMDQvMjAyMC4uRi5VU0QuQwEAAAAI4AQAAgAAAAcyMTUuMzgxAQgAAAAFAAAAATEBAAAACjIwMjE1ODE0MTEDAAAAAzE2MAIAAAAENDA1MQQAAAABMQcAAAAJNC8zMC8yMDIwCAAAAAk4LzE2LzIwMjAJAAAAATD/b8pM8kHYCLC8olnyQdgILUNJUS5OWVNFOk1BTlUuSVFfRUJJVC45OTguMzEvMTIvMjAxOS4uRi5HQlAuQwEAAADdaw0AAgAAAAY2Ny44NzUBCAAAAAUAAAABMQEAAAAKMTk4NTg0NTA0NQMAAAACNTUCAAAAAzQwMAQAAAABMQcAAAAKMTIvMzEvMjAxOQgAAAAJOC8xNi8yMDIwCQAAAAEwHiIYePJB2Ahn/Ot48kHYCDVDSVFBVkcuJEFFREdCUC5JUV9MQVNUU0FMRVBSSUNFLjMwLzA2LzIwMTcuMzAvMDYvMjAxOAEAAAAl61oAAgAAAAg0Ljk0NTk2MgDqlspM8kHYCGWU</t>
  </si>
  <si>
    <t>X3byQdgIIkNJUS5OWVNFOk1BTlUuSVFfVk9MVU1FLjA1LzEwLzIwMTgBAAAA3WsNAAIAAAAIMC4wNDU1OTIAQ5iFUvJB2Ahz4xRx8kHYCC1DSVEuTkFTREFRR1M6Q0FLRS5JUV9MQVNUU0FMRVBSSUNFLjIyLzExLzIwMTkBAAAACOAEAAIAAAAFNDMuMjYA6DV+U/JB2AiIUC1x8kHYCDZDSVEuTkFTREFRR1M6VFNMQS5JUV9SVUFfR1JPU1MuMjAwMC4zMC8wNC8yMDIwLi4uTE9DQUwBAAAAEMaiAQMAAAAAALGvJFXyQdgI//x9WfJB2AggQ0lRLi5JUV9MQVNUU0FMRVBSSUNFLjIwLzAzLzIwMjAFAAAAAAAAAAgAAAAUKEludmFsaWQgSWRlbnRpZmllcincqy9S8kHYCMHfx1nyQdgIGENJUS4uSVFfRklSU1RQUklDSU5HREFURQUAAAAAAAAACAAAABQoSW52YWxpZCBJZGVudGlmaWVyKeISJFXyQdgILq99WfJB2AgxQ0lRLk5BU0RBUUdTOkNBS0UuSVFfRUJJVC45OTYuMzEvMTIvMjAxOS4uRi5VU0QuQwEAAAAI4AQAAgAAAAcxNDUuNDI3AQgAAAAFAAAAATEBAAAACjE4MzAzODY5ODYDAAAAAzE2MAIAAAADNDAwBAAAAAExBwAAAAoxMi8zMS8yMDE5CAAAAAk4LzE2LzIwMjAJAAAAATAeIhh48kHYCHuu63jyQdgIJENJUS5eQVNYLklRX0xBU1RTQUxFUFJJQ0UuMDIvMDgvMjAxOQEAAAAfU+sBAgAAAAs0MDM5LjUyNjU5MQB8q4VR8kHYCN4hGnPyQdgIJENJUS5eU1BYLklRX0xBU1RTQUxFUFJJQ0UuMjQvMDUv</t>
  </si>
  <si>
    <t>MjAxOQEAAACbuCgAAgAAAA8yODI2LjA2NDY4NjQ5NjEAfKuFUfJB2Ajm0xJz8kHYCDBDSVEuTFNFOlRTQ08uSVFfU0hBUkVTT1VUU1RBTkRJTkcuMzAvMDQvMjAyMC5HQlABAAAAMFAGAAIAAAALOTczNS40NDQwODcAs0PDWvJB2AhGftFa8kHYCCtDSVEuTFNFOlNGT1IuSVFfU0dBLjk5OC4zMC8wNC8yMDIwLi5GLkdCUC5DAQAAAMtT5CEDAAAAAADZCgdL8kHYCFHDoFnyQdgILENJUS5MU0U6U0ZPUi5JUV9TR0EuMjAwMC4zMS8xMi8yMDE5Li5GLkdCUC5DAQAAAMtT5CECAAAACTQzLjExOTQzNgEIAAAABQAAAAExAQAAAAoxOTYxMTE3NDAxAwAAAAI1NQIAAAACMjMEAAAAATEHAAAACjEyLzMxLzIwMTkIAAAACTgvMTYvMjAyMAkAAAABMB4iGHjyQdgIhPHvePJB2AgyQ0lRLk5ZU0U6TUFOVS5JUV9MVF9JTlZFU1QuOTk4LjMxLzEyLzIwMTkuLkYuR0JQLkMBAAAA3WsNAAMAAAAAADuGF3jyQdgIsRP6ePJB2AgrQ0lRLk5ZU0U6S08uSVFfRUJULjIwMDAuMzAvMDQvMjAyMC4uRi5VU0QuQwEAAAASaAAAAgAAAAUxMTU3MQEIAAAABQAAAAExAQAAAAoyMDMwMzc2ODk3AwAAAAMxNjACAAAAAzEzOQQAAAABMQcAAAAJNC8zMC8yMDIwCAAAAAk4LzE2LzIwMjAJAAAAATADScpM8kHYCPGgpVnyQdgIMENJUS5MU0U6VFNDTy5JUV9UQVJHRVRfUFJJQ0VfTlVNLjYwMDAuMzAvMDQvMjAyMAEAAAAwUAYAAQAAAAIx</t>
  </si>
  <si>
    <t>NACxryRV8kHYCOoNf1nyQdgIN0NJUS5OQVNEQVFHUzpDQUtFLklRX1RPVEFMX1JFVi4xMDAwLjMxLzEyLzIwMTkuLkYuVVNELkMBAAAACOAEAAIAAAAIMjMzMi4zMzEBCAAAAAUAAAABMQEAAAAKMTk0ODE3NjY3NQMAAAADMTYwAgAAAAIyOAQAAAABMQcAAAAKMTIvMzEvMjAxOQgAAAAJOC8xNi8yMDIwCQAAAAEwHvsXePJB2AjJh/J48kHYCCBDSVEuTllTRTpLTy5JUV9WT0xVTUUuMjAvMDQvMjAxOAEAAAASaAAAAgAAAAcxNC42OTA3AEFSQnXyQdgI3YRQdvJB2AghQ0lRLkxTRTpTRk9SLklRX1ZPTFVNRS4xMS8wNS8yMDE4AQAAAMtT5CEDAAAAAAAp5oVS8kHYCJ1eBnHyQdgIPkNJUS5OQVNEQVFHUzpDQUtFLklRX0NBUEVYX01FRElBTl9FU1QuNjAwMS4zMS8xMi8yMDE5Li5GLlVTRC5DAQAAAAjgBAADAAAAAAA7PJZ38kHYCNSo5njyQdgIOENJUS5MU0U6U0ZPUi5JUV9FQklUX01FRElBTl9FU1QuNjAwMS4zMS8xMi8yMDE5Li5GLkdCUC5DAQAAAMtT5CEDAAAAAADzSBh48kHYCPyo7XjyQdgILENJUS5OWVNFOk1BTlUuSVFfTkkuMTAwMC4zMC8wNC8yMDIwLi5GLkdCUC5DAQAAAN1rDQACAAAABjE4Ljg4MQEIAAAABQAAAAExAQAAAAoxOTg1ODQ1MDYzAwAAAAI1NQIAAAACMTUEAAAAATEHAAAACTQvMzAvMjAyMAgAAAAJOC8xNi8yMDIwCQAAAAEw/2/KTPJB2AgzN6hZ8kHYCCdDSVEuTllTRTpLTy5J</t>
  </si>
  <si>
    <t>UV9MQVNUU0FMRVBSSUNFLjMwLzExLzIwMTYBAAAAEmgAAAIAAAAFNDAuMzUA0YN+U/JB2AgzjyVx8kHYCD9DSVEuTllTRTpSQUNFLklRX1RPVEFMX0RFQlRfTk9OX0NVUlJFTlQuOTk4LjMxLzEyLzIwMTkuLkYuRVVSLkMBAAAAPYKwEAIAAAAIMTQ0OC4xNjUBCAAAAAUAAAABMQEAAAAKMTk0NzQ0NDE4NAMAAAACNTACAAAABTI1MjI0BAAAAAExBwAAAAoxMi8zMS8yMDE5CAAAAAk4LzE2LzIwMjAJAAAAATAcrRd48kHYCGhW93jyQdgIKENJUS5MU0U6VFNDTy5JUV9MQVNUU0FMRVBSSUNFLjMxLzA4LzIwMTYBAAAAMFAGAAIAAAAGMS42NjM1AMGqflPyQdgIhMwkcfJB2Ag6Q0lRLk5BU0RBUUdTOlRTTEEuSVFfRVFVSVRZX01FVEhPRC45OTYuMzAvMDQvMjAyMC4uRi5VU0QuQwEAAAAQxqIBAwAAAAAAvFgHS/JB2AjKUpBZ8kHYCCtDSVEuTFNFOlRTQ08uSVFfU0dBLjk5Ny4zMC8wNC8yMDIwLi5GLkdCUC5DAQAAADBQBgACAAAABDExOTABCAAAAAUAAAABMQEAAAAKMTg4ODUyNTA3NAMAAAACNTUCAAAAAjIzBAAAAAExBwAAAAk0LzMwLzIwMjAIAAAACTgvMTYvMjAyMAkAAAABMMkxB0vyQdgIQOmgWfJB2AgfQ0lRLk5ZU0U6TUFOVS5JUV9URVYuMzEvMTIvMjAxOQEAAADdaw0AAgAAAAszNzY0LjM2OTg0MQEGAAAABQAAAAExAQAAAAoxOTkzNjIwNTUxAwAAAAMxNjACAAAABjEwMDA2MAQAAAABMAcAAAAK</t>
  </si>
  <si>
    <t>MTIvMzEvMjAxOUFSQnXyQdgIjyZPdvJB2AghQ0lRLkxTRTpTRk9SLklRX1ZPTFVNRS4xNy8wMS8yMDIwAQAAAMtT5CECAAAACDAuMTk5MTk4AJX9JFXyQdgIvvt2WfJB2AgyQ0lRLk5ZU0U6UkFDRS5JUV9MVF9JTlZFU1QuOTk5LjMwLzA0LzIwMjAuLkYuRVVSLkMBAAAAPYKwEAIAAAAGMzIuMTM0AQgAAAAFAAAAATEBAAAACjIwMTU2Mzk4MTgDAAAAAjUwAgAAAAQxMDU0BAAAAAExBwAAAAk0LzMwLzIwMjAIAAAACTgvMTYvMjAyMAkAAAABMODjBkvyQdgIi4CVWfJB2AgZQ0lRLi5JUV9WT0xVTUUuMTEvMDEvMjAxOQUAAAAAAAAACAAAABQoSW52YWxpZCBJZGVudGlmaWVyKZ1Gf1PyQdgIcEq6cvJB2Ag2Q0lRLk5BU0RBUUdTOkNBS0UuSVFfVE9UQUxfUkVWLjk5Ni4zMS8xMi8yMDE5Li5GLlVTRC5DAQAAAAjgBAACAAAACDE5NzYuNjI0AQgAAAAFAAAAATEBAAAACjE4MzAzODY5ODYDAAAAAzE2MAIAAAACMjgEAAAAATEHAAAACjEyLzMxLzIwMTkIAAAACTgvMTYvMjAyMAkAAAABMB77F3jyQdgIju3xePJB2Ag2Q0lRLk5BU0RBUUdTOlRTTEEuSVFfVE9UQUxfUkVWLjk5Ni4zMC8wNC8yMDIwLi5GLlVTRC5DAQAAABDGogECAAAACDQwNDYuMDI1AQgAAAAFAAAAATEBAAAACjE4NzU3NjkwODIDAAAAAzE2MAIAAAACMjgEAAAAATEHAAAACTQvMzAvMjAyMAgAAAAJOC8xNi8yMDIwCQAAAAEwvFgHS/JB2Ajf</t>
  </si>
  <si>
    <t>Up5Z8kHYCCdDSVEuTllTRTpLTy5JUV9MQVNUU0FMRVBSSUNFLjE5LzAxLzIwMTgBAAAAEmgAAAIAAAAFNDcuMTYAKCtCdfJB2AijA1t28kHYCCBDSVEuLklRX0xBU1RTQUxFUFJJQ0UuMzEvMDUvMjAxOQUAAAAAAAAACAAAABQoSW52YWxpZCBJZGVudGlmaWVyKQ2QMlLyQdgIRr5Ec/JB2Ag1Q0lRQVZHLiRBRURHQlAuSVFfTEFTVFNBTEVQUklDRS4yMy8wMi8yMDE5LjI5LzAyLzIwMjABAAAAJetaAAIAAAAINC42OTcxMzMA6pbKTPJB2AgbdItZ8kHYCC1DSVEuTkFTREFRR1M6VFNMQS5JUV9MQVNUU0FMRVBSSUNFLjA2LzA0LzIwMTgBAAAAEMaiAQIAAAAFMjk5LjMAKCtCdfJB2AjUvFF28kHYCDJDSVEuTllTRTpNQU5VLklRX1RPVEFMX1JFVi45OTcuMzAvMDQvMjAyMC4uRi5HQlAuQwEAAADdaw0AAgAAAAc1MTUuMzQ1AQgAAAAFAAAAATEBAAAACjE5MTAyNDc0MDMDAAAAAjU1AgAAAAIyOAQAAAABMQcAAAAJNC8zMC8yMDIwCAAAAAk4LzE2LzIwMjAJAAAAATC8WAdL8kHYCOwrnlnyQdgIIUNJUS5MU0U6VFNDTy5JUV9WT0xVTUUuMjAvMDkvMjAxOQEAAAAwUAYAAgAAAAg1Ny4xNzk2OQCV/SRV8kHYCFiNvnLyQdgIIUNJUS5MU0U6VFNDTy5JUV9WT0xVTUUuMjkvMTIvMjAxNwEAAAAwUAYAAgAAAAg4LjAzMDUzNwAoK0J18kHYCHL/XHbyQdgIKUNJUS5OWVNFOk1BTlUuSVFfTEFTVFNBTEVQUklDRS4z</t>
  </si>
  <si>
    <t>MS8wNy8yMDE3AQAAAN1rDQACAAAABTE3LjE1ANGDflPyQdgI22IncfJB2Ag2Q0lRLkxTRTpUU0NPLklRX0VTVF9FUFNfR1JPV1RIXzVZUl9MT1cuNjAwMC4zMS8xMi8yMDE5AQAAADBQBgACAAAABzguNjQxNjIBDgAAAAUAAAABNwEAAAAIMjAxNTc4NzkCAAAABjQxMTY4MAMAAAAGMTAwMTcwBAAAAAEzBgAAAAEwBwAAAAEwCAAAAAEwCQAAAAExCgAAAAEwCwAAAAsxMTYyMzQ5NTUxNwwAAAABOA0AAAAIMS8xLzIwMjAQAAAACjEyLzMxLzIwMTn+A0J18kHYCA+JTnbyQdgIPUNJUS5OWVNFOktPLklRX1RPVEFMX0RFQlRfTk9OX0NVUlJFTlQuOTk3LjMwLzA0LzIwMjAuLkYuVVNELkMBAAAAEmgAAAIAAAAFMjk3MzIBCAAAAAUAAAABMQEAAAAKMTk0NjQzMDc4MgMAAAADMTYwAgAAAAUyNTIyNAQAAAABMQcAAAAJNC8zMC8yMDIwCAAAAAk4LzE2LzIwMjAJAAAAATADScpM8kHYCIiKmFnyQdgIJ0NJUS5OWVNFOktPLklRX0xBU1RTQUxFUFJJQ0UuMDkvMTEvMjAxOAEAAAASaAAAAgAAAAU0OS42OADH4n9T8kHYCNVVHXHyQdgIJ0NJUS4kQUVESU5SLklRX0xBU1RTQUxFUFJJQ0UuMzAvMDQvMjAxOQEAAAAl61oAAgAAAAswLjA1MjczMTMxOQCV/SRV8kHYCKbShVnyQdgIOkNJUS5MU0U6VFNDTy5JUV9FQklUREFfTUVESUFOX0VTVC42MDAxLjMxLzEyLzIwMTkuLkYuR0JQLkMBAAAAMFAGAAMAAAAAAPNIGHjy</t>
  </si>
  <si>
    <t>QdgIlC/vePJB2AgmQ0lRLk5BU0RBUUdTOlRTTEEuSVFfVk9MVU1FLjE1LzAzLzIwMTkBAAAAEMaiAQIAAAAIMTQuNzg1NTMApLx/U/JB2AiZccFy8kHYCChDSVEuTFNFOlNGT1IuSVFfTEFTVFNBTEVQUklDRS4xNi8xMS8yMDE4AQAAAMtT5CECAAAABDEuMTMAx+J/U/JB2Air8R1x8kHYCDVDSVEuTkFTREFRR1M6VFNMQS5JUV9JTkNfVEFYLjIwMDAuMzEvMTIvMjAxOS4uRi5VU0QuQwEAAAAQxqIBAgAAAAY4OS44MzcBCAAAAAUAAAABMQEAAAAKMTk4OTQ1MzEzMAMAAAADMTYwAgAAAAI3NQQAAAABMQcAAAAKMTIvMzEvMjAxOQgAAAAJOC8xNi8yMDIwCQAAAAEw2hSWd/JB2AjfKOp48kHYCDZDSVEuTFNFOlRTQ08uSVFfREFfTUVESUFOX0VTVC4xMDAxLjMwLzA0LzIwMjAuLkYuR0JQLkMBAAAAMFAGAAIAAAAEMjAzNgEOAAAABQAAAAEzAQAAAAEwAgAAAAoxMDAwMjY0NDk5AwAAAAYxMTQxOTAEAAAAATMGAAAAATAHAAAAAjU1CAAAAAExCQAAAAExCgAAAAEwCwAAAAsxMTg5MjM1NjU2NwwAAAABMQ0AAAAINS8xLzIwMjAQAAAACTgvMTYvMjAyMKR/B0vyQdgI15WpWfJB2AgoQ0lRLkxTRTpTRk9SLklRX0xBU1RTQUxFUFJJQ0UuMzEvMDcvMjAxNQEAAADLU+QhAwAAAAAAuZR/U/JB2AhecyFx8kHYCCpDSVEuSVE1MDAyNzU4MS5JUV9MQVNUU0FMRVBSSUNFLjMwLzA0LzIwMjABAAAAPVz7AgIAAAAFMC4w</t>
  </si>
  <si>
    <t>MjMAo9YkVfJB2Aha44ZZ8kHYCChDSVEuTFNFOlRTQ08uSVFfTEFTVFNBTEVQUklDRS4yOC8wOS8yMDE4AQAAADBQBgACAAAABTIuMzk4AEOYhVLyQdgIqUcUcfJB2AguQ0lRLkxTRTpUU0NPLklRX0xBU1RTQUxFUFJJQ0UuMjQvMDIvMjAxOC5HQlAuQwEAAAAwUAYAAgAAAAUyLjA1NAAVIspM8kHYCC5XYHbyQdgIJUNJUS5eQ09NUC5JUV9MQVNUU0FMRVBSSUNFLjIzLzAzLzIwMTgBAAAAibgoAAIAAAAHNjk5Mi42NgDYLd508kHYCKYrRnbyQdgIMENJUS5MU0U6U0ZPUi5JUV9UT1RBTF9DTC45OTguMzEvMTIvMjAxOS4uRi5HQlAuQwEAAADLU+QhAwAAAAAAHK0XePJB2AikQfh48kHYCCJDSVEuTllTRTpNQU5VLklRX1ZPTFVNRS4yOC8wOS8yMDE4AQAAAN1rDQACAAAACDAuMDY1NTI4AEOYhVLyQdgIqUcUcfJB2Ag3Q0lRLk5BU0RBUUdTOkNBS0UuSVFfVE9UQUxfTElBQi45OTkuMzAvMDQvMjAyMC4uRi5VU0QuQwEAAAAI4AQAAgAAAAc3NDMuMDc0AQgAAAAFAAAAATEBAAAACjIwMjE1ODE0MjADAAAAAzE2MAIAAAAEMTI3NgQAAAABMQcAAAAJNC8zMC8yMDIwCAAAAAk4LzE2LzIwMjAJAAAAATD/b8pM8kHYCA83mlnyQdgIIUNJUS5MU0U6U0ZPUi5JUV9WT0xVTUUuMTYvMDIvMjAxOAEAAADLU+QhAwAAAAAAKCtCdfJB2Ag24lh28kHYCDVDSVEuTFNFOlNGT1IuSVFfRVFVSVRZX01FVEhPRC45OTkuMzEv</t>
  </si>
  <si>
    <t>MTIvMjAxOS4uRi5HQlAuQwEAAADLU+QhAwAAAAAAR2AXePJB2AhC3f948kHYCCFDSVEuTFNFOlRTQ08uSVFfVk9MVU1FLjE0LzA2LzIwMTkBAAAAMFAGAAIAAAAIMjYuNjIxNDgAlf0kVfJB2AhtP75y8kHYCClDSVEuTllTRTpNQU5VLklRX0xBU1RTQUxFUFJJQ0UuMzEvMDMvMjAxOQEAAADdaw0AAgAAAAUxOS4yMgAID35T8kHYCMlmLHHyQdgIGUNJUS4uSVFfVk9MVU1FLjI2LzA0LzIwMTkFAAAAAAAAAAgAAAAUKEludmFsaWQgSWRlbnRpZmllcimv+H5T8kHYCHWYunLyQdgILkNJUS5MU0U6U0ZPUi5JUV9UT1RBTF9SRVY6Q1VSUkVOQ1kuLjMwLzA0LzIwMjABAAAAy1PkIQMAAAADR0JQAQgAAAAFAAAAATEBAAAACjIwMzYxNjc5MDMDAAAAAjU1AgAAAAIyOAQAAAABMAcAAAAJNC8zMC8yMDIwCAAAAAoxMi8zMS8yMDE5CQAAAAEw/DokVfJB2AjC8IFZ8kHYCCdDSVEuTllTRTpLTy5JUV9MQVNUU0FMRVBSSUNFLjIwLzA0LzIwMTgBAAAAEmgAAAIAAAAFNDMuNzQAQVJCdfJB2AjdhFB28kHYCCBDSVEuLklRX0xBU1RTQUxFUFJJQ0UuMDIvMTEvMjAxOAUAAAAAAAAACAAAABQoSW52YWxpZCBJZGVudGlmaWVyKee0NlHyQdgItOZnc/JB2AgrQ0lRLk5ZU0U6UkFDRS5JUV9GSVNDQUxfUS41MDAuMzEvMTIvMjAxOS4uRgEAAAA9grAQAwAAAAJRMwD+A0J18kHYCFGbXXbyQdgIIkNJUS5OWVNFOlJBQ0UuSVFf</t>
  </si>
  <si>
    <t>Vk9MVU1FLjE0LzA2LzIwMTkBAAAAPYKwEAIAAAAIMC4xOTYxOTQAJWG1U/JB2Aga0Lty8kHYCC5DSVEuTllTRTpSQUNFLklRX0NBUEVYLjk5OC4zMS8xMi8yMDE5Li5GLkVVUi5DAQAAAD2CsBACAAAACC0xNzUuNjQ3AQgAAAAFAAAAATEBAAAACjE5NDc0NDQxODQDAAAAAjUwAgAAAAQyMDIxBAAAAAExBwAAAAoxMi8zMS8yMDE5CAAAAAk4LzE2LzIwMjAJAAAAATDaFJZ38kHYCCpx5XjyQdgIMkNJUS5OWVNFOlJBQ0UuSVFfVE9UQUxfUkVWLjk5Ny4zMS8xMi8yMDE5Li5GLkVVUi5DAQAAAD2CsBACAAAACDI4NTQuMzY5AQgAAAAFAAAAATEBAAAACjE4NzYwNDMzMTMDAAAAAjUwAgAAAAIyOAQAAAABMQcAAAAKMTIvMzEvMjAxOQgAAAAJOC8xNi8yMDIwCQAAAAEwHvsXePJB2AiO7fF48kHYCCxDSVEuTFNFOlRTQ08uSVFfUFJJQ0VfVk9MX0hJU1RfWVIuMzAvMDQvMjAyMAEAAAAwUAYAAgAAAAcyNC43Mjc2APw6JFXyQdgIzgSJWfJB2AglQ0lRLl5DT01QLklRX0xBU1RTQUxFUFJJQ0UuMzAvMDQvMjAyMAEAAACJuCgAAgAAAAk4ODg5LjU1MDcAAN4yUvJB2AhiXrZZ8kHYCD5DSVEuTllTRTpLTy5JUV9UT1RBTF9ERUJUX05PTl9DVVJSRU5ULjEwMDAuMzAvMDQvMjAyMC4uRi5VU0QuQwEAAAASaAAAAgAAAAUyODY0OAEIAAAABQAAAAExAQAAAAoyMDE2NzkxMjQ1AwAAAAMxNjACAAAABTI1MjI0BAAAAAEx</t>
  </si>
  <si>
    <t>BwAAAAk0LzMwLzIwMjAIAAAACTgvMTYvMjAyMAkAAAABMANJykzyQdgIlhWYWfJB2AghQ0lRLkxTRTpUU0NPLklRX1ZPTFVNRS4wNy8wNi8yMDE5AQAAADBQBgACAAAACDE2LjkzMTQ4AJX9JFXyQdgIbT++cvJB2AguQ0lRLk5ZU0U6UkFDRS5JUV9FQklULjEwMDAuMzEvMTIvMjAxOS4uRi5FVVIuQwEAAAA9grAQAgAAAAY4MTEuODIBCAAAAAUAAAABMQEAAAAKMTk0NzQ0NDE4MwMAAAACNTACAAAAAzQwMAQAAAABMQcAAAAKMTIvMzEvMjAxOQgAAAAJOC8xNi8yMDIwCQAAAAEwHiIYePJB2AhYI+x48kHYCDFDSVEuTFNFOlRTQ08uSVFfVE9UQUxfUkVWLjk5OC4zMS8xMi8yMDE5Li5GLkdCUC5DAQAAADBQBgACAAAABTU1Mjk1AQgAAAAFAAAAATEBAAAACjE4ODg1MjUwNzQDAAAAAjU1AgAAAAIyOAQAAAABMQcAAAAKMTIvMzEvMjAxOQgAAAAJOC8xNi8yMDIwCQAAAAEwHvsXePJB2Ai/OfJ48kHYCChDSVEuTFNFOlRTQ08uSVFfTEFTVFNBTEVQUklDRS4wMi8wMi8yMDE4AQAAADBQBgACAAAABTIuMDIyACgrQnXyQdgI5fJZdvJB2AgnQ0lRLk5ZU0U6S08uSVFfTEFTVFNBTEVQUklDRS4zMS8wNy8yMDE1AQAAABJoAAACAAAABTQxLjA4ALmUf1PyQdgID5ohcfJB2AggQ0lRLk5ZU0U6S08uSVFfVk9MVU1FLjA0LzA1LzIwMTgBAAAAEmgAAAIAAAAHMTAuOTQ2MgAp5oVS8kHYCL3pBXHyQdgIJkNJUS5OQVNE</t>
  </si>
  <si>
    <t>QVFHUzpUU0xBLklRX1ZPTFVNRS4wOC8wNi8yMDE4AQAAABDGogECAAAACDguMjA1MjAyACnmhVLyQdgIU4oKcfJB2AgZQ0lRLi5JUV9WT0xVTUUuMTMvMTIvMjAxOQUAAAAAAAAACAAAABQoSW52YWxpZCBJZGVudGlmaWVyKdk5tVPyQdgIOlu7cvJB2AgoQ0lRLkxTRTpTRk9SLklRX0xBU1RTQUxFUFJJQ0UuMzAvMDQvMjAxOQEAAADLU+QhAgAAAAQxLjQ3AAgPflPyQdgIvo0scfJB2AgkQ0lRLl5TUFguSVFfTEFTVFNBTEVQUklDRS4yOS8wMi8yMDE2AQAAAJu4KAACAAAAEDE5MzIuMjI2Mzk0Nzk3MTEAoJ43UfJB2Agpoghz8kHYCCZDSVEuTkFTREFRR1M6VFNMQS5JUV9WT0xVTUUuMDkvMTEvMjAxOAEAAAAQxqIBAgAAAAg1LjA5ODg0NgDH4n9T8kHYCNVVHXHyQdgIIUNJUS5MU0U6U0ZPUi5JUV9WT0xVTUUuMDEvMDYvMjAxOAEAAADLU+QhAwAAAAAAKeaFUvJB2AiNoAlx8kHYCCtDSVEuTFNFOlRTQ08uSVFfR1AuMjAwMC4zMS8xMi8yMDE5Li5GLkdCUC5DAQAAADBQBgACAAAABDM3MjkBCAAAAAUAAAABMQEAAAAKMTk4Njc5MzI0MAMAAAACNTUCAAAAAjEwBAAAAAExBwAAAAoxMi8zMS8yMDE5CAAAAAk4LzE2LzIwMjAJAAAAATAe+xd48kHYCKDc8HjyQdgIIUNJUS5MU0U6VFNDTy5JUV9WT0xVTUUuMDUvMDEvMjAxOAEAAAAwUAYAAgAAAAgyMi44NTg4NAAoK0J18kHYCEo7XHbyQdgIJ0NJUS4kQUVE</t>
  </si>
  <si>
    <t>R0JQLklRX0xBU1RTQUxFUFJJQ0UuMzAvMDYvMjAxNgEAAAAl61oAAgAAAAs0Ljg4MjkwOTM1MgAVIspM8kHYCAr6XnbyQdgINUNJUS5OWVNFOlJBQ0UuSVFfVE9UQUxfQVNTRVRTLjk5Ni4zMC8wNC8yMDIwLi5GLkVVUi5DAQAAAD2CsBACAAAACDM4NzUuMzk5AQgAAAAFAAAAATEBAAAACjE4NzYwNDMzMTMDAAAAAjUwAgAAAAQxMDA3BAAAAAExBwAAAAk0LzMwLzIwMjAIAAAACTgvMTYvMjAyMAkAAAABMODjBkvyQdgIqguVWfJB2AgtQ0lRLk5BU0RBUUdTOkNBS0UuSVFfTEFTVFNBTEVQUklDRS4zMC8xMS8yMDE1AQAAAAjgBAACAAAABTQ3LjEzALmUf1PyQdgI9/gicfJB2AgtQ0lRLk5BU0RBUUdTOlRTTEEuSVFfTEFTVFNBTEVQUklDRS4yOC8xMi8yMDE4AQAAABDGogECAAAABjMzMy44NwDH4n9T8kHYCDJdInHyQdgIMkNJUS5OWVNFOlJBQ0UuSVFfTFRfSU5WRVNULjk5OS4zMS8xMi8yMDE5Li5GLkVVUi5DAQAAAD2CsBACAAAABjMwLjAzOAEIAAAABQAAAAExAQAAAAoxOTQ3NDQ0MTkwAwAAAAI1MAIAAAAEMTA1NAQAAAABMQcAAAAKMTIvMzEvMjAxOQgAAAAJOC8xNi8yMDIwCQAAAAEwO4YXePJB2AjxO/p48kHYCC9DSVEuTllTRTpLTy5JUV9UT1RBTF9DTC45OTYuMzAvMDQvMjAyMC4uRi5VU0QuQwEAAAASaAAAAgAAAAUyNjkyOQEIAAAABQAAAAExAQAAAAoxODc1Nzk3ODA5AwAAAAMxNjACAAAA</t>
  </si>
  <si>
    <t>BDEwMDkEAAAAATEHAAAACTQvMzAvMjAyMAgAAAAJOC8xNi8yMDIwCQAAAAEwA0nKTPJB2AjCoJdZ8kHYCDdDSVEuTllTRTpSQUNFLklRX0VRVUlUWV9NRVRIT0QuMjAwMC4zMS8xMi8yMDE5Li5GLkVVUi5DAQAAAD2CsBACAAAABjI4Ljg5NAEIAAAABQAAAAExAQAAAAoxOTkwNDIzNjg3AwAAAAI1MAIAAAAEMzA2MwQAAAABMQcAAAAKMTIvMzEvMjAxOQgAAAAJOC8xNi8yMDIwCQAAAAEwR2AXePJB2AgzKwB58kHYCCRDSVEuTFNFOlRTQ08uSVFfU1BfTENfTFQuLjMxLzEyLzIwMTkBAAAAMFAGAAMAAAAEQkJCLQD+A0J18kHYCAFCTHbyQdgIJ0NJUS4kQUVEVUFILklRX0xBU1RTQUxFUFJJQ0UuMzAvMDQvMjAxOQEAAAAl61oAAgAAAAswLjEzODcwODQ1OQCqJCVV8kHYCI2zglnyQdgIGUNJUS4uSVFfVk9MVU1FLjMxLzA4LzIwMTgFAAAAAAAAAAgAAAAUKEludmFsaWQgSWRlbnRpZmllcilvI4VS8kHYCETYEXHyQdgIJ0NJUS4kQUVEVVNELklRX0xBU1RTQUxFUFJJQ0UuMDEvMDEvMjAxMwEAAAAl61oAAgAAAAYzLjY3MzMAR2AXePJB2AjXYgF58kHYCClDSVEuTllTRTpSQUNFLklRX0xBU1RTQUxFUFJJQ0UuMTEvMDUvMjAxOAEAAAA9grAQAgAAAAYxMzYuMDUAKeaFUvJB2AidXgZx8kHYCBlDSVEuLklRX1ZPTFVNRS4yNy8wMy8yMDIwBQAAAAAAAAAIAAAAFChJbnZhbGlkIElkZW50aWZpZXIp2Tm1U/JB</t>
  </si>
  <si>
    <t>2Ag+T3VZ8kHYCChDSVEuTFNFOlRTQ08uSVFfTEFTVFNBTEVQUklDRS4xNS8wNi8yMDE4AQAAADBQBgACAAAABTIuNTQ4ACnmhVLyQdgIKf8KcfJB2AgiQ0lRLk5ZU0U6UkFDRS5JUV9WT0xVTUUuMDcvMDIvMjAyMAEAAAA9grAQAgAAAAgwLjM5NjcwMQDZObVT8kHYCAESdlnyQdgIJ0NJUS5OWVNFOktPLklRX0xBU1RTQUxFUFJJQ0UuMjgvMDIvMjAxNwEAAAASaAAAAgAAAAU0MS45NgDRg35T8kHYCA9SJnHyQdgIJ0NJUS4kQUVEUk9OLklRX0xBU1RTQUxFUFJJQ0UuMzAvMDQvMjAyMAEAAAAl61oAAgAAAAowLjgzMDI2Mjg5AKokJVXyQdgIgwGDWfJB2AggQ0lRLi5JUV9MQVNUU0FMRVBSSUNFLjMxLzEwLzIwMTgFAAAAAAAAAAgAAAAUKEludmFsaWQgSWRlbnRpZmllcinn+TZS8kHYCL3OMHPyQdgILUNJUS5OQVNEQVFHUzpDQUtFLklRX0xBU1RTQUxFUFJJQ0UuMDkvMTEvMjAxOAEAAAAI4AQAAgAAAAU1Mi4zMQDH4n9T8kHYCNVVHXHyQdgIKUNJUS5OWVNFOk1BTlUuSVFfTEFTVFNBTEVQUklDRS4xMi8wNy8yMDE5AQAAAN1rDQACAAAABTE4LjM1ANGDflPyQdgI33EocfJB2AgiQ0lRLk5ZU0U6UkFDRS5JUV9WT0xVTUUuMDUvMTAvMjAxOAEAAAA9grAQAgAAAAgwLjUwNjEyMwBDmIVS8kHYCH+8FHHyQdgIQENJUS5OQVNEQVFHUzpDQUtFLklRX1RPVEFMX0RFQlRfQ1VSUkVOVC4xMDAwLjMwLzA0LzIw</t>
  </si>
  <si>
    <t>MjAuLkYuVVNELkMBAAAACOAEAAIAAAAHMTI4LjA4MQEIAAAABQAAAAExAQAAAAoyMDIxNTgxNDExAwAAAAMxNjACAAAABTI1MjIzBAAAAAExBwAAAAk0LzMwLzIwMjAIAAAACTgvMTYvMjAyMAkAAAABMANJykzyQdgILUKWWfJB2Ag/Q0lRLk5BU0RBUUdTOkNBS0UuSVFfVE9UQUxfREVCVF9DVVJSRU5ULjk5OS4zMC8wNC8yMDIwLi5GLlVTRC5DAQAAAAjgBAADAAAAAAADScpM8kHYCB1pllnyQdgIJENJUS5eU1BYLklRX0xBU1RTQUxFUFJJQ0UuMDUvMDcvMjAxOQEAAACbuCgAAgAAABAyOTkwLjQwOTU4MjYyODU4AHyrhVHyQdgIB60Sc/JB2AhEQ0lRLk5BU0RBUUdTOkNBS0UuSVFfVE9UQUxfREVCVF9OT05fQ1VSUkVOVC4yMDAwLjMxLzEyLzIwMTkuLkYuVVNELkMBAAAACOAEAAIAAAAIMTI5NC42MzIBCAAAAAUAAAABMQEAAAAKMTk5MTMyNzA0MAMAAAADMTYwAgAAAAUyNTIyNAQAAAABMQcAAAAKMTIvMzEvMjAxOQgAAAAJOC8xNi8yMDIwCQAAAAEwHK0XePJB2AjU8vd48kHYCCJDSVEuTllTRTpSQUNFLklRX1ZPTFVNRS4wOS8wMi8yMDE4AQAAAD2CsBACAAAACDEuMDc2NTU1ACgrQnXyQdgIBn5ZdvJB2AgwQ0lRLkxTRTpTRk9SLklRX1RPVEFMX0NMLjk5OS4zMC8wNC8yMDIwLi5GLkdCUC5DAQAAAMtT5CECAAAABjgxLjg4NgEIAAAABQAAAAExAQAAAAoxOTYxMTE2MjcxAwAAAAI1NQIAAAAEMTAw</t>
  </si>
  <si>
    <t>OQQAAAABMQcAAAAJNC8zMC8yMDIwCAAAAAk4LzE2LzIwMjAJAAAAATDZCgdL8kHYCNhSl1nyQdgIJ0NJUS4kQUVEVVNELklRX0xBU1RTQUxFUFJJQ0UuMjkvMTIvMjAxNQEAAAAl61oAAgAAAAYzLjY3MjgAW5PiTfJB2AgK+l528kHYCBlDSVEuLklRX1ZPTFVNRS4yNS8wMS8yMDE5BQAAAAAAAAAIAAAAFChJbnZhbGlkIElkZW50aWZpZXIpxx9/U/JB2AhwSrpy8kHYCDRDSVEuTkFTREFRR1M6Q0FLRS5JUV9SVUFfTkVULjIwMDAuMzAvMDQvMjAyMC4uLkxPQ0FMAQAAAAjgBAADAAAAAACxryRV8kHYCP/8fVnyQdgILUNJUS5OQVNEQVFHUzpUU0xBLklRX0xBU1RTQUxFUFJJQ0UuMjcvMDMvMjAyMAEAAAAQxqIBAgAAAAY1MTQuMzYAAeh9U/JB2Aioe15Z8kHYCCJDSVEuTllTRTpSQUNFLklRX1ZPTFVNRS4wMy8wNC8yMDIwAQAAAD2CsBACAAAABzAuNjkzOTQA2Tm1U/JB2AhHYHZZ8kHYCChDSVEuTFNFOlRTQ08uSVFfTEFTVFNBTEVQUklDRS4wOC8xMS8yMDE5AQAAADBQBgACAAAABTIuMzc5AOg1flPyQdgIqNsscfJB2Ag1Q0lRLk5ZU0U6S08uSVFfREFfTUVESUFOX0VTVC4xMDAyLjMxLzEyLzIwMTkuLkYuVVNELkMBAAAAEmgAAAIAAAAEMTM3NAEOAAAABQAAAAEzAQAAAAEwAgAAAAoxMDAxNDE2NDIwAwAAAAYxMTQxOTAEAAAAATIGAAAAATAHAAAAAzE2MAgAAAABMQkAAAABMQoAAAABMAsAAAALMTE2</t>
  </si>
  <si>
    <t>NTY1NjM1ODEMAAAAATENAAAACDEvMS8yMDIwEAAAAAk4LzE2LzIwMjDaFJZ38kHYCHsH6HjyQdgIJENJUS5eQVNYLklRX0xBU1RTQUxFUFJJQ0UuMzEvMDEvMjAxNgEAAAAfU+sBAgAAAAYzMzM1LjkAoJ43UfJB2AjR0wtz8kHYCC5DSVEuTllTRTpLTy5JUV9JTkNfVEFYLjk5Ni4zMC8wNC8yMDIwLi5GLlVTRC5DAQAAABJoAAACAAAABDIyMzkBCAAAAAUAAAABMQEAAAAKMTg3NTc5NzgwOQMAAAADMTYwAgAAAAI3NQQAAAABMQcAAAAJNC8zMC8yMDIwCAAAAAk4LzE2LzIwMjAJAAAAATADScpM8kHYCGtNp1nyQdgILUNJUS5OQVNEQVFHUzpDQUtFLklRX0xBU1RTQUxFUFJJQ0UuMjgvMDkvMjAxOAEAAAAI4AQAAgAAAAU1My41NABDmIVS8kHYCJhuFHHyQdgIKUNJUS5OWVNFOlJBQ0UuSVFfTEFTVFNBTEVQUklDRS4yNS8wMS8yMDE5AQAAAD2CsBACAAAABjExMS4yNACkvH9T8kHYCPf4InHyQdgIIUNJUS5MU0U6U0ZPUi5JUV9WT0xVTUUuMjQvMDEvMjAyMAEAAADLU+QhAgAAAAgwLjEwODA2MwCV/SRV8kHYCP8jd1nyQdgIOENJUS5OWVNFOktPLklRX0NBUEVYX01FRElBTl9FU1QuMTAwMy4zMC8wNC8yMDIwLi5GLlVTRC5DAQAAABJoAAACAAAACi0xNzU4LjQ3MjIBDgAAAAUAAAABMwEAAAABMAIAAAAKMTAwMTc5Njg1NgMAAAAGMTA0MDkxBAAAAAEyBgAAAAEwBwAAAAMxNjAIAAAAATEJAAAAATEKAAAA</t>
  </si>
  <si>
    <t>ATALAAAACzExODgzNjEyNTcyDAAAAAExDQAAAAg1LzEvMjAyMBAAAAAJOC8xNi8yMDIw/2/KTPJB2AiYf6pZ8kHYCChDSVEuTFNFOlNGT1IuSVFfTEFTVFNBTEVQUklDRS4xNy8wNC8yMDIwAQAAAMtT5CECAAAAAzEuOAAB6H1T8kHYCJcXX1nyQdgIKUNJUS5OWVNFOlJBQ0UuSVFfTEFTVFNBTEVQUklDRS4yNS8wNS8yMDE4AQAAAD2CsBACAAAABjEzMS4xOQAp5oVS8kHYCLzdCHHyQdgIIkNJUS5OWVNFOk1BTlUuSVFfVk9MVU1FLjIzLzExLzIwMTgBAAAA3WsNAAIAAAAIMC4wMzQ0MDkAx+J/U/JB2Ah8tB5x8kHYCCdDSVEuJEFFREhSSy5JUV9MQVNUU0FMRVBSSUNFLjMxLzEyLzIwMTgBAAAAJetaAAIAAAALMC41Njc1MzA0MDEA/gNCdfJB2AgF9Et28kHYCDhDSVEuTkFTREFRR1M6VFNMQS5JUV9QUkVGX0VRVUlUWS45OTYuMzAvMDQvMjAyMC4uRi5VU0QuQwEAAAAQxqIBAwAAAAAAvFgHS/JB2AinvJtZ8kHYCDNDSVFBVkcuSVE0Mzk0MzgyMS5JUV9MQVNUU0FMRVBSSUNFLjQwMjk4LjMwLzA0LzIwMjABAAAAjYeeAgIAAAAQMS42NDI5NDIwMzc1MDQ5MwCqJCVV8kHYCCbz0VryQdgINENJUS5OWVNFOktPLklRX0lOVEVSRVNUX0VYUC4yMDAwLjMxLzEyLzIwMTkuLkYuVVNELkMBAAAAEmgAAAIAAAAELTkzMwEIAAAABQAAAAExAQAAAAoxOTg4ODAxNTI2AwAAAAMxNjACAAAAAjgyBAAAAAExBwAAAAox</t>
  </si>
  <si>
    <t>Mi8zMS8yMDE5CAAAAAk4LzE2LzIwMjAJAAAAATDaFJZ38kHYCEn85HjyQdgILUNJUS5OQVNEQVFHUzpDQUtFLklRX0xBU1RTQUxFUFJJQ0UuMTEvMTAvMjAxOQEAAAAI4AQAAgAAAAUzOS4wNwAFXX5T8kHYCN8YLHHyQdgIMENJUS5MU0U6VFNDTy5JUV9UT1RBTF9DTC45OTguMzAvMDQvMjAyMC4uRi5HQlAuQwEAAAAwUAYAAgAAAAUxOTIzMwEIAAAABQAAAAExAQAAAAoxOTY4NzM2NTU5AwAAAAI1NQIAAAAEMTAwOQQAAAABMQcAAAAJNC8zMC8yMDIwCAAAAAk4LzE2LzIwMjAJAAAAATDJMQdL8kHYCNN5l1nyQdgINkNJUS5OQVNEQVFHUzpDQUtFLklRX0xUX0lOVkVTVC45OTYuMzEvMTIvMjAxOS4uRi5VU0QuQwEAAAAI4AQAAwAAAAAAO4YXePJB2AjGxfl48kHYCCdDSVEuJEFFREFVRC5JUV9MQVNUU0FMRVBSSUNFLjMxLzEyLzIwMTgBAAAAJetaAAIAAAALMi41ODg4MDc0NDMA3wbedPJB2AgmlEp28kHYCDFDSVEuTllTRTpLTy5JUV9UT1RBTF9MSUFCLjk5Ni4zMS8xMi8yMDE5Li5GLlVTRC5DAQAAABJoAAACAAAABTYxNDYyAQgAAAAFAAAAATEBAAAACjE4MjkyMzA5NTYDAAAAAzE2MAIAAAAEMTI3NgQAAAABMQcAAAAKMTIvMzEvMjAxOQgAAAAJOC8xNi8yMDIwCQAAAAEwhNQXePJB2AgRbfV48kHYCCFDSVEuTFNFOlNGT1IuSVFfVk9MVU1FLjI4LzA2LzIwMTkBAAAAy1PkIQIAAAAIMC4wMzQ5NTcA</t>
  </si>
  <si>
    <t>2Tm1U/JB2AjIB71y8kHYCCVDSVEuSVE1MDAyNzU4MS5JUV9MQVNUU0FMRVBSSUNFLjQzNTg1AQAAAD1c+wICAAAABTAuNzU5AKPWJFXyQdgIUwqHWfJB2Ag4Q0lRLk5BU0RBUUdTOkNBS0UuSVFfUFJFRl9FUVVJVFkuOTk3LjMxLzEyLzIwMTkuLkYuVVNELkMBAAAACOAEAAMAAAAAAB77F3jyQdgIEKn0ePJB2AgtQ0lRLk5BU0RBUUdTOlRTTEEuSVFfTEFTVFNBTEVQUklDRS4zMC8wOS8yMDE2AQAAABDGogECAAAABjIwNC4wMwDBqn5T8kHYCLsYJXHyQdgIIENJUS4uSVFfTEFTVFNBTEVQUklDRS4xNS8wMi8yMDE5BQAAAAAAAAAIAAAAFChJbnZhbGlkIElkZW50aWZpZXIpvVA3UfJB2AhRjFZz8kHYCDVDSVEuTkFTREFRR1M6VFNMQS5JUV9DT1NUX1JFVi45OTkuMzAvMDQvMjAyMC4uRi5VU0QuQwEAAAAQxqIBAgAAAAUxNzQxOQEIAAAABQAAAAExAQAAAAoyMDEzOTA3NDYzAwAAAAMxNjACAAAAATEEAAAAATEHAAAACTQvMzAvMjAyMAgAAAAJOC8xNi8yMDIwCQAAAAEwvFgHS/JB2AjBx55Z8kHYCClDSVEuTllTRTpNQU5VLklRX0xBU1RTQUxFUFJJQ0UuMzEvMTAvMjAxNgEAAADdaw0AAgAAAAQxNS4zANGDflPyQdgIq2YlcfJB2AgpQ0lRLk5ZU0U6UkFDRS5JUV9MQVNUU0FMRVBSSUNFLjI3LzAzLzIwMjABAAAAPYKwEAIAAAAGMTUwLjAzAAHofVPyQdgIaFNeWfJB2Ag/Q0lRLkxTRTpUU0NPLklRX01J</t>
  </si>
  <si>
    <t>Tk9SSVRZX0lOVEVSRVNUX1RPVEFMLjk5Ni4zMC8wNC8yMDIwLi5GLkdCUC5DAQAAADBQBgACAAAAAy0xMAEIAAAABQAAAAExAQAAAAoxODQ3ODI1MTQ4AwAAAAI1NQIAAAAEMTMxMgQAAAABMQcAAAAJNC8zMC8yMDIwCAAAAAk4LzE2LzIwMjAJAAAAATDJMQdL8kHYCC3pmVnyQdgIKENJUS5MU0U6U0ZPUi5JUV9MQVNUU0FMRVBSSUNFLjI0LzA4LzIwMTgBAAAAy1PkIQMAAAAAADq/hVLyQdgIaTwRcfJB2AgyQ0lRLk5BU0RBUUdTOlRTTEEuSVFfUFJJQ0VfVk9MX0hJU1RfMllSLjMwLzA0LzIwMjABAAAAEMaiAQIAAAAHNjguNzEwMwDiEiRV8kHYCJHHiVnyQdgIJ0NJUS5OWVNFOktPLklRX0xBU1RTQUxFUFJJQ0UuMDcvMTIvMjAxOAEAAAASaAAAAgAAAAU0OS4wOQDH4n9T8kHYCMg7IHHyQdgIJ0NJUS4kQUVEU0VLLklRX0xBU1RTQUxFUFJJQ0UuMzAvMDQvMjAxOQEAAAAl61oAAgAAAAswLjM4NjQyMDA2NQCqJCVV8kHYCMVdhVnyQdgILUNJUS5OQVNEQVFHUzpUU0xBLklRX0xBU1RTQUxFUFJJQ0UuMzEvMDgvMjAxOQEAAAAQxqIBAgAAAAYyMjUuNjEAAeh9U/JB2Ah3ni1x8kHYCDpDSVEuTllTRTpSQUNFLklRX0NBUEVYX01FRElBTl9FU1QuMTAwMi4zMC8wNC8yMDIwLi5GLkVVUi5DAQAAAD2CsBACAAAACi03MDkuMzQ1MDUBDgAAAAUAAAABMwEAAAABMAIAAAAKMTAwMzIyNjg1NAMAAAAGMTA0MDkx</t>
  </si>
  <si>
    <t>BAAAAAEzBgAAAAEwBwAAAAI1MAgAAAABMQkAAAABMQoAAAABMAsAAAALMTE4OTU1MzU1ODkMAAAAATENAAAACDUvMS8yMDIwEAAAAAk4LzE2LzIwMjCkfwdL8kHYCH70qlnyQdgIIENJUS5OWVNFOktPLklRX1ZPTFVNRS4yOC8wOS8yMDE4AQAAABJoAAACAAAACDkuMDcxOTA0AEOYhVLyQdgImG4UcfJB2AgmQ0lRLk5BU0RBUUdTOlRTTEEuSVFfVk9MVU1FLjE2LzAyLzIwMTgBAAAAEMaiAQIAAAAINS42NDI2MzcAKCtCdfJB2AhHlFh28kHYCCtDSVEuTllTRTpSQUNFLklRX0dQLjk5Ny4zMC8wNC8yMDIwLi5GLkVVUi5DAQAAAD2CsBACAAAACDE1NjIuMzg4AQgAAAAFAAAAATEBAAAACjE5NDc0NDQxODQDAAAAAjUwAgAAAAIxMAQAAAABMQcAAAAJNC8zMC8yMDIwCAAAAAk4LzE2LzIwMjAJAAAAATDZCgdL8kHYCHMmoFnyQdgIIkNJUS5OWVNFOk1BTlUuSVFfVk9MVU1FLjEzLzA3LzIwMTgBAAAA3WsNAAIAAAAIMC4wMDc5MDIAOr+FUvJB2Aikbw1x8kHYCCZDSVEuTkFTREFRR1M6VFNMQS5JUV9WT0xVTUUuMDMvMDgvMjAxOAEAAAAQxqIBAgAAAAgxMy42NTY0OQA6v4VS8kHYCNW2D3HyQdgIKkNJUS5MU0U6VFNDTy5JUV9OSS45OTcuMzEvMTIvMjAxOS4uRi5HQlAuQwEAAAAwUAYAAgAAAAMxMzgBCAAAAAUAAAABMQEAAAAKMTg0NzgyNTE0OAMAAAACNTUCAAAAAjE1BAAAAAExBwAAAAoxMi8zMS8yMDE5</t>
  </si>
  <si>
    <t>CAAAAAk4LzE2LzIwMjAJAAAAATDaFJZ38kHYCFV86HjyQdgIIkNJUS5OWVNFOk1BTlUuSVFfVk9MVU1FLjE0LzAyLzIwMjABAAAA3WsNAAIAAAAIMC4wMjcyNDgAlf0kVfJB2AgMa3lZ8kHYCDtDSVEuTkFTREFRR1M6Q0FLRS5JUV9EQV9NRURJQU5fRVNULjYwMDAuMzAvMDQvMjAyMC4uRi5VU0QuQwEAAAAI4AQAAgAAAAY5Ny4wNDEBDgAAAAUAAAACMTEBAAAAATACAAAACjEwMDIyMjQyMjIDAAAABjExNDE5MAQAAAABMgYAAAABMAcAAAADMTYwCAAAAAExCQAAAAExCgAAAAEwCwAAAAsxMTg4NTE2MjA5NAwAAAACMTINAAAACDUvMS8yMDIwEAAAAAk4LzE2LzIwMjD/b8pM8kHYCNpuqVnyQdgINkNJUS5OQVNEQVFHUzpUU0xBLklRX1RPVEFMX1JFVi45OTUuMzAvMDQvMjAyMC4uRi5VU0QuQwEAAAAQxqIBAgAAAAgzMTk4LjM1NgEIAAAABQAAAAExAQAAAAoxODMwMTQzMzAwAwAAAAMxNjACAAAAAjI4BAAAAAExBwAAAAk0LzMwLzIwMjAIAAAACTgvMTYvMjAyMAkAAAABMLxYB0vyQdgI2HmeWfJB2AgoQ0lRLkxTRTpUU0NPLklRX0xBU1RTQUxFUFJJQ0UuMzEvMTIvMjAxNQEAAAAwUAYAAgAAAAUxLjQ5NQC5lH9T8kHYCPf4InHyQdgIOkNJUS5OWVNFOlJBQ0UuSVFfQ0FQRVhfTUVESUFOX0VTVC4xMDAxLjMwLzA0LzIwMjAuLkYuRVVSLkMBAAAAPYKwEAIAAAAKLTc1Ny4wNTM0OQEOAAAABQAAAAEzAQAA</t>
  </si>
  <si>
    <t>AAEwAgAAAAoxMDAzMjI2ODA3AwAAAAYxMDQwOTEEAAAAATMGAAAAATAHAAAAAjUwCAAAAAExCQAAAAExCgAAAAEwCwAAAAsxMTg5NTUzNjAxMgwAAAABMQ0AAAAINS8xLzIwMjAQAAAACTgvMTYvMjAyMKR/B0vyQdgIakKrWfJB2AgtQ0lRLk5BU0RBUUdTOlRTTEEuSVFfTEFTVFNBTEVQUklDRS4yOC8wMi8yMDE4AQAAABDGogECAAAABjM0My4wNgAFXX5T8kHYCK8NKXHyQdgIKUNJUS5OWVNFOk1BTlUuSVFfTEFTVFNBTEVQUklDRS4zMS8xMi8yMDE3AQAAAN1rDQACAAAABDE5LjgABV1+U/JB2AjfcShx8kHYCCJDSVEuTllTRTpNQU5VLklRX1ZPTFVNRS4zMC8wOC8yMDE5AQAAAN1rDQACAAAACDAuMDY1MzU5AJX9JFXyQdgIHp6/cvJB2Ag1Q0lRLk5BU0RBUUdTOkNBS0UuSVFfVE9UQUxfQ0wuOTk4LjMwLzA0LzIwMjAuLkYuVVNELkMBAAAACOAEAAIAAAAHMzk3Ljk1MQEIAAAABQAAAAExAQAAAAoyMDIxNTgxNDA5AwAAAAMxNjACAAAABDEwMDkEAAAAATEHAAAACTQvMzAvMjAyMAgAAAAJOC8xNi8yMDIwCQAAAAEwA0nKTPJB2AjTeZdZ8kHYCC9DSVEuTFNFOlRTQ08uSVFfRUJJVERBLjIwMDAuMzAvMDQvMjAyMC4uRi5HQlAuQwEAAAAwUAYAAgAAAAQ0MTI4AQgAAAAFAAAAATEBAAAACjIwMjY1MDczODgDAAAAAjU1AgAAAAQ0MDUxBAAAAAExBwAAAAk0LzMwLzIwMjAIAAAACTgvMTYvMjAyMAkAAAAB</t>
  </si>
  <si>
    <t>MMkxB0vyQdgI0pWiWfJB2AgsQ0lRLk5ZU0U6UkFDRS5JUV9TR0EuOTk4LjMwLzA0LzIwMjAuLkYuRVVSLkMBAAAAPYKwEAIAAAAHMzI5LjA2NQEIAAAABQAAAAExAQAAAAoyMDE1NjM5ODA1AwAAAAI1MAIAAAACMjMEAAAAATEHAAAACTQvMzAvMjAyMAgAAAAJOC8xNi8yMDIwCQAAAAEw2QoHS/JB2AhRw6BZ8kHYCCBDSVEuTllTRTpLTy5JUV9WT0xVTUUuMjgvMDIvMjAyMAEAAAASaAAAAgAAAAg0MC44OTE4MgCj1iRV8kHYCDKdfFnyQdgILUNJUS5OWVNFOk1BTlUuSVFfRUJULjIwMDAuMzEvMTIvMjAxOS4uRi5HQlAuQwEAAADdaw0AAgAAAAYyMS4yNTcBCAAAAAUAAAABMQEAAAAKMTk5MzYyMTMyMgMAAAACNTUCAAAAAzEzOQQAAAABMQcAAAAKMTIvMzEvMjAxOQgAAAAJOC8xNi8yMDIwCQAAAAEw3O2Vd/JB2AinEut48kHYCCRDSVEuXlNQWC5JUV9MQVNUU0FMRVBSSUNFLjI0LzA4LzIwMTgBAAAAm7goAAIAAAAQMjg3NC42ODkxNDM4OTEwNQCKxTdR8kHYCATlE3PyQdgIQENJUS5OQVNEQVFHUzpUU0xBLklRX1JFVkVOVUVfTUVESUFOX0VTVC42MDAwLjMwLzA0LzIwMjAuLkYuVVNELkMBAAAAEMaiAQIAAAAJMjk5MjkuMDk4AQ4AAAAFAAAAAjExAQAAAAEwAgAAAAgxNTM1NzY4NgMAAAAGMTAwMTgxBAAAAAEyBgAAAAEwBwAAAAMxNjAIAAAAATEJAAAAATEKAAAAATALAAAACzExODk4NDA1MjE4DAAA</t>
  </si>
  <si>
    <t>AAIxMg0AAAAINS8xLzIwMjAQAAAACTgvMTYvMjAyMKR/B0vyQdgIgRydWfJB2AghQ0lRLkxTRTpTRk9SLklRX1ZPTFVNRS4wNS8wNC8yMDE5AQAAAMtT5CECAAAACDAuMDg4NzA3ALmUf1PyQdgI2rm8cvJB2AghQ0lRLkxTRTpTRk9SLklRX1ZPTFVNRS4wOC8wMi8yMDE5AQAAAMtT5CECAAAACDAuMDM5OTQxAKS8f1PyQdgI2rm8cvJB2Ag7Q0lRLkxTRTpUU0NPLklRX1RPVEFMX0NPTU1PTl9FUVVJVFkuOTk5LjMxLzEyLzIwMTkuLkYuR0JQLkMBAAAAMFAGAAIAAAAFMTA1MDIBCAAAAAUAAAABMQEAAAAKMTk2ODczNjU1OQMAAAACNTUCAAAABDEwMDYEAAAAATEHAAAACjEyLzMxLzIwMTkIAAAACTgvMTYvMjAyMAkAAAABMB77F3jyQdgISQ30ePJB2Ag7Q0lRLk5ZU0U6TUFOVS5JUV9FQklUREFfTUVESUFOX0VTVC42MDAwLjMxLzEyLzIwMTkuLkYuR0JQLkMBAAAA3WsNAAIAAAAIMTYzLjI5NDYBDgAAAAUAAAACMTEBAAAAATACAAAABzM2MTc4ODQDAAAABjEwMDE4OAQAAAABMwYAAAABMAcAAAACNTUIAAAAATEJAAAAATEKAAAAATALAAAACzExNjkyNzI0NjUxDAAAAAIxMg0AAAAIMS8xLzIwMjAQAAAACTgvMTYvMjAyMPNIGHjyQdgIpODuePJB2Ag1Q0lRQVZHLiRBRURHQlAuSVFfTEFTVFNBTEVQUklDRS4zMC8wNi8yMDE0LjMwLzA2LzIwMTUBAAAAJetaAAIAAAAINS43ODY5ODMA6pbKTPJB2AihCmB2</t>
  </si>
  <si>
    <t>8kHYCCJDSVEuTllTRTpNQU5VLklRX1ZPTFVNRS4yMy8wOC8yMDE5AQAAAN1rDQACAAAACDAuMDY1MTQ2AJX9JFXyQdgIHp6/cvJB2AgxQ0lRLk5ZU0U6UkFDRS5JUV9UT1RBTF9DTC45OTcuMzEvMTIvMjAxOS4uRi5FVVIuQwEAAAA9grAQAgAAAAgxODczLjUwMQEIAAAABQAAAAExAQAAAAoxODc2MDQzMzEzAwAAAAI1MAIAAAAEMTAwOQQAAAABMQcAAAAKMTIvMzEvMjAxOQgAAAAJOC8xNi8yMDIwCQAAAAEwHK0XePJB2AikQfh48kHYCDBDSVEuTllTRTpLTy5JUV9UT1RBTF9SRVYuOTk1LjMwLzA0LzIwMjAuLkYuVVNELkMBAAAAEmgAAAIAAAAFNDU5OTgBCAAAAAUAAAABMQEAAAAKMTgyOTIzMDk1NgMAAAADMTYwAgAAAAIyOAQAAAABMQcAAAAJNC8zMC8yMDIwCAAAAAk4LzE2LzIwMjAJAAAAATADScpM8kHYCNh5nlnyQdgIQ0NJUS5OQVNEQVFHUzpUU0xBLklRX1RPVEFMX0RFQlRfTk9OX0NVUlJFTlQuOTk5LjMwLzA0LzIwMjAuLkYuVVNELkMBAAAAEMaiAQIAAAAFMTExMTYBCAAAAAUAAAABMQEAAAAKMjAxMzkwNzQ2MwMAAAADMTYwAgAAAAUyNTIyNAQAAAABMQcAAAAJNC8zMC8yMDIwCAAAAAk4LzE2LzIwMjAJAAAAATC8WAdL8kHYCIk8mFnyQdgIJUNJUS5eQ09NUC5JUV9MQVNUU0FMRVBSSUNFLjE5LzEwLzIwMTgBAAAAibgoAAIAAAAHNzQ0OS4wMwCKxTdR8kHYCJ9kF3PyQdgIJENJUS5OWVNF</t>
  </si>
  <si>
    <t>OlJBQ0UuSVFfQkVUQV81WVIuMzEvMTIvMjAxOQEAAAA9grAQAgAAABAxLjMxMTE0NjUxODcxNTM5AN8G3nTyQdgIZYpHdvJB2AgiQ0lRLk5ZU0U6UkFDRS5JUV9WT0xVTUUuMjEvMDIvMjAyMAEAAAA9grAQAgAAAAgwLjQ0NTk3MgDZObVT8kHYCPM4dlnyQdgIJkNJUS5OQVNEQVFHUzpDQUtFLklRX1ZPTFVNRS4xMi8wNC8yMDE5AQAAAAjgBAACAAAACDAuNTU3MTk4ALmUf1PyQdgI52HAcvJB2AgeQ0lRLkxTRTpUU0NPLklRX1RFVi4zMS8xMi8yMDE5AQAAADBQBgACAAAADDM5NzUxLjgyOTIyNAEGAAAABQAAAAExAQAAAAoxOTg2NzkzMDk3AwAAAAI1NQIAAAAGMTAwMDYwBAAAAAEwBwAAAAoxMi8zMS8yMDE5QVJCdfJB2AiPJk928kHYCDJDSVEuTkFTREFRR1M6Q0FLRS5JUV9FQklULjIwMDAuMzAvMDQvMjAyMC4uRi5VU0QuQwEAAAAI4AQAAgAAAAcxMjguMTQ4AQgAAAAFAAAAATEBAAAACjIwMjE1ODI3MDQDAAAAAzE2MAIAAAADNDAwBAAAAAExBwAAAAk0LzMwLzIwMjAIAAAACTgvMTYvMjAyMAkAAAABMP9vykzyQdgIVkOkWfJB2Ag+Q0lRLk5ZU0U6S08uSVFfTUlOT1JJVFlfSU5URVJFU1RfVE9UQUwuOTk5LjMwLzA0LzIwMjAuLkYuVVNELkMBAAAAEmgAAAIAAAAEMjA3NwEIAAAABQAAAAExAQAAAAoyMDE2NzkxMjUxAwAAAAMxNjACAAAABDEzMTIEAAAAATEHAAAACTQvMzAvMjAyMAgAAAAJOC8x</t>
  </si>
  <si>
    <t>Ni8yMDIwCQAAAAEwA0nKTPJB2AhKdJlZ8kHYCC9DSVEuTkFTREFRR1M6VFNMQS5JUV9HUC45OTYuMzEvMTIvMjAxOS4uRi5VU0QuQwEAAAAQxqIBAgAAAAc4ODEuNjcxAQgAAAAFAAAAATEBAAAACjE4MzAxNDMzMDADAAAAAzE2MAIAAAACMTAEAAAAATEHAAAACjEyLzMxLzIwMTkIAAAACTgvMTYvMjAyMAkAAAABMB4iGHjyQdgIc0DwePJB2AgkQ0lRLl5TUFguSVFfTEFTVFNBTEVQUklDRS4zMS8wNS8yMDE5AQAAAJu4KAACAAAAEDI3NTIuMDYyODg2MTMyMTgASQUzUvJB2Ajm0xJz8kHYCDhDSVEuTkFTREFRR1M6VFNMQS5JUV9FQVJOSU5HX0NPLjIwMDAuMzAvMDQvMjAyMC4uRi5VU0QuQwEAAAAQxqIBAgAAAAMtMzkBCAAAAAUAAAABMQEAAAAKMjAzMjA0NTMzNAMAAAADMTYwAgAAAAE3BAAAAAExBwAAAAk0LzMwLzIwMjAIAAAACTgvMTYvMjAyMAkAAAABMMkxB0vyQdgI8RWtWfJB2AgtQ0lRLk5BU0RBUUdTOlRTTEEuSVFfTEFTVFNBTEVQUklDRS4wNS8wNy8yMDE5AQAAABDGogECAAAABTIzMy4xANGDflPyQdgIckwocfJB2AgxQ0lRLkxTRTpTRk9SLklRX0xUX0lOVkVTVC45OTguMzAvMDQvMjAyMC4uRi5HQlAuQwEAAADLU+QhAwAAAAAA2QoHS/JB2AiDp5VZ8kHYCC1DSVEuTkFTREFRR1M6Q0FLRS5JUV9MQVNUU0FMRVBSSUNFLjI3LzEyLzIwMTkBAAAACOAEAAIAAAAFMzguMzYACA9+U/JB2Ag0</t>
  </si>
  <si>
    <t>iC5x8kHYCEVDSVEuTkFTREFRR1M6Q0FLRS5JUV9NSU5PUklUWV9JTlRFUkVTVF9UT1RBTC4yMDAwLjMwLzA0LzIwMjAuLkYuVVNELkMBAAAACOAEAAMAAAAAAP9vykzyQdgIXyaZWfJB2AgyQ0lRLk5ZU0U6UkFDRS5JUV9DT1NUX1JFVi4xMDAwLjMwLzA0LzIwMjAuLkYuRVVSLkMBAAAAPYKwEAIAAAAHMTgwNS4zMQEIAAAABQAAAAExAQAAAAoyMDE1NjM5ODIyAwAAAAI1MAIAAAABMQQAAAABMQcAAAAJNC8zMC8yMDIwCAAAAAk4LzE2LzIwMjAJAAAAATDZCgdL8kHYCMHHnlnyQdgIJENJUS5eU1BYLklRX0xBU1RTQUxFUFJJQ0UuMTgvMTAvMjAxOQEAAACbuCgAAgAAABAyOTg2LjIwMzQ4MzYxMjM4ALW8N1LyQdgIJDgSc/JB2AgtQ0lRLk5BU0RBUUdTOlRTTEEuSVFfTEFTVFNBTEVQUklDRS4wNi8wOS8yMDE5AQAAABDGogECAAAABjIyNy40NQDRg35T8kHYCFm6KnHyQdgIG0NJUS5OWVNFOlJBQ0UuSVFfQ09NUEFOWV9JRAEAAAA9grAQAwAAAAtJUTI4MDAwMzEzMwD8OiRV8kHYCF+QiFnyQdgIIENJUS4uSVFfTEFTVFNBTEVQUklDRS4zMS8wMy8yMDE4BQAAAAAAAAAIAAAAFChJbnZhbGlkIElkZW50aWZpZXIpwkc3UvJB2AiG3zhz8kHYCC9DSVEuTllTRTpSQUNFLklRX0VCSVREQS45OTcuMzEvMTIvMjAxOS4uRi5FVVIuQwEAAAA9grAQAgAAAAc2NDYuMjQ3AQgAAAAFAAAAATEBAAAACjE4NzYwNDMz</t>
  </si>
  <si>
    <t>MTMDAAAAAjUwAgAAAAQ0MDUxBAAAAAExBwAAAAoxMi8zMS8yMDE5CAAAAAk4LzE2LzIwMjAJAAAAATAeIhh48kHYCP0e7njyQdgIO0NJUS5OQVNEQVFHUzpDQUtFLklRX0RBX01FRElBTl9FU1QuMTAwMy4zMS8xMi8yMDE5Li5GLlVTRC5DAQAAAAjgBAACAAAABTExNS44AQ4AAAAFAAAAATMBAAAAATACAAAACjEwMDIyMjQyMjMDAAAABjExNDE5MAQAAAABMgYAAAABMAcAAAADMTYwCAAAAAExCQAAAAExCgAAAAEwCwAAAAsxMTcyMzYxNDQyNgwAAAABMQ0AAAAIMS8xLzIwMjAQAAAACTgvMTYvMjAyMNoUlnfyQdgIay7oePJB2AgkQ0lRLl5BU1guSVFfTEFTVFNBTEVQUklDRS4zMC8wOS8yMDE4AQAAAB9T6wECAAAACzQxMjcuOTEwNjAyAAmWN1LyQdgI+xALc/JB2AgwQ0lRLk5BU0RBUUdTOlRTTEEuSVFfRUJULjk5Ni4zMC8wNC8yMDIwLi5GLlVTRC5DAQAAABDGogECAAAACC04NzUuNjI0AQgAAAAFAAAAATEBAAAACjE4NzU3NjkwODIDAAAAAzE2MAIAAAADMTM5BAAAAAExBwAAAAk0LzMwLzIwMjAIAAAACTgvMTYvMjAyMAkAAAABMMkxB0vyQdgIuoqmWfJB2AgoQ0lRLkxTRTpTRk9SLklRX0xBU1RTQUxFUFJJQ0UuMTkvMTAvMjAxOAEAAADLU+QhAgAAAAUxLjI1NQBDmIVS8kHYCBj0FXHyQdgIIkNJUS5OWVNFOk1BTlUuSVFfVk9MVU1FLjIxLzA5LzIwMTgBAAAA3WsNAAIAAAAIMC4wNDg3MTIAQ5iF</t>
  </si>
  <si>
    <t>UvJB2AjB0hNx8kHYCEBDSVEuTkFTREFRR1M6Q0FLRS5JUV9UT1RBTF9ERUJUX0NVUlJFTlQuMjAwMC4zMS8xMi8yMDE5Li5GLlVTRC5DAQAAAAjgBAACAAAABjkwLjAyNwEIAAAABQAAAAExAQAAAAoxOTkxMzI3MDQwAwAAAAMxNjACAAAABTI1MjIzBAAAAAExBwAAAAoxMi8zMS8yMDE5CAAAAAk4LzE2LzIwMjAJAAAAATA7hhd48kHYCMbF+XjyQdgIPUNJUS5OQVNEQVFHUzpUU0xBLklRX0VCSVRfTUVESUFOX0VTVC42MDAwLjMwLzA0LzIwMjAuLkYuVVNELkMBAAAAEMaiAQIAAAAIMTA1My4xNDgBDgAAAAUAAAACMTEBAAAAATACAAAACDE1MzU3Njg2AwAAAAYxMDAyMTYEAAAAATIGAAAAATAHAAAAAzE2MAgAAAABMQkAAAABMQoAAAABMAsAAAALMTE4OTg4MjM0MjgMAAAAAjEyDQAAAAg1LzEvMjAyMBAAAAAJOC8xNi8yMDIwpH8HS/JB2Aht9KNZ8kHYCBlDSVEuLklRX1ZPTFVNRS4yMy8wMi8yMDE4BQAAAAAAAAAIAAAAFChJbnZhbGlkIElkZW50aWZpZXIpGN1BdfJB2AhHlFh28kHYCClDSVEuTllTRTpNQU5VLklRX0xBU1RTQUxFUFJJQ0UuMTgvMTAvMjAxOQEAAADdaw0AAgAAAAUxNS45MgAFXX5T8kHYCNM/LHHyQdgINkNJUS5MU0U6U0ZPUi5JUV9EQV9NRURJQU5fRVNULjYwMDAuMzEvMTIvMjAxOS4uRi5HQlAuQwEAAADLU+QhAwAAAAAAOzyWd/JB2AiPued48kHYCCdDSVEuJEFFRFpXTC5JUV9M</t>
  </si>
  <si>
    <t>QVNUU0FMRVBSSUNFLjMwLzA0LzIwMTkBAAAAJetaAAIAAAALMC4wMTEzODkxNDcAqiQlVfJB2AgdGtJa8kHYCEBDSVEuTkFTREFRR1M6Q0FLRS5JUV9SRVZFTlVFX01FRElBTl9FU1QuMTAwMS4zMC8wNC8yMDIwLi5GLlVTRC5DAQAAAAjgBAACAAAABjIxMzcuNwEOAAAABQAAAAEzAQAAAAEwAgAAAAoxMDAyMjI0MjIyAwAAAAYxMDAxODEEAAAAATIGAAAAATAHAAAAAzE2MAgAAAABMQkAAAABMQoAAAABMAsAAAALMTE4ODUxNTM4MjkMAAAAATENAAAACDUvMS8yMDIwEAAAAAk4LzE2LzIwMjD/b8pM8kHYCDJpnVnyQdgIIUNJUS5MU0U6U0ZPUi5JUV9WT0xVTUUuMzEvMDEvMjAyMAEAAADLU+QhAgAAAAgwLjQzNTA5NgCV/SRV8kHYCL77dlnyQdgIMUNJUS5MU0U6U0ZPUi5JUV9MVF9JTlZFU1QuOTk3LjMxLzEyLzIwMTkuLkYuR0JQLkMBAAAAy1PkIQMAAAAAADuGF3jyQdgIxsX5ePJB2Ag5Q0lRLk5BU0RBUUdTOlRTTEEuSVFfU0hBUkVTT1VUU1RBTkRJTkdfT1VULjMwLzA0LzIwMjAuVVNEAQAAABDGogECAAAACjE4NS41NzQ0ODcAs0PDWvJB2AheMNFa8kHYCCpDSVEuTFNFOlRTQ08uSVFfQ09TVF9CT1JST1dJTkcuLjMwLzA0LzIwMjABAAAAMFAGAAIAAAAGNC40ODI5AQgAAAAFAAAAATEBAAAACjIwMzc0NDY4MjcDAAAAAjU1AgAAAAUyMTY4MQQAAAABMAcAAAAJNC8zMC8yMDIwCAAAAAkyLzI5LzIw</t>
  </si>
  <si>
    <t>MjAJAAAAATCxryRV8kHYCBNyflnyQdgILENJUS5MU0U6VFNDTy5JUV9QUklDRV9WT0xfSElTVF9ZUi4zMS8xMi8yMDE5AQAAADBQBgACAAAABzIwLjY3MTMA69/ddPJB2AhWY0d28kHYCDVDSVEuTllTRTpNQU5VLklRX1NIQVJFU09VVFNUQU5ESU5HX09VVC4zMC8wNC8yMDIwLkdCUAEAAADdaw0AAgAAAAoxNjQuNTcyNjg3ALNDw1ryQdgIUlfRWvJB2Ag3Q0lRLk5ZU0U6UkFDRS5JUV9FU1RfRVBTX0dST1dUSF81WVJfTlVNLjYwMDAuMzEvMTIvMjAxOQEAAAA9grAQAQAAAAEyAP4DQnXyQdgIwLBOdvJB2AgnQ0lRLk5ZU0U6S08uSVFfTEFTVFNBTEVQUklDRS4yMC8wOS8yMDE5AQAAABJoAAACAAAABTUzLjkxAAVdflPyQdgICFYrcfJB2AgiQ0lRLk5ZU0U6TUFOVS5JUV9WT0xVTUUuMjkvMTIvMjAxNwEAAADdaw0AAgAAAAgwLjAyODk1NwAoK0J18kHYCKrYXHbyQdgIQENJUS5OQVNEQVFHUzpDQUtFLklRX1JFVkVOVUVfTUVESUFOX0VTVC4xMDAzLjMxLzEyLzIwMTkuLkYuVVNELkMBAAAACOAEAAIAAAAGMzEzNC4zAQ4AAAAFAAAAATMBAAAAATACAAAACjEwMDIyMjQyMjMDAAAABjEwMDE4MQQAAAABMgYAAAABMAcAAAADMTYwCAAAAAExCQAAAAExCgAAAAEwCwAAAAsxMTcyMzYxNDUwMAwAAAABMQ0AAAAIMS8xLzIwMjAQAAAACTgvMTYvMjAyMPNIGHjyQdgIZHHzePJB2AgxQ0lRLk5BU0RBUUdTOkNB</t>
  </si>
  <si>
    <t>S0UuSVFfRUJULjIwMDAuMzAvMDQvMjAyMC4uRi5VU0QuQwEAAAAI4AQAAgAAAAcxNDAuMzM0AQgAAAAFAAAAATEBAAAACjIwMjE1ODI3MDQDAAAAAzE2MAIAAAADMTM5BAAAAAExBwAAAAk0LzMwLzIwMjAIAAAACTgvMTYvMjAyMAkAAAABMP9vykzyQdgI8MelWfJB2AgiQ0lRLk5ZU0U6UkFDRS5JUV9WT0xVTUUuMDYvMDQvMjAxOAEAAAA9grAQAgAAAAgwLjM4NTM2MwAoK0J18kHYCB/iUXbyQdgIPUNJUS5OWVNFOk1BTlUuSVFfVE9UQUxfQ09NTU9OX0VRVUlUWS4xMDAwLjMwLzA0LzIwMjAuLkYuR0JQLkMBAAAA3WsNAAIAAAAHNDE1LjIwMgEIAAAABQAAAAExAQAAAAoxOTg1ODQ1MDYzAwAAAAI1NQIAAAAEMTAwNgQAAAABMQcAAAAJNC8zMC8yMDIwCAAAAAk4LzE2LzIwMjAJAAAAATC8WAdL8kHYCJAKnFnyQdgIJENJUS5eU1BYLklRX0xBU1RTQUxFUFJJQ0UuMTYvMDMvMjAxOAEAAACbuCgAAgAAABAyNzUyLjAxMTc4NzU0OTYzANgt3nTyQdgIgFJGdvJB2Ag1Q0lRQVZHLiRBRURVU0QuSVFfTEFTVFNBTEVQUklDRS4zMS8xMi8yMDEzLjMwLzEyLzIwMTQBAAAAJetaAAIAAAAIMy42NzMxMzQAW5PiTfJB2AihCmB28kHYCCxDSVEuTkFTREFRR1M6VFNMQS5JUV9CRVRBXzVZUl9SU1EuMzAvMDQvMjAyMAEAAAAQxqIBAgAAABEwLjEwMjMyMzEyNDEzODc1OACxryRV8kHYCIbuiVnyQdgIOENJUS5OWVNF</t>
  </si>
  <si>
    <t>OktPLklRX0hJR0hfVEFSR0VUX1BSSUNFLjYwMDAuMzAvMDQvMjAyMC4uLlVTRC5DAQAAABJoAAACAAAAAjU3AQ4AAAAFAAAAATcBAAAABzI2MDEyMDECAAAABTIyMjA4AwAAAAYxMDAxNjMEAAAAAzI1NQYAAAABMAcAAAADMTYwCAAAAAExCQAAAAExCgAAAAEwCwAAAAsxMTg4NTI1NjMwNgwAAAABOA0AAAAINS8xLzIwMjAQAAAACTgvMTYvMjAyMP9vykzyQdgIIhuPWfJB2AgtQ0lRLk5BU0RBUUdTOlRTTEEuSVFfTEFTVFNBTEVQUklDRS4xOS8xMC8yMDE4AQAAABDGogECAAAAAzI2MABDmIVS8kHYCG0bFnHyQdgILUNJUS5MU0U6VFNDTy5JUV9QUklDRV9WT0xfSElTVF8yWVIuMzAvMDQvMjAyMAEAAAAwUAYAAgAAAAcyMi44MDg3APw6JFXyQdgIzgSJWfJB2Ag3Q0lRLk5ZU0U6UkFDRS5JUV9OSV9NRURJQU5fRVNULjEwMDEuMzAvMDQvMjAyMC4uRi5FVVIuQwEAAAA9grAQAgAAAAU3MDIuNQEOAAAABQAAAAEzAQAAAAEwAgAAAAoxMDAzMjI2ODA3AwAAAAYxMDAyNTEEAAAAATMGAAAAATAHAAAAAjUwCAAAAAExCQAAAAExCgAAAAEwCwAAAAsxMTg5NTUzNjA2NgwAAAABMQ0AAAAINS8xLzIwMjAQAAAACTgvMTYvMjAyMKR/B0vyQdgIUOmnWfJB2AgyQ0lRLkxTRTpUU0NPLklRX1RPVEFMX1JFVi4yMDAwLjMxLzEyLzIwMTkuLkYuR0JQLkMBAAAAMFAGAAIAAAAFNjQwODYBCAAAAAUAAAABMQEAAAAKMTk4</t>
  </si>
  <si>
    <t>Njc5MzI0MAMAAAACNTUCAAAAAjI4BAAAAAExBwAAAAoxMi8zMS8yMDE5CAAAAAk4LzE2LzIwMjAJAAAAATAe+xd48kHYCN2w8njyQdgIKENJUS5MU0U6VFNDTy5JUV9MQVNUU0FMRVBSSUNFLjI0LzA4LzIwMTgBAAAAMFAGAAIAAAAFMi41NDYAOr+FUvJB2AhpPBFx8kHYCC1DSVEuTllTRTpSQUNFLklRX1BFUklPRERBVEUuOTk2LjMwLzA0LzIwMjAuLkYBAAAAPYKwEAUAAAAKMzEvMTIvMjAxNQCxryRV8kHYCDcdgFnyQdgINUNJUS5OQVNEQVFHUzpDQUtFLklRX0NPU1RfUkVWLjk5OC4zMS8xMi8yMDE5Li5GLlVTRC5DAQAAAAjgBAACAAAACDEyODYuNjI2AQgAAAAFAAAAATEBAAAACjE5NDgxNzY2NjIDAAAAAzE2MAIAAAABMQQAAAABMQcAAAAKMTIvMzEvMjAxOQgAAAAJOC8xNi8yMDIwCQAAAAEwHvsXePJB2Ah+KvF48kHYCCJDSVEuTllTRTpNQU5VLklRX1ZPTFVNRS4yNC8wOC8yMDE4AQAAAN1rDQACAAAACDAuMDM5MzgyADq/hVLyQdgIaTwRcfJB2AgwQ0lRLk5ZU0U6S08uSVFfTFRfSU5WRVNULjk5Ni4zMC8wNC8yMDIwLi5GLlVTRC5DAQAAABJoAAACAAAABTE2ODY4AQgAAAAFAAAAATEBAAAACjE4NzU3OTc4MDkDAAAAAzE2MAIAAAAEMTA1NAQAAAABMQcAAAAJNC8zMC8yMDIwCAAAAAk4LzE2LzIwMjAJAAAAATADScpM8kHYCCHPlVnyQdgIJUNJUS5eQ09NUC5JUV9MQVNUU0FMRVBSSUNFLjMx</t>
  </si>
  <si>
    <t>LzEwLzIwMTkBAAAAibgoAAIAAAAHODI5Mi4zNgBJBTNS8kHYCJs9CXPyQdgIPUNJUS5OWVNFOk1BTlUuSVFfVE9UQUxfQ09NTU9OX0VRVUlUWS4xMDAwLjMxLzEyLzIwMTkuLkYuR0JQLkMBAAAA3WsNAAIAAAAHNDE1LjIwMgEIAAAABQAAAAExAQAAAAoxOTg1ODQ1MDYzAwAAAAI1NQIAAAAEMTAwNgQAAAABMQcAAAAKMTIvMzEvMjAxOQgAAAAJOC8xNi8yMDIwCQAAAAEwHvsXePJB2AgjW/R48kHYCClDSVEuTllTRTpSQUNFLklRX0xBU1RTQUxFUFJJQ0UuMTkvMDcvMjAxOQEAAAA9grAQAgAAAAUxNjYuNQDRg35T8kHYCE6aKHHyQdgIJENJUS5eU1BYLklRX0xBU1RTQUxFUFJJQ0UuMjgvMDIvMjAxOAEAAACbuCgAAgAAABAyNzEzLjgzMDUzODcyMzgxALW8N1LyQdgI1CwIc/JB2Ag2Q0lRLkVVUi5JUV9GVUxMX0NVUlZFX0FOTlVBTC5BTExDT1JQLkJCLjIwWS4zMS8xMi8yMDE5AQAAAAAAAAACAAAACTAuMDI4MjY2NwDYLd508kHYCMqrSXbyQdgIJENJUS5eU1BYLklRX0xBU1RTQUxFUFJJQ0UuMzAvMTEvMjAxOQEAAACbuCgAAgAAABAzMTQwLjk4MDYyNzcwMjU0AEkFM1LyQdgI/JAHc/JB2AgpQ0lRLk5ZU0U6TUFOVS5JUV9MQVNUU0FMRVBSSUNFLjMxLzA1LzIwMTUBAAAA3WsNAAIAAAAFMTcuMDcApLx/U/JB2Ai9FCBx8kHYCClDSVEuTllTRTpSQUNFLklRX0xBU1RTQUxFUFJJQ0UuMDQvMTAvMjAx</t>
  </si>
  <si>
    <t>OQEAAAA9grAQAgAAAAYxNDkuNTYABV1+U/JB2Ag/pStx8kHYCClDSVEuTllTRTpSQUNFLklRX0xBU1RTQUxFUFJJQ0UuMzEvMDMvMjAxOAEAAAA9grAQAgAAAAYxMjAuNTIABV1+U/JB2AivDSlx8kHYCDdDSVEuTkFTREFRR1M6VFNMQS5JUV9MVF9JTlZFU1QuMjAwMC4zMS8xMi8yMDE5Li5GLlVTRC5DAQAAABDGogECAAAAATEBCAAAAAUAAAABMQEAAAAKMTk4OTQ1MzEzMAMAAAADMTYwAgAAAAQxMDU0BAAAAAExBwAAAAoxMi8zMS8yMDE5CAAAAAk4LzE2LzIwMjAJAAAAATA7hhd48kHYCM+w+njyQdgIJ0NJUS4kQUVEUEVOLklRX0xBU1RTQUxFUFJJQ0UuMzAvMDQvMjAxOQEAAAAl61oAAgAAAAsxLjExMDAwMzAyMgCqJCVV8kHYCIMBg1nyQdgIJENJUS5eU1BYLklRX0xBU1RTQUxFUFJJQ0UuMDEvMDIvMjAxOQEAAACbuCgAAgAAABAyNzA2LjUzMzQ1OTk1OTM1AIrFN1HyQdgI3iETc/JB2AgnQ0lRLiRBRURFVVIuSVFfTEFTVFNBTEVQUklDRS4zMS8xMi8yMDE3AQAAACXrWgACAAAACzQuNDEwNjYyODI0ABUiykzyQdgIA9NedvJB2AgmQ0lRLk5BU0RBUUdTOkNBS0UuSVFfVk9MVU1FLjIyLzA2LzIwMTgBAAAACOAEAAIAAAAIMS43Mjg2NzQAKeaFUvJB2Aj9mgtx8kHYCCBDSVEuTllTRTpLTy5JUV9WT0xVTUUuMjkvMTIvMjAxNwEAAAASaAAAAgAAAAg4LjM3MTUzNgAoK0J18kHYCKrYXHbyQdgIN0NJ</t>
  </si>
  <si>
    <t>US5OQVNEQVFHUzpDQUtFLklRX0VTVF9FUFNfR1JPV1RIXzVZUi42MDAwLjMwLzA0LzIwMjABAAAACOAEAAIAAAAFMTMuNzUBDgAAAAUAAAABNwEAAAAHMjU5OTY5NQIAAAAGMjczODg4AwAAAAYxMDAxNjcEAAAAATIGAAAAATAHAAAAATAIAAAAATAJAAAAATEKAAAAATALAAAACzExODg1NDY5MjU3DAAAAAE4DQAAAAg1LzEvMjAyMBAAAAAJNC8zMC8yMDIwsa8kVfJB2AizqX9Z8kHYCC1DSVEuTllTRTpLTy5JUV9MQVNUU0FMRVBSSUNFLjMxLzEyLzIwMTkuVVNELkMBAAAAEmgAAAIAAAAFNTUuMzUAA0nKTPJB2Aj0wF128kHYCDFDSVEuTllTRTpNQU5VLklRX1NIQVJFU09VVFNUQU5ESU5HLjMwLzA0LzIwMjAuR0JQAQAAAN1rDQACAAAACjE2NC41NzI2ODcAs0PDWvJB2AhGftFa8kHYCDBDSVEuTllTRTpLTy5JUV9MVF9JTlZFU1QuOTk3LjMxLzEyLzIwMTkuLkYuVVNELkMBAAAAEmgAAAIAAAAFMTY4NjgBCAAAAAUAAAABMQEAAAAKMTg3NTc5NzgwOQMAAAADMTYwAgAAAAQxMDU0BAAAAAExBwAAAAoxMi8zMS8yMDE5CAAAAAk4LzE2LzIwMjAJAAAAATA7hhd48kHYCLET+njyQdgIJENJUS5eU1BYLklRX0xBU1RTQUxFUFJJQ0UuMjIvMDIvMjAxOQEAAACbuCgAAgAAABAyNzkyLjY3MTAyMjIyNjExAKCeN1HyQdgI3iETc/JB2Ag0Q0lRLk5BU0RBUUdTOlRTTEEuSVFfSU5DX1RBWC45OTYuMzAvMDQvMjAy</t>
  </si>
  <si>
    <t>MC4uRi5VU0QuQwEAAAAQxqIBAgAAAAYxMy4wMzkBCAAAAAUAAAABMQEAAAAKMTg3NTc2OTA4MgMAAAADMTYwAgAAAAI3NQQAAAABMQcAAAAJNC8zMC8yMDIwCAAAAAk4LzE2LzIwMjAJAAAAATDJMQdL8kHYCGtNp1nyQdgIK0NJUS5OWVNFOlJBQ0UuSVFfRklTQ0FMX1kuNTAwLjMxLzEyLzIwMTkuLkYBAAAAPYKwEAEAAAAEMjAxOQD+A0J18kHYCFGbXXbyQdgIIkNJUS5OWVNFOk1BTlUuSVFfVk9MVU1FLjA2LzAzLzIwMjABAAAA3WsNAAIAAAAIMC4wODAwMTMAlf0kVfJB2AgMa3lZ8kHYCCRDSVEuXlNQWC5JUV9MQVNUU0FMRVBSSUNFLjE1LzExLzIwMTkBAAAAm7goAAIAAAAPMzEyMC40NjA0MDMyMzM1ALW8N1LyQdgIMBESc/JB2AgtQ0lRLk5BU0RBUUdTOlRTTEEuSVFfTEFTVFNBTEVQUklDRS4wMy8wNS8yMDE5AQAAABDGogECAAAABjI1NS4wMwDe0n5T8kHYCA9SJnHyQdgIMENJUS5MU0U6VFNDTy5JUV9UT1RBTF9DTC45OTYuMzAvMDQvMjAyMC4uRi5HQlAuQwEAAAAwUAYAAgAAAAUxNzg2NgEIAAAABQAAAAExAQAAAAoxODQ3ODI1MTQ4AwAAAAI1NQIAAAAEMTAwOQQAAAABMQcAAAAJNC8zMC8yMDIwCAAAAAk4LzE2LzIwMjAJAAAAATDJMQdL8kHYCKvHl1nyQdgINUNJUS5OWVNFOktPLklRX0VRVUlUWV9NRVRIT0QuMTAwMC4zMS8xMi8yMDE5Li5GLlVTRC5DAQAAABJoAAACAAAABTE5NDA3AQgA</t>
  </si>
  <si>
    <t>AAAFAAAAATEBAAAACjE5NDY0MzA3ODEDAAAAAzE2MAIAAAAEMzA2MwQAAAABMQcAAAAKMTIvMzEvMjAxOQgAAAAJOC8xNi8yMDIwCQAAAAEwR2AXePJB2AgQAwB58kHYCC5DSVEuTFNFOlRTQ08uSVFfTEFTVFNBTEVQUklDRS4yNS8wMi8yMDE3LkdCUC5DAQAAADBQBgACAAAAAzEuOQAVIspM8kHYCJR/YHbyQdgIMENJUS5MU0U6VFNDTy5JUV9UT1RBTF9DQS45OTYuMzAvMDQvMjAyMC4uRi5HQlAuQwEAAAAwUAYAAgAAAAUxNDY4NAEIAAAABQAAAAExAQAAAAoxODQ3ODI1MTQ4AwAAAAI1NQIAAAAEMTAwOAQAAAABMQcAAAAJNC8zMC8yMDIwCAAAAAk4LzE2LzIwMjAJAAAAATDJMQdL8kHYCM8hlFnyQdgII0NJUS5OWVNFOlJBQ0UuSVFfVEVWX09VVC4zMC8wNC8yMDIwAQAAAD2CsBACAAAADDMwMDkyLjMwNTk0MQEGAAAABQAAAAExAQAAAAoyMDE1NjQyOTA2AwAAAAMxNjACAAAABTQ2MjE0BAAAAAEwBwAAAAk0LzMwLzIwMjCj1iRV8kHYCHfnflnyQdgIKENJUS5MU0U6U0ZPUi5JUV9MQVNUU0FMRVBSSUNFLjA5LzAyLzIwMTgBAAAAy1PkIQMAAAAAACgrQnXyQdgIBn5ZdvJB2AguQ0lRLkxTRTpTRk9SLklRX0VCSVREQS45OTYuMzEvMTIvMjAxOS4uRi5HQlAuQwEAAADLU+QhAwAAAAAAHiIYePJB2Ajw9u148kHYCClDSVEuTllTRTpSQUNFLklRX0xBU1RTQUxFUFJJQ0UuMjkvMDIvMjAxNgEAAAA9grAQ</t>
  </si>
  <si>
    <t>AgAAAAUzNy45OADe0n5T8kHYCPZtI3HyQdgILUNJUS5OQVNEQVFHUzpUU0xBLklRX0xBU1RTQUxFUFJJQ0UuMTAvMDEvMjAyMAEAAAAQxqIBAgAAAAY0NzguMTUACA9+U/JB2AglDFxZ8kHYCDVDSVEuTFNFOlNGT1IuSVFfVE9UQUxfUkVDRUlWLjIwMDAuMzEvMTIvMjAxOS4uRi5HQlAuQwEAAADLU+QhAgAAAAY4MC42MDMBCAAAAAUAAAABMQEAAAAKMTk2MTExNzQwMQMAAAACNTUCAAAABDEwMDEEAAAAATEHAAAACjEyLzMxLzIwMTkIAAAACTgvMTYvMjAyMAkAAAABMNoUlnfyQdgIZa7kePJB2AgwQ0lRLkxTRTpUU0NPLklRX0NPU1RfUkVWLjk5Ny4zMS8xMi8yMDE5Li5GLkdCUC5DAQAAADBQBgACAAAABTUxNzYwAQgAAAAFAAAAATEBAAAACjE4NDc4MjUxNDgDAAAAAjU1AgAAAAExBAAAAAExBwAAAAoxMi8zMS8yMDE5CAAAAAk4LzE2LzIwMjAJAAAAATAe+xd48kHYCHkD8XjyQdgIJUNJUS5eQ09NUC5JUV9MQVNUU0FMRVBSSUNFLjMwLzA0LzIwMTYBAAAAibgoAAIAAAAHNDc3NS4zNgB8q4VR8kHYCDlOCnPyQdgIJUNJUS5eQ09NUC5JUV9MQVNUU0FMRVBSSUNFLjMwLzExLzIwMTgBAAAAibgoAAIAAAAHNzMzMC41NAAJljdS8kHYCLE9F3PyQdgILUNJUS5OQVNEQVFHUzpUU0xBLklRX0xBU1RTQUxFUFJJQ0UuMzAvMTEvMjAxNwEAAAAQxqIBAgAAAAYzMDguODUABV1+U/JB2AhyTChx8kHYCCRDSVEu</t>
  </si>
  <si>
    <t>XlNQWC5JUV9MQVNUU0FMRVBSSUNFLjMxLzAzLzIwMTkBAAAAm7goAAIAAAAQMjgzNC4zOTk4MTk1NzUxNQBJBTNS8kHYCP23B3PyQdgILUNJUS5OQVNEQVFHUzpUU0xBLklRX0xBU1RTQUxFUFJJQ0UuMTQvMDIvMjAyMAEAAAAQxqIBAgAAAAY4MDAuMDMACA9+U/JB2AgmHV1Z8kHYCCtDSVEuTllTRTpNQU5VLklRX0ZJU0NBTF9ZLjUwMC4zMS8xMi8yMDE5Li5GAQAAAN1rDQABAAAABDIwMjAA3wbedPJB2AhoFUd28kHYCCJDSVEuTllTRTpSQUNFLklRX1ZPTFVNRS4xNy8wNC8yMDIwAQAAAD2CsBACAAAACDAuNDg0Njc4ANk5tVPyQdgI8zh2WfJB2AgkQ0lRLl5TUFguSVFfTEFTVFNBTEVQUklDRS4yOS8wMi8yMDIwAQAAAJu4KAACAAAAEDI5NTQuMjIzNjg0MzY4NjMAAN4yUvJB2AjyPLRZ8kHYCCdDSVEuJEFFREFFRC5JUV9MQVNUU0FMRVBSSUNFLjMwLzA0LzIwMjABAAAAJetaAAIAAAABMQCqJCVV8kHYCI2zglnyQdgIKkNJUS5MU0U6VFNDTy5JUV9HUC45OTYuMzAvMDQvMjAyMC4uRi5HQlAuQwEAAAAwUAYAAgAAAAQyMTczAQgAAAAFAAAAATEBAAAACjE4NDc4MjUxNDgDAAAAAjU1AgAAAAIxMAQAAAABMQcAAAAJNC8zMC8yMDIwCAAAAAk4LzE2LzIwMjAJAAAAATDJMQdL8kHYCHMmoFnyQdgINUNJUS5MU0U6VFNDTy5JUV9UT1RBTF9SRUNFSVYuMjAwMC4zMS8xMi8yMDE5Li5GLkdCUC5DAQAAADBQ</t>
  </si>
  <si>
    <t>BgACAAAABDE2MjEBCAAAAAUAAAABMQEAAAAKMTk4Njc5MzI0MAMAAAACNTUCAAAABDEwMDEEAAAAATEHAAAACjEyLzMxLzIwMTkIAAAACTgvMTYvMjAyMAkAAAABMNoUlnfyQdgIZa7kePJB2Ag2Q0lRLkxTRTpTRk9SLklRX05JX01FRElBTl9FU1QuMTAwMy4zMC8wNC8yMDIwLi5GLkdCUC5DAQAAAMtT5CECAAAAEDY1LjQzNzMxNDk1MzAzODIBDgAAAAUAAAABMwEAAAABMAIAAAAKMTAwNDYzMDY3MQMAAAAGMTAwMjUxBAAAAAEzBgAAAAEwBwAAAAI1NQgAAAABMQkAAAABMQoAAAABMAsAAAALMTE5MDI4MDkzMzQMAAAAATENAAAACDUvMS8yMDIwEAAAAAk4LzE2LzIwMjCkfwdL8kHYCFabp1nyQdgIKENJUS5MU0U6U0ZPUi5JUV9MQVNUU0FMRVBSSUNFLjAxLzExLzIwMTkBAAAAy1PkIQIAAAAEMS42NgAFXX5T8kHYCL6NLHHyQdgIIUNJUS5MU0U6VFNDTy5JUV9WT0xVTUUuMTYvMTEvMjAxOAEAAAAwUAYAAgAAAAgyNi45ODE1NgDH4n9T8kHYCLXKHXHyQdgIK0NJUS5OWVNFOktPLklRX1BFUklPRERBVEUuOTk5LjMxLzEyLzIwMTkuLkYBAAAAEmgAAAUAAAAKMzEvMTIvMjAxNwD+A0J18kHYCMNSTXbyQdgIJ0NJUS5OWVNFOktPLklRX0xBU1RTQUxFUFJJQ0UuMDIvMDgvMjAxOQEAAAASaAAAAgAAAAU1Mi4zMwDRg35T8kHYCJdbKXHyQdgIJ0NJUS4kQUVES0dTLklRX0xBU1RTQUxFUFJJQ0UuMzEvMTIv</t>
  </si>
  <si>
    <t>MjAxOQEAAAAl61oAAgAAAAswLjA1Mjg0MDAyNQD+A0J18kHYCMiPTHbyQdgIQ0NJUS5OQVNEQVFHUzpDQUtFLklRX1RPVEFMX0RFQlRfTk9OX0NVUlJFTlQuOTk5LjMwLzA0LzIwMjAuLkYuVVNELkMBAAAACOAEAAIAAAAHMTIzLjA5NQEIAAAABQAAAAExAQAAAAoyMDIxNTgxNDIwAwAAAAMxNjACAAAABTI1MjI0BAAAAAExBwAAAAk0LzMwLzIwMjAIAAAACTgvMTYvMjAyMAkAAAABMANJykzyQdgIiTyYWfJB2AgxQ0lRLkxTRTpUU0NPLklRX0xUX0lOVkVTVC45OTcuMzAvMDQvMjAyMC4uRi5HQlAuQwEAAAAwUAYAAgAAAAM2ODEBCAAAAAUAAAABMQEAAAAKMTg4ODUyNTA3NAMAAAACNTUCAAAABDEwNTQEAAAAATEHAAAACTQvMzAvMjAyMAgAAAAJOC8xNi8yMDIwCQAAAAEwyTEHS/JB2Aghz5VZ8kHYCBlDSVEuLklRX1ZPTFVNRS4xOS8wNy8yMDE5BQAAAAAAAAAIAAAAFChJbnZhbGlkIElkZW50aWZpZXIp2Tm1U/JB2AhX5rpy8kHYCC1DSVEuTkFTREFRR1M6Q0FLRS5JUV9MQVNUU0FMRVBSSUNFLjMwLzAzLzIwMTgBAAAACOAEAAIAAAAFNDguMjIAKCtCdfJB2AizWFJ28kHYCCtDSVEuTFNFOlRTQ08uSVFfRUJULjk5OC4zMC8wNC8yMDIwLi5GLkdCUC5DAQAAADBQBgACAAAABDEzMDABCAAAAAUAAAABMQEAAAAKMTk2ODczNjU1OQMAAAACNTUCAAAAAzEzOQQAAAABMQcAAAAJNC8zMC8yMDIwCAAAAAk4</t>
  </si>
  <si>
    <t>LzE2LzIwMjAJAAAAATDJMQdL8kHYCM88plnyQdgIJUNJUS5OWVNFOk1BTlUuSVFfU1BfTENfTFQuLjMwLzA0LzIwMjABAAAA3WsNAAMAAAAAAPw6JFXyQdgIRIqDWfJB2AgtQ0lRLk5ZU0U6UkFDRS5JUV9QRVJJT0REQVRFLjk5OC4zMS8xMi8yMDE5Li5GAQAAAD2CsBAFAAAACjMxLzEyLzIwMTYA/gNCdfJB2AjMeU128kHYCClDSVEuSVEyNjY4NjQyLklRX0xBU1RTQUxFUFJJQ0UuMzAvMDQvMjAyMAEAAABiuCgAAgAAAAQzLjg3AKPWJFXyQdgIeW6GWfJB2AgvQ0lRLk5ZU0U6UkFDRS5JUV9FQklUREEuOTk4LjMwLzA0LzIwMjAuLkYuRVVSLkMBAAAAPYKwEAIAAAAEMTAzMQEIAAAABQAAAAExAQAAAAoyMDE1NjM5ODA1AwAAAAI1MAIAAAAENDA1MQQAAAABMQcAAAAJNC8zMC8yMDIwCAAAAAk4LzE2LzIwMjAJAAAAATDZCgdL8kHYCKgxo1nyQdgIOkNJUS5MU0U6U0ZPUi5JUV9FQklUREFfTUVESUFOX0VTVC42MDAwLjMxLzEyLzIwMTkuLkYuR0JQLkMBAAAAy1PkIQIAAAAQNTIuMDUyMzYyNDI3MjMwMQEOAAAABQAAAAIxMQEAAAABMAIAAAAHMzkwNDk5MQMAAAAGMTAwMTg4BAAAAAEzBgAAAAEwBwAAAAI1NQgAAAABMQkAAAABMQoAAAABMAsAAAALMTE4MzQ1NjA3MzYMAAAAAjEyDQAAAAgxLzEvMjAyMBAAAAAJOC8xNi8yMDIw80gYePJB2Aik4O548kHYCCVDSVEuXkNPTVAuSVFfTEFTVFNBTEVQUklD</t>
  </si>
  <si>
    <t>RS4xNy8wNC8yMDIwAQAAAIm4KAACAAAACTg2NTAuMTQwOQAA3jJS8kHYCJ+bvFnyQdgIJ0NJUS5OWVNFOktPLklRX0xBU1RTQUxFUFJJQ0UuMTgvMDEvMjAxOQEAAAASaAAAAgAAAAU0Ny42MQCkvH9T8kHYCPf4InHyQdgINUNJUS5OQVNEQVFHUzpDQUtFLklRX1RPVEFMX0NBLjk5Ni4zMS8xMi8yMDE5Li5GLlVTRC5DAQAAAAjgBAACAAAABzIyNC4zODYBCAAAAAUAAAABMQEAAAAKMTgzMDM4Njk4NgMAAAADMTYwAgAAAAQxMDA4BAAAAAExBwAAAAoxMi8zMS8yMDE5CAAAAAk4LzE2LzIwMjAJAAAAATA7hhd48kHYCEWZ+3jyQdgIOkNJUS5OWVNFOlJBQ0UuSVFfQ0FQRVhfTUVESUFOX0VTVC4xMDAxLjMxLzEyLzIwMTkuLkYuRVVSLkMBAAAAPYKwEAIAAAAELTc1MAEOAAAABQAAAAEzAQAAAAEwAgAAAAoxMDAzMjI2ODAyAwAAAAYxMDQwOTEEAAAAATMGAAAAATAHAAAAAjUwCAAAAAExCQAAAAExCgAAAAEwCwAAAAsxMTcxOTI2NTkyMwwAAAABMQ0AAAAIMS8xLzIwMjAQAAAACTgvMTYvMjAyMDs8lnfyQdgI+TPmePJB2AggQ0lRLk5ZU0U6S08uSVFfVk9MVU1FLjMwLzA4LzIwMTkBAAAAEmgAAAIAAAAIOC43NDY3MDgAo9YkVfJB2AgnHsNy8kHYCDZDSVEuTllTRTpNQU5VLklRX0VRVUlUWV9NRVRIT0QuOTk5LjMwLzA0LzIwMjAuLkYuR0JQLkMBAAAA3WsNAAMAAAAAALxYB0vyQdgI3QSQWfJB2Ag9Q0lR</t>
  </si>
  <si>
    <t>Lk5ZU0U6S08uSVFfVE9UQUxfREVCVF9OT05fQ1VSUkVOVC45OTkuMzAvMDQvMjAyMC4uRi5VU0QuQwEAAAASaAAAAgAAAAUyNTQxNgEIAAAABQAAAAExAQAAAAoyMDE2NzkxMjUxAwAAAAMxNjACAAAABTI1MjI0BAAAAAExBwAAAAk0LzMwLzIwMjAIAAAACTgvMTYvMjAyMAkAAAABMANJykzyQdgIiTyYWfJB2AghQ0lRLkxTRTpUU0NPLklRX1ZPTFVNRS4xOC8xMC8yMDE5AQAAADBQBgACAAAACDM2LjEwMTYxAJX9JFXyQdgIWI2+cvJB2AgkQ0lRLl5BU1guSVFfTEFTVFNBTEVQUklDRS4zMS8xMi8yMDE2AQAAAB9T6wECAAAABzM4NzMuMjIAfKuFUfJB2AjYhQtz8kHYCChDSVEuTFNFOlRTQ08uSVFfTEFTVFNBTEVQUklDRS4xNy8wOC8yMDE4AQAAADBQBgACAAAABTIuNTY1ADq/hVLyQdgI8MgQcfJB2AgkQ0lRLl5TUFguSVFfTEFTVFNBTEVQUklDRS4yOC8xMi8yMDE4AQAAAJu4KAACAAAAEDI0ODUuNzM1MjE1NTQ0MTQAisU3UfJB2AgTSRNz8kHYCC5DSVEuTFNFOlRTQ08uSVFfTEFTVFNBTEVQUklDRS4yNy8wMi8yMDE2LkdCUC5DAQAAADBQBgACAAAABjEuODQxNQAVIspM8kHYCHimYHbyQdgIKENJUS5MU0U6U0ZPUi5JUV9MQVNUU0FMRVBSSUNFLjI4LzA5LzIwMTgBAAAAy1PkIQIAAAAFMS4zNzUAQ5iFUvJB2AipRxRx8kHYCCVDSVEuXkNPTVAuSVFfTEFTVFNBTEVQUklDRS4xNS8xMS8yMDE5AQAA</t>
  </si>
  <si>
    <t>AIm4KAACAAAABzg1NDAuODMAtbw3UvJB2AgmkRVz8kHYCDtDSVEuTFNFOlRTQ08uSVFfUkVWRU5VRV9NRURJQU5fRVNULjEwMDEuMzEvMTIvMjAxOS4uRi5HQlAuQwEAAAAwUAYAAgAAAAU2NDYwNQEOAAAABQAAAAEzAQAAAAEwAgAAAAoxMDAwMjY0NDk4AwAAAAYxMDAxODEEAAAAATMGAAAAATAHAAAAAjU1CAAAAAExCQAAAAExCgAAAAEwCwAAAAsxMTcyMjEwNjYxNQwAAAABMQ0AAAAIMS8xLzIwMjAQAAAACTgvMTYvMjAyMPNIGHjyQdgIlNXyePJB2AgiQ0lRLk5ZU0U6TUFOVS5JUV9WT0xVTUUuMTcvMDgvMjAxOAEAAADdaw0AAgAAAAgwLjAyNjY0OQA6v4VS8kHYCPDIEHHyQdgILkNJUS5MU0U6VFNDTy5JUV9FQklUREEuOTk2LjMwLzA0LzIwMjAuLkYuR0JQLkMBAAAAMFAGAAIAAAAEMjAzNwEIAAAABQAAAAExAQAAAAoxODQ3ODI1MTQ4AwAAAAI1NQIAAAAENDA1MQQAAAABMQcAAAAJNC8zMC8yMDIwCAAAAAk4LzE2LzIwMjAJAAAAATDJMQdL8kHYCNOAo1nyQdgIKUNJUS5OWVNFOlJBQ0UuSVFfTEFTVFNBTEVQUklDRS4zMS8wMS8yMDE3AQAAAD2CsBACAAAABTYyLjEzANGDflPyQdgIGt0lcfJB2Ag4Q0lRLk5ZU0U6UkFDRS5JUV9FU1RfRVBTX0dST1dUSF81WVJfSElHSC42MDAwLjMxLzEyLzIwMTkBAAAAPYKwEAIAAAAIMTMuMDI3MjYBDgAAAAUAAAABNwEAAAAJMzEzOTc0OTgxAgAAAAoxMDAz</t>
  </si>
  <si>
    <t>MjI1MTI1AwAAAAYxMDAxNjkEAAAAATMGAAAAATAHAAAAATAIAAAAATAJAAAAATEKAAAAATALAAAACzExNjg2Njg4MjAwDAAAAAE4DQAAAAgxLzEvMjAyMBAAAAAKMTIvMzEvMjAxOSgrQnXyQdgID4lOdvJB2Ag4Q0lRLk5ZU0U6S08uSVFfSElHSF9UQVJHRVRfUFJJQ0UuNjAwMC4zMS8xMi8yMDE5Li4uVVNELkMBAAAAEmgAAAIAAAACNjMBDgAAAAUAAAABNwEAAAAHMjYwMTIwMQIAAAAFMjIyMDgDAAAABjEwMDE2MwQAAAADMjU1BgAAAAEwBwAAAAMxNjAIAAAAATEJAAAAATEKAAAAATALAAAACzExODYxNDYwMzU0DAAAAAE4DQAAAAgxLzEvMjAyMBAAAAAJOC8xNi8yMDIwHiIYePJB2AhEeQB58kHYCDFDSVEuTllTRTpNQU5VLklRX0NPU1RfUkVWLjk5OS4zMS8xMi8yMDE5Li5GLkdCUC5DAQAAAN1rDQACAAAABjc3LjkzNgEIAAAABQAAAAExAQAAAAoxOTg1ODQ1MDI5AwAAAAI1NQIAAAABMQQAAAABMQcAAAAKMTIvMzEvMjAxOQgAAAAJOC8xNi8yMDIwCQAAAAEwHvsXePJB2AhZUfF48kHYCCJDSVEuTllTRTpNQU5VLklRX1ZPTFVNRS4xNC8xMi8yMDE4AQAAAN1rDQACAAAACDAuMDU2MTE2AMfif1PyQdgIbrAgcfJB2AggQ0lRLk5ZU0U6S08uSVFfVk9MVU1FLjExLzEwLzIwMTkBAAAAEmgAAAIAAAAIOS40MzM3MjgAo9YkVfJB2AgkRcNy8kHYCC5DSVEuTllTRTpSQUNFLklRX0RBX0NGLjk5OS4zMC8w</t>
  </si>
  <si>
    <t>NC8yMDIwLi5GLkVVUi5DAQAAAD2CsBACAAAABzE3My41NTcBCAAAAAUAAAABMQEAAAAKMjAxNTYzOTgxOAMAAAACNTACAAAABDIxNjAEAAAAATEHAAAACTQvMzAvMjAyMAgAAAAJOC8xNi8yMDIwCQAAAAEw2QoHS/JB2Ai9CqpZ8kHYCDpDSVEuTFNFOlNGT1IuSVFfVE9UQUxfREVCVF9DVVJSRU5ULjk5Ni4zMC8wNC8yMDIwLi5GLkdCUC5DAQAAAMtT5CEDAAAAAADJMQdL8kHYCAXellnyQdgIMUNJUS5OQVNEQVFHUzpUU0xBLklRX1BFUklPRERBVEUuOTk1LjMxLzEyLzIwMTkuLkYBAAAAEMaiAQUAAAAKMzEvMTIvMjAxMwD+A0J18kHYCF/uTXbyQdgINkNJUS5MU0U6VFNDTy5JUV9OSV9NRURJQU5fRVNULjEwMDEuMzAvMDQvMjAyMC4uRi5HQlAuQwEAAAAwUAYAAgAAAAQxNTM4AQ4AAAAFAAAAATMBAAAAATACAAAACjEwMDAyNjQ0OTkDAAAABjEwMDI1MQQAAAABMwYAAAABMAcAAAACNTUIAAAAATEJAAAAATEKAAAAATALAAAACzExODgzNzM4NjUyDAAAAAExDQAAAAg1LzEvMjAyMBAAAAAJOC8xNi8yMDIwpH8HS/JB2AhQ6adZ8kHYCCBDSVEuLklRX0xBU1RTQUxFUFJJQ0UuMjQvMDEvMjAyMAUAAAAAAAAACAAAABQoSW52YWxpZCBJZGVudGlmaWVyKSC3MlLyQdgIhHrPWfJB2AgiQ0lRLk5ZU0U6UkFDRS5JUV9WT0xVTUUuMjgvMDIvMjAyMAEAAAA9grAQAgAAAAgxLjExMzM3NwDZObVT8kHYCPM4dlny</t>
  </si>
  <si>
    <t>QdgIMUNJUS5OQVNEQVFHUzpUU0xBLklRX0VCVC4xMDAzLjMwLzA0LzIwMjAuLkYuVVNELkMBAAAAEMaiAQMAAAAAAMkxB0vyQdgIDgWlWfJB2Ag3Q0lRLk5BU0RBUUdTOkNBS0UuSVFfVE9UQUxfTElBQi45OTcuMzAvMDQvMjAyMC4uRi5VU0QuQwEAAAAI4AQAAgAAAAc2OTAuMTEyAQgAAAAFAAAAATEBAAAACjE5NDgxNzY2NjIDAAAAAzE2MAIAAAAEMTI3NgQAAAABMQcAAAAJNC8zMC8yMDIwCAAAAAk4LzE2LzIwMjAJAAAAATD/b8pM8kHYCPuEmlnyQdgIN0NJUS5MU0U6U0ZPUi5JUV9DQVNIX1NUX0lOVkVTVC4xMDAwLjMwLzA0LzIwMjAuLkYuR0JQLkMBAAAAy1PkIQIAAAAGNjYuMTA2AQgAAAAFAAAAATEBAAAACjIwMjI1OTk3OTkDAAAAAjU1AgAAAAQxMDAyBAAAAAExBwAAAAk0LzMwLzIwMjAIAAAACTgvMTYvMjAyMAkAAAABMNkKB0vyQdgIm+6QWfJB2AgnQ0lRLk5ZU0U6S08uSVFfTEFTVFNBTEVQUklDRS4wOC8wMi8yMDE5AQAAABJoAAACAAAABDQ5LjUApLx/U/JB2AgZuiNx8kHYCDJDSVEuTFNFOlNGT1IuSVFfU0hBUkVTT1VUU1RBTkRJTkdfT1VULjAwOjAwOjAwLkdCUAEAAADLU+QhAgAAAAo1MTMuMTc2NTI5ABUiykzyQdgI4ytidvJB2AgZQ0lRLi5JUV9WT0xVTUUuMjEvMDYvMjAxOQUAAAAAAAAACAAAABQoSW52YWxpZCBJZGVudGlmaWVyKdk5tVPyQdgIUr+6cvJB2AghQ0lRLkxTRTpT</t>
  </si>
  <si>
    <t>Rk9SLklRX1ZPTFVNRS4xMi8wMS8yMDE4AQAAAMtT5CEDAAAAAAAoK0J18kHYCMnHW3byQdgIJENJUS4uSVFfUFJJQ0VfVk9MX0hJU1RfWVIuMzEvMTIvMjAxOQUAAAAAAAAACAAAABQoSW52YWxpZCBJZGVudGlmaWVyKawM3HTyQdgIiA5JdvJB2Ag7Q0lRLk5BU0RBUUdTOlRTTEEuSVFfTklfTUVESUFOX0VTVC4xMDAzLjMwLzA0LzIwMjAuLkYuVVNELkMBAAAAEMaiAQIAAAAKMzgxMy40MjM4NQEOAAAABQAAAAEzAQAAAAEwAgAAAAoxMDAxODY4OTE3AwAAAAYxMDAyNTEEAAAAATIGAAAAATAHAAAAAzE2MAgAAAABMQkAAAABMQoAAAABMAsAAAALMTE5MDA4MjIxNDIMAAAAATENAAAACDUvMS8yMDIwEAAAAAk4LzE2LzIwMjCkfwdL8kHYCGB0p1nyQdgIJUNJUS5eQ09NUC5JUV9MQVNUU0FMRVBSSUNFLjA2LzAzLzIwMjABAAAAibgoAAIAAAAHODU3NS42MgBJBTNS8kHYCKXCvFnyQdgIJENJUS5eQVNYLklRX0xBU1RTQUxFUFJJQ0UuMTAvMDUvMjAxOQEAAAAfU+sBAgAAAAszOTU1LjgxMjg2NgCgnjdR8kHYCN1vGnPyQdgIMUNJUS5MU0U6VFNDTy5JUV9MVF9JTlZFU1QuOTk5LjMxLzEyLzIwMTkuLkYuR0JQLkMBAAAAMFAGAAIAAAADNjAyAQgAAAAFAAAAATEBAAAACjE5Njg3MzY1NTkDAAAAAjU1AgAAAAQxMDU0BAAAAAExBwAAAAoxMi8zMS8yMDE5CAAAAAk4LzE2LzIwMjAJAAAAATA7hhd48kHYCPE7</t>
  </si>
  <si>
    <t>+njyQdgIJ0NJUS4kQUVEREtLLklRX0xBU1RTQUxFUFJJQ0UuMzAvMDQvMjAyMAEAAAAl61oAAgAAAAowLjUzODcwMDQ5AKokJVXyQdgIEXSEWfJB2Ag2Q0lRLkdCUC5JUV9GVUxMX0NVUlZFX0FOTlVBTC5BTExDT1JQLkJCLjIwWS4zMS8xMi8yMDE5AQAAAAAAAAACAAAACTAuMDQ0NTY2NgDYLd508kHYCH81SXbyQdgIKUNJUS5OWVNFOlJBQ0UuSVFfTEFTVFNBTEVQUklDRS4zMS8wMy8yMDIwAQAAAD2CsBACAAAABjE1Mi41NwAB6H1T8kHYCIfwXlnyQdgIIENJUS4uSVFfTEFTVFNBTEVQUklDRS4xNC8wNi8yMDE5BQAAAAAAAAAIAAAAFChJbnZhbGlkIElkZW50aWZpZXIpR4WFUfJB2AjrdUJz8kHYCDtDSVEuTkFTREFRR1M6Q0FLRS5JUV9OSV9NRURJQU5fRVNULjEwMDEuMzAvMDQvMjAyMC4uRi5VU0QuQwEAAAAI4AQAAgAAAAgtOTUuMzc1MwEOAAAABQAAAAEzAQAAAAEwAgAAAAoxMDAyMjI0MjIyAwAAAAYxMDAyNTEEAAAAATIGAAAAATAHAAAAAzE2MAgAAAABMQkAAAABMQoAAAABMAsAAAALMTE4ODY1MDk1MzIMAAAAATENAAAACDUvMS8yMDIwEAAAAAk4LzE2LzIwMjD/b8pM8kHYCErCp1nyQdgIJENJUS5eU1BYLklRX0xBU1RTQUxFUFJJQ0UuMjgvMDkvMjAxOAEAAACbuCgAAgAAABAyOTEzLjk3ODEzOTg4NjAzAIrFN1HyQdgIrL0Tc/JB2AgtQ0lRLk5ZU0U6UkFDRS5JUV9FQlQuMTAwMi4zMC8w</t>
  </si>
  <si>
    <t>NC8yMDIwLi5GLkVVUi5DAQAAAD2CsBADAAAAAADZCgdL8kHYCBFTpVnyQdgILUNJUS5OWVNFOk1BTlUuSVFfRUJJVC45OTkuMzEvMTIvMjAxOS4uRi5HQlAuQwEAAADdaw0AAgAAAAYyOC41ODIBCAAAAAUAAAABMQEAAAAKMTk4NTg0NTAyOQMAAAACNTUCAAAAAzQwMAQAAAABMQcAAAAKMTIvMzEvMjAxOQgAAAAJOC8xNi8yMDIwCQAAAAEwHiIYePJB2AhYI+x48kHYCDFDSVEuTkFTREFRR1M6VFNMQS5JUV9TR0EuMjAwMC4zMC8wNC8yMDIwLi5GLlVTRC5DAQAAABDGogECAAAABDI1NjkBCAAAAAUAAAABMQEAAAAKMjAzMjA0NTMzNAMAAAADMTYwAgAAAAIyMwQAAAABMQcAAAAJNC8zMC8yMDIwCAAAAAk4LzE2LzIwMjAJAAAAATC8WAdL8kHYCGZNoFnyQdgIO0NJUS5MU0U6U0ZPUi5JUV9SRVZFTlVFX01FRElBTl9FU1QuNjAwMC4zMS8xMi8yMDE5Li5GLkdCUC5DAQAAAMtT5CECAAAAEDMwNy43NjI5MDA2NzI4MDMBDgAAAAUAAAACMTEBAAAAATACAAAABzM5MDQ5OTEDAAAABjEwMDE4MQQAAAABMwYAAAABMAcAAAACNTUIAAAAATEJAAAAATEKAAAAATALAAAACzExODM0NTYwNzI4DAAAAAIxMg0AAAAIMS8xLzIwMjAQAAAACTgvMTYvMjAyMPNIGHjyQdgIg/zyePJB2AgxQ0lRLk5ZU0U6TUFOVS5JUV9UT1RBTF9DQS45OTcuMzAvMDQvMjAyMC4uRi5HQlAuQwEAAADdaw0AAgAAAAczNjYuNjY1AQgAAAAF</t>
  </si>
  <si>
    <t>AAAAATEBAAAACjE5MTAyNDc0MDMDAAAAAjU1AgAAAAQxMDA4BAAAAAExBwAAAAk0LzMwLzIwMjAIAAAACTgvMTYvMjAyMAkAAAABMLxYB0vyQdgIA/uTWfJB2Ag9Q0lRLk5ZU0U6S08uSVFfVE9UQUxfREVCVF9OT05fQ1VSUkVOVC45OTcuMzEvMTIvMjAxOS4uRi5VU0QuQwEAAAASaAAAAgAAAAUyODU0MwEIAAAABQAAAAExAQAAAAoxODc1Nzk3ODA5AwAAAAMxNjACAAAABTI1MjI0BAAAAAExBwAAAAoxMi8zMS8yMDE5CAAAAAk4LzE2LzIwMjAJAAAAATAcrRd48kHYCN4w93jyQdgIK0NJUS5JUTEwMDg4OTkzOS5JUV9MQVNUU0FMRVBSSUNFLjMwLzA0LzIwMjABAAAAU3UDBgIAAAAFMC4xMDQAo9YkVfJB2AiFR4ZZ8kHYCCxDSVEuTFNFOlNGT1IuSVFfRUJULjEwMDIuMzAvMDQvMjAyMC4uRi5HQlAuQwEAAADLU+QhAwAAAAAA2QoHS/JB2AgRU6VZ8kHYCBtDSVEuTllTRTpNQU5VLklRX0NPTVBBTllfSUQBAAAA3WsNAAMAAAAISVE4Nzk1ODEA/DokVfJB2AixUolZ8kHYCC9DSVEuTFNFOlNGT1IuSVFfSU5DX1RBWC45OTkuMzAvMDQvMjAyMC4uRi5HQlAuQwEAAADLU+QhAgAAAAktMS43MzMxNDMBCAAAAAUAAAABMQEAAAAKMTk2MTExNjI3MQMAAAACNTUCAAAAAjc1BAAAAAExBwAAAAk0LzMwLzIwMjAIAAAACTgvMTYvMjAyMAkAAAABMMkxB0vyQdgIgf+mWfJB2AgkQ0lRLl5BU1guSVFfTEFTVFNBTEVQ</t>
  </si>
  <si>
    <t>UklDRS4zMC8wNC8yMDE5AQAAAB9T6wECAAAACzQwNjcuOTgxMDgyAEkFM1LyQdgIH+oKc/JB2AgoQ0lRLk5BU0RBUUdTOkNBS0UuSVFfQkVUQV81WVIuMzAvMDQvMjAyMAEAAAAI4AQAAgAAABAxLjQwMzExMTIzOTUyODY0ALGvJFXyQdgIm6CJWfJB2AgoQ0lRLiVUQ01TTTAxLklRX0xBU1RTQUxFUFJJQ0UuMzAvMDQvMjAyMAEAAAAFHygCAgAAAAMwLjEAo9YkVfJB2AjPNoVZ8kHYCD5DSVEuTFNFOlRTQ08uSVFfVE9UQUxfREVCVF9OT05fQ1VSUkVOVC45OTkuMzEvMTIvMjAxOS4uRi5HQlAuQwEAAAAwUAYAAgAAAAQ3MTQyAQgAAAAFAAAAATEBAAAACjE5Njg3MzY1NTkDAAAAAjU1AgAAAAUyNTIyNAQAAAABMQcAAAAKMTIvMzEvMjAxOQgAAAAJOC8xNi8yMDIwCQAAAAEwHK0XePJB2AhSf/d48kHYCB1DSVEuTkFTREFRR1M6Q0FLRS5JUV9FWENIQU5HRQEAAAAI4AQAAwAAAAhOYXNkYXFHUwD8OiRV8kHYCJugiVnyQdgIJ0NJUS4kQUVER0JQLklRX0xBU1RTQUxFUFJJQ0UuMzAvMDYvMjAxOQEAAAAl61oAAgAAAAs0LjY2NzUwNTM2OQAVIspM8kHYCNOqXnbyQdgIKUNJUS5OWVNFOlJBQ0UuSVFfTEFTVFNBTEVQUklDRS4wMS8wMy8yMDE5AQAAAD2CsBACAAAABTEzMS44AKS8f1PyQdgIgTAkcfJB2AgkQ0lRLl5TUFguSVFfTEFTVFNBTEVQUklDRS4zMS8xMC8yMDE1AQAAAJu4KAACAAAAEDIwNzkuMzU5</t>
  </si>
  <si>
    <t>ODM3NDY3MTcAoJ43UfJB2AijyAhz8kHYCCZDSVEuTkFTREFRR1M6VFNMQS5JUV9WT0xVTUUuMDQvMDUvMjAxOAEAAAAQxqIBAgAAAAg4LjU2OTM1NAAp5oVS8kHYCL3pBXHyQdgINkNJUS5BVUQuSVFfRlVMTF9DVVJWRV9BTk5VQUwuQUxMQ09SUC5CQi4yMFkuMzAvMDQvMjAyMAEAAAAAAAAAAgAAAAkwLjA2MTAwMDQAqiQlVfJB2AiFR4ZZ8kHYCCZDSVEuTkFTREFRR1M6VFNMQS5JUV9WT0xVTUUuMDIvMTEvMjAxOAEAAAAQxqIBAgAAAAg3LjgwNzk3MQDH4n9T8kHYCPtoF3HyQdgIGUNJUS4uSVFfVk9MVU1FLjI2LzAxLzIwMTgFAAAAAAAAAAgAAAAUKEludmFsaWQgSWRlbnRpZmllcikY3UF18kHYCKMDW3byQdgIOUNJUS5MU0U6VFNDTy5JUV9FU1RfRVBTX0dST1dUSF81WVJfTUVESUFOLjYwMDAuMzEvMTIvMjAxOQEAAAAwUAYAAgAAAAgxMC45NTQzMQEOAAAABQAAAAE3AQAAAAgyMDE1Nzg3OQIAAAAGNDExNjgwAwAAAAYxMDAxNjgEAAAAATMGAAAAATAHAAAAATAIAAAAATAJAAAAATEKAAAAATALAAAACzExNjIzNDk1NTE1DAAAAAE4DQAAAAgxLzEvMjAyMBAAAAAKMTIvMzEvMjAxOSgrQnXyQdgIJTtOdvJB2AgiQ0lRLk5ZU0U6UkFDRS5JUV9WT0xVTUUuMjQvMDQvMjAyMAEAAAA9grAQAgAAAAYwLjIxNzMA2Tm1U/JB2AhHYHZZ8kHYCDdDSVEuTllTRTpNQU5VLklRX05JX01FRElBTl9FU1QuMTAw</t>
  </si>
  <si>
    <t>My4zMS8xMi8yMDE5Li5GLkdCUC5DAQAAAN1rDQACAAAAAjEzAQ4AAAAFAAAAATMBAAAAATACAAAACjEwMDM3MjgyMDEDAAAABjEwMDI1MQQAAAABMwYAAAABMAcAAAACNTUIAAAAATEJAAAAATEKAAAAATALAAAACzExNjkyNTM4NzgxDAAAAAExDQAAAAgxLzEvMjAyMBAAAAAJOC8xNi8yMDIw2hSWd/JB2AgbZul48kHYCClDSVEuTllTRTpSQUNFLklRX0xBU1RTQUxFUFJJQ0UuMDYvMDMvMjAyMAEAAAA9grAQAgAAAAYxNTIuMTgAAeh9U/JB2AjruF1Z8kHYCDBDSVEuTkFTREFRR1M6Q0FLRS5JUV9FQlQuOTk2LjMwLzA0LzIwMjAuLkYuVVNELkMBAAAACOAEAAIAAAAHMTU5LjM1MgEIAAAABQAAAAExAQAAAAoxODc3MTQ0NDM4AwAAAAMxNjACAAAAAzEzOQQAAAABMQcAAAAJNC8zMC8yMDIwCAAAAAk4LzE2LzIwMjAJAAAAATD/b8pM8kHYCLqKplnyQdgIJ0NJUS4kQUVEVFJZLklRX0xBU1RTQUxFUFJJQ0UuMzEvMTIvMjAxOAEAAAAl61oAAgAAAAswLjY5MzY3MzI3NwDr39108kHYCPsvS3byQdgIJUNJUS5JUTQzOTQzODE4LklRX0xBU1RTQUxFUFJJQ0UuNDM1ODUBAAAAioeeAgIAAAAIMC4wNzYxODgAo9YkVfJB2Aiwq4VZ8kHYCDdDSVEuTllTRTpLTy5JUV9FQklUX01FRElBTl9FU1QuMTAwMy4zMS8xMi8yMDE5Li5GLlVTRC5DAQAAABJoAAACAAAABTExNzE5AQ4AAAAFAAAAATMBAAAAATACAAAACjEw</t>
  </si>
  <si>
    <t>MDE2NTYyNzgDAAAABjEwMDIxNgQAAAABMgYAAAABMAcAAAADMTYwCAAAAAExCQAAAAExCgAAAAEwCwAAAAsxMTcyMjA4MTkyMQwAAAABMQ0AAAAIMS8xLzIwMjAQAAAACTgvMTYvMjAyMPNIGHjyQdgI8PbtePJB2AgiQ0lRLk5ZU0U6UkFDRS5JUV9WT0xVTUUuMDQvMTAvMjAxOQEAAAA9grAQAgAAAAgwLjMxNDY4OAAlYbVT8kHYCPlEvHLyQdgIJ0NJUS4kQUVEU0FSLklRX0xBU1RTQUxFUFJJQ0UuMzEvMTIvMjAxOAEAAAAl61oAAgAAAAswLjk3OTEwMTEzNgD+A0J18kHYCMiPTHbyQdgILENJUS5MU0U6VFNDTy5JUV9QRVJJT0REQVRFLjk5NS4zMS8xMi8yMDE5Li5GAQAAADBQBgAFAAAACjIyLzAyLzIwMTQA/gNCdfJB2Ahf7k128kHYCCVDSVEuXkNPTVAuSVFfTEFTVFNBTEVQUklDRS4yOC8xMi8yMDE4AQAAAIm4KAACAAAABzY1ODQuNTIAisU3UfJB2AjWFhdz8kHYCC1DSVEuTkFTREFRR1M6Q0FLRS5JUV9MQVNUU0FMRVBSSUNFLjI2LzA0LzIwMTkBAAAACOAEAAIAAAAFNTAuMDkAuZR/U/JB2AgOBCZx8kHYCDJDSVEuTllTRTpSQUNFLklRX1RPVEFMX1JFVi45OTYuMzAvMDQvMjAyMC4uRi5FVVIuQwEAAAA9grAQAgAAAAgyODU0LjM2OQEIAAAABQAAAAExAQAAAAoxODc2MDQzMzEzAwAAAAI1MAIAAAACMjgEAAAAATEHAAAACTQvMzAvMjAyMAgAAAAJOC8xNi8yMDIwCQAAAAEw2QoHS/JB2AjfUp5Z</t>
  </si>
  <si>
    <t>8kHYCCZDSVEuTkFTREFRR1M6VFNMQS5JUV9WT0xVTUUuMDEvMDYvMjAxOAEAAAAQxqIBAgAAAAg1LjQyNDM4NgAp5oVS8kHYCIHHCXHyQdgIJkNJUS5OQVNEQVFHUzpUU0xBLklRX1ZPTFVNRS4xNy8wMS8yMDIwAQAAABDGogECAAAACDEzLjYyOTA3AKPWJFXyQdgIw2Z7WfJB2Ag/Q0lRLk5BU0RBUUdTOkNBS0UuSVFfVE9UQUxfREVCVF9DVVJSRU5ULjk5Ny4zMC8wNC8yMDIwLi5GLlVTRC5DAQAAAAjgBAADAAAAAAADScpM8kHYCAe3llnyQdgIKENJUS5MU0U6VFNDTy5JUV9MQVNUU0FMRVBSSUNFLjMwLzA2LzIwMTYBAAAAMFAGAAIAAAAFMS43NDkAwap+U/JB2AjWVyRx8kHYCDFDSVEuTkFTREFRR1M6Q0FLRS5JUV9TR0EuMTAwMC4zMS8xMi8yMDE5Li5GLlVTRC5DAQAAAAjgBAACAAAABzMxMC4xMDEBCAAAAAUAAAABMQEAAAAKMTk0ODE3NjY3NQMAAAADMTYwAgAAAAIyMwQAAAABMQcAAAAKMTIvMzEvMjAxOQgAAAAJOC8xNi8yMDIwCQAAAAEwHiIYePJB2AiE8e948kHYCDBDSVFBVkcuJEFFREdCUC5JUV9MQVNUU0FMRVBSSUNFLjQzMTAwLjMxLzEyLzIwMTgBAAAAJetaAAIAAAAINC45MDMzNzgAR2AXePJB2AjHEwF58kHYCDJDSVEuTkFTREFRR1M6VFNMQS5JUV9EQV9DRi45OTguMzAvMDQvMjAyMC4uRi5VU0QuQwEAAAAQxqIBAgAAAAQxNjM2AQgAAAAFAAAAATEBAAAACjIwMTM5MDc0NzADAAAA</t>
  </si>
  <si>
    <t>AzE2MAIAAAAEMjE2MAQAAAABMQcAAAAJNC8zMC8yMDIwCAAAAAk4LzE2LzIwMjAJAAAAATDJMQdL8kHYCL0KqlnyQdgIJUNJUS5eQ09NUC5JUV9MQVNUU0FMRVBSSUNFLjA3LzEyLzIwMTgBAAAAibgoAAIAAAAHNjk2OS4yNQCKxTdR8kHYCNYWF3PyQdgIKENJUS5MU0U6VFNDTy5JUV9MQVNUU0FMRVBSSUNFLjI0LzA1LzIwMTkBAAAAMFAGAAIAAAAEMi4zMgDBqn5T8kHYCBLuJnHyQdgIJkNJUS5OQVNEQVFHUzpDQUtFLklRX1ZPTFVNRS4wMS8wMy8yMDE5AQAAAAjgBAACAAAACDAuNzkxMjI0AKS8f1PyQdgI8TrAcvJB2AgiQ0lRLk5ZU0U6TUFOVS5JUV9WT0xVTUUuMjIvMTEvMjAxOQEAAADdaw0AAgAAAAgwLjAzMzUzNQCV/SRV8kHYCO3rv3LyQdgIO0NJUS5OQVNEQVFHUzpUU0xBLklRX0VTVF9FUFNfR1JPV1RIXzVZUl9OVU0uNjAwMC4zMS8xMi8yMDE5AQAAABDGogEBAAAAATEA/gNCdfJB2AjAsE528kHYCD9DSVEuTllTRTpNQU5VLklRX1RPVEFMX0RFQlRfTk9OX0NVUlJFTlQuOTk4LjMxLzEyLzIwMTkuLkYuR0JQLkMBAAAA3WsNAAIAAAAHNDk4LjI4NQEIAAAABQAAAAExAQAAAAoxOTg1ODQ1MDQ1AwAAAAI1NQIAAAAFMjUyMjQEAAAAATEHAAAACjEyLzMxLzIwMTkIAAAACTgvMTYvMjAyMAkAAAABMBytF3jyQdgIaFb3ePJB2AgpQ0lRLk5ZU0U6S08uSVFfR1AuOTk5LjMwLzA0LzIwMjAuLkYu</t>
  </si>
  <si>
    <t>VVNELkMBAAAAEmgAAAIAAAAFMjEyMzMBCAAAAAUAAAABMQEAAAAKMjAxNjc5MTI1MQMAAAADMTYwAgAAAAIxMAQAAAABMQcAAAAJNC8zMC8yMDIwCAAAAAk4LzE2LzIwMjAJAAAAATADScpM8kHYCMGyn1nyQdgIN0NJUS5OWVNFOktPLklRX0VCSVRfTUVESUFOX0VTVC4xMDAxLjMxLzEyLzIwMTkuLkYuVVNELkMBAAAAEmgAAAIAAAAFMTAyODgBDgAAAAUAAAABMwEAAAABMAIAAAAKMTAwMTQxNjQxNQMAAAAGMTAwMjE2BAAAAAEyBgAAAAEwBwAAAAMxNjAIAAAAATEJAAAAATEKAAAAATALAAAACzExNzIyMDgxOTUxDAAAAAExDQAAAAgxLzEvMjAyMBAAAAAJOC8xNi8yMDIw80gYePJB2Ag1mOx48kHYCCBDSVEuTFNFOlRTQ08uSVFfUFJJTUFSWV9JTkRVU1RSWQEAAAAwUAYAAwAAAAtGb29kIFJldGFpbADiEiRV8kHYCL4riVnyQdgIPkNJUS5OQVNEQVFHUzpUU0xBLklRX0NBUEVYX01FRElBTl9FU1QuNjAwMC4zMS8xMi8yMDE5Li5GLlVTRC5DAQAAABDGogECAAAABy0yMzgzLjUBDgAAAAUAAAACMTEBAAAAATACAAAACDE1MzU3Njg1AwAAAAYxMDQwOTEEAAAAATIGAAAAATAHAAAAAzE2MAgAAAABMQkAAAABMQoAAAABMAsAAAALMTE3MjYzNTY1NDUMAAAAAjEyDQAAAAgxLzEvMjAyMBAAAAAJOC8xNi8yMDIwOzyWd/JB2AjvWuZ48kHYCDZDSVEuTllTRTpNQU5VLklRX1RPVEFMX1JFQ0VJVi4yMDAwLjMw</t>
  </si>
  <si>
    <t>LzA0LzIwMjAuLkYuR0JQLkMBAAAA3WsNAAIAAAAHMTA1LjY0MwEIAAAABQAAAAExAQAAAAoyMDE4NjMyMDAzAwAAAAI1NQIAAAAEMTAwMQQAAAABMQcAAAAJNC8zMC8yMDIwCAAAAAk4LzE2LzIwMjAJAAAAATC8WAdL8kHYCP7HrFnyQdgILUNJUS5OQVNEQVFHUzpUU0xBLklRX0xBU1RTQUxFUFJJQ0UuMTcvMDEvMjAyMAEAAAAQxqIBAgAAAAU1MTAuNQAID35T8kHYCCYzXFnyQdgINkNJUS5MU0U6VFNDTy5JUV9OSV9NRURJQU5fRVNULjEwMDIuMzEvMTIvMjAxOS4uRi5HQlAuQwEAAAAwUAYAAgAAAAkxNzI5LjYzOTUBDgAAAAUAAAABMwEAAAABMAIAAAAKMTAwMDI2NDQ5OQMAAAAGMTAwMjUxBAAAAAEzBgAAAAEwBwAAAAI1NQgAAAABMQkAAAABMQoAAAABMAsAAAALMTE3MjIxMDYzMjcMAAAAATENAAAACDEvMS8yMDIwEAAAAAk4LzE2LzIwMjDaFJZ38kHYCCQ/6XjyQdgIJUNJUS5eQ09NUC5JUV9MQVNUU0FMRVBSSUNFLjIyLzAyLzIwMTkBAAAAibgoAAIAAAAHNzUyNy41NACgnjdR8kHYCNLIFnPyQdgILENJUS5MU0U6VFNDTy5JUV9TR0EuMTAwMC4zMS8xMi8yMDE5Li5GLkdCUC5DAQAAADBQBgACAAAABDE0MTYBCAAAAAUAAAABMQEAAAAKMTk2ODczNjU2MwMAAAACNTUCAAAAAjIzBAAAAAExBwAAAAoxMi8zMS8yMDE5CAAAAAk4LzE2LzIwMjAJAAAAATAeIhh48kHYCGXL73jyQdgIM0NJUS5OWVNF</t>
  </si>
  <si>
    <t>OktPLklRX1RPVEFMX0FTU0VUUy45OTYuMzAvMDQvMjAyMC4uRi5VU0QuQwEAAAASaAAAAgAAAAU4OTk5NgEIAAAABQAAAAExAQAAAAoxODc1Nzk3ODA5AwAAAAMxNjACAAAABDEwMDcEAAAAATEHAAAACTQvMzAvMjAyMAgAAAAJOC8xNi8yMDIwCQAAAAEwA0nKTPJB2AjM5JRZ8kHYCDVDSVEuTllTRTpLTy5JUV9OSV9NRURJQU5fRVNULjEwMDIuMzEvMTIvMjAxOS4uRi5VU0QuQwEAAAASaAAAAgAAAAQ5Njc0AQ4AAAAFAAAAATMBAAAAATACAAAACjEwMDE0MTY0MjADAAAABjEwMDI1MQQAAAABMgYAAAABMAcAAAADMTYwCAAAAAExCQAAAAExCgAAAAEwCwAAAAsxMTcyMTcwNjUyNAwAAAABMQ0AAAAIMS8xLzIwMjAQAAAACTgvMTYvMjAyMNoUlnfyQdgIJD/pePJB2AgnQ0lRLk5ZU0U6S08uSVFfTEFTVFNBTEVQUklDRS4xMi8wNC8yMDE5AQAAABJoAAACAAAABTQ2Ljc0ALmUf1PyQdgIE7YlcfJB2AguQ0lRLk5ZU0U6TUFOVS5JUV9QRVJJT0REQVRFLjIwMDAuMzEvMTIvMjAxOS4uRgEAAADdaw0ABQAAAAozMC8wOS8yMDE5AP4DQnXyQdgIzytNdvJB2AhAQ0lRLk5BU0RBUUdTOlRTTEEuSVFfVE9UQUxfQ09NTU9OX0VRVUlUWS45OTcuMzEvMTIvMjAxOS4uRi5VU0QuQwEAAAAQxqIBAgAAAAgxMDgzLjcwNAEIAAAABQAAAAExAQAAAAoxODc1NzY5MDgyAwAAAAMxNjACAAAABDEwMDYEAAAAATEHAAAACjEy</t>
  </si>
  <si>
    <t>LzMxLzIwMTkIAAAACTgvMTYvMjAyMAkAAAABMB77F3jyQdgIr8DzePJB2Ag4Q0lRLk5BU0RBUUdTOkNBS0UuSVFfVE9UQUxfTElBQi4yMDAwLjMwLzA0LzIwMjAuLkYuVVNELkMBAAAACOAEAAIAAAAIMjI2OC44NTEBCAAAAAUAAAABMQEAAAAKMjAyMTU4MjcwNAMAAAADMTYwAgAAAAQxMjc2BAAAAAExBwAAAAk0LzMwLzIwMjAIAAAACTgvMTYvMjAyMAkAAAABMP9vykzyQdgIGRCaWfJB2AgiQ0lRLk5ZU0U6TUFOVS5JUV9WT0xVTUUuMjEvMDYvMjAxOQEAAADdaw0AAgAAAAgwLjAzMjc2MgCV/SRV8kHYCAl3v3LyQdgIOENJUS5OWVNFOk1BTlUuSVFfRVNUX0VQU19HUk9XVEhfNVlSX0hJR0guNjAwMC4zMC8wNC8yMDIwAQAAAN1rDQACAAAABzAuMjI3NTUBDgAAAAUAAAABNwEAAAAJMjE1MDU1Mzg1AgAAAAY3MDI3MjgDAAAABjEwMDE2OQQAAAABMwYAAAABMAcAAAABMAgAAAABMAkAAAABMQoAAAABMAsAAAALMTE2OTI3MjMxOTMMAAAAATgNAAAACDUvMS8yMDIwEAAAAAk0LzMwLzIwMjCxryRV8kHYCKKCf1nyQdgIKUNJUS5OWVNFOlJBQ0UuSVFfTEFTVFNBTEVQUklDRS4zMC8wMy8yMDE4AQAAAD2CsBACAAAABjEyMC41MgAoK0J18kHYCIF/UnbyQdgIPkNJUS5MU0U6U0ZPUi5JUV9UT1RBTF9ERUJUX05PTl9DVVJSRU5ULjk5Ny4zMC8wNC8yMDIwLi5GLkdCUC5DAQAAAMtT5CEDAAAAAADZCgdL8kHY</t>
  </si>
  <si>
    <t>CLOymFnyQdgILUNJUS5OQVNEQVFHUzpDQUtFLklRX0xBU1RTQUxFUFJJQ0UuMDEvMDMvMjAxOQEAAAAI4AQAAgAAAAU0Ni44NQCkvH9T8kHYCIEwJHHyQdgIJUNJUS5eQ09NUC5JUV9MQVNUU0FMRVBSSUNFLjE0LzA2LzIwMTkBAAAAibgoAAIAAAAHNzc5Ni42NgB8q4VR8kHYCBlUFnPyQdgIMENJUS5MU0U6U0ZPUi5JUV9UT1RBTF9DTC45OTkuMzEvMTIvMjAxOS4uRi5HQlAuQwEAAADLU+QhAwAAAAAAHK0XePJB2Ai0j/h48kHYCCJDSVEuTllTRTpSQUNFLklRX1ZPTFVNRS4wMi8xMS8yMDE4AQAAAD2CsBACAAAACDAuNjc5NDc5AMfif1PyQdgIwisXcfJB2AgzQ0lRLk5BU0RBUUdTOlRTTEEuSVFfQ0FQRVguMTAwMC4zMS8xMi8yMDE5Li5GLlVTRC5DAQAAABDGogECAAAACS0yMzE5LjUxNgEIAAAABQAAAAExAQAAAAoxOTQ1ODczNTQ2AwAAAAMxNjACAAAABDIwMjEEAAAAATEHAAAACjEyLzMxLzIwMTkIAAAACTgvMTYvMjAyMAkAAAABMNoUlnfyQdgIEOblePJB2AgbQ0lRLk5ZU0U6S08uSVFfQ09NUEFOWV9OQU1FAQAAABJoAAADAAAAFVRoZSBDb2NhLUNvbGEgQ29tcGFueQD8OiRV8kHYCHI8ilnyQdgIIENJUS5OWVNFOktPLklRX1ZPTFVNRS4wNS8wNC8yMDE5AQAAABJoAAACAAAACDcuNjc3Nzk2ALmUf1PyQdgIR6nCcvJB2AggQ0lRLi5JUV9MQVNUU0FMRVBSSUNFLjE3LzAxLzIwMjAFAAAAAAAA</t>
  </si>
  <si>
    <t>AAgAAAAUKEludmFsaWQgSWRlbnRpZmllcikA3jJS8kHYCDmL0FnyQdgIJkNJUS5OQVNEQVFHUzpDQUtFLklRX1ZPTFVNRS4xMC8wMS8yMDIwAQAAAAjgBAACAAAACDAuNjA5OTY4AJX9JFXyQdgIwnt6WfJB2Ag/Q0lRLk5BU0RBUUdTOkNBS0UuSVFfVE9UQUxfREVCVF9DVVJSRU5ULjk5OS4zMS8xMi8yMDE5Li5GLlVTRC5DAQAAAAjgBAADAAAAAAAcrRd48kHYCENS+XjyQdgIGUNJUS4uSVFfVk9MVU1FLjI1LzA1LzIwMTgFAAAAAAAAAAgAAAAUKEludmFsaWQgSWRlbnRpZmllcilDcYVS8kHYCLIECXHyQdgIJUNJUS5eQ09NUC5JUV9MQVNUU0FMRVBSSUNFLjMxLzAzLzIwMTkBAAAAibgoAAIAAAAHNzcyOS4zMgBJBTNS8kHYCI1kCXPyQdgIKUNJUS5OWVNFOk1BTlUuSVFfTEFTVFNBTEVQUklDRS4zMS8xMC8yMDE5AQAAAN1rDQACAAAABTE2LjczAAHofVPyQdgIWBMucfJB2AgqQ0lRLk5ZU0U6S08uSVFfRklMSU5HX0NVUlJFTkNZLi4zMS8xMi8yMDE5AQAAABJoAAADAAAAA1VTRAD+A0J18kHYCFGbXXbyQdgIMkNJUS5OWVNFOlJBQ0UuSVFfVE9UQUxfUkVWLjk5NS4zMC8wNC8yMDIwLi5GLkVVUi5DAQAAAD2CsBACAAAABzI3NjIuMzYBCAAAAAUAAAABMQEAAAAKMTgzMDQ3NDA5NAMAAAACNTACAAAAAjI4BAAAAAExBwAAAAk0LzMwLzIwMjAIAAAACTgvMTYvMjAyMAkAAAABMNkKB0vyQdgI2HmeWfJB</t>
  </si>
  <si>
    <t>2Ag3Q0lRLk5BU0RBUUdTOlRTTEEuSVFfTFRfSU5WRVNULjEwMDAuMzAvMDQvMjAyMC4uRi5VU0QuQwEAAAAQxqIBAgAAAAExAQgAAAAFAAAAATEBAAAACjIwMTM5MDc0NjADAAAAAzE2MAIAAAAEMTA1NAQAAAABMQcAAAAJNC8zMC8yMDIwCAAAAAk4LzE2LzIwMjAJAAAAATC8WAdL8kHYCKZZlVnyQdgILUNJUS5OQVNEQVFHUzpDQUtFLklRX0xBU1RTQUxFUFJJQ0UuMzEvMTIvMjAxNQEAAAAI4AQAAgAAAAU0Ni4xMQC5lH9T8kHYCDggI3HyQdgIIENJUS5OWVNFOktPLklRX1ZPTFVNRS4yMC8wNy8yMDE4AQAAABJoAAACAAAACDkuMDU5MTQzADq/hVLyQdgIilkOcfJB2Ag1Q0lRLk5ZU0U6UkFDRS5JUV9UT1RBTF9BU1NFVFMuOTk4LjMwLzA0LzIwMjAuLkYuRVVSLkMBAAAAPYKwEAIAAAAINDE0MS4xMDQBCAAAAAUAAAABMQEAAAAKMjAxNTYzOTgwNQMAAAACNTACAAAABDEwMDcEAAAAATEHAAAACTQvMzAvMjAyMAgAAAAJOC8xNi8yMDIwCQAAAAEw4OMGS/JB2Ai8vZRZ8kHYCCxDSVEuTFNFOlRTQ08uSVFfUEVSSU9EREFURS45OTYuMzEvMTIvMjAxOS4uRgEAAAAwUAYABQAAAAoyOC8wMi8yMDE1AP4DQnXyQdgIo8dNdvJB2AgpQ0lRLk5ZU0U6UkFDRS5JUV9MQVNUU0FMRVBSSUNFLjMwLzA2LzIwMTYBAAAAPYKwEAIAAAAFNDAuOTMAwap+U/JB2AjWVyRx8kHYCCtDSVEuTFNFOlRTQ08uSVFfRUJULjk5</t>
  </si>
  <si>
    <t>Ni4zMC8wNC8yMDIwLi5GLkdCUC5DAQAAADBQBgACAAAAAzIwMgEIAAAABQAAAAExAQAAAAoxODQ3ODI1MTQ4AwAAAAI1NQIAAAADMTM5BAAAAAExBwAAAAk0LzMwLzIwMjAIAAAACTgvMTYvMjAyMAkAAAABMMkxB0vyQdgIuoqmWfJB2AgkQ0lRLl5BU1guSVFfTEFTVFNBTEVQUklDRS4zMC8wNi8yMDE2AQAAAB9T6wECAAAACzM1MTUuNDUzNzY0AHyrhVHyQdgIA64Lc/JB2Ag6Q0lRLk5BU0RBUUdTOkNBS0UuSVFfVE9UQUxfQVNTRVRTLjIwMDAuMzEvMTIvMjAxOS4uRi5VU0QuQwEAAAAI4AQAAgAAAAcyMzgxLjc3AQgAAAAFAAAAATEBAAAACjE5OTEzMjcwNDADAAAAAzE2MAIAAAAEMTAwNwQAAAABMQcAAAAKMTIvMzEvMjAxOQgAAAAJOC8xNi8yMDIwCQAAAAEwO4YXePJB2AhQcvt48kHYCCVDSVEuXkNPTVAuSVFfTEFTVFNBTEVQUklDRS4xNi8wMi8yMDE4AQAAAIm4KAACAAAABzcyMzkuNDYA2C3edPJB2Ai4BEZ28kHYCClDSVEuTllTRTpNQU5VLklRX0xBU1RTQUxFUFJJQ0UuMjQvMDQvMjAyMAEAAADdaw0AAgAAAAUxNS40OQAB6H1T8kHYCN4QYVnyQdgIO0NJUS5OQVNEQVFHUzpDQUtFLklRX0RBX01FRElBTl9FU1QuNjAwMC4zMS8xMi8yMDE5Li5GLlVTRC5DAQAAAAjgBAACAAAABzEwNy4zMjUBDgAAAAUAAAACMTEBAAAAATACAAAACTY1MjU3Mzk0MgMAAAAGMTE0MTkwBAAAAAEyBgAAAAEwBwAA</t>
  </si>
  <si>
    <t>AAMxNjAIAAAAATEJAAAAATEKAAAAATALAAAACzExNzIzNjE1MDkxDAAAAAIxMg0AAAAIMS8xLzIwMjAQAAAACTgvMTYvMjAyMDs8lnfyQdgIhuDnePJB2AgnQ0lRLk5ZU0U6S08uSVFfTEFTVFNBTEVQUklDRS4wNC8wNS8yMDE4AQAAABJoAAACAAAABTQyLjM2ACnmhVLyQdgIvekFcfJB2AgiQ0lRLk5ZU0U6UkFDRS5JUV9WT0xVTUUuMTYvMDMvMjAxOAEAAAA9grAQAgAAAAgwLjM3MjkxOQAoK0J18kHYCPckVnbyQdgILUNJUS5OQVNEQVFHUzpUU0xBLklRX0xBU1RTQUxFUFJJQ0UuMzEvMDEvMjAxNQEAAAAQxqIBAgAAAAUyMDMuNgBBUkJ18kHYCIlcUHbyQdgILkNJUS5MU0U6U0ZPUi5JUV9EQV9DRi4yMDAwLjMxLzEyLzIwMTkuLkYuR0JQLkMBAAAAy1PkIQIAAAAJMTMuOTkyMDAyAQgAAAAFAAAAATEBAAAACjE5NjExMTc0MDEDAAAAAjU1AgAAAAQyMTYwBAAAAAExBwAAAAoxMi8zMS8yMDE5CAAAAAk4LzE2LzIwMjAJAAAAATDaFJZ38kHYCKBr53jyQdgINkNJUS5OWVNFOk1BTlUuSVFfRVFVSVRZX01FVEhPRC45OTcuMzAvMDQvMjAyMC4uRi5HQlAuQwEAAADdaw0AAwAAAAAAvFgHS/JB2AjKUpBZ8kHYCDxDSVEuTkFTREFRR1M6Q0FLRS5JUV9FU1RfRVBTX0dST1dUSF81WVJfSElHSC42MDAwLjMxLzEyLzIwMTkBAAAACOAEAAIAAAACMTUBDgAAAAUAAAABNwEAAAAHMjU5OTY5NQIAAAAGMjczODg4</t>
  </si>
  <si>
    <t>AwAAAAYxMDAxNjkEAAAAATIGAAAAATAHAAAAATAIAAAAATAJAAAAATEKAAAAATALAAAACzExNjU5MDMwNDEwDAAAAAE4DQAAAAgxLzEvMjAyMBAAAAAKMTIvMzEvMjAxOSgrQnXyQdgIkWJOdvJB2AgoQ0lRLkxTRTpUU0NPLklRX0xBU1RTQUxFUFJJQ0UuMTAvMDgvMjAxOAEAAAAwUAYAAgAAAAUyLjY2MgA6v4VS8kHYCDMtEHHyQdgIKkNJUS5MU0U6VFNDTy5JUV9GSVNDQUxfWS41MDAuMzEvMTIvMjAxOS4uRgEAAAAwUAYAAQAAAAQyMDIwAN8G3nTyQdgIPzxHdvJB2AgqQ0lRLklRNDM5NDM4MjEuSVFfTEFTVFNBTEVQUklDRS4zMS8xMi8yMDE5AQAAAI2HngICAAAACDAuMDkxNzQ3AN8G3nTyQdgIJpRKdvJB2AggQ0lRLi5JUV9MQVNUU0FMRVBSSUNFLjI2LzAxLzIwMTgFAAAAAAAAAAgAAAAUKEludmFsaWQgSWRlbnRpZmllcilJgdx08kHYCCdYPXbyQdgILUNJUS5OQVNEQVFHUzpDQUtFLklRX0xBU1RTQUxFUFJJQ0UuMzAvMDQvMjAyMAEAAAAI4AQAAgAAAAUyMi4yOQAB6H1T8kHYCJY3YVnyQdgIMUNJUUFWRy4lVENNU00wMS5JUV9MQVNUU0FMRVBSSUNFLjQwMTc4LjMxLzEyLzIwMTkBAAAABR8oAgIAAAARMC41MzkwODQ3MzIyMTQyMjkA2C3edPJB2AgV4kp28kHYCDFDSVEuTllTRTpLTy5JUV9UT1RBTF9MSUFCLjk5OS4zMC8wNC8yMDIwLi5GLlVTRC5DAQAAABJoAAACAAAABTY0MTU4AQgAAAAF</t>
  </si>
  <si>
    <t>AAAAATEBAAAACjIwMTY3OTEyNTEDAAAAAzE2MAIAAAAEMTI3NgQAAAABMQcAAAAJNC8zMC8yMDIwCAAAAAk4LzE2LzIwMjAJAAAAATADScpM8kHYCA83mlnyQdgINUNJUS5OQVNEQVFHUzpUU0xBLklRX1RPVEFMX0NMLjk5Ni4zMC8wNC8yMDIwLi5GLlVTRC5DAQAAABDGogECAAAABzI4NTguMzIBCAAAAAUAAAABMQEAAAAKMTg3NTc2OTA4MgMAAAADMTYwAgAAAAQxMDA5BAAAAAExBwAAAAk0LzMwLzIwMjAIAAAACTgvMTYvMjAyMAkAAAABMLxYB0vyQdgIwqCXWfJB2Ag5Q0lRLkxTRTpTRk9SLklRX0NBUEVYX01FRElBTl9FU1QuMTAwMS4zMC8wNC8yMDIwLi5GLkdCUC5DAQAAAMtT5CECAAAAES02LjQyMDE3NjI4MTY3MDQ5AQ4AAAAFAAAAATMBAAAAATACAAAACjEwMDQzMTYwNTEDAAAABjEwNDA5MQQAAAABMwYAAAABMAcAAAACNTUIAAAAATEJAAAAATEKAAAAATALAAAACzExODQ4MjAzOTU3DAAAAAExDQAAAAg1LzEvMjAyMBAAAAAJOC8xNi8yMDIwpH8HS/JB2AhqQqtZ8kHYCCZDSVEuTkFTREFRR1M6VFNMQS5JUV9WT0xVTUUuMjQvMDEvMjAyMAEAAAAQxqIBAgAAAAcxNC4zNTM2AKPWJFXyQdgIw2Z7WfJB2AgnQ0lRLk5ZU0U6S08uSVFfTEFTVFNBTEVQUklDRS4xNC8wOS8yMDE4AQAAABJoAAACAAAABTQ1Ljk5AEOYhVLyQdgI3F0TcfJB2AgtQ0lRLk5BU0RBUUdTOkNBS0UuSVFfTEFTVFNBTEVQ</t>
  </si>
  <si>
    <t>UklDRS4zMS8wMy8yMDE4AQAAAAjgBAACAAAABTQ4LjIyAAVdflPyQdgIMjYpcfJB2AgkQ0lRLl5BU1guSVFfTEFTVFNBTEVQUklDRS4xOS8xMC8yMDE4AQAAAB9T6wECAAAACzM4NjguNDkzMjIxAIrFN1HyQdgIxFobc/JB2AgsQ0lRLkxTRTpTRk9SLklRX0VCVC4xMDAxLjMwLzA0LzIwMjAuLkYuR0JQLkMBAAAAy1PkIQMAAAAAANkKB0vyQdgI8aClWfJB2AgrQ0lRLkxTRTpTRk9SLklRX05JLjEwMDAuMzEvMTIvMjAxOS4uRi5HQlAuQwEAAADLU+QhAgAAAAotMTMuOTAyODU5AQgAAAAFAAAAATEBAAAACjE5NjExMTYyNzEDAAAAAjU1AgAAAAIxNQQAAAABMQcAAAAKMTIvMzEvMjAxOQgAAAAJOC8xNi8yMDIwCQAAAAEw3O2Vd/JB2Ag/yuh48kHYCC1DSVEuTllTRTpSQUNFLklRX0VCVC4xMDAxLjMxLzEyLzIwMTkuLkYuRVVSLkMBAAAAPYKwEAMAAAAAANztlXfyQdgIpxLrePJB2AgkQ0lRLl5TUFguSVFfTEFTVFNBTEVQUklDRS4zMS8wNS8yMDE2AQAAAJu4KAACAAAAEDIwOTYuOTY0MTk1MDcwNTEAfKuFUfJB2Agpoghz8kHYCEBDSVEuTkFTREFRR1M6Q0FLRS5JUV9UT1RBTF9DT01NT05fRVFVSVRZLjk5OS4zMS8xMi8yMDE5Li5GLlVTRC5DAQAAAAjgBAACAAAABjYxMy41MwEIAAAABQAAAAExAQAAAAoxOTQ4MTc2NjgwAwAAAAMxNjACAAAABDEwMDYEAAAAATEHAAAACjEyLzMxLzIwMTkIAAAACTgv</t>
  </si>
  <si>
    <t>MTYvMjAyMAkAAAABMB77F3jyQdgILzT0ePJB2AglQ0lRLl5DT01QLklRX0xBU1RTQUxFUFJJQ0UuMzEvMDcvMjAxOQEAAACJuCgAAgAAAAc4MTc1LjQyAEkFM1LyQdgImz0Jc/JB2Ag4Q0lRLk5ZU0U6TUFOVS5JUV9SRVRVUk5fSU5WRVNURURfQ0FQSVRBTC4yMDAwLjMxLzEyLzIwMTkBAAAA3WsNAAIAAAAHLTAuMTc5NgD+A0J18kHYCCfCT3byQdgILUNJUS5OWVNFOk1BTlUuSVFfUEVSSU9EREFURS45OTkuMzEvMTIvMjAxOS4uRgEAAADdaw0ABQAAAAozMC8wNi8yMDE4AP4DQnXyQdgIzHlNdvJB2AgoQ0lRLkxTRTpUU0NPLklRX0xBU1RTQUxFUFJJQ0UuMTcvMDUvMjAxOQEAAAAwUAYAAgAAAAUyLjM5NADBqn5T8kHYCFOeJnHyQdgINUNJUS5OQVNEQVFHUzpDQUtFLklRX0NPU1RfUkVWLjk5OC4zMC8wNC8yMDIwLi5GLlVTRC5DAQAAAAjgBAACAAAACDEyOTYuOTgzAQgAAAAFAAAAATEBAAAACjIwMjE1ODE0MDkDAAAAAzE2MAIAAAABMQQAAAABMQcAAAAJNC8zMC8yMDIwCAAAAAk4LzE2LzIwMjAJAAAAATD/b8pM8kHYCLXunlnyQdgIJ0NJUS4kQUVEWkFSLklRX0xBU1RTQUxFUFJJQ0UuMzEvMTIvMjAxOAEAAAAl61oAAgAAAAswLjI1NTI5OTkyNAD+A0J18kHYCO9WS3byQdgIMkNJUS5OQVNEQVFHUzpUU0xBLklRX0RBX0NGLjk5Ny4zMS8xMi8yMDE5Li5GLlVTRC5DAQAAABDGogECAAAABjQyMi41</t>
  </si>
  <si>
    <t>OQEIAAAABQAAAAExAQAAAAoxODc1NzY5MDgyAwAAAAMxNjACAAAABDIxNjAEAAAAATEHAAAACjEyLzMxLzIwMTkIAAAACTgvMTYvMjAyMAkAAAABMNoUlnfyQdgIv/bmePJB2AgZQ0lRLi5JUV9WT0xVTUUuMDMvMDEvMjAyMAUAAAAAAAAACAAAABQoSW52YWxpZCBJZGVudGlmaWVyKdk5tVPyQdgIcgJ1WfJB2AgpQ0lRLk5ZU0U6TUFOVS5JUV9MQVNUU0FMRVBSSUNFLjE5LzEwLzIwMTgBAAAA3WsNAAIAAAAFMjEuMjgAQ5iFUvJB2AhtGxZx8kHYCDVDSVEuR0JQLklRX0ZVTExfQ1VSVkVfQU5OVUFMLkFMTENPUlAuQi4yMFkuMzEvMTIvMjAxOQEAAAAAAAAAAgAAAAkwLjA2Mzk4OTEA2C3edPJB2Ah/NUl28kHYCDBDSVEuTkFTREFRR1M6VFNMQS5JUV9FQlQuOTk4LjMwLzA0LzIwMjAuLkYuVVNELkMBAAAAEMaiAQIAAAAFLTIyMDkBCAAAAAUAAAABMQEAAAAKMjAxMzkwNzQ3MAMAAAADMTYwAgAAAAMxMzkEAAAAATEHAAAACTQvMzAvMjAyMAgAAAAJOC8xNi8yMDIwCQAAAAEwyTEHS/JB2AjPPKZZ8kHYCDNDSVEuTkFTREFRR1M6Q0FLRS5JUV9DQVBFWC4xMDAwLjMxLzEyLzIwMTkuLkYuVVNELkMBAAAACOAEAAIAAAAILTEwMi45MDkBCAAAAAUAAAABMQEAAAAKMTk0ODE3NjY3NQMAAAADMTYwAgAAAAQyMDIxBAAAAAExBwAAAAoxMi8zMS8yMDE5CAAAAAk4LzE2LzIwMjAJAAAAATDaFJZ38kHYCBW/5Xjy</t>
  </si>
  <si>
    <t>QdgIP0NJUS5OWVNFOlJBQ0UuSVFfVE9UQUxfREVCVF9OT05fQ1VSUkVOVC45OTkuMzEvMTIvMjAxOS4uRi5FVVIuQwEAAAA9grAQAgAAAAgxNDkzLjk5MQEIAAAABQAAAAExAQAAAAoxOTQ3NDQ0MTkwAwAAAAI1MAIAAAAFMjUyMjQEAAAAATEHAAAACjEyLzMxLzIwMTkIAAAACTgvMTYvMjAyMAkAAAABMBytF3jyQdgIaFb3ePJB2AgvQ0lRLk5ZU0U6TUFOVS5JUV9UT1RBTF9SRVY6Q1VSUkVOQ1kuLjMwLzA0LzIwMjABAAAA3WsNAAMAAAADR0JQAQgAAAAFAAAAATEBAAAACjIwMzc3MDYzOTQDAAAAAjU1AgAAAAIyOAQAAAABMAcAAAAJNC8zMC8yMDIwCAAAAAkzLzMxLzIwMjAJAAAAATD8OiRV8kHYCMLwgVnyQdgIMENJUS5OQVNEQVFHUzpUU0xBLklRX1NHQS45OTguMzAvMDQvMjAyMC4uRi5VU0QuQwEAAAAQxqIBAgAAAAQyNDc3AQgAAAAFAAAAATEBAAAACjIwMTM5MDc0NzADAAAAAzE2MAIAAAACMjMEAAAAATEHAAAACTQvMzAvMjAyMAgAAAAJOC8xNi8yMDIwCQAAAAEwvFgHS/JB2AhRw6BZ8kHYCDFDSVEuTllTRTpLTy5JUV9UT1RBTF9SRVYuMjAwMC4zMS8xMi8yMDE5Li5GLlVTRC5DAQAAABJoAAACAAAABTMzNTYwAQgAAAAFAAAAATEBAAAACjE5ODg4MDE1MjYDAAAAAzE2MAIAAAACMjgEAAAAATEHAAAACjEyLzMxLzIwMTkIAAAACTgvMTYvMjAyMAkAAAABMB77F3jyQdgI3bDyePJB2AgxQ0lR</t>
  </si>
  <si>
    <t>Lk5ZU0U6TUFOVS5JUV9DT1NUX1JFVi45OTYuMzAvMDQvMjAyMC4uRi5HQlAuQwEAAADdaw0AAgAAAAY0Ny45NDcBCAAAAAUAAAABMQEAAAAKMTg2MTczNjg2OQMAAAACNTUCAAAAATEEAAAAATEHAAAACTQvMzAvMjAyMAgAAAAJOC8xNi8yMDIwCQAAAAEwvFgHS/JB2AixPJ9Z8kHYCC5DSVEuTllTRTpSQUNFLklRX0NBUEVYLjk5Ny4zMC8wNC8yMDIwLi5GLkVVUi5DAQAAAD2CsBACAAAACC0xNzUuNjQ3AQgAAAAFAAAAATEBAAAACjE5NDc0NDQxODQDAAAAAjUwAgAAAAQyMDIxBAAAAAExBwAAAAk0LzMwLzIwMjAIAAAACTgvMTYvMjAyMAkAAAABMNkKB0vyQdgIfgasWfJB2AguQ0lRLkxTRTpUU0NPLklRX0NBUEVYLjIwMDAuMzAvMDQvMjAyMC4uRi5HQlAuQwEAAAAwUAYAAgAAAAUtMTAwMwEIAAAABQAAAAExAQAAAAoyMDI2NTA3Mzg4AwAAAAI1NQIAAAAEMjAyMQQAAAABMQcAAAAJNC8zMC8yMDIwCAAAAAk4LzE2LzIwMjAJAAAAATDJMQdL8kHYCGpCq1nyQdgILUNJUS5OQVNEQVFHUzpDQUtFLklRX0xBU1RTQUxFUFJJQ0UuMzAvMDYvMjAxOAEAAAAI4AQAAgAAAAU1NS4wNgDoNX5T8kHYCHEeKnHyQdgIMENJUS5OWVNFOk1BTlUuSVFfSU5DX1RBWC45OTYuMzEvMTIvMjAxOS4uRi5HQlAuQwEAAADdaw0AAgAAAAYtMi42NzIBCAAAAAUAAAABMQEAAAAKMTg2MTczNjg2OQMAAAACNTUCAAAAAjc1BAAA</t>
  </si>
  <si>
    <t>AAExBwAAAAoxMi8zMS8yMDE5CAAAAAk4LzE2LzIwMjAJAAAAATDc7ZV38kHYCAqN6XjyQdgIJENJUS5JUTI2Njg2NDEuSVFfTEFTVFNBTEVQUklDRS40MzQ2NQEAAABhuCgAAgAAAAQ0LjMzAN8G3nTyQdgIyqtJdvJB2AggQ0lRLi5JUV9MQVNUU0FMRVBSSUNFLjMwLzA5LzIwMTYFAAAAAAAAAAgAAAAUKEludmFsaWQgSWRlbnRpZmllcimGXYVR8kHYCELaT3PyQdgILUNJUS5OQVNEQVFHUzpDQUtFLklRX0xBU1RTQUxFUFJJQ0UuMjkvMDIvMjAyMAEAAAAI4AQAAgAAAAUzNS42MwAB6H1T8kHYCIfwXlnyQdgIIUNJUS5MU0U6VFNDTy5JUV9WT0xVTUUuMjMvMDgvMjAxOQEAAAAwUAYAAgAAAAgxOC4xMzQ2MwCV/SRV8kHYCGFmvnLyQdgIMkNJUS5OWVNFOk1BTlUuSVFfTFRfSU5WRVNULjk5Ny4zMS8xMi8yMDE5Li5GLkdCUC5DAQAAAN1rDQADAAAAAAA7hhd48kHYCDru+XjyQdgILENJUS5OWVNFOktPLklRX1BSSUNFX1ZPTF9ISVNUXzJZUi4zMC8wNC8yMDIwAQAAABJoAAACAAAABzI3LjkwMjYA4hIkVfJB2Ah9FYpZ8kHYCERDSVEuTkFTREFRR1M6Q0FLRS5JUV9NSU5PUklUWV9JTlRFUkVTVF9UT1RBTC45OTkuMzEvMTIvMjAxOS4uRi5VU0QuQwEAAAAI4AQAAwAAAAAAhNQXePJB2AiTfPZ48kHYCD5DSVEuTkFTREFRR1M6Q0FLRS5JUV9DQVBFWF9NRURJQU5fRVNULjEwMDIuMzAvMDQvMjAyMC4uRi5V</t>
  </si>
  <si>
    <t>U0QuQwEAAAAI4AQAAgAAAAMtODABDgAAAAUAAAABMwEAAAABMAIAAAAKMTAwMjIyNDIyMwMAAAAGMTA0MDkxBAAAAAEyBgAAAAEwBwAAAAMxNjAIAAAAATEJAAAAATEKAAAAATALAAAACzExODg1MTYxNzk2DAAAAAExDQAAAAg1LzEvMjAyMBAAAAAJOC8xNi8yMDIw/2/KTPJB2AiTzapZ8kHYCCBDSVEuTllTRTpLTy5JUV9WT0xVTUUuMjMvMDIvMjAxOAEAAAASaAAAAgAAAAg4LjI3NzE3OAAoK0J18kHYCIrRV3byQdgILUNJUS5OQVNEQVFHUzpDQUtFLklRX0xBU1RTQUxFUFJJQ0UuMDIvMDIvMjAxOAEAAAAI4AQAAgAAAAU0OS4zMwAoK0J18kHYCPDLWXbyQdgIKENJUS5OWVNFOk1BTlUuSVFfQkVUQV8yWVJfUlNRLjMwLzA0LzIwMjABAAAA3WsNAAIAAAARMC4zMzMwODM1MTAwMDgwMzgAo9YkVfJB2AixUolZ8kHYCCdDSVEuJEFFREVHUC5JUV9MQVNUU0FMRVBSSUNFLjMwLzA0LzIwMjABAAAAJetaAAIAAAALMC4yMzMyNDc4MTUAqiQlVfJB2Ag6sYNZ8kHYCCpDSVEuTFNFOlRTQ08uSVFfR1AuOTk4LjMxLzEyLzIwMTkuLkYuR0JQLkMBAAAAMFAGAAIAAAAEMjM2MwEIAAAABQAAAAExAQAAAAoxODg4NTI1MDc0AwAAAAI1NQIAAAACMTAEAAAAATEHAAAACjEyLzMxLzIwMTkIAAAACTgvMTYvMjAyMAkAAAABMB4iGHjyQdgIPGbwePJB2AghQ0lRLkxTRTpTRk9SLklRX1ZPTFVNRS4wOS8wMy8yMDE4AQAA</t>
  </si>
  <si>
    <t>AMtT5CEDAAAAAAAoK0J18kHYCM/AVnbyQdgIJ0NJUS4kQUVES0VTLklRX0xBU1RTQUxFUFJJQ0UuMzEvMTIvMjAxOAEAAAAl61oAAgAAAAswLjAzNjA1OTI5NwD+A0J18kHYCAFCTHbyQdgIJENJUS5eU1BYLklRX0xBU1RTQUxFUFJJQ0UuMTYvMTEvMjAxOAEAAACbuCgAAgAAABAyNzM2LjI2ODk4ODAzNTY1AIrFN1HyQdgIzG8Tc/JB2AgiQ0lRLk5ZU0U6TUFOVS5JUV9WT0xVTUUuMjkvMDMvMjAxOQEAAADdaw0AAgAAAAgwLjA3MTI2MwC5lH9T8kHYCB4pv3LyQdgIKENJUS5MU0U6VFNDTy5JUV9MQVNUU0FMRVBSSUNFLjIwLzAzLzIwMjABAAAAMFAGAAIAAAAFMi4xODQAAeh9U/JB2Ai6LV5Z8kHYCDJDSVEuTllTRTpSQUNFLklRX1RPVEFMX1JFVi45OTYuMzEvMTIvMjAxOS4uRi5FVVIuQwEAAAA9grAQAgAAAAcyNzYyLjM2AQgAAAAFAAAAATEBAAAACjE4MzA0NzQwOTQDAAAAAjUwAgAAAAIyOAQAAAABMQcAAAAKMTIvMzEvMjAxOQgAAAAJOC8xNi8yMDIwCQAAAAEwHvsXePJB2AiO7fF48kHYCCRDSVEuXkFTWC5JUV9MQVNUU0FMRVBSSUNFLjMxLzEwLzIwMTYBAAAAH1PrAQIAAAALMzc2OC4xNDMwMzcAfKuFUfJB2AgDrgtz8kHYCEBDSVEuTllTRTpSQUNFLklRX1RPVEFMX0RFQlRfTk9OX0NVUlJFTlQuMTAwMC4zMC8wNC8yMDIwLi5GLkVVUi5DAQAAAD2CsBACAAAACDE2NjguNDE0AQgAAAAFAAAA</t>
  </si>
  <si>
    <t>ATEBAAAACjIwMTU2Mzk4MjIDAAAAAjUwAgAAAAUyNTIyNAQAAAABMQcAAAAJNC8zMC8yMDIwCAAAAAk4LzE2LzIwMjAJAAAAATDg4wZL8kHYCIk8mFnyQdgIJ0NJUS4kQUVEQ09QLklRX0xBU1RTQUxFUFJJQ0UuMzEvMTIvMjAxOAEAAAAl61oAAgAAAAswLjAwMTEzMTAyNAD+A0J18kHYCAX0S3byQdgINkNJUS5MU0U6U0ZPUi5JUV9EQV9NRURJQU5fRVNULjEwMDIuMzAvMDQvMjAyMC4uRi5HQlAuQwEAAADLU+QhAgAAABAzLjk3NzA2MDQwMjMwMDQ1AQ4AAAAFAAAAATMBAAAAATACAAAACjEwMDQzNDk2NjADAAAABjExNDE5MAQAAAABMwYAAAABMAcAAAACNTUIAAAAATEJAAAAATEKAAAAATALAAAACzExODQ4MjAzNjE2DAAAAAExDQAAAAg1LzEvMjAyMBAAAAAJOC8xNi8yMDIwpH8HS/JB2Aj9R6lZ8kHYCCNDSVEuJVRDTVNZMDcuSVFfTEFTVFNBTEVQUklDRS40MzU4NQEAAAAaHygCAgAAAAQyLjM5AKPWJFXyQdgIEXSEWfJB2AgpQ0lRLk5ZU0U6UkFDRS5JUV9MQVNUU0FMRVBSSUNFLjMxLzAzLzIwMTUBAAAAPYKwEAMAAAAAAEFSQnXyQdgIGTdQdvJB2AgnQ0lRLiRBRURJTFMuSVFfTEFTVFNBTEVQUklDRS4zMS8xMi8yMDE4AQAAACXrWgACAAAACzAuOTgyODIxMzY0AP4DQnXyQdgI02hMdvJB2AgyQ0lRLkxTRTpUU0NPLklRX0lOVkVOVE9SWS4yMDAwLjMwLzA0LzIwMjAuLkYuR0JQLkMBAAAAMFAG</t>
  </si>
  <si>
    <t>AAIAAAAEMjQzMwEIAAAABQAAAAExAQAAAAoyMDI2NTA3Mzg4AwAAAAI1NQIAAAAEMTA0MwQAAAABMQcAAAAJNC8zMC8yMDIwCAAAAAk4LzE2LzIwMjAJAAAAATDJMQdL8kHYCClUrFnyQdgIJkNJUS5OQVNEQVFHUzpDQUtFLklRX1ZPTFVNRS4wNS8xMC8yMDE4AQAAAAjgBAACAAAACDAuNTUwMzc0AEOYhVLyQdgIc+MUcfJB2AgjQ0lRLiVUQ01TWTAyLklRX0xBU1RTQUxFUFJJQ0UuNDM0NjUBAAAAER8oAgIAAAAEMi40OADfBt508kHYCPsvS3byQdgIPENJUS5OWVNFOk1BTlUuSVFfVE9UQUxfQ09NTU9OX0VRVUlUWS45OTYuMzEvMTIvMjAxOS4uRi5HQlAuQwEAAADdaw0AAgAAAAc0NzcuOTE4AQgAAAAFAAAAATEBAAAACjE4NjE3MzY4NjkDAAAAAjU1AgAAAAQxMDA2BAAAAAExBwAAAAoxMi8zMS8yMDE5CAAAAAk4LzE2LzIwMjAJAAAAATAe+xd48kHYCJKZ83jyQdgINENJUS5MU0U6U0ZPUi5JUV9QUkVGX0VRVUlUWS4xMDAwLjMxLzEyLzIwMTkuLkYuR0JQLkMBAAAAy1PkIQMAAAAAAITUF3jyQdgI+vb0ePJB2AgtQ0lRLk5ZU0U6S08uSVFfQ0FQRVguMTAwMC4zMC8wNC8yMDIwLi5GLlVTRC5DAQAAABJoAAACAAAABS0yMDU0AQgAAAAFAAAAATEBAAAACjIwMTY3OTEyNDUDAAAAAzE2MAIAAAAEMjAyMQQAAAABMQcAAAAJNC8zMC8yMDIwCAAAAAk4LzE2LzIwMjAJAAAAATADScpM8kHYCGRpq1nyQdgI</t>
  </si>
  <si>
    <t>QENJUS5OQVNEQVFHUzpUU0xBLklRX1RPVEFMX0RFQlRfQ1VSUkVOVC4xMDAwLjMwLzA0LzIwMjAuLkYuVVNELkMBAAAAEMaiAQIAAAAEMjA3MAEIAAAABQAAAAExAQAAAAoyMDEzOTA3NDYwAwAAAAMxNjACAAAABTI1MjIzBAAAAAExBwAAAAk0LzMwLzIwMjAIAAAACTgvMTYvMjAyMAkAAAABMLxYB0vyQdgILUKWWfJB2AgmQ0lRLk5BU0RBUUdTOkNBS0UuSVFfVk9MVU1FLjExLzA1LzIwMTgBAAAACOAEAAIAAAAHMC44Njg2MQAp5oVS8kHYCJuFBnHyQdgINUNJUS5OWVNFOk1BTlUuSVFfUFJFRl9FUVVJVFkuMjAwMC4zMS8xMi8yMDE5Li5GLkdCUC5DAQAAAN1rDQADAAAAAACE1Bd48kHYCD9G9XjyQdgIJ0NJUS4kQUVESFVGLklRX0xBU1RTQUxFUFJJQ0UuMzEvMTIvMjAxOQEAAAAl61oAAgAAAAswLjAxMjQ1MDg0NwD+A0J18kHYCO4aTHbyQdgIIENJUS5OWVNFOktPLklRX1ZPTFVNRS4xMi8wNC8yMDE5AQAAABJoAAACAAAACDEwLjY5MDA0ALmUf1PyQdgIR6nCcvJB2AgwQ0lRLkxTRTpTRk9SLklRX1RPVEFMX0NBLjk5OS4zMS8xMi8yMDE5Li5GLkdCUC5DAQAAAMtT5CEDAAAAAAA7hhd48kHYCIEP/HjyQdgIKENJUS5MU0U6U0ZPUi5JUV9MQVNUU0FMRVBSSUNFLjAyLzExLzIwMTgBAAAAy1PkIQIAAAAFMS4xNjUAx+J/U/JB2AjCKxdx8kHYCCFDSVEuTFNFOlNGT1IuSVFfVk9MVU1FLjI1LzAxLzIw</t>
  </si>
  <si>
    <t>MTkBAAAAy1PkIQIAAAAIMC45MDU0MDIApLx/U/JB2Ajqkrxy8kHYCEBDSVEuTllTRTpNQU5VLklRX01JTk9SSVRZX0lOVEVSRVNUX1RPVEFMLjk5OS4zMS8xMi8yMDE5Li5GLkdCUC5DAQAAAN1rDQADAAAAAACE1Bd48kHYCJN89njyQdgIP0NJUS5OWVNFOlJBQ0UuSVFfVE9UQUxfREVCVF9OT05fQ1VSUkVOVC45OTYuMzAvMDQvMjAyMC4uRi5FVVIuQwEAAAA9grAQAgAAAAgxMzQwLjk4MQEIAAAABQAAAAExAQAAAAoxODc2MDQzMzEzAwAAAAI1MAIAAAAFMjUyMjQEAAAAATEHAAAACTQvMzAvMjAyMAgAAAAJOC8xNi8yMDIwCQAAAAEw4OMGS/JB2AimAJlZ8kHYCClDSVEuTllTRTpNQU5VLklRX0xBU1RTQUxFUFJJQ0UuMzAvMDQvMjAyMAEAAADdaw0AAgAAAAUxNi44MQAB6H1T8kHYCN4QYVnyQdgIIUNJUS5MU0U6VFNDTy5JUV9WT0xVTUUuMTUvMTEvMjAxOQEAAAAwUAYAAgAAAAcxNS45NTM1AJX9JFXyQdgIVbS+cvJB2AgrQ0lRLkxTRTpUU0NPLklRX0FQLjIwMDAuMzAvMDQvMjAyMC4uRi5HQlAuQwEAAAAwUAYAAgAAAAQ4OTIyAQgAAAAFAAAAATEBAAAACjIwMjY1MDczODgDAAAAAjU1AgAAAAQxMDE4BAAAAAExBwAAAAk0LzMwLzIwMjAIAAAACTgvMTYvMjAyMAkAAAABMMkxB0vyQdgI/u+sWfJB2Ag+Q0lRLkxTRTpUU0NPLklRX1RPVEFMX0RFQlRfTk9OX0NVUlJFTlQuOTk5LjMwLzA0LzIwMjAu</t>
  </si>
  <si>
    <t>LkYuR0JQLkMBAAAAMFAGAAIAAAAENTY3MwEIAAAABQAAAAExAQAAAAoxOTY4NzM2NTYzAwAAAAI1NQIAAAAFMjUyMjQEAAAAATEHAAAACTQvMzAvMjAyMAgAAAAJOC8xNi8yMDIwCQAAAAEwyTEHS/JB2AiOY5hZ8kHYCC5DSVEuTFNFOlNGT1IuSVFfQ0FQRVguMTAwMC4zMS8xMi8yMDE5Li5GLkdCUC5DAQAAAMtT5CECAAAACS0yLjUzMDI4NgEIAAAABQAAAAExAQAAAAoxOTYxMTE2MjcxAwAAAAI1NQIAAAAEMjAyMQQAAAABMQcAAAAKMTIvMzEvMjAxOQgAAAAJOC8xNi8yMDIwCQAAAAEw2hSWd/JB2AgVv+V48kHYCC1DSVEuTkFTREFRR1M6Q0FLRS5JUV9MQVNUU0FMRVBSSUNFLjE0LzAyLzIwMjABAAAACOAEAAIAAAAFNDAuMzEACA9+U/JB2AgmHV1Z8kHYCDBDSVEuTllTRTpLTy5JUV9DT1NUX1JFVi4yMDAwLjMwLzA0LzIwMjAuLkYuVVNELkMBAAAAEmgAAAIAAAAFMTQ2MjUBCAAAAAUAAAABMQEAAAAKMjAzMDM3Njg5NwMAAAADMTYwAgAAAAExBAAAAAExBwAAAAk0LzMwLzIwMjAIAAAACTgvMTYvMjAyMAkAAAABMANJykzyQdgI2HmeWfJB2Ag3Q0lRLk5ZU0U6TUFOVS5JUV9FU1RfRVBTX0dST1dUSF81WVJfTE9XLjYwMDAuMzAvMDQvMjAyMAEAAADdaw0AAgAAAAcwLjIyNzU1AQ4AAAAFAAAAATcBAAAACTIxNTA1NTM4NQIAAAAGNzAyNzI4AwAAAAYxMDAxNzAEAAAAATMGAAAAATAHAAAAATAIAAAA</t>
  </si>
  <si>
    <t>ATAJAAAAATEKAAAAATALAAAACzExNjkyNzIzMTk0DAAAAAE4DQAAAAg1LzEvMjAyMBAAAAAJNC8zMC8yMDIwsa8kVfJB2AiiW39Z8kHYCDVDSVEuTllTRTpLTy5JUV9EQV9NRURJQU5fRVNULjYwMDEuMzEvMTIvMjAxOS4uRi5VU0QuQwEAAAASaAAAAwAAAAAA2hSWd/JB2Ah7B+h48kHYCDVDSVEuTllTRTpLTy5JUV9EQV9NRURJQU5fRVNULjEwMDEuMzAvMDQvMjAyMC4uRi5VU0QuQwEAAAASaAAAAgAAAAQxNDIwAQ4AAAAFAAAAATMBAAAAATACAAAACjEwMDE0MTY0MjADAAAABjExNDE5MAQAAAABMgYAAAABMAcAAAADMTYwCAAAAAExCQAAAAExCgAAAAEwCwAAAAsxMTg4MzYxMjYzMQwAAAABMQ0AAAAINS8xLzIwMjAQAAAACTgvMTYvMjAyMP9vykzyQdgI2m6pWfJB2Ag/Q0lRLk5BU0RBUUdTOkNBS0UuSVFfRUJJVERBX01FRElBTl9FU1QuMTAwMy4zMC8wNC8yMDIwLi5GLlVTRC5DAQAAAAjgBAACAAAABzI0NC4xMDIBDgAAAAUAAAABMwEAAAABMAIAAAAKMTAwMjIyNDIyNAMAAAAGMTAwMTg4BAAAAAEyBgAAAAEwBwAAAAMxNjAIAAAAATEJAAAAATEKAAAAATALAAAACzExODcwMTY0OTkxDAAAAAExDQAAAAg1LzEvMjAyMBAAAAAJOC8xNi8yMDIw/2/KTPJB2AgnN6FZ8kHYCDNDSVEuTkFTREFRR1M6VFNMQS5JUV9MQVNUU0FMRVBSSUNFLjMwLzA0LzIwMjAuVVNELkMBAAAAEMaiAQIAAAAGNzgxLjg4</t>
  </si>
  <si>
    <t>ALNDw1ryQdgIO6XRWvJB2Ag1Q0lRLk5ZU0U6TUFOVS5JUV9TSEFSRVNPVVRTVEFORElOR19PVVQuMzEvMTIvMjAxOS5HQlABAAAA3WsNAAIAAAAKMTY0LjU3MjY4NwBHYBd48kHYCN2JAXnyQdgIIkNJUS5OWVNFOlJBQ0UuSVFfVk9MVU1FLjIwLzA0LzIwMTgBAAAAPYKwEAIAAAAIMC4xNzQ0NjYAQVJCdfJB2AjF0lB28kHYCCdDSVEuJEFFREJSTC5JUV9MQVNUU0FMRVBSSUNFLjMxLzEyLzIwMTkBAAAAJetaAAIAAAALMC45MTM3NzI1MTUA/gNCdfJB2AjvVkt28kHYCCZDSVEuTkFTREFRR1M6VFNMQS5JUV9WT0xVTUUuMTIvMTAvMjAxOAEAAAAQxqIBAgAAAAg3LjIwMTQwNABDmIVS8kHYCEZ/FXHyQdgIMUNJUS5MU0U6U0ZPUi5JUV9MVF9JTlZFU1QuOTk5LjMwLzA0LzIwMjAuLkYuR0JQLkMBAAAAy1PkIQMAAAAAANkKB0vyQdgIi4CVWfJB2AgmQ0lRLk5BU0RBUUdTOlRTTEEuSVFfVk9MVU1FLjA3LzA5LzIwMTgBAAAAEMaiAQIAAAAIMjIuNDkxOTMAQ5iFUvJB2AgRmxJx8kHYCEBDSVEuTkFTREFRR1M6VFNMQS5JUV9UT1RBTF9DT01NT05fRVFVSVRZLjk5OC4zMS8xMi8yMDE5Li5GLlVTRC5DAQAAABDGogECAAAACDQ3NTIuOTExAQgAAAAFAAAAATEBAAAACjE5NDU4NzM1NTEDAAAAAzE2MAIAAAAEMTAwNgQAAAABMQcAAAAKMTIvMzEvMjAxOQgAAAAJOC8xNi8yMDIwCQAAAAEwHvsXePJB2AhJDfR4</t>
  </si>
  <si>
    <t>8kHYCCtDSVEuTFNFOlRTQ08uSVFfU0dBLjk5OC4zMS8xMi8yMDE5Li5GLkdCUC5DAQAAADBQBgACAAAABDExOTABCAAAAAUAAAABMQEAAAAKMTg4ODUyNTA3NAMAAAACNTUCAAAAAjIzBAAAAAExBwAAAAoxMi8zMS8yMDE5CAAAAAk4LzE2LzIwMjAJAAAAATAeIhh48kHYCIqk73jyQdgIO0NJUS5OWVNFOlJBQ0UuSVFfVE9UQUxfREVCVF9DVVJSRU5ULjk5Ni4zMC8wNC8yMDIwLi5GLkVVUi5DAQAAAD2CsBACAAAABzkxOS40MDkBCAAAAAUAAAABMQEAAAAKMTg3NjA0MzMxMwMAAAACNTACAAAABTI1MjIzBAAAAAExBwAAAAk0LzMwLzIwMjAIAAAACTgvMTYvMjAyMAkAAAABMODjBkvyQdgIBd6WWfJB2AgZQ0lRLi5JUV9WT0xVTUUuMjMvMDgvMjAxOQUAAAAAAAAACAAAABQoSW52YWxpZCBJZGVudGlmaWVyKdk5tVPyQdgIV+a6cvJB2Ag3Q0lRLkxTRTpUU0NPLklRX0NBU0hfU1RfSU5WRVNULjEwMDAuMzAvMDQvMjAyMC4uRi5HQlAuQwEAAAAwUAYAAgAAAAQzMTIwAQgAAAAFAAAAATEBAAAACjIwMjY1MDczMDkDAAAAAjU1AgAAAAQxMDAyBAAAAAExBwAAAAk0LzMwLzIwMjAIAAAACTgvMTYvMjAyMAkAAAABMMkxB0vyQdgIq8eQWfJB2AgwQ0lRLk5BU0RBUUdTOkNBS0UuSVFfRklMSU5HX0NVUlJFTkNZLi4zMC8wNC8yMDIwAQAAAAjgBAADAAAAA1VTRACxryRV8kHYCI7Qf1nyQdgIIENJUS4uSVFfTEFT</t>
  </si>
  <si>
    <t>VFNBTEVQUklDRS4zMC8xMS8yMDE5BQAAAAAAAAAIAAAAFChJbnZhbGlkIElkZW50aWZpZXIp3KsvUvJB2AgFcSFz8kHYCCxDSVEuTllTRTpSQUNFLklRX0VCVC45OTcuMzAvMDQvMjAyMC4uRi5FVVIuQwEAAAA9grAQAgAAAAc1NjcuMzUzAQgAAAAFAAAAATEBAAAACjE5NDc0NDQxODQDAAAAAjUwAgAAAAMxMzkEAAAAATEHAAAACTQvMzAvMjAyMAgAAAAJOC8xNi8yMDIwCQAAAAEw2QoHS/JB2Ai6iqZZ8kHYCCFDSVEuTFNFOlNGT1IuSVFfVk9MVU1FLjE1LzAyLzIwMTkBAAAAy1PkIQIAAAAIMC4wMDQ3NjYApLx/U/JB2Ajqkrxy8kHYCCVDSVEuXkNPTVAuSVFfTEFTVFNBTEVQUklDRS4xNi8xMS8yMDE4AQAAAIm4KAACAAAABzcyNDcuODcAisU3UfJB2AixPRdz8kHYCCNDSVEuTFNFOlNGT1IuSVFfQkVUQV81WVIuMzEvMTIvMjAxOQEAAADLU+QhAwAAAAAA3wbedPJB2Ahlikd28kHYCDNDSVEuTkFTREFRR1M6Q0FLRS5JUV9FQklUREEuOTk4LjMwLzA0LzIwMjAuLkYuVVNELkMBAAAACOAEAAIAAAAHMjUzLjQxNwEIAAAABQAAAAExAQAAAAoyMDIxNTgxNDA5AwAAAAMxNjACAAAABDQwNTEEAAAAATEHAAAACTQvMzAvMjAyMAgAAAAJOC8xNi8yMDIwCQAAAAEw/2/KTPJB2AiuCqNZ8kHYCDlDSVEuTkFTREFRR1M6Q0FLRS5JUV9UT1RBTF9BU1NFVFMuOTk2LjMwLzA0LzIwMjAuLkYuVVNELkMBAAAACOAE</t>
  </si>
  <si>
    <t>AAIAAAAIMTIzMy4zNDYBCAAAAAUAAAABMQEAAAAKMTg3NzE0NDQzOAMAAAADMTYwAgAAAAQxMDA3BAAAAAExBwAAAAk0LzMwLzIwMjAIAAAACTgvMTYvMjAyMAkAAAABMANJykzyQdgIzOSUWfJB2AguQ0lRLkxTRTpUU0NPLklRX0xBU1RTQUxFUFJJQ0UuMjgvMDIvMjAxNS5HQlAuQwEAAAAwUAYAAgAAAAUyLjQ1NABHYBd48kHYCAvuAHnyQdgIPENJUS5OWVNFOlJBQ0UuSVFfUkVWRU5VRV9NRURJQU5fRVNULjYwMDAuMzAvMDQvMjAyMC4uRi5FVVIuQwEAAAA9grAQAgAAAAgzOTY5LjUyMwEOAAAABQAAAAIxMQEAAAABMAIAAAAKMTAwMzIyNjgwNwMAAAAGMTAwMTgxBAAAAAEzBgAAAAEwBwAAAAI1MAgAAAABMQkAAAABMQoAAAABMAsAAAALMTE4OTU1MzYxOTgMAAAAAjEyDQAAAAg1LzEvMjAyMBAAAAAJOC8xNi8yMDIwpH8HS/JB2AhDQp1Z8kHYCDdDSVEuTllTRTpLTy5JUV9FQklUX01FRElBTl9FU1QuMTAwMy4zMC8wNC8yMDIwLi5GLlVTRC5DAQAAABJoAAACAAAACjExMzU5LjMzMTUBDgAAAAUAAAABMwEAAAABMAIAAAAKMTAwMTc5Njg1NgMAAAAGMTAwMjE2BAAAAAEyBgAAAAEwBwAAAAMxNjAIAAAAATEJAAAAATEKAAAAATALAAAACzExODgzNjAzNjcwDAAAAAExDQAAAAg1LzEvMjAyMBAAAAAJOC8xNi8yMDIw/2/KTPJB2AjTgKNZ8kHYCCVDSVEuXkNPTVAuSVFfTEFTVFNBTEVQUklDRS4xMC8w</t>
  </si>
  <si>
    <t>OC8yMDE4AQAAAIm4KAACAAAABzc4MzkuMTEAisU3UfJB2Ai9shdz8kHYCCVDSVEuXkNPTVAuSVFfTEFTVFNBTEVQUklDRS4wOC8wNi8yMDE4AQAAAIm4KAACAAAABzc2NDUuNTEAisU3UfJB2AiYABhz8kHYCDpDSVEuTFNFOlNGT1IuSVFfVE9UQUxfREVCVF9DVVJSRU5ULjk5Ni4zMS8xMi8yMDE5Li5GLkdCUC5DAQAAAMtT5CEDAAAAAAAcrRd48kHYCGfd+HjyQdgINUNJUS5OWVNFOktPLklRX0RBX01FRElBTl9FU1QuNjAwMC4zMS8xMi8yMDE5Li5GLlVTRC5DAQAAABJoAAACAAAABDE1NjgBDgAAAAUAAAACMTEBAAAAATACAAAACDc4ODg3NDkzAwAAAAYxMTQxOTAEAAAAATIGAAAAATAHAAAAAzE2MAgAAAABMQkAAAABMQoAAAABMAsAAAALMTE2NTY1Njc0NzQMAAAAAjEyDQAAAAgxLzEvMjAyMBAAAAAJOC8xNi8yMDIwOzyWd/JB2AiG4Od48kHYCCFDSVEuTFNFOlRTQ08uSVFfVk9MVU1FLjMwLzExLzIwMTgBAAAAMFAGAAIAAAAINDYuMTg0ODQAx+J/U/JB2AjTUR9x8kHYCCFDSVEuTFNFOlRTQ08uSVFfVk9MVU1FLjE5LzEwLzIwMTgBAAAAMFAGAAIAAAAIMzAuODY5MzMAQ5iFUvJB2AgY9BVx8kHYCCRDSVEuXlNQWC5JUV9MQVNUU0FMRVBSSUNFLjMwLzA0LzIwMjABAAAAm7goAAIAAAAPMjkxMi40MzA1MjQ2NjA3AADeMlLyQdgI8jy0WfJB2AhAQ0lRLkxTRTpTRk9SLklRX01JTk9SSVRZX0lOVEVS</t>
  </si>
  <si>
    <t>RVNUX1RPVEFMLjEwMDAuMzEvMTIvMjAxOS4uRi5HQlAuQwEAAADLU+QhAgAAAAMwLjEBCAAAAAUAAAABMQEAAAAKMTk2MTExNjI3MQMAAAACNTUCAAAABDEzMTIEAAAAATEHAAAACjEyLzMxLzIwMTkIAAAACTgvMTYvMjAyMAkAAAABMITUF3jyQdgI7qT2ePJB2AgtQ0lRLkxTRTpUU0NPLklRX0RBX0NGLjk5OS4zMC8wNC8yMDIwLi5GLkdCUC5DAQAAADBQBgACAAAABDExNjUBCAAAAAUAAAABMQEAAAAKMTk2ODczNjU2MwMAAAACNTUCAAAABDIxNjAEAAAAATEHAAAACTQvMzAvMjAyMAgAAAAJOC8xNi8yMDIwCQAAAAEwyTEHS/JB2Ai9CqpZ8kHYCCJDSVEuTllTRTpNQU5VLklRX1ZPTFVNRS4xMC8wNC8yMDIwAQAAAN1rDQADAAAAAACV/SRV8kHYCKeSeVnyQdgIOkNJUS5MU0U6U0ZPUi5JUV9FQklUREFfTUVESUFOX0VTVC4xMDAzLjMwLzA0LzIwMjAuLkYuR0JQLkMBAAAAy1PkIQIAAAAQOTQuODI3Mzg1MDQyOTEwMQEOAAAABQAAAAEzAQAAAAEwAgAAAAoxMDA0NjMwNjcxAwAAAAYxMDAxODgEAAAAATMGAAAAATAHAAAAAjU1CAAAAAExCQAAAAExCgAAAAEwCwAAAAsxMTg5OTMzMTM4OAwAAAABMQ0AAAAINS8xLzIwMjAQAAAACTgvMTYvMjAyMKR/B0vyQdgIJzehWfJB2AgpQ0lRLklRMjY2ODY0MS5JUV9MQVNUU0FMRVBSSUNFLjMxLzEyLzIwMTkBAAAAYbgoAAIAAAADMy40AN8G3nTyQdgIaINJdvJB</t>
  </si>
  <si>
    <t>2AgoQ0lRLkxTRTpUU0NPLklRX0xBU1RTQUxFUFJJQ0UuMzAvMDQvMjAxOQEAAAAwUAYAAgAAAAUyLjQ5OAAID35T8kHYCL6NLHHyQdgIJENJUS5eQVNYLklRX0xBU1RTQUxFUFJJQ0UuMTQvMDkvMjAxOAEAAAAfU+sBAgAAAAs0MDM4LjExNDkyNACKxTdR8kHYCJ6AG3PyQdgIOkNJUS5OWVNFOktPLklRX1RPVEFMX0NPTU1PTl9FUVVJVFkuOTk2LjMwLzA0LzIwMjAuLkYuVVNELkMBAAAAEmgAAAIAAAAFMjU1NTQBCAAAAAUAAAABMQEAAAAKMTg3NTc5NzgwOQMAAAADMTYwAgAAAAQxMDA2BAAAAAExBwAAAAk0LzMwLzIwMjAIAAAACTgvMTYvMjAyMAkAAAABMANJykzyQdgIcX+cWfJB2Ag2Q0lRLkxTRTpUU0NPLklRX0RBX01FRElBTl9FU1QuNjAwMC4zMC8wNC8yMDIwLi5GLkdCUC5DAQAAADBQBgACAAAABDIwMzYBDgAAAAUAAAACMTEBAAAAATACAAAACjEwMDAyNjQ0OTkDAAAABjExNDE5MAQAAAABMwYAAAABMAcAAAACNTUIAAAAATEJAAAAATEKAAAAATALAAAACzExODkyMzU2NTY3DAAAAAIxMg0AAAAINS8xLzIwMjAQAAAACTgvMTYvMjAyMKR/B0vyQdgI2m6pWfJB2AglQ0lRLl5DT01QLklRX0xBU1RTQUxFUFJJQ0UuMDEvMDMvMjAxOQEAAACJuCgAAgAAAAc3NTk1LjM1AKCeN1HyQdgI0sgWc/JB2AgrQ0lRLk5ZU0U6TUFOVS5JUV9OSS45OTYuMzEvMTIvMjAxOS4uRi5HQlAuQwEAAADdaw0AAgAA</t>
  </si>
  <si>
    <t>AAYtMC44OTUBCAAAAAUAAAABMQEAAAAKMTg2MTczNjg2OQMAAAACNTUCAAAAAjE1BAAAAAExBwAAAAoxMi8zMS8yMDE5CAAAAAk4LzE2LzIwMjAJAAAAATDaFJZ38kHYCF9V6HjyQdgIPkNJUS5OWVNFOktPLklRX1RPVEFMX0RFQlRfTk9OX0NVUlJFTlQuMjAwMC4zMC8wNC8yMDIwLi5GLlVTRC5DAQAAABJoAAACAAAABTMxMTE3AQgAAAAFAAAAATEBAAAACjIwMzAzNzY4OTcDAAAAAzE2MAIAAAAFMjUyMjQEAAAAATEHAAAACTQvMzAvMjAyMAgAAAAJOC8xNi8yMDIwCQAAAAEwA0nKTPJB2Aie7pdZ8kHYCDRDSVEuTFNFOlNGT1IuSVFfUFJFRl9FUVVJVFkuMjAwMC4zMS8xMi8yMDE5Li5GLkdCUC5DAQAAAMtT5CEDAAAAAACE1Bd48kHYCD9G9XjyQdgIMUNJUS5OWVNFOk1BTlUuSVFfSU5DX1RBWC4xMDAwLjMxLzEyLzIwMTkuLkYuR0JQLkMBAAAA3WsNAAIAAAAFOC41OTUBCAAAAAUAAAABMQEAAAAKMTk4NTg0NTA2MwMAAAACNTUCAAAAAjc1BAAAAAExBwAAAAoxMi8zMS8yMDE5CAAAAAk4LzE2LzIwMjAJAAAAATDc7ZV38kHYCOoB6njyQdgIJkNJUS5OQVNEQVFHUzpDQUtFLklRX1ZPTFVNRS4yMC8wNy8yMDE4AQAAAAjgBAACAAAACDAuNDcxMDQ0ADq/hVLyQdgIilkOcfJB2Ag1Q0lRQVZHLiRBRURHQlAuSVFfTEFTVFNBTEVQUklDRS4zMC8wNi8yMDE1LjMwLzA2LzIwMTYBAAAAJetaAAIAAAAINS40</t>
  </si>
  <si>
    <t>NDkzNjkA6pbKTPJB2Ah/41928kHYCCdDSVEuTllTRTpLTy5JUV9MQVNUU0FMRVBSSUNFLjMwLzA5LzIwMTkBAAAAEmgAAAIAAAAFNTQuNDQAAeh9U/JB2Ahm7C1x8kHYCC5DSVEuTFNFOlRTQ08uSVFfVE9UQUxfUkVWOkNVUlJFTkNZLi4zMS8xMi8yMDE5AQAAADBQBgADAAAAA0dCUAEIAAAABQAAAAExAQAAAAoxOTg2NzkzMjQwAwAAAAI1NQIAAAACMjgEAAAAATAHAAAACjEyLzMxLzIwMTkIAAAACTgvMjQvMjAxOQkAAAABMP4DQnXyQdgINzdedvJB2Ag1Q0lRLlVTRC5JUV9GVUxMX0NVUlZFX0FOTlVBTC5BTExDT1JQLkIuMjBZLjMwLzA0LzIwMjABAAAAAAAAAAIAAAAIMC4xMDM3NDcAqiQlVfJB2AhlvIZZ8kHYCCRDSVEuXkFTWC5JUV9MQVNUU0FMRVBSSUNFLjMxLzAzLzIwMTYBAAAAH1PrAQIAAAALMzM5NS4xOTM2NzYAfKuFUfJB2AjR0wtz8kHYCCJDSVEuTllTRTpSQUNFLklRX1ZPTFVNRS4xMi8xMC8yMDE4AQAAAD2CsBACAAAACDAuNzQxODE4AEOYhVLyQdgIUlgVcfJB2AggQ0lRLi5JUV9MQVNUU0FMRVBSSUNFLjI3LzAzLzIwMjAFAAAAAAAAAAgAAAAUKEludmFsaWQgSWRlbnRpZmllcincqy9S8kHYCAX2xlnyQdgIMUNJUUFWRy4lVENNU1kwNy5JUV9MQVNUU0FMRVBSSUNFLjQwMjk4LjMwLzA0LzIwMjABAAAAGh8oAgIAAAAQMS45NzY1MzczODUwNDU5OACqJCVV8kHYCCbz0VryQdgIJkNJ</t>
  </si>
  <si>
    <t>US5OQVNEQVFHUzpUU0xBLklRX1ZPTFVNRS4yOC8wNi8yMDE5AQAAABDGogECAAAACDYuODUxMzg0AKPWJFXyQdgId+bBcvJB2AgkQ0lRLl5BU1guSVFfTEFTVFNBTEVQUklDRS4wMy8wMS8yMDIwAQAAAB9T6wECAAAACzQyMzUuNjUzMTk5AAmWN1LyQdgIPjO/WfJB2AgwQ0lRLk5BU0RBUUdTOkNBS0UuSVFfQVAuMjAwMC4zMC8wNC8yMDIwLi5GLlVTRC5DAQAAAAjgBAACAAAABjYxLjk0NgEIAAAABQAAAAExAQAAAAoyMDIxNTgyNzA0AwAAAAMxNjACAAAABDEwMTgEAAAAATEHAAAACTQvMzAvMjAyMAgAAAAJOC8xNi8yMDIwCQAAAAEw/2/KTPJB2Aj+76xZ8kHYCD9DSVEuTkFTREFRR1M6VFNMQS5JUV9FQklUREFfTUVESUFOX0VTVC42MDAxLjMwLzA0LzIwMjAuLkYuVVNELkMBAAAAEMaiAQMAAAAAAKR/B0vyQdgIJzehWfJB2AgnQ0lRLk5ZU0U6S08uSVFfTEFTVFNBTEVQUklDRS4xNC8xMi8yMDE4AQAAABJoAAACAAAABTQ5LjM0AMfif1PyQdgIa9cgcfJB2AgZQ0lRLi5JUV9WT0xVTUUuMTUvMDIvMjAxOQUAAAAAAAAACAAAABQoSW52YWxpZCBJZGVudGlmaWVyKccff1PyQdgIcEq6cvJB2Ag6Q0lRLk5ZU0U6S08uSVFfVE9UQUxfREVCVF9DVVJSRU5ULjEwMDAuMzAvMDQvMjAyMC4uRi5VU0QuQwEAAAASaAAAAgAAAAUxNTUyOAEIAAAABQAAAAExAQAAAAoyMDE2NzkxMjQ1AwAAAAMxNjACAAAABTI1</t>
  </si>
  <si>
    <t>MjIzBAAAAAExBwAAAAk0LzMwLzIwMjAIAAAACTgvMTYvMjAyMAkAAAABMANJykzyQdgILUKWWfJB2Ag2Q0lRLkxTRTpTRk9SLklRX0NBU0hfU1RfSU5WRVNULjk5Ni4zMC8wNC8yMDIwLi5GLkdCUC5DAQAAAMtT5CEDAAAAAADZCgdL8kHYCCk4k1nyQdgIMUNJUS5OWVNFOk1BTlUuSVFfQ09TVF9SRVYuOTk4LjMwLzA0LzIwMjAuLkYuR0JQLkMBAAAA3WsNAAIAAAAGNzguODAyAQgAAAAFAAAAATEBAAAACjE5ODU4NDUwNDUDAAAAAjU1AgAAAAExBAAAAAExBwAAAAk0LzMwLzIwMjAIAAAACTgvMTYvMjAyMAkAAAABMP9vykzyQdgIwhWfWfJB2AgoQ0lRLkxTRTpTRk9SLklRX0xBU1RTQUxFUFJJQ0UuMzEvMDgvMjAxOQEAAADLU+QhAgAAAAUxLjQxNQAID35T8kHYCH53LXHyQdgIJkNJUS5OQVNEQVFHUzpUU0xBLklRX1ZPTFVNRS4yNS8wMS8yMDE5AQAAABDGogECAAAACDcuMjU4MDc4AKS8f1PyQdgIo0rBcvJB2Ag2Q0lRLk5ZU0U6UkFDRS5JUV9JTlRFUkVTVF9FWFAuMjAwMC4zMC8wNC8yMDIwLi5GLkVVUi5DAQAAAD2CsBACAAAABy0zOS43NDYBCAAAAAUAAAABMQEAAAAKMjAxNTY0Mjk1NAMAAAACNTACAAAAAjgyBAAAAAExBwAAAAk0LzMwLzIwMjAIAAAACTgvMTYvMjAyMAkAAAABMNkKB0vyQdgIDKGsWfJB2AgnQ0lRLiRBRURQTE4uSVFfTEFTVFNBTEVQUklDRS4zMS8xMi8yMDE5AQAAACXrWgAC</t>
  </si>
  <si>
    <t>AAAACjAuOTY5NDg3NDEA/gNCdfJB2AjYfUt28kHYCCJDSVEuTllTRTpNQU5VLklRX1ZPTFVNRS4wOS8wMi8yMDE4AQAAAN1rDQACAAAACDAuMDc1MTYxACgrQnXyQdgIEVdZdvJB2AglQ0lRLl5DT01QLklRX0xBU1RTQUxFUFJJQ0UuMDYvMDcvMjAxOAEAAACJuCgAAgAAAAc3Njg4LjM5AIrFN1HyQdgIkdkXc/JB2AgnQ0lRLiRBRURFVVIuSVFfTEFTVFNBTEVQUklDRS4zMC8wNC8yMDIwAQAAACXrWgACAAAACzQuMDE4MTU5OTM5AJX9JFXyQdgIZmOKWfJB2AglQ0lRLi5JUV9QUklDRV9WT0xfSElTVF8yWVIuMzEvMTIvMjAxOQUAAAAAAAAACAAAABQoSW52YWxpZCBJZGVudGlmaWVyKawM3HTyQdgI0uhIdvJB2AgzQ0lRQVZHLklRNTAwMjc1ODAuSVFfTEFTVFNBTEVQUklDRS40MDE3OC4zMS8xMi8yMDE5AQAAADxc+wICAAAAEDIuMDk0NDI2MTY2MjU3NDUA2C3edPJB2Ah/IEp28kHYCBlDSVEuLklRX1ZPTFVNRS4wMi8wMy8yMDE4BQAAAAAAAAAIAAAAFChJbnZhbGlkIElkZW50aWZpZXIpGN1BdfJB2AiK0Vd28kHYCChDSVEuTFNFOlRTQ08uSVFfTEFTVFNBTEVQUklDRS4xOS8wMS8yMDE4AQAAADBQBgACAAAABTIuMDc4ACgrQnXyQdgIowNbdvJB2Ag3Q0lRLk5BU0RBUUdTOlRTTEEuSVFfVE9UQUxfTElBQi45OTcuMzEvMTIvMjAxOS4uRi5VU0QuQwEAAAAQxqIBAgAAAAg2OTg0LjIzNQEIAAAABQAA</t>
  </si>
  <si>
    <t>AAExAQAAAAoxODc1NzY5MDgyAwAAAAMxNjACAAAABDEyNzYEAAAAATEHAAAACjEyLzMxLzIwMTkIAAAACTgvMTYvMjAyMAkAAAABMITUF3jyQdgIBJT1ePJB2AgnQ0lRLkxTRTpTRk9SLklRX0JFVEFfNVlSX1JTUS4zMS8xMi8yMDE5AQAAAMtT5CEDAAAAAADfBt508kHYCGWKR3byQdgIP0NJUS5OQVNEQVFHUzpUU0xBLklRX1RPVEFMX0RFQlRfQ1VSUkVOVC45OTkuMzEvMTIvMjAxOS4uRi5VU0QuQwEAAAAQxqIBAgAAAAc5NzguODQ3AQgAAAAFAAAAATEBAAAACjE5NDU4NzM1NTADAAAAAzE2MAIAAAAFMjUyMjMEAAAAATEHAAAACjEyLzMxLzIwMTkIAAAACTgvMTYvMjAyMAkAAAABMBytF3jyQdgIQ1L5ePJB2AggQ0lRLi5JUV9MQVNUU0FMRVBSSUNFLjE2LzAyLzIwMTgFAAAAAAAAAAgAAAAUKEludmFsaWQgSWRlbnRpZmllcilJgdx08kHYCGqOPnbyQdgILkNJUS5OQVNEQVFHUzpDQUtFLklRX0RJVklERU5EX1lJRUxELjMxLzEyLzIwMTkBAAAACOAEAAIAAAAGMy43MDU2AP4DQnXyQdgIjyZPdvJB2AgtQ0lRLk5BU0RBUUdTOlRTTEEuSVFfTEFTVFNBTEVQUklDRS4xNi8wMy8yMDE4AQAAABDGogECAAAABjMyMS4zNQAoK0J18kHYCIr+VXbyQdgIN0NJUS5OQVNEQVFHUzpUU0xBLklRX1RPVEFMX1JFVi4xMDAwLjMwLzA0LzIwMjAuLkYuVVNELkMBAAAAEMaiAQIAAAAFMjQ1NzgBCAAAAAUAAAABMQEA</t>
  </si>
  <si>
    <t>AAAKMjAxMzkwNzQ2MAMAAAADMTYwAgAAAAIyOAQAAAABMQcAAAAJNC8zMC8yMDIwCAAAAAk4LzE2LzIwMjAJAAAAATC8WAdL8kHYCCqQnVnyQdgIL0NJUS5OWVNFOktPLklRX1RPVEFMX0NMLjk5OS4zMS8xMi8yMDE5Li5GLlVTRC5DAQAAABJoAAACAAAABTI3MTk0AQgAAAAFAAAAATEBAAAACjE5NDY0MzA3NzkDAAAAAzE2MAIAAAAEMTAwOQQAAAABMQcAAAAKMTIvMzEvMjAxOQgAAAAJOC8xNi8yMDIwCQAAAAEwHK0XePJB2Ai0j/h48kHYCCdDSVEuTllTRTpLTy5JUV9MQVNUU0FMRVBSSUNFLjMxLzA4LzIwMTkBAAAAEmgAAAIAAAAFNTUuMDQAAeh9U/JB2Ah3ni1x8kHYCDFDSVEuTFNFOlRTQ08uSVFfVE9UQUxfUkVWLjk5Ny4zMS8xMi8yMDE5Li5GLkdCUC5DAQAAADBQBgACAAAABTUzOTMzAQgAAAAFAAAAATEBAAAACjE4NDc4MjUxNDgDAAAAAjU1AgAAAAIyOAQAAAABMQcAAAAKMTIvMzEvMjAxOQgAAAAJOC8xNi8yMDIwCQAAAAEwHvsXePJB2AjHEvJ48kHYCCFDSVEuTFNFOlRTQ08uSVFfVk9MVU1FLjE3LzA4LzIwMTgBAAAAMFAGAAIAAAAIMjIuOTA4OTcAOr+FUvJB2AimoBBx8kHYCCFDSVEuTFNFOlRTQ08uSVFfVk9MVU1FLjA5LzAyLzIwMTgBAAAAMFAGAAIAAAAIMjQuNTYwMjMAKCtCdfJB2AgRV1l28kHYCCZDSVEuTkFTREFRR1M6VFNMQS5JUV9WT0xVTUUuMTUvMDIvMjAxOQEAAAAQxqIB</t>
  </si>
  <si>
    <t>AgAAAAgzLjkwNDk0NwCkvH9T8kHYCKNKwXLyQdgIP0NJUS5OWVNFOktPLklRX01JTk9SSVRZX0lOVEVSRVNUX1RPVEFMLjIwMDAuMzAvMDQvMjAyMC4uRi5VU0QuQwEAAAASaAAAAgAAAAQxNjc2AQgAAAAFAAAAATEBAAAACjIwMzAzNzY4OTcDAAAAAzE2MAIAAAAEMTMxMgQAAAABMQcAAAAJNC8zMC8yMDIwCAAAAAk4LzE2LzIwMjAJAAAAATADScpM8kHYCF8mmVnyQdgIKkNJUS5MU0U6VFNDTy5JUV9HUC45OTcuMzAvMDQvMjAyMC4uRi5HQlAuQwEAAAAwUAYAAgAAAAQyMzYzAQgAAAAFAAAAATEBAAAACjE4ODg1MjUwNzQDAAAAAjU1AgAAAAIxMAQAAAABMQcAAAAJNC8zMC8yMDIwCAAAAAk4LzE2LzIwMjAJAAAAATDJMQdL8kHYCHMmoFnyQdgILkNJUS5OWVNFOlJBQ0UuSVFfUFJJQ0VfVk9MX0hJU1RfMllSLjMxLzEyLzIwMTkBAAAAPYKwEAIAAAAHMjguNDY0NADr39108kHYCGWKR3byQdgIIUNJUS5MU0U6VFNDTy5JUV9WT0xVTUUuMjkvMDYvMjAxOAEAAAAwUAYAAgAAAAYyNS45NjIAOr+FUvJB2AjbDwxx8kHYCCpDSVEuTllTRTpLTy5JUV9HUC4yMDAwLjMxLzEyLzIwMTkuLkYuVVNELkMBAAAAEmgAAAIAAAAFMjA3MDIBCAAAAAUAAAABMQEAAAAKMTk4ODgwMTUyNgMAAAADMTYwAgAAAAIxMAQAAAABMQcAAAAKMTIvMzEvMjAxOQgAAAAJOC8xNi8yMDIwCQAAAAEwHvsXePJB2Aig3PB48kHYCDJD</t>
  </si>
  <si>
    <t>SVEuTkFTREFRR1M6Q0FLRS5JUV9FQklULjIwMDAuMzEvMTIvMjAxOS4uRi5VU0QuQwEAAAAI4AQAAgAAAAcxMzQuNzg1AQgAAAAFAAAAATEBAAAACjE5OTEzMjcwNDADAAAAAzE2MAIAAAADNDAwBAAAAAExBwAAAAoxMi8zMS8yMDE5CAAAAAk4LzE2LzIwMjAJAAAAATAeIhh48kHYCEFx7HjyQdgIMkNJUS5OQVNEQVFHUzpDQUtFLklRX0RBX0NGLjk5Ni4zMC8wNC8yMDIwLi5GLlVTRC5DAQAAAAjgBAACAAAABjg1LjU2MwEIAAAABQAAAAExAQAAAAoxODc3MTQ0NDM4AwAAAAMxNjACAAAABDIxNjAEAAAAATEHAAAACTQvMzAvMjAyMAgAAAAJOC8xNi8yMDIwCQAAAAEw/2/KTPJB2AigWKpZ8kHYCDhDSVEuTFNFOlRTQ08uSVFfRUJJVF9NRURJQU5fRVNULjEwMDIuMzAvMDQvMjAyMC4uRi5HQlAuQwEAAAAwUAYAAgAAAAkzMDc0LjA2MzUBDgAAAAUAAAABMwEAAAABMAIAAAAKMTAwMDI2NDUwMAMAAAAGMTAwMjE2BAAAAAEzBgAAAAEwBwAAAAI1NQgAAAABMQkAAAABMQoAAAABMAsAAAALMTE4OTIzNTc3OTcMAAAAATENAAAACDUvMS8yMDIwEAAAAAk4LzE2LzIwMjCkfwdL8kHYCHnNo1nyQdgIL0NJUS5OWVNFOktPLklRX1NIQVJFU09VVFNUQU5ESU5HLjMwLzA0LzIwMjAuVVNEAQAAABJoAAACAAAACzQyOTQuODkxMzUzALNDw1ryQdgIRn7RWvJB2Ag1Q0lRLk5BU0RBUUdTOlRTTEEuSVFfU0hBUkVTT1VU</t>
  </si>
  <si>
    <t>U1RBTkRJTkcuMzEvMTIvMjAxNi5VU0QBAAAAEMaiAQIAAAAGMTYxLjA5ABUiykzyQdgIe/RgdvJB2Ag3Q0lRLk5ZU0U6UkFDRS5JUV9OSV9NRURJQU5fRVNULjEwMDIuMzAvMDQvMjAyMC4uRi5FVVIuQwEAAAA9grAQAgAAAAg4MDYuNDgxNQEOAAAABQAAAAEzAQAAAAEwAgAAAAoxMDAzMjI2ODU0AwAAAAYxMDAyNTEEAAAAATMGAAAAATAHAAAAAjUwCAAAAAExCQAAAAExCgAAAAEwCwAAAAsxMTg5NTUzNTY0OQwAAAABMQ0AAAAINS8xLzIwMjAQAAAACTgvMTYvMjAyMKR/B0vyQdgISsKnWfJB2AhEQ0lRLk5BU0RBUUdTOkNBS0UuSVFfTUlOT1JJVFlfSU5URVJFU1RfVE9UQUwuOTk2LjMxLzEyLzIwMTkuLkYuVVNELkMBAAAACOAEAAMAAAAAAITUF3jyQdgIoi72ePJB2AgpQ0lRLk5ZU0U6UkFDRS5JUV9MQVNUU0FMRVBSSUNFLjAxLzA2LzIwMTgBAAAAPYKwEAIAAAAFMTMyLjkAKeaFUvJB2AiNoAlx8kHYCDBDSVEuTFNFOlNGT1IuSVFfSU5DX1RBWC4xMDAwLjMxLzEyLzIwMTkuLkYuR0JQLkMBAAAAy1PkIQIAAAAJLTEuNzMzMTQzAQgAAAAFAAAAATEBAAAACjE5NjExMTYyNzEDAAAAAjU1AgAAAAI3NQQAAAABMQcAAAAKMTIvMzEvMjAxOQgAAAAJOC8xNi8yMDIwCQAAAAEw3O2Vd/JB2AjqAep48kHYCCJDSVEuTllTRTpNQU5VLklRX1ZPTFVNRS4yOC8xMi8yMDE4AQAAAN1rDQACAAAACDAuMTAwODQ1</t>
  </si>
  <si>
    <t>AMfif1PyQdgIGzYicfJB2Ag2Q0lRLk5BU0RBUUdTOlRTTEEuSVFfTFRfSU5WRVNULjk5Ni4zMS8xMi8yMDE5Li5GLlVTRC5DAQAAABDGogEDAAAAAAA7hhd48kHYCMbF+XjyQdgIJ0NJUS5OWVNFOktPLklRX0xBU1RTQUxFUFJJQ0UuMjkvMTEvMjAxOQEAAAASaAAAAgAAAAQ1My40AOg1flPyQdgIp8UtcfJB2Ag/Q0lRLkxTRTpTRk9SLklRX01JTk9SSVRZX0lOVEVSRVNUX1RPVEFMLjk5Ny4zMS8xMi8yMDE5Li5GLkdCUC5DAQAAAMtT5CEDAAAAAACE1Bd48kHYCKIu9njyQdgINUNJUS5OWVNFOk1BTlUuSVFfU0hBUkVTT1VUU1RBTkRJTkdfT1VULjMwLzA2LzIwMTcuR0JQAQAAAN1rDQACAAAACjE2NC4wMjUyNzgAA0nKTPJB2AjOtWF28kHYCChDSVEuTFNFOlRTQ08uSVFfTEFTVFNBTEVQUklDRS4yMC8wNy8yMDE4AQAAADBQBgACAAAABTIuNTg4ADq/hVLyQdgITjEOcfJB2Ag0Q0lRQVZHLklRMTAwODg5OTUxLklRX0xBU1RTQUxFUFJJQ0UuNDAyOTguMzAvMDQvMjAyMAEAAABfdQMGAgAAABEwLjQ3NTI4NzUzMTA4MzQ4MQCqJCVV8kHYCCbz0VryQdgIGUNJUS4uSVFfVk9MVU1FLjE3LzA0LzIwMjAFAAAAAAAAAAgAAAAUKEludmFsaWQgSWRlbnRpZmllcinZObVT8kHYCD5PdVnyQdgIKENJUS4lVENNU00wNi5JUV9MQVNUU0FMRVBSSUNFLjMwLzA0LzIwMjABAAAACx8oAgIAAAAEMC4xMQCj1iRV8kHY</t>
  </si>
  <si>
    <t>CNsPhVnyQdgIKUNJUS5OWVNFOk1BTlUuSVFfTEFTVFNBTEVQUklDRS4wMS8wMi8yMDE5AQAAAN1rDQACAAAABTE5LjI1AKS8f1PyQdgIB0cjcfJB2Ag2Q0lRLk5ZU0U6TUFOVS5JUV9FUVVJVFlfTUVUSE9ELjk5OC4zMC8wNC8yMDIwLi5GLkdCUC5DAQAAAN1rDQADAAAAAAD/b8pM8kHYCNErkFnyQdgIM0NJUS5OWVNFOk1BTlUuSVFfVE9UQUxfUkVWLjIwMDAuMzEvMTIvMjAxOS4uRi5HQlAuQwEAAADdaw0AAgAAAAc2MjcuNDY3AQgAAAAFAAAAATEBAAAACjE5OTM2MjEzMjIDAAAAAjU1AgAAAAIyOAQAAAABMQcAAAAKMTIvMzEvMjAxOQgAAAAJOC8xNi8yMDIwCQAAAAEwHvsXePJB2AjdsPJ48kHYCDxDSVEuTllTRTpNQU5VLklRX1JFVkVOVUVfTUVESUFOX0VTVC42MDAxLjMwLzA0LzIwMjAuLkYuR0JQLkMBAAAA3WsNAAMAAAAAAKR/B0vyQdgIXc2cWfJB2AggQ0lRLk5ZU0U6S08uSVFfVk9MVU1FLjAzLzA0LzIwMjABAAAAEmgAAAIAAAAIMTQuMjA3MTEAo9YkVfJB2AgynXxZ8kHYCCBDSVEuTllTRTpLTy5JUV9WT0xVTUUuMTQvMDkvMjAxOAEAAAASaAAAAgAAAAg3LjYxMjg4NABDmIVS8kHYCOw2E3HyQdgIKUNJUS5OWVNFOlJBQ0UuSVFfTEFTVFNBTEVQUklDRS4zMS8wNS8yMDE4AQAAAD2CsBACAAAABjEzMS4zNQDoNX5T8kHYCIipKXHyQdgIGUNJUS4uSVFfVk9MVU1FLjI0LzA1LzIwMTkFAAAA</t>
  </si>
  <si>
    <t>AAAAAAgAAAAUKEludmFsaWQgSWRlbnRpZmllcinZObVT8kHYCHWYunLyQdgIJUNJUS5eQ09NUC5JUV9MQVNUU0FMRVBSSUNFLjMxLzEyLzIwMTYBAAAAibgoAAIAAAAHNTM4My4xMgB8q4VR8kHYCHEBCnPyQdgIGUNJUS4uSVFfVk9MVU1FLjAzLzA1LzIwMTkFAAAAAAAAAAgAAAAUKEludmFsaWQgSWRlbnRpZmllcinZObVT8kHYCHWYunLyQdgIOENJUS5OQVNEQVFHUzpDQUtFLklRX1RPVEFMX0xJQUIuMjAwMC4zMS8xMi8yMDE5Li5GLlVTRC5DAQAAAAjgBAACAAAACDE4NDcuOTU0AQgAAAAFAAAAATEBAAAACjE5OTEzMjcwNDADAAAAAzE2MAIAAAAEMTI3NgQAAAABMQcAAAAKMTIvMzEvMjAxOQgAAAAJOC8xNi8yMDIwCQAAAAEwhNQXePJB2AjeCPZ48kHYCDhDSVEuTllTRTpLTy5JUV9FU1RfRVBTX0dST1dUSF81WVJfTUVESUFOLjYwMDAuMzEvMTIvMjAxOQEAAAASaAAAAgAAAAc1LjI2MDA4AQ4AAAAFAAAAATcBAAAABzI2MDEyMDECAAAABTIyMjA4AwAAAAYxMDAxNjgEAAAAATIGAAAAATAHAAAAATAIAAAAATAJAAAAATEKAAAAATALAAAACzExNjU2NTY3MzE5DAAAAAE4DQAAAAgxLzEvMjAyMBAAAAAKMTIvMzEvMjAxOSgrQnXyQdgIJTtOdvJB2AgpQ0lRLk5ZU0U6TUFOVS5JUV9MQVNUU0FMRVBSSUNFLjE2LzAzLzIwMTgBAAAA3WsNAAIAAAAFMTkuNzUAKCtCdfJB2Aj3JFZ28kHYCCdDSVEuJEFF</t>
  </si>
  <si>
    <t>RElOUi5JUV9MQVNUU0FMRVBSSUNFLjMxLzEyLzIwMTkBAAAAJetaAAIAAAALMC4wNTE2MDgxNzEA3wbedPJB2Ag5Rkp28kHYCBlDSVEuLklRX1ZPTFVNRS4wNi8wOS8yMDE5BQAAAAAAAAAIAAAAFChJbnZhbGlkIElkZW50aWZpZXIp2Tm1U/JB2AhX5rpy8kHYCDdDSVEuR0JQLklRX0ZVTExfQ1VSVkVfQU5OVUFMLkFMTENPUlAuQ0NDLjIwWS4zMS8xMi8yMDE5AQAAAAAAAAACAAAACDAuMTMyNDUxANgt3nTyQdgIdFxJdvJB2AggQ0lRLi5JUV9MQVNUU0FMRVBSSUNFLjAyLzAzLzIwMTgFAAAAAAAAAAgAAAAUKEludmFsaWQgSWRlbnRpZmllcilUWtx08kHYCIV5P3byQdgIGUNJUS4uSVFfVk9MVU1FLjI5LzAzLzIwMTkFAAAAAAAAAAgAAAAUKEludmFsaWQgSWRlbnRpZmllcimv+H5T8kHYCH5xunLyQdgINENJUS5OWVNFOk1BTlUuSVFfUFJFRl9FUVVJVFkuOTk2LjMxLzEyLzIwMTkuLkYuR0JQLkMBAAAA3WsNAAMAAAAAAB77F3jyQdgIGYL0ePJB2AghQ0lRLkxTRTpTRk9SLklRX1ZPTFVNRS4yOS8xMi8yMDE3AQAAAMtT5CEDAAAAAAAoK0J18kHYCKrYXHbyQdgIIUNJUS5MU0U6VFNDTy5JUV9WT0xVTUUuMjkvMTEvMjAxOQEAAAAwUAYAAgAAAAgyNC42NzI1OACV/SRV8kHYCFW0vnLyQdgIO0NJUS5MU0U6U0ZPUi5JUV9UT1RBTF9DT01NT05fRVFVSVRZLjk5OS4zMC8wNC8yMDIwLi5GLkdCUC5DAQAA</t>
  </si>
  <si>
    <t>AMtT5CECAAAABjMzOS4yMgEIAAAABQAAAAExAQAAAAoxOTYxMTE2MjcxAwAAAAI1NQIAAAAEMTAwNgQAAAABMQcAAAAJNC8zMC8yMDIwCAAAAAk4LzE2LzIwMjAJAAAAATDZCgdL8kHYCIsxnFnyQdgIKENJUS5MU0U6VFNDTy5JUV9MQVNUU0FMRVBSSUNFLjAxLzA2LzIwMTgBAAAAMFAGAAIAAAAFMi40NTkAKeaFUvJB2AiBxwlx8kHYCCdDSVEuJEFFRFJVQi5JUV9MQVNUU0FMRVBSSUNFLjMxLzEyLzIwMTgBAAAAJetaAAIAAAALMC4wNTI4OTM1MTkA69/ddPJB2Aj7L0t28kHYCC9DSVEuTkFTREFRR1M6Q0FLRS5JUV9HUC45OTcuMzAvMDQvMjAyMC4uRi5VU0QuQwEAAAAI4AQAAgAAAAc5ODkuMDkzAQgAAAAFAAAAATEBAAAACjE5NDgxNzY2NjIDAAAAAzE2MAIAAAACMTAEAAAAATEHAAAACTQvMzAvMjAyMAgAAAAJOC8xNi8yMDIwCQAAAAEw/2/KTPJB2AiG/59Z8kHYCCBDSVEuTllTRTpLTy5JUV9WT0xVTUUuMDMvMDgvMjAxOAEAAAASaAAAAgAAAAgxMS40NjI4OQA6v4VS8kHYCNW2D3HyQdgINUNJUUFWRy4kQUVER0JQLklRX0xBU1RTQUxFUFJJQ0UuMjMvMDIvMjAxMy4yMi8wMi8yMDE0AQAAACXrWgACAAAACDUuNzk3NTMyAEdgF3jyQdgIC+4AefJB2AgrQ0lRLk5ZU0U6UkFDRS5JUV9OSS45OTguMzEvMTIvMjAxOS4uRi5FVVIuQwEAAAA9grAQAgAAAAczOTguNzYyAQgAAAAFAAAAATEBAAAACjE5</t>
  </si>
  <si>
    <t>NDc0NDQxODQDAAAAAjUwAgAAAAIxNQQAAAABMQcAAAAKMTIvMzEvMjAxOQgAAAAJOC8xNi8yMDIwCQAAAAEw2hSWd/JB2AhVfOh48kHYCCRDSVEuXlNQWC5JUV9MQVNUU0FMRVBSSUNFLjMxLzAxLzIwMjABAAAAm7goAAIAAAAQMzIyNS41MTYzMTY0NjQwOQBJBTNS8kHYCCuhulnyQdgINUNJUS5OWVNFOktPLklRX0RBX01FRElBTl9FU1QuMTAwMy4zMC8wNC8yMDIwLi5GLlVTRC5DAQAAABJoAAACAAAABjE1MjIuNQEOAAAABQAAAAEzAQAAAAEwAgAAAAoxMDAxNzk2ODU2AwAAAAYxMTQxOTAEAAAAATIGAAAAATAHAAAAAzE2MAgAAAABMQkAAAABMQoAAAABMAsAAAALMTE4ODM2MTIzOTcMAAAAATENAAAACDUvMS8yMDIwEAAAAAk4LzE2LzIwMjD/b8pM8kHYCALTqFnyQdgIN0NJUS5OQVNEQVFHUzpUU0xBLklRX1RPVEFMX0xJQUIuOTk5LjMwLzA0LzIwMjAuLkYuVVNELkMBAAAAEMaiAQIAAAAFMjM0MjcBCAAAAAUAAAABMQEAAAAKMjAxMzkwNzQ2MwMAAAADMTYwAgAAAAQxMjc2BAAAAAExBwAAAAk0LzMwLzIwMjAIAAAACTgvMTYvMjAyMAkAAAABMLxYB0vyQdgIDzeaWfJB2AgrQ0lRLkxTRTpTRk9SLklRX0VCVC45OTguMzAvMDQvMjAyMC4uRi5HQlAuQwEAAADLU+QhAwAAAAAA2QoHS/JB2AjPPKZZ8kHYCCRDSVEuXkFTWC5JUV9MQVNUU0FMRVBSSUNFLjIwLzAzLzIwMjABAAAAH1PrAQIAAAALMjgz</t>
  </si>
  <si>
    <t>Ny4wNDUxNjMASQUzUvJB2AgBC79Z8kHYCDRDSVFBVkcuSVExMDA4ODk5MzkuSVFfTEFTVFNBTEVQUklDRS40MDE3OC4zMS8xMi8yMDE5AQAAAFN1AwYCAAAAEDEuNjQ1MzA5ODk5NTY5NTgA2C3edPJB2AhJ+El28kHYCDFDSVEuTllTRTpNQU5VLklRX0lOQ19UQVguMTAwMC4zMC8wNC8yMDIwLi5GLkdCUC5DAQAAAN1rDQACAAAABTguNTk1AQgAAAAFAAAAATEBAAAACjE5ODU4NDUwNjMDAAAAAjU1AgAAAAI3NQQAAAABMQcAAAAJNC8zMC8yMDIwCAAAAAk4LzE2LzIwMjAJAAAAATC8WAdL8kHYCIrYplnyQdgIL0NJUS5MU0U6U0ZPUi5JUV9FQklUREEuMTAwMC4zMS8xMi8yMDE5Li5GLkdCUC5DAQAAAMtT5CECAAAACDguMDUyMDAxAQgAAAAFAAAAATEBAAAACjE5NjExMTYyNzEDAAAAAjU1AgAAAAQ0MDUxBAAAAAExBwAAAAoxMi8zMS8yMDE5CAAAAAk4LzE2LzIwMjAJAAAAATAeIhh48kHYCLuS7njyQdgINkNJUS5MU0U6VFNDTy5JUV9DQVNIX1NUX0lOVkVTVC45OTcuMzAvMDQvMjAyMC4uRi5HQlAuQwEAAAAwUAYAAgAAAAQ1ODg3AQgAAAAFAAAAATEBAAAACjE4ODg1MjUwNzQDAAAAAjU1AgAAAAQxMDAyBAAAAAExBwAAAAk0LzMwLzIwMjAIAAAACTgvMTYvMjAyMAkAAAABMMkxB0vyQdgIPBGTWfJB2AghQ0lRLkxTRTpUU0NPLklRX1ZPTFVNRS4xOC8wMS8yMDE5AQAAADBQBgACAAAACDM5LjY2NTI2</t>
  </si>
  <si>
    <t>AKS8f1PyQdgIksq9cvJB2AgvQ0lRLk5ZU0U6TUFOVS5JUV9DQVBFWC4xMDAwLjMwLzA0LzIwMjAuLkYuR0JQLkMBAAAA3WsNAAIAAAAHLTEzLjczNwEIAAAABQAAAAExAQAAAAoxOTg1ODQ1MDYzAwAAAAI1NQIAAAAEMjAyMQQAAAABMQcAAAAJNC8zMC8yMDIwCAAAAAk4LzE2LzIwMjAJAAAAATD/b8pM8kHYCGRpq1nyQdgIK0NJUS5MU0U6U0ZPUi5JUV9FQlQuOTk5LjMxLzEyLzIwMTkuLkYuR0JQLkMBAAAAy1PkIQMAAAAAANztlXfyQdgIyZ3qePJB2AgpQ0lRLk5ZU0U6TUFOVS5JUV9MQVNUU0FMRVBSSUNFLjMwLzA0LzIwMTUBAAAA3WsNAAIAAAAFMTUuNTIApLx/U/JB2AjTUR9x8kHYCCVDSVEuXkNPTVAuSVFfTEFTVFNBTEVQUklDRS4yOS8wMy8yMDE5AQAAAIm4KAACAAAABzc3MjkuMzIAoJ43UfJB2AjhoRZz8kHYCCdDSVEuTllTRTpLTy5JUV9MQVNUU0FMRVBSSUNFLjMwLzExLzIwMTgBAAAAEmgAAAIAAAAENTAuNADH4n9T8kHYCD+lK3HyQdgIJUNJUS5eQ09NUC5JUV9MQVNUU0FMRVBSSUNFLjAzLzA0LzIwMjABAAAAibgoAAIAAAAHNzM3My4wOAAA3jJS8kHYCJ+bvFnyQdgIN0NJUS5OWVNFOktPLklRX0xPV19UQVJHRVRfUFJJQ0UuNjAwMC4zMS8xMi8yMDE5Li4uVVNELkMBAAAAEmgAAAIAAAACNTQBDgAAAAUAAAABNwEAAAAHMjYwMTIwMQIAAAAFMjIyMDgDAAAABjEwMDE2NAQAAAADMjU1</t>
  </si>
  <si>
    <t>BgAAAAEwBwAAAAMxNjAIAAAAATEJAAAAATEKAAAAATALAAAACzExODYxNDYwMzU1DAAAAAE4DQAAAAgxLzEvMjAyMBAAAAAJOC8xNi8yMDIwHiIYePJB2AhEeQB58kHYCDFDSVEuTFNFOlRTQ08uSVFfVE9UQUxfQ0wuMTAwMC4zMS8xMi8yMDE5Li5GLkdCUC5DAQAAADBQBgACAAAABTIwNjgwAQgAAAAFAAAAATEBAAAACjE5Njg3MzY1NjMDAAAAAjU1AgAAAAQxMDA5BAAAAAExBwAAAAoxMi8zMS8yMDE5CAAAAAk4LzE2LzIwMjAJAAAAATAcrRd48kHYCLSP+HjyQdgILkNJUS5MU0U6U0ZPUi5JUV9DQVBFWC4xMDAwLjMwLzA0LzIwMjAuLkYuR0JQLkMBAAAAy1PkIQIAAAAGLTcuODY1AQgAAAAFAAAAATEBAAAACjIwMjI1OTk3OTkDAAAAAjU1AgAAAAQyMDIxBAAAAAExBwAAAAk0LzMwLzIwMjAIAAAACTgvMTYvMjAyMAkAAAABMNkKB0vyQdgIZGmrWfJB2Ag1Q0lRLkFVRC5JUV9GVUxMX0NVUlZFX0FOTlVBTC5BTExDT1JQLkIuMjBZLjMxLzEyLzIwMTkBAAAAAAAAAAIAAAAJMC4wODgyODI5ANgt3nTyQdgISfhJdvJB2Ag7Q0lRLk5ZU0U6UkFDRS5JUV9FQklUREFfTUVESUFOX0VTVC42MDAxLjMwLzA0LzIwMjAuLkYuRVVSLkMBAAAAPYKwEAMAAAAAAKR/B0vyQdgIIF6hWfJB2AghQ0lRLkxTRTpTRk9SLklRX1ZPTFVNRS4yNi8wNy8yMDE5AQAAAMtT5CECAAAACDAuMjU2MzM4ANk5tVPyQdgIty69cvJB</t>
  </si>
  <si>
    <t>2Ag/Q0lRLk5BU0RBUUdTOlRTTEEuSVFfVE9UQUxfREVCVF9DVVJSRU5ULjk5Ny4zMC8wNC8yMDIwLi5GLlVTRC5DAQAAABDGogECAAAACDEyMTAuOTYyAQgAAAAFAAAAATEBAAAACjE5NDU4NzM1NTEDAAAAAzE2MAIAAAAFMjUyMjMEAAAAATEHAAAACTQvMzAvMjAyMAgAAAAJOC8xNi8yMDIwCQAAAAEwvFgHS/JB2AgHt5ZZ8kHYCChDSVEuTFNFOlNGT1IuSVFfTEFTVFNBTEVQUklDRS4xMS8wNS8yMDE4AQAAAMtT5CEDAAAAAAAp5oVS8kHYCJ1eBnHyQdgIJENJUS5eQVNYLklRX0xBU1RTQUxFUFJJQ0UuMTgvMTAvMjAxOQEAAAAfU+sBAgAAAAszOTU2Ljg4NTc4OAC1vDdS8kHYCPvTGXPyQdgILUNJUS5OQVNEQVFHUzpDQUtFLklRX0xBU1RTQUxFUFJJQ0UuMDgvMDIvMjAxOQEAAAAI4AQAAgAAAAU0Ni4xNACkvH9T8kHYCJ+UI3HyQdgIOUNJUS5OWVNFOk1BTlUuSVFfTE9XX1RBUkdFVF9QUklDRS42MDAwLjMxLzEyLzIwMTkuLi5HQlAuQwEAAADdaw0AAgAAAAYxMy44MzQBDgAAAAUAAAABNwEAAAAJMjE1MDU1Mzg1AgAAAAY3MDI3MjgDAAAABjEwMDE2NAQAAAADMjU1BgAAAAEwBwAAAAI1NQgAAAABMQkAAAABMQoAAAABMAsAAAALMTE3Mjg0MDM5MzQMAAAAATgNAAAACDEvMS8yMDIwEAAAAAk4LzE2LzIwMjAeIhh48kHYCDhSAHnyQdgIK0NJUS5MU0U6U0ZPUi5JUV9HUC4xMDAwLjMwLzA0LzIwMjAu</t>
  </si>
  <si>
    <t>LkYuR0JQLkMBAAAAy1PkIQIAAAAHMTcxLjMxOAEIAAAABQAAAAExAQAAAAoyMDIyNTk5Nzk5AwAAAAI1NQIAAAACMTAEAAAAATEHAAAACTQvMzAvMjAyMAgAAAAJOC8xNi8yMDIwCQAAAAEw2QoHS/JB2AjBsp9Z8kHYCCRDSVEuXlNQWC5JUV9MQVNUU0FMRVBSSUNFLjA4LzAyLzIwMTkBAAAAm7goAAIAAAAQMjcwNy44ODAzODQ4OTc3MgCKxTdR8kHYCN4hE3PyQdgIPUNJUS5OQVNEQVFHUzpDQUtFLklRX0VCSVRfTUVESUFOX0VTVC42MDAwLjMxLzEyLzIwMTkuLkYuVVNELkMBAAAACOAEAAIAAAAGMTM5LjQxAQ4AAAAFAAAAAjExAQAAAAEwAgAAAAk2NTI1NzM5NDIDAAAABjEwMDIxNgQAAAABMgYAAAABMAcAAAADMTYwCAAAAAExCQAAAAExCgAAAAEwCwAAAAsxMTcyMzYxNTA3OAwAAAACMTINAAAACDEvMS8yMDIwEAAAAAk4LzE2LzIwMjDzSBh48kHYCCu/7HjyQdgIOUNJUS5MU0U6U0ZPUi5JUV9DQVBFWF9NRURJQU5fRVNULjEwMDMuMzEvMTIvMjAxOS4uRi5HQlAuQwEAAADLU+QhAgAAABEtNC43MjQ2MjEzNTg3Mzc0MQEOAAAABQAAAAEzAQAAAAEwAgAAAAoxMDA0MzQ5NjYwAwAAAAYxMDQwOTEEAAAAATMGAAAAATAHAAAAAjU1CAAAAAExCQAAAAExCgAAAAEwCwAAAAsxMTY5ODE4NTQ1NwwAAAABMQ0AAAAIMS8xLzIwMjAQAAAACTgvMTYvMjAyMDs8lnfyQdgI1KjmePJB2Ag1Q0lRQVZHLiRBRURH</t>
  </si>
  <si>
    <t>QlAuSVFfTEFTVFNBTEVQUklDRS4yNS8wMi8yMDE3LjI0LzAyLzIwMTgBAAAAJetaAAIAAAAHNC44MTQ5NwDqlspM8kHYCCe9X3byQdgILUNJUS5OQVNEQVFHUzpUU0xBLklRX0xBU1RTQUxFUFJJQ0UuMjMvMDIvMjAxOAEAAAAQxqIBAgAAAAYzNTIuMDUAKCtCdfJB2AiK0Vd28kHYCDNDSVEuTkFTREFRR1M6Q0FLRS5JUV9MQVNUU0FMRVBSSUNFLjI5LzEyLzIwMTUuVVNELkMBAAAACOAEAAIAAAAFNDYuODMAW5PiTfJB2AiUf2B28kHYCDVDSVEuRVVSLklRX0ZVTExfQ1VSVkVfQU5OVUFMLkFMTENPUlAuQS4yMFkuMzAvMDQvMjAyMAEAAAAAAAAAAgAAAAkwLjAxOTI2ODEAqiQlVfJB2AhvlYZZ8kHYCCBDSVEuLklRX0xBU1RTQUxFUFJJQ0UuMTUvMDMvMjAxOQUAAAAAAAAACAAAABQoSW52YWxpZCBJZGVudGlmaWVyKQgDN1HyQdgIpCNSc/JB2Ag8Q0lRLk5ZU0U6TUFOVS5JUV9UT1RBTF9ERUJUX0NVUlJFTlQuMTAwMC4zMC8wNC8yMDIwLi5GLkdCUC5DAQAAAN1rDQACAAAABTUuNDUzAQgAAAAFAAAAATEBAAAACjE5ODU4NDUwNjMDAAAAAjU1AgAAAAUyNTIyMwQAAAABMQcAAAAJNC8zMC8yMDIwCAAAAAk4LzE2LzIwMjAJAAAAATC8WAdL8kHYCB1pllnyQdgINkNJUS5MU0U6VFNDTy5JUV9OSV9NRURJQU5fRVNULjEwMDMuMzEvMTIvMjAxOS4uRi5HQlAuQwEAAAAwUAYAAgAAAAQxODExAQ4AAAAFAAAA</t>
  </si>
  <si>
    <t>ATMBAAAAATACAAAACjEwMDAyNjQ1MDADAAAABjEwMDI1MQQAAAABMwYAAAABMAcAAAACNTUIAAAAATEJAAAAATEKAAAAATALAAAACzExNzIyMTA2MTcxDAAAAAExDQAAAAgxLzEvMjAyMBAAAAAJOC8xNi8yMDIw2hSWd/JB2AgbZul48kHYCCJDSVEuTllTRTpNQU5VLklRX1ZPTFVNRS4xMS8wMS8yMDE5AQAAAN1rDQACAAAABjAuMDQ2NwCkvH9T8kHYCE3bvnLyQdgIKENJUS5MU0U6U0ZPUi5JUV9MQVNUU0FMRVBSSUNFLjMxLzEwLzIwMTgBAAAAy1PkIQIAAAAFMS4wNTUA6DV+U/JB2AgZLytx8kHYCDpDSVEuTkFTREFRR1M6VFNMQS5JUV9UT1RBTF9BU1NFVFMuMTAwMC4zMS8xMi8yMDE5Li5GLlVTRC5DAQAAABDGogECAAAACTI5NzM5LjYxNAEIAAAABQAAAAExAQAAAAoxOTQ1ODczNTQ2AwAAAAMxNjACAAAABDEwMDcEAAAAATEHAAAACjEyLzMxLzIwMTkIAAAACTgvMTYvMjAyMAkAAAABMDuGF3jyQdgIXEv7ePJB2Ag1Q0lRLk5ZU0U6TUFOVS5JUV9QUkVQQUlEX0VYUC4yMDAwLjMwLzA0LzIwMjAuLkYuR0JQLkMBAAAA3WsNAAIAAAAGMTMuMjExAQgAAAAFAAAAATEBAAAACjIwMTg2MzIwMDMDAAAAAjU1AgAAAAQxMjEyBAAAAAExBwAAAAk0LzMwLzIwMjAIAAAACTgvMTYvMjAyMAkAAAABMLxYB0vyQdgIHXqsWfJB2AgqQ0lRLk5ZU0U6S08uSVFfQVAuMjAwMC4zMS8xMi8yMDE5Li5GLlVTRC5DAQAA</t>
  </si>
  <si>
    <t>ABJoAAACAAAABTEyMzQzAQgAAAAFAAAAATEBAAAACjE5ODg4MDE1MjYDAAAAAzE2MAIAAAAEMTAxOAQAAAABMQcAAAAKMTIvMzEvMjAxOQgAAAAJOC8xNi8yMDIwCQAAAAEw2hSWd/JB2AhlruR48kHYCDNDSVEuTkFTREFRR1M6VFNMQS5JUV9MQVNUU0FMRVBSSUNFLjMxLzEyLzIwMTguVVNELkMBAAAAEMaiAQIAAAAFMzMyLjgAFSLKTPJB2Ag5MGB28kHYCDZDSVEuTFNFOlNGT1IuSVFfQ0FTSF9TVF9JTlZFU1QuOTk4LjMwLzA0LzIwMjAuLkYuR0JQLkMBAAAAy1PkIQMAAAAAANkKB0vyQdgIPBGTWfJB2AgoQ0lRLkxTRTpTRk9SLklRX0xBU1RTQUxFUFJJQ0UuMjMvMTEvMjAxOAEAAADLU+QhAgAAAAUxLjEzNQDH4n9T8kHYCJmNHnHyQdgIK0NJUS5OWVNFOktPLklRX1BFUklPRERBVEUuOTk0LjMxLzEyLzIwMTkuLkYBAAAAEmgAAAUAAAAKMzEvMTIvMjAxMgD+A0J18kHYCF/uTXbyQdgIK0NJUS5OWVNFOk1BTlUuSVFfR1AuOTk4LjMwLzA0LzIwMjAuLkYuR0JQLkMBAAAA3WsNAAIAAAAHNTAyLjQ1MgEIAAAABQAAAAExAQAAAAoxOTg1ODQ1MDQ1AwAAAAI1NQIAAAACMTAEAAAAATEHAAAACTQvMzAvMjAyMAgAAAAJOC8xNi8yMDIwCQAAAAEw/2/KTPJB2Ah92J9Z8kHYCCVDSVEuSVE0Mzk0MzgyNC5JUV9MQVNUU0FMRVBSSUNFLjQzNDY1AQAAAJCHngICAAAACDAuNzk5OTIyAN8G3nTyQdgIJpRKdvJB</t>
  </si>
  <si>
    <t>2AgnQ0lRLk5ZU0U6S08uSVFfTEFTVFNBTEVQUklDRS4xMS8wNS8yMDE4AQAAABJoAAACAAAABTQyLjE0ACnmhVLyQdgIm4UGcfJB2AglQ0lRLl5DT01QLklRX0xBU1RTQUxFUFJJQ0UuMjgvMDYvMjAxOQEAAACJuCgAAgAAAAc4MDA2LjI0AHyrhVHyQdgIGVQWc/JB2AgtQ0lRLk5ZU0U6UkFDRS5JUV9QRVJJT0REQVRFLjk5NC4zMC8wNC8yMDIwLi5GAQAAAD2CsBAFAAAACjMxLzEyLzIwMTMAsa8kVfJB2AgdGtJa8kHYCCpDSVEuTllTRTpLTy5JUV9TR0EuOTk5LjMwLzA0LzIwMjAuLkYuVVNELkMBAAAAEmgAAAIAAAAFMTEwMTMBCAAAAAUAAAABMQEAAAAKMjAxNjc5MTI1MQMAAAADMTYwAgAAAAIyMwQAAAABMQcAAAAJNC8zMC8yMDIwCAAAAAk4LzE2LzIwMjAJAAAAATADScpM8kHYCFaboFnyQdgIMENJUS5OWVNFOlJBQ0UuSVFfSU5DX1RBWC45OTcuMzEvMTIvMjAxOS4uRi5FVVIuQwEAAAA9grAQAgAAAAcxNDQuMTE1AQgAAAAFAAAAATEBAAAACjE4NzYwNDMzMTMDAAAAAjUwAgAAAAI3NQQAAAABMQcAAAAKMTIvMzEvMjAxOQgAAAAJOC8xNi8yMDIwCQAAAAEw3O2Vd/JB2AgKjel48kHYCCdDSVEuJEFFRFRSWS5JUV9MQVNUU0FMRVBSSUNFLjMwLzA0LzIwMjABAAAAJetaAAIAAAALMC41MjU1NDc2NTQAqiQlVfJB2Ajl6IRZ8kHYCC5DSVEuTFNFOlRTQ08uSVFfRUJJVERBLjk5Ni4zMS8xMi8yMDE5</t>
  </si>
  <si>
    <t>Li5GLkdCUC5DAQAAADBQBgACAAAABDE0ODUBCAAAAAUAAAABMQEAAAAKMTc5MTQ2ODE0NgMAAAACNTUCAAAABDQwNTEEAAAAATEHAAAACjEyLzMxLzIwMTkIAAAACTgvMTYvMjAyMAkAAAABMB4iGHjyQdgI8PbtePJB2AghQ0lRLkxTRTpUU0NPLklRX1ZPTFVNRS4xNi8wMi8yMDE4AQAAADBQBgACAAAACDI1LjQ5MjY3ACgrQnXyQdgIPLtYdvJB2Ag6Q0lRLk5ZU0U6S08uSVFfVE9UQUxfREVCVF9DVVJSRU5ULjEwMDAuMzEvMTIvMjAxOS4uRi5VU0QuQwEAAAASaAAAAgAAAAUxODE5MQEIAAAABQAAAAExAQAAAAoxOTQ2NDMwNzgxAwAAAAMxNjACAAAABTI1MjIzBAAAAAExBwAAAAoxMi8zMS8yMDE5CAAAAAk4LzE2LzIwMjAJAAAAATA7hhd48kHYCNt3+XjyQdgIKENJUS5MU0U6VFNDTy5JUV9MQVNUU0FMRVBSSUNFLjMxLzAzLzIwMTkBAAAAMFAGAAIAAAAFMi4zMjEACA9+U/JB2AjJZixx8kHYCDFDSVFBVkcuJVRDTVNZMDEuSVFfTEFTVFNBTEVQUklDRS40MDI5OC4zMC8wNC8yMDIwAQAAAA4fKAICAAAAETAuNzU5MTY0MzM0MjY2MjkzAKokJVXyQdgI5eiEWfJB2AgtQ0lRLk5BU0RBUUdTOlRTTEEuSVFfTEFTVFNBTEVQUklDRS4zMC8wNi8yMDE4AQAAABDGogECAAAABjM0Mi45NQDoNX5T8kHYCHEeKnHyQdgIP0NJUS5OQVNEQVFHUzpDQUtFLklRX0VCSVREQV9NRURJQU5fRVNULjYwMDAuMzAvMDQv</t>
  </si>
  <si>
    <t>MjAyMC4uRi5VU0QuQwEAAAAI4AQAAgAAAAktMjIuMDkxNzcBDgAAAAUAAAACMTEBAAAAATACAAAACjEwMDIyMjQyMjIDAAAABjEwMDE4OAQAAAABMgYAAAABMAcAAAADMTYwCAAAAAExCQAAAAExCgAAAAEwCwAAAAsxMTg4NjUwOTU5MwwAAAACMTINAAAACDUvMS8yMDIwEAAAAAk4LzE2LzIwMjD/b8pM8kHYCB+FoVnyQdgIIENJUS5OWVNFOktPLklRX1ZPTFVNRS4yMS8wOS8yMDE4AQAAABJoAAACAAAACDE5LjI0MDU4AEOYhVLyQdgIwdITcfJB2AgnQ0lRLk5ZU0U6S08uSVFfTEFTVFNBTEVQUklDRS4yNC8wMS8yMDIwAQAAABJoAAACAAAABTU3LjY4AAgPflPyQdgIHIFcWfJB2AgoQ0lRLkxTRTpTRk9SLklRX0xBU1RTQUxFUFJJQ0UuMzAvMDkvMjAxOAEAAADLU+QhAgAAAAUxLjM3NQDoNX5T8kHYCMXhKnHyQdgIJ0NJUS5OWVNFOktPLklRX0xBU1RTQUxFUFJJQ0UuMDUvMDQvMjAxOQEAAAASaAAAAgAAAAU0Ni40NwC5lH9T8kHYCKtmJXHyQdgIKENJUS4lVENNU1kwNy5JUV9MQVNUU0FMRVBSSUNFLjMxLzEyLzIwMTkBAAAAGh8oAgIAAAAEMS44MwBBUkJ18kHYCO9WS3byQdgIIUNJUS5MU0U6U0ZPUi5JUV9WT0xVTUUuMDgvMDMvMjAxOQEAAADLU+QhAgAAAAgwLjAzMDI4OQCkvH9T8kHYCNq5vHLyQdgILENJUS5MU0U6VFNDTy5JUV9FQlQuMTAwMC4zMC8wNC8yMDIwLi5GLkdCUC5DAQAAADBQBgAC</t>
  </si>
  <si>
    <t>AAAABDEzMTUBCAAAAAUAAAABMQEAAAAKMjAyNjUwNzMwOQMAAAACNTUCAAAAAzEzOQQAAAABMQcAAAAJNC8zMC8yMDIwCAAAAAk4LzE2LzIwMjAJAAAAATDJMQdL8kHYCOTupVnyQdgIJkNJUS5OQVNEQVFHUzpUU0xBLklRX1ZPTFVNRS4yMC8wMy8yMDIwAQAAABDGogECAAAABzI4LjI4NTUAo9YkVfJB2AirjXtZ8kHYCEBDSVEuTllTRTpSQUNFLklRX01JTk9SSVRZX0lOVEVSRVNUX1RPVEFMLjk5OC4zMC8wNC8yMDIwLi5GLkVVUi5DAQAAAD2CsBACAAAABTUuMjU4AQgAAAAFAAAAATEBAAAACjIwMTU2Mzk4MDUDAAAAAjUwAgAAAAQxMzEyBAAAAAExBwAAAAk0LzMwLzIwMjAIAAAACTgvMTYvMjAyMAkAAAABMNkKB0vyQdgIO5uZWfJB2AgvQ0lRLk5ZU0U6S08uSVFfU0hBUkVTT1VUU1RBTkRJTkcuMzEvMTIvMjAxNS5VU0QBAAAAEmgAAAIAAAALNDM0OC45ODUxNTYAA0nKTPJB2AhAGmF28kHYCCRDSVEuXkFTWC5JUV9MQVNUU0FMRVBSSUNFLjA5LzA4LzIwMTkBAAAAH1PrAQIAAAAJMzk2NS41NDA2AHyrhVHyQdgI3iEac/JB2Ag8Q0lRLk5ZU0U6UkFDRS5JUV9UT1RBTF9ERUJUX0NVUlJFTlQuMTAwMC4zMS8xMi8yMDE5Li5GLkVVUi5DAQAAAD2CsBACAAAABzM1Mi40MDkBCAAAAAUAAAABMQEAAAAKMTk0NzQ0NDE4MwMAAAACNTACAAAABTI1MjIzBAAAAAExBwAAAAoxMi8zMS8yMDE5CAAAAAk4LzE2</t>
  </si>
  <si>
    <t>LzIwMjAJAAAAATA7hhd48kHYCENS+XjyQdgIJkNJUS5OQVNEQVFHUzpUU0xBLklRX1ZPTFVNRS4yMC8xMi8yMDE5AQAAABDGogECAAAACDE0Ljc4NTIxAKPWJFXyQdgIWFvCcvJB2AggQ0lRLi5JUV9MQVNUU0FMRVBSSUNFLjExLzA1LzIwMTgFAAAAAAAAAAgAAAAUKEludmFsaWQgSWRlbnRpZmllcimgnjdR8kHYCPg/eXPyQdgIOkNJUS5MU0U6VFNDTy5JUV9FQklUREFfTUVESUFOX0VTVC42MDAwLjMxLzEyLzIwMTkuLkYuR0JQLkMBAAAAMFAGAAIAAAAINTA1OS43MjQBDgAAAAUAAAACMTEBAAAAATACAAAABzg0MTY3OTIDAAAABjEwMDE4OAQAAAABMwYAAAABMAcAAAACNTUIAAAAATEJAAAAATEKAAAAATALAAAACzExNzIyMTEzMTEyDAAAAAIxMg0AAAAIMS8xLzIwMjAQAAAACTgvMTYvMjAyMPNIGHjyQdgIpODuePJB2AgtQ0lRLkxTRTpTRk9SLklRX1BSSUNFX1ZPTF9ISVNUXzJZUi4zMS8xMi8yMDE5AQAAAMtT5CEDAAAAAADr39108kHYCGWKR3byQdgIMUNJUS5OWVNFOlJBQ0UuSVFfVE9UQUxfQ0wuOTk3LjMwLzA0LzIwMjAuLkYuRVVSLkMBAAAAPYKwEAIAAAAIMTMzNy44ODMBCAAAAAUAAAABMQEAAAAKMTk0NzQ0NDE4NAMAAAACNTACAAAABDEwMDkEAAAAATEHAAAACTQvMzAvMjAyMAgAAAAJOC8xNi8yMDIwCQAAAAEw4OMGS/JB2AjCoJdZ8kHYCDlDSVEuTFNFOlNGT1IuSVFfQ0FQRVhfTUVE</t>
  </si>
  <si>
    <t>SUFOX0VTVC42MDAxLjMwLzA0LzIwMjAuLkYuR0JQLkMBAAAAy1PkIQMAAAAAAKR/B0vyQdgIk82qWfJB2AgxQ0lRLk5BU0RBUUdTOlRTTEEuSVFfUEVSSU9EREFURS45OTguMzEvMTIvMjAxOS4uRgEAAAAQxqIBBQAAAAozMS8xMi8yMDE2AP4DQnXyQdgIzHlNdvJB2AgmQ0lRLk5BU0RBUUdTOkNBS0UuSVFfVk9MVU1FLjA0LzEwLzIwMTkBAAAACOAEAAIAAAAIMC45NjQwMzUAlf0kVfJB2AjA/MBy8kHYCCBDSVEuTFNFOlRTQ08uSVFfRklSU1RQUklDSU5HREFURQEAAAAwUAYABQAAAAowMi8wMS8xOTkyAPw6JFXyQdgIHIh9WfJB2Ag8Q0lRLk5ZU0U6UkFDRS5JUV9UT1RBTF9DT01NT05fRVFVSVRZLjk5Ny4zMS8xMi8yMDE5Li5GLkVVUi5DAQAAAD2CsBACAAAABy0yNS4xMjMBCAAAAAUAAAABMQEAAAAKMTg3NjA0MzMxMwMAAAACNTACAAAABDEwMDYEAAAAATEHAAAACjEyLzMxLzIwMTkIAAAACTgvMTYvMjAyMAkAAAABMB77F3jyQdgIr8DzePJB2Ag0Q0lRLk5BU0RBUUdTOlRTTEEuSVFfRUJJVERBLjEwMDAuMzEvMTIvMjAxOS4uRi5VU0QuQwEAAAAQxqIBAgAAAAcxNjM0LjkxAQgAAAAFAAAAATEBAAAACjE5NDU4NzM1NDYDAAAAAzE2MAIAAAAENDA1MQQAAAABMQcAAAAKMTIvMzEvMjAxOQgAAAAJOC8xNi8yMDIwCQAAAAEwHiIYePJB2Ai7ku548kHYCCdDSVEuJEFFREJZTi5JUV9MQVNUU0FMRVBS</t>
  </si>
  <si>
    <t>SUNFLjMxLzEyLzIwMTkBAAAAJetaAAIAAAALMS43NDkwNDc2MTkA/gNCdfJB2AgKzUt28kHYCD9DSVEuTFNFOlRTQ08uSVFfVE9UQUxfREVCVF9OT05fQ1VSUkVOVC4yMDAwLjMxLzEyLzIwMTkuLkYuR0JQLkMBAAAAMFAGAAIAAAAFMTU4MDQBCAAAAAUAAAABMQEAAAAKMTk4Njc5MzI0MAMAAAACNTUCAAAABTI1MjI0BAAAAAExBwAAAAoxMi8zMS8yMDE5CAAAAAk4LzE2LzIwMjAJAAAAATAcrRd48kHYCNTy93jyQdgIN0NJUS5OWVNFOk1BTlUuSVFfTklfTUVESUFOX0VTVC4xMDAyLjMwLzA0LzIwMjAuLkYuR0JQLkMBAAAA3WsNAAIAAAAHMTguMjc4NQEOAAAABQAAAAEzAQAAAAEwAgAAAAoxMDAzMDkyNDMwAwAAAAYxMDAyNTEEAAAAATMGAAAAATAHAAAAAjU1CAAAAAExCQAAAAExCgAAAAEwCwAAAAsxMTg2ODYyNjI3MwwAAAABMQ0AAAAINS8xLzIwMjAQAAAACTgvMTYvMjAyMKR/B0vyQdgIVpunWfJB2AgoQ0lRLkxTRTpUU0NPLklRX0xBU1RTQUxFUFJJQ0UuMjgvMDYvMjAxOQEAAAAwUAYAAgAAAAUyLjI2NwDBqn5T8kHYCNf+J3HyQdgIIkNJUS5OWVNFOk1BTlUuSVFfVk9MVU1FLjIzLzAyLzIwMTgBAAAA3WsNAAIAAAAIMC4wMjU5OTcAKCtCdfJB2AiK0Vd28kHYCCdDSVEuTllTRTpLTy5JUV9MQVNUU0FMRVBSSUNFLjMxLzEyLzIwMTgBAAAAEmgAAAIAAAAFNDcuMzUACA9+U/JB2Ajsyitx8kHY</t>
  </si>
  <si>
    <t>CDZDSVEuQVVELklRX0ZVTExfQ1VSVkVfQU5OVUFMLkFMTENPUlAuQUEuMjBZLjMwLzA0LzIwMjABAAAAAAAAAAIAAAAJMC4wMjU2NjI5AKokJVXyQdgIeW6GWfJB2AgxQ0lRLk5BU0RBUUdTOlRTTEEuSVFfUFJJQ0VfVk9MX0hJU1RfWVIuMzEvMTIvMjAxOQEAAAAQxqIBAgAAAAc1MS4wNDk2AOvf3XTyQdgIVu5GdvJB2AgxQ0lRLkxTRTpTRk9SLklRX1RPVEFMX0NMLjEwMDAuMzAvMDQvMjAyMC4uRi5HQlAuQwEAAADLU+QhAgAAAAcxODMuOTQyAQgAAAAFAAAAATEBAAAACjIwMjI1OTk3OTkDAAAAAjU1AgAAAAQxMDA5BAAAAAExBwAAAAk0LzMwLzIwMjAIAAAACTgvMTYvMjAyMAkAAAABMNkKB0vyQdgI5iuXWfJB2Ag7Q0lRLk5BU0RBUUdTOkNBS0UuSVFfREFfTUVESUFOX0VTVC42MDAxLjMwLzA0LzIwMjAuLkYuVVNELkMBAAAACOAEAAMAAAAAAP9vykzyQdgI/CCpWfJB2AgtQ0lRLk5BU0RBUUdTOlRTTEEuSVFfTEFTVFNBTEVQUklDRS4yNy8wNy8yMDE4AQAAABDGogECAAAABjI5Ny4xOAA6v4VS8kHYCA4bD3HyQdgIMUNJUS5OQVNEQVFHUzpDQUtFLklRX0VCVC4xMDAzLjMxLzEyLzIwMTkuLkYuVVNELkMBAAAACOAEAAMAAAAAAB4iGHjyQdgIh4frePJB2AgsQ0lRLk5ZU0U6TUFOVS5JUV9TR0EuOTk2LjMwLzA0LzIwMjAuLkYuR0JQLkMBAAAA3WsNAAIAAAAHMjAzLjI0OQEIAAAABQAAAAExAQAA</t>
  </si>
  <si>
    <t>AAoxODYxNzM2ODY5AwAAAAI1NQIAAAACMjMEAAAAATEHAAAACTQvMzAvMjAyMAgAAAAJOC8xNi8yMDIwCQAAAAEw/2/KTPJB2AgxEKFZ8kHYCCBDSVEuTllTRTpLTy5JUV9WT0xVTUUuMjMvMDgvMjAxOQEAAAASaAAAAgAAAAgxNC4xNjA2NgCj1iRV8kHYCCRFw3LyQdgINENJUS5OQVNEQVFHUzpUU0xBLklRX1JVQV9ORVQuMjAwMC4zMC8wNC8yMDIwLi4uTE9DQUwBAAAAEMaiAQMAAAAAALGvJFXyQdgI//x9WfJB2AgoQ0lRLkxTRTpUU0NPLklRX0xBU1RTQUxFUFJJQ0UuMzEvMDUvMjAxNgEAAAAwUAYAAgAAAAUxLjY1MQDBqn5T8kHYCIEwJHHyQdgIIUNJUS5MU0U6U0ZPUi5JUV9WT0xVTUUuMjEvMDIvMjAyMAEAAADLU+QhAgAAAAgwLjIxNTI2NACV/SRV8kHYCP8jd1nyQdgIMENJUS5OWVNFOktPLklRX1RPVEFMX1JFVi45OTguMzAvMDQvMjAyMC4uRi5VU0QuQwEAAAASaAAAAgAAAAUzNjIxMgEIAAAABQAAAAExAQAAAAoyMDE2NzkxMjUwAwAAAAMxNjACAAAAAjI4BAAAAAExBwAAAAk0LzMwLzIwMjAIAAAACTgvMTYvMjAyMAkAAAABMANJykzyQdgIBAWeWfJB2AgsQ0lRLk5ZU0U6UkFDRS5JUV9FQlQuOTk3LjMxLzEyLzIwMTkuLkYuRVVSLkMBAAAAPYKwEAIAAAAHNDM0LjE2OQEIAAAABQAAAAExAQAAAAoxODc2MDQzMzEzAwAAAAI1MAIAAAADMTM5BAAAAAExBwAAAAoxMi8zMS8yMDE5CAAAAAk4</t>
  </si>
  <si>
    <t>LzE2LzIwMjAJAAAAATDc7ZV38kHYCNVP6njyQdgIK0NJUS5OWVNFOktPLklRX1BFUklPRERBVEUuOTk3LjMxLzEyLzIwMTkuLkYBAAAAEmgAAAUAAAAKMzEvMTIvMjAxNQD+A0J18kHYCKWgTXbyQdgIMUNJUS5MU0U6U0ZPUi5JUV9UT1RBTF9DTC4xMDAwLjMxLzEyLzIwMTkuLkYuR0JQLkMBAAAAy1PkIQIAAAAGODEuODg2AQgAAAAFAAAAATEBAAAACjE5NjExMTYyNzEDAAAAAjU1AgAAAAQxMDA5BAAAAAExBwAAAAoxMi8zMS8yMDE5CAAAAAk4LzE2LzIwMjAJAAAAATAcrRd48kHYCLSP+HjyQdgIKENJUS5MU0U6VFNDTy5JUV9MQVNUU0FMRVBSSUNFLjMwLzExLzIwMTgBAAAAMFAGAAIAAAAGMS45NzU1AMfif1PyQdgIcIcrcfJB2AgkQ0lRLl5TUFguSVFfTEFTVFNBTEVQUklDRS4zMC8wNC8yMDE1AQAAAJu4KAACAAAAEDIwODUuNTEzNjUzMjk3NTkAoJ43UfJB2AjE7whz8kHYCDRDSVEuTllTRTpLTy5JUV9FUVVJVFlfTUVUSE9ELjk5OS4zMS8xMi8yMDE5Li5GLlVTRC5DAQAAABJoAAACAAAABTIwODU2AQgAAAAFAAAAATEBAAAACjE5NDY0MzA3NzkDAAAAAzE2MAIAAAAEMzA2MwQAAAABMQcAAAAKMTIvMzEvMjAxOQgAAAAJOC8xNi8yMDIwCQAAAAEwR2AXePJB2AhC3f948kHYCCZDSVEuTkFTREFRR1M6Q0FLRS5JUV9WT0xVTUUuMjEvMTIvMjAxOAEAAAAI4AQAAgAAAAcxLjU1MjgzAMfif1PyQdgI</t>
  </si>
  <si>
    <t>D5ohcfJB2AgyQ0lRLk5BU0RBUUdTOkNBS0UuSVFfQ0FQRVguOTk5LjMxLzEyLzIwMTkuLkYuVVNELkMBAAAACOAEAAIAAAAILTEyMC43NzkBCAAAAAUAAAABMQEAAAAKMTk0ODE3NjY4MAMAAAADMTYwAgAAAAQyMDIxBAAAAAExBwAAAAoxMi8zMS8yMDE5CAAAAAk4LzE2LzIwMjAJAAAAATDaFJZ38kHYCBW/5XjyQdgIPUNJUS5OQVNEQVFHUzpUU0xBLklRX0VCSVRfTUVESUFOX0VTVC4xMDAxLjMxLzEyLzIwMTkuLkYuVVNELkMBAAAAEMaiAQIAAAAILTE3MC4xMTUBDgAAAAUAAAABMwEAAAABMAIAAAAKMTAwMDg3Mjk1OAMAAAAGMTAwMjE2BAAAAAEyBgAAAAEwBwAAAAMxNjAIAAAAATEJAAAAATEKAAAAATALAAAACzExNzI5MDg5Nzc3DAAAAAExDQAAAAgxLzEvMjAyMBAAAAAJOC8xNi8yMDIw80gYePJB2Ag1mOx48kHYCChDSVEuTFNFOlNGT1IuSVFfTEFTVFNBTEVQUklDRS4zMS8xMi8yMDE5AQAAAMtT5CECAAAABTEuOTI1AAHofVPyQdgINIgucfJB2AgmQ0lRLk5BU0RBUUdTOlRTTEEuSVFfVk9MVU1FLjEwLzA0LzIwMjABAAAAEMaiAQMAAAAAAKPWJFXyQdgIZ7N7WfJB2Ag2Q0lRLkxTRTpUU0NPLklRX0RBX01FRElBTl9FU1QuNjAwMC4zMS8xMi8yMDE5Li5GLkdCUC5DAQAAADBQBgACAAAABzIwNjMuMTMBDgAAAAUAAAACMTEBAAAAATACAAAABzg0MTY3OTIDAAAABjExNDE5MAQAAAABMwYAAAAB</t>
  </si>
  <si>
    <t>MAcAAAACNTUIAAAAATEJAAAAATEKAAAAATALAAAACzExOTQ4OTYyOTE2DAAAAAIxMg0AAAAIMS8xLzIwMjAQAAAACTgvMTYvMjAyMDs8lnfyQdgIj7nnePJB2AgzQ0lRLk5BU0RBUUdTOlRTTEEuSVFfRUJJVERBLjk5Ni4zMS8xMi8yMDE5Li5GLlVTRC5DAQAAABDGogECAAAABjQ1LjI0MgEIAAAABQAAAAExAQAAAAoxODMwMTQzMzAwAwAAAAMxNjACAAAABDQwNTEEAAAAATEHAAAACjEyLzMxLzIwMTkIAAAACTgvMTYvMjAyMAkAAAABMB4iGHjyQdgI/R7uePJB2Ag/Q0lRLkxTRTpTRk9SLklRX1RPVEFMX0RFQlRfTk9OX0NVUlJFTlQuMTAwMC4zMS8xMi8yMDE5Li5GLkdCUC5DAQAAAMtT5CECAAAABjQ1LjYzOAEIAAAABQAAAAExAQAAAAoxOTYxMTE2MjcxAwAAAAI1NQIAAAAFMjUyMjQEAAAAATEHAAAACjEyLzMxLzIwMTkIAAAACTgvMTYvMjAyMAkAAAABMBytF3jyQdgIaKT3ePJB2AgvQ0lRLk5ZU0U6TUFOVS5JUV9MQVNUU0FMRVBSSUNFLjMwLzA2LzIwMTUuR0JQLkMBAAAA3WsNAAIAAAAKMTMuNjI4Nzg3NAADScpM8kHYCHimYHbyQdgIJ0NJUS4kQUVEUUFSLklRX0xBU1RTQUxFUFJJQ0UuMzEvMTIvMjAxOQEAAAAl61oAAgAAAAoxLjAwODg0NDIxAP4DQnXyQdgIyI9MdvJB2AgtQ0lRLk5BU0RBUUdTOlRTTEEuSVFfTEFTVFNBTEVQUklDRS4zMS8xMi8yMDE4AQAAABDGogECAAAABTMzMi44AAgP</t>
  </si>
  <si>
    <t>flPyQdgI7MorcfJB2Ag0Q0lRLk5ZU0U6UkFDRS5JUV9QUkVGX0VRVUlUWS45OTYuMzEvMTIvMjAxOS4uRi5FVVIuQwEAAAA9grAQAwAAAAAAHvsXePJB2AgZgvR48kHYCCdDSVEuTllTRTpLTy5JUV9MQVNUU0FMRVBSSUNFLjEzLzEyLzIwMTkBAAAAEmgAAAIAAAAFNTQuNDIA6DV+U/JB2AhWOi5x8kHYCDBDSVEuTFNFOlNGT1IuSVFfSU5DX1RBWC4yMDAwLjMwLzA0LzIwMjAuLkYuR0JQLkMBAAAAy1PkIQIAAAAFMC44NDUBCAAAAAUAAAABMQEAAAAKMjAyMjU5OTg4NwMAAAACNTUCAAAAAjc1BAAAAAExBwAAAAk0LzMwLzIwMjAIAAAACTgvMTYvMjAyMAkAAAABMMkxB0vyQdgI/sesWfJB2AggQ0lRLk5ZU0U6S08uSVFfVk9MVU1FLjEyLzAxLzIwMTgBAAAAEmgAAAIAAAAIMTQuNTcwMTUAKCtCdfJB2AjnoFt28kHYCClDSVEuTllTRTpSQUNFLklRX0xBU1RTQUxFUFJJQ0UuMzEvMDgvMjAxOQEAAAA9grAQAgAAAAYxNTcuNzUACA9+U/JB2Ah+dy1x8kHYCDRDSVEuTFNFOlNGT1IuSVFfU0hBUkVTT1VUU1RBTkRJTkdfT1VULjMxLzEyLzIwMTguR0JQAQAAAMtT5CECAAAACjM2My4zOTY5MjMAFSLKTPJB2AhdaWF28kHYCCpDSVEuTllTRTpLTy5JUV9GSUxJTkdfQ1VSUkVOQ1kuLjMwLzA0LzIwMjABAAAAEmgAAAMAAAADVVNEALGvJFXyQdgIVfZ/WfJB2AgiQ0lRLk5ZU0U6TUFOVS5JUV9WT0xVTUUuMTkv</t>
  </si>
  <si>
    <t>MTAvMjAxOAEAAADdaw0AAgAAAAgwLjA0MzcyMwBDmIVS8kHYCG0bFnHyQdgIM0NJUS5OQVNEQVFHUzpDQUtFLklRX0VCSVREQS45OTkuMzAvMDQvMjAyMC4uRi5VU0QuQwEAAAAI4AQAAgAAAAcyMzAuNjg1AQgAAAAFAAAAATEBAAAACjIwMjE1ODE0MjADAAAAAzE2MAIAAAAENDA1MQQAAAABMQcAAAAJNC8zMC8yMDIwCAAAAAk4LzE2LzIwMjAJAAAAATD/b8pM8kHYCK4Ko1nyQdgIJUNJUS5OWVNFOlJBQ0UuSVFfU1BfTENfTFQuLjMwLzA0LzIwMjABAAAAPYKwEAMAAAAAAPw6JFXyQdgIWjyDWfJB2AgyQ0lRLk5ZU0U6UkFDRS5JUV9DT1NUX1JFVi4yMDAwLjMxLzEyLzIwMTkuLkYuRVVSLkMBAAAAPYKwEAIAAAAIMTc2OC42MDMBCAAAAAUAAAABMQEAAAAKMTk5MDQyMzY4NwMAAAACNTACAAAAATEEAAAAATEHAAAACjEyLzMxLzIwMTkIAAAACTgvMTYvMjAyMAkAAAABMB77F3jyQdgIfHjxePJB2AgiQ0lRLk5ZU0U6TUFOVS5JUV9WT0xVTUUuMDcvMDkvMjAxOAEAAADdaw0AAgAAAAgwLjAzMTExNwBDmIVS8kHYCB10EnHyQdgIMUNJUS5OWVNFOk1BTlUuSVFfQ09TVF9SRVYuOTk3LjMwLzA0LzIwMjAuLkYuR0JQLkMBAAAA3WsNAAIAAAAGNjUuODAxAQgAAAAFAAAAATEBAAAACjE5MTAyNDc0MDMDAAAAAjU1AgAAAAExBAAAAAExBwAAAAk0LzMwLzIwMjAIAAAACTgvMTYvMjAyMAkAAAABMP9vykzyQdgI</t>
  </si>
  <si>
    <t>whWfWfJB2AglQ0lRLl5DT01QLklRX0xBU1RTQUxFUFJJQ0UuMjMvMDgvMjAxOQEAAACJuCgAAgAAAAc3NzUxLjc3AEeFhVHyQdgIFgYWc/JB2AgmQ0lRLk5BU0RBUUdTOkNBS0UuSVFfVk9MVU1FLjIwLzA0LzIwMTgBAAAACOAEAAIAAAAIMS4xNDY2OTQAQVJCdfJB2Aj2q1B28kHYCERDSVEuTkFTREFRR1M6Q0FLRS5JUV9UT1RBTF9ERUJUX05PTl9DVVJSRU5ULjEwMDAuMzEvMTIvMjAxOS4uRi5VU0QuQwEAAAAI4AQAAgAAAAcxMjMuMDk1AQgAAAAFAAAAATEBAAAACjE5NDgxNzY2NzUDAAAAAzE2MAIAAAAFMjUyMjQEAAAAATEHAAAACjEyLzMxLzIwMTkIAAAACTgvMTYvMjAyMAkAAAABMBytF3jyQdgIaKT3ePJB2AgZQ0lRLi5JUV9WT0xVTUUuMTMvMDMvMjAyMAUAAAAAAAAACAAAABQoSW52YWxpZCBJZGVudGlmaWVyKdk5tVPyQdgISSh1WfJB2AgpQ0lRLk5ZU0U6TUFOVS5JUV9MQVNUU0FMRVBSSUNFLjEwLzA1LzIwMTkBAAAA3WsNAAIAAAAFMTguOTQAwap+U/JB2AjeeCZx8kHYCDdDSVEuTllTRTpSQUNFLklRX0NBU0hfU1RfSU5WRVNULjk5OC4zMC8wNC8yMDIwLi5GLkVVUi5DAQAAAD2CsBACAAAABzY1Mi44MTIBCAAAAAUAAAABMQEAAAAKMjAxNTYzOTgwNQMAAAACNTACAAAABDEwMDIEAAAAATEHAAAACTQvMzAvMjAyMAgAAAAJOC8xNi8yMDIwCQAAAAEw4OMGS/JB2Ag8EZNZ8kHYCDFDSVEu</t>
  </si>
  <si>
    <t>TllTRTpSQUNFLklRX1RPVEFMX0NMLjk5OC4zMS8xMi8yMDE5Li5GLkVVUi5DAQAAAD2CsBACAAAACDEzMzcuODgzAQgAAAAFAAAAATEBAAAACjE5NDc0NDQxODQDAAAAAjUwAgAAAAQxMDA5BAAAAAExBwAAAAoxMi8zMS8yMDE5CAAAAAk4LzE2LzIwMjAJAAAAATAcrRd48kHYCC1n+HjyQdgIJUNJUS5eQ09NUC5JUV9MQVNUU0FMRVBSSUNFLjA5LzA4LzIwMTkBAAAAibgoAAIAAAAHNzk1OS4xNAB8q4VR8kHYCBYGFnPyQdgIIENJUS5OWVNFOktPLklRX1ZPTFVNRS4xOS8xMC8yMDE4AQAAABJoAAACAAAACDEzLjk4OTI1AEOYhVLyQdgIbRsWcfJB2AgvQ0lRLk5ZU0U6TUFOVS5JUV9FQklUREEuOTk4LjMwLzA0LzIwMjAuLkYuR0JQLkMBAAAA3WsNAAIAAAAHMjAyLjUzNwEIAAAABQAAAAExAQAAAAoxOTg1ODQ1MDQ1AwAAAAI1NQIAAAAENDA1MQQAAAABMQcAAAAJNC8zMC8yMDIwCAAAAAk4LzE2LzIwMjAJAAAAATC8WAdL8kHYCKgxo1nyQdgIMkNJUS5OQVNEQVFHUzpDQUtFLklRX0RBX0NGLjk5OS4zMS8xMi8yMDE5Li5GLlVTRC5DAQAAAAjgBAACAAAABjkwLjIyOQEIAAAABQAAAAExAQAAAAoxOTQ4MTc2NjgwAwAAAAMxNjACAAAABDIxNjAEAAAAATEHAAAACjEyLzMxLzIwMTkIAAAACTgvMTYvMjAyMAkAAAABMNoUlnfyQdgIrETnePJB2Ag3Q0lRLkxTRTpTRk9SLklRX1JFVFVSTl9JTlZFU1RFRF9D</t>
  </si>
  <si>
    <t>QVBJVEFMLjIwMDAuMzEvMTIvMjAxOQEAAADLU+QhAgAAAActMi4xNzQ2AP4DQnXyQdgIJ8JPdvJB2AggQ0lRLk5ZU0U6S08uSVFfVk9MVU1FLjA5LzExLzIwMTgBAAAAEmgAAAIAAAAIMTIuMzk4MzEAx+J/U/JB2AjVVR1x8kHYCCxDSVEuTFNFOlRTQ08uSVFfU0dBLjIwMDAuMzAvMDQvMjAyMC4uRi5HQlAuQwEAAAAwUAYAAgAAAAQyMDQxAQgAAAAFAAAAATEBAAAACjIwMjY1MDczODgDAAAAAjU1AgAAAAIyMwQAAAABMQcAAAAJNC8zMC8yMDIwCAAAAAk4LzE2LzIwMjAJAAAAATDJMQdL8kHYCGZNoFnyQdgIPENJUS5OWVNFOk1BTlUuSVFfTUVESUFOX1RBUkdFVF9QUklDRS42MDAwLjMwLzA0LzIwMjAuLi5HQlAuQwEAAADdaw0AAgAAAAUxNC40NQEOAAAABQAAAAE3AQAAAAkyMTUwNTUzODUCAAAABjcwMjcyOAMAAAAGMTAwMTYyBAAAAAMyNTUGAAAAATAHAAAAAjU1CAAAAAExCQAAAAExCgAAAAEwCwAAAAsxMTg2ODYyNDgwOQwAAAABOA0AAAAINS8xLzIwMjAQAAAACTgvMTYvMjAyMKR/B0vyQdgIIhuPWfJB2AhAQ0lRLk5ZU0U6UkFDRS5JUV9NSU5PUklUWV9JTlRFUkVTVF9UT1RBTC45OTYuMzEvMTIvMjAxOS4uRi5FVVIuQwEAAAA9grAQAgAAAAU4LjY5NQEIAAAABQAAAAExAQAAAAoxODMwNDc0MDk0AwAAAAI1MAIAAAAEMTMxMgQAAAABMQcAAAAKMTIvMzEvMjAxOQgAAAAJOC8xNi8yMDIwCQAA</t>
  </si>
  <si>
    <t>AAEwhNQXePJB2AiiLvZ48kHYCClDSVEuTllTRTpNQU5VLklRX0xBU1RTQUxFUFJJQ0UuMzEvMDgvMjAxNwEAAADdaw0AAgAAAAQxNi41AAVdflPyQdgIzYkncfJB2AgrQ0lRLk5ZU0U6S08uSVFfU0dBLjEwMDAuMzAvMDQvMjAyMC4uRi5VU0QuQwEAAAASaAAAAgAAAAUxMjAxMQEIAAAABQAAAAExAQAAAAoyMDE2NzkxMjQ1AwAAAAMxNjACAAAAAjIzBAAAAAExBwAAAAk0LzMwLzIwMjAIAAAACTgvMTYvMjAyMAkAAAABMANJykzyQdgIX3SgWfJB2AgoQ0lRLkxTRTpTRk9SLklRX0xBU1RTQUxFUFJJQ0UuMDcvMDIvMjAyMAEAAADLU+QhAgAAAAUyLjE2NQAID35T8kHYCPXOXFnyQdgILUNJUS5OQVNEQVFHUzpUU0xBLklRX0xBU1RTQUxFUFJJQ0UuMTMvMTIvMjAxOQEAAAAQxqIBAgAAAAYzNTguMzkA6DV+U/JB2AhYEy5x8kHYCChDSVEuTFNFOlRTQ08uSVFfTEFTVFNBTEVQUklDRS4zMC8wNC8yMDE2AQAAADBQBgACAAAABTEuNzIxAMGqflPyQdgIw+IjcfJB2Ag1Q0lRLk5ZU0U6UkFDRS5JUV9UT1RBTF9BU1NFVFMuOTk5LjMxLzEyLzIwMTkuLkYuRVVSLkMBAAAAPYKwEAIAAAAINDE0MS4xMDQBCAAAAAUAAAABMQEAAAAKMTk0NzQ0NDE5MAMAAAACNTACAAAABDEwMDcEAAAAATEHAAAACjEyLzMxLzIwMTkIAAAACTgvMTYvMjAyMAkAAAABMDuGF3jyQdgIqSX7ePJB2AgtQ0lRLk5BU0RBUUdTOlRTTEEu</t>
  </si>
  <si>
    <t>SVFfTEFTVFNBTEVQUklDRS4zMS8xMC8yMDE4AQAAABDGogECAAAABjMzNy4zMgAID35T8kHYCAhWK3HyQdgIJ0NJUS5OWVNFOktPLklRX0xBU1RTQUxFUFJJQ0UuMDYvMDkvMjAxOQEAAAASaAAAAgAAAAU1NS4yMwDRg35T8kHYCMXhKnHyQdgIIUNJUS5MU0U6VFNDTy5JUV9WT0xVTUUuMTUvMDYvMjAxOAEAAAAwUAYAAgAAAAg4Ny45MDUwOQAp5oVS8kHYCCn/CnHyQdgIOENJUS5OQVNEQVFHUzpDQUtFLklRX1BSRUZfRVFVSVRZLjk5Ni4zMC8wNC8yMDIwLi5GLlVTRC5DAQAAAAjgBAADAAAAAAD/b8pM8kHYCKe8m1nyQdgIJUNJUS5eQ09NUC5JUV9MQVNUU0FMRVBSSUNFLjA2LzA0LzIwMTgBAAAAibgoAAIAAAAHNjkxNS4xMQDYLd508kHYCKYrRnbyQdgILUNJUS5OWVNFOk1BTlUuSVFfRUJULjEwMDEuMzEvMTIvMjAxOS4uRi5HQlAuQwEAAADdaw0AAwAAAAAA3O2Vd/JB2AinEut48kHYCDFDSVEuTkFTREFRR1M6Q0FLRS5JUV9FQklULjk5Ni4zMC8wNC8yMDIwLi5GLlVTRC5DAQAAAAjgBAACAAAABzE3MS4yNTcBCAAAAAUAAAABMQEAAAAKMTg3NzE0NDQzOAMAAAADMTYwAgAAAAM0MDAEAAAAATEHAAAACTQvMzAvMjAyMAgAAAAJOC8xNi8yMDIwCQAAAAEw/2/KTPJB2AgOBaVZ8kHYCDFDSVEuTkFTREFRR1M6Q0FLRS5JUV9TR0EuMjAwMC4zMC8wNC8yMDIwLi5GLlVTRC5DAQAAAAjgBAACAAAABzM1</t>
  </si>
  <si>
    <t>Mi43MjcBCAAAAAUAAAABMQEAAAAKMjAyMTU4MjcwNAMAAAADMTYwAgAAAAIyMwQAAAABMQcAAAAJNC8zMC8yMDIwCAAAAAk4LzE2LzIwMjAJAAAAATD/b8pM8kHYCGZNoFnyQdgIMkNJUS5OQVNEQVFHUzpDQUtFLklRX1BFUklPRERBVEUuMjAwMC4zMS8xMi8yMDE5Li5GAQAAAAjgBAAFAAAACjAxLzEwLzIwMTkA/gNCdfJB2AjPK0128kHYCCdDSVEuTllTRTpLTy5JUV9MQVNUU0FMRVBSSUNFLjMwLzA5LzIwMTYBAAAAEmgAAAIAAAAFNDIuMzIAwap+U/JB2Ag2QSVx8kHYCCdDSVEuTFNFOlRTQ08uSVFfU0hBUkVTT1VUU1RBTkRJTkdfT1VULi4BAAAAMFAGAAIAAAAKOTgxMS45NjI4MgAoK0J18kHYCCgrQnXyQdgIKENJUS5MU0U6VFNDTy5JUV9MQVNUU0FMRVBSSUNFLjI1LzEwLzIwMTkBAAAAMFAGAAIAAAAFMi4zOTYABV1+U/JB2AjJZixx8kHYCC9DSVEuTllTRTpNQU5VLklRX0VCSVREQS45OTcuMzEvMTIvMjAxOS4uRi5HQlAuQwEAAADdaw0AAgAAAAcxODQuMjI1AQgAAAAFAAAAATEBAAAACjE5MTAyNDc0MDMDAAAAAjU1AgAAAAQ0MDUxBAAAAAExBwAAAAoxMi8zMS8yMDE5CAAAAAk4LzE2LzIwMjAJAAAAATAeIhh48kHYCM5E7njyQdgIPENJUS5OWVNFOlJBQ0UuSVFfVE9UQUxfQ09NTU9OX0VRVUlUWS45OTcuMzAvMDQvMjAyMC4uRi5FVVIuQwEAAAA9grAQAgAAAAczMjQuOTk1AQgAAAAFAAAA</t>
  </si>
  <si>
    <t>ATEBAAAACjE5NDc0NDQxODQDAAAAAjUwAgAAAAQxMDA2BAAAAAExBwAAAAk0LzMwLzIwMjAIAAAACTgvMTYvMjAyMAkAAAABMNkKB0vyQdgIcX+cWfJB2AghQ0lRLkxTRTpTRk9SLklRX1ZPTFVNRS4wNy8wOS8yMDE4AQAAAMtT5CEDAAAAAABDmIVS8kHYCB10EnHyQdgIP0NJUS5OWVNFOlJBQ0UuSVFfVE9UQUxfREVCVF9OT05fQ1VSUkVOVC45OTguMzAvMDQvMjAyMC4uRi5FVVIuQwEAAAA9grAQAgAAAAgxNDkzLjk5MQEIAAAABQAAAAExAQAAAAoyMDE1NjM5ODA1AwAAAAI1MAIAAAAFMjUyMjQEAAAAATEHAAAACTQvMzAvMjAyMAgAAAAJOC8xNi8yMDIwCQAAAAEw2QoHS/JB2AiIiphZ8kHYCC1DSVEuTFNFOlRTQ08uSVFfUEVSSU9EREFURS4yMDAwLjMxLzEyLzIwMTkuLkYBAAAAMFAGAAUAAAAKMjQvMDgvMjAxOQD+A0J18kHYCM8rTXbyQdgINkNJUS5MU0U6U0ZPUi5JUV9EQV9NRURJQU5fRVNULjEwMDMuMzAvMDQvMjAyMC4uRi5HQlAuQwEAAADLU+QhAgAAAA80Ljk3MTA5OTc5MDAyNjQBDgAAAAUAAAABMwEAAAABMAIAAAAKMTAwNDYzMDY3MQMAAAAGMTE0MTkwBAAAAAEzBgAAAAEwBwAAAAI1NQgAAAABMQkAAAABMQoAAAABMAsAAAALMTE4NDgyMDMzNDUMAAAAATENAAAACDUvMS8yMDIwEAAAAAk4LzE2LzIwMjCkfwdL8kHYCP35qFnyQdgIO0NJUS5OWVNFOlJBQ0UuSVFfRUJJVERBX01FRElB</t>
  </si>
  <si>
    <t>Tl9FU1QuMTAwMi4zMS8xMi8yMDE5Li5GLkVVUi5DAQAAAD2CsBACAAAACjE0NDQuMjM4ODUBDgAAAAUAAAABMwEAAAABMAIAAAAKMTAwMzIyNjgwNwMAAAAGMTAwMTg4BAAAAAEzBgAAAAEwBwAAAAI1MAgAAAABMQkAAAABMQoAAAABMAsAAAALMTE3MDUyNTE0ODYMAAAAATENAAAACDEvMS8yMDIwEAAAAAk4LzE2LzIwMjDzSBh48kHYCNEI73jyQdgIPENJUS5OWVNFOk1BTlUuSVFfVE9UQUxfQ09NTU9OX0VRVUlUWS45OTYuMzAvMDQvMjAyMC4uRi5HQlAuQwEAAADdaw0AAgAAAAc0NzcuOTE4AQgAAAAFAAAAATEBAAAACjE4NjE3MzY4NjkDAAAAAjU1AgAAAAQxMDA2BAAAAAExBwAAAAk0LzMwLzIwMjAIAAAACTgvMTYvMjAyMAkAAAABMP9vykzyQdgIcX+cWfJB2Ag0Q0lRQVZHLklRMTAwODg5OTM5LklRX0xBU1RTQUxFUFJJQ0UuNDAyOTguMzAvMDQvMjAyMAEAAABTdQMGAgAAAA8xLjUzMTA0MjEzNTg1MTgAqiQlVfJB2AiFR4ZZ8kHYCDJDSVEuTllTRTpSQUNFLklRX0NPU1RfUkVWLjIwMDAuMzAvMDQvMjAyMC4uRi5FVVIuQwEAAAA9grAQAgAAAAcxODA1LjMxAQgAAAAFAAAAATEBAAAACjIwMTU2NDI5NTQDAAAAAjUwAgAAAAExBAAAAAExBwAAAAk0LzMwLzIwMjAIAAAACTgvMTYvMjAyMAkAAAABMNkKB0vyQdgIyqCeWfJB2AgnQ0lRLiRBRURDTlkuSVFfTEFTVFNBTEVQUklDRS4zMC8wNC8yMDIw</t>
  </si>
  <si>
    <t>AQAAACXrWgACAAAACzAuNTIwMDE5MjU1AJX9JFXyQdgIrYSFWfJB2Ag/Q0lRLkxTRTpTRk9SLklRX1RPVEFMX0RFQlRfTk9OX0NVUlJFTlQuMjAwMC4zMS8xMi8yMDE5Li5GLkdCUC5DAQAAAMtT5CECAAAABjQ1LjYzOAEIAAAABQAAAAExAQAAAAoxOTYxMTE3NDAxAwAAAAI1NQIAAAAFMjUyMjQEAAAAATEHAAAACjEyLzMxLzIwMTkIAAAACTgvMTYvMjAyMAkAAAABMBytF3jyQdgIysz3ePJB2AgoQ0lRLkxTRTpUU0NPLklRX0xBU1RTQUxFUFJJQ0UuMTMvMDMvMjAyMAEAAAAwUAYAAgAAAAUyLjIwMQAB6H1T8kHYCMQGXlnyQdgIQ0NJUS5OQVNEQVFHUzpUU0xBLklRX1RPVEFMX0RFQlRfTk9OX0NVUlJFTlQuOTk4LjMxLzEyLzIwMTkuLkYuVVNELkMBAAAAEMaiAQIAAAAINzM3Ny4xNTMBCAAAAAUAAAABMQEAAAAKMTk0NTg3MzU1MQMAAAADMTYwAgAAAAUyNTIyNAQAAAABMQcAAAAKMTIvMzEvMjAxOQgAAAAJOC8xNi8yMDIwCQAAAAEwHK0XePJB2AhoVvd48kHYCC1DSVEuTFNFOlRTQ08uSVFfUFJJQ0VfVk9MX0hJU1RfMllSLjMxLzEyLzIwMTkBAAAAMFAGAAIAAAAHMjIuMTI5NADr39108kHYCFZjR3byQdgIM0NJUS5MU0U6U0ZPUi5JUV9QUkVGX0VRVUlUWS45OTguMzAvMDQvMjAyMC4uRi5HQlAuQwEAAADLU+QhAwAAAAAA2QoHS/JB2AjIbptZ8kHYCCRDSVEuXkFTWC5JUV9MQVNUU0FMRVBSSUNF</t>
  </si>
  <si>
    <t>LjMxLzA3LzIwMTUBAAAAH1PrAQIAAAAKMzY1Mi43ODk4MgCgnjdR8kHYCOn6C3PyQdgILENJUS5OWVNFOktPLklRX0NBUEVYLjk5Ny4zMC8wNC8yMDIwLi5GLlVTRC5DAQAAABJoAAACAAAABS0yMjYyAQgAAAAFAAAAATEBAAAACjE5NDY0MzA3ODIDAAAAAzE2MAIAAAAEMjAyMQQAAAABMQcAAAAJNC8zMC8yMDIwCAAAAAk4LzE2LzIwMjAJAAAAATADScpM8kHYCDHeq1nyQdgIJENJUS5eQVNYLklRX0xBU1RTQUxFUFJJQ0UuMjgvMDYvMjAxOQEAAAAfU+sBAgAAAAs0MDU2Ljg4MDk1NgB8q4VR8kHYCOFIGnPyQdgIJ0NJUS5OWVNFOktPLklRX0xBU1RTQUxFUFJJQ0UuMjkvMDIvMjAxNgEAAAASaAAAAgAAAAU0My4xMwDBqn5T8kHYCJ+UI3HyQdgIKENJUS5MU0U6VFNDTy5JUV9MQVNUU0FMRVBSSUNFLjExLzA1LzIwMTgBAAAAMFAGAAIAAAAFMi40NjYAKeaFUvJB2AidXgZx8kHYCChDSVEuTFNFOlNGT1IuSVFfTEFTVFNBTEVQUklDRS4yMC8xMi8yMDE5AQAAAMtT5CECAAAAAzEuOADoNX5T8kHYCFY6LnHyQdgILkNJUS5OWVNFOk1BTlUuSVFfRUJJVC4xMDAwLjMwLzA0LzIwMjAuLkYuR0JQLkMBAAAA3WsNAAIAAAAGNDQuODMzAQgAAAAFAAAAATEBAAAACjE5ODU4NDUwNjMDAAAAAjU1AgAAAAM0MDAEAAAAATEHAAAACTQvMzAvMjAyMAgAAAAJOC8xNi8yMDIwCQAAAAEw/2/KTPJB2AhZaqRZ8kHYCD5D</t>
  </si>
  <si>
    <t>SVEuTFNFOlRTQ08uSVFfVE9UQUxfREVCVF9OT05fQ1VSUkVOVC45OTguMzAvMDQvMjAyMC4uRi5HQlAuQwEAAAAwUAYAAgAAAAQ3MTQyAQgAAAAFAAAAATEBAAAACjE5Njg3MzY1NTkDAAAAAjU1AgAAAAUyNTIyNAQAAAABMQcAAAAJNC8zMC8yMDIwCAAAAAk4LzE2LzIwMjAJAAAAATDJMQdL8kHYCIiKmFnyQdgILUNJUS5OQVNEQVFHUzpUU0xBLklRX0xBU1RTQUxFUFJJQ0UuMTEvMDEvMjAxOQEAAAAQxqIBAgAAAAYzNDcuMjYApLx/U/JB2Aj/qiJx8kHYCB5DSVEuTFNFOlNGT1IuSVFfQ09VTlRSWV9PRl9JTkMBAAAAy1PkIQMAAAAOVW5pdGVkIEtpbmdkb20A/DokVfJB2AhQY4NZ8kHYCDpDSVEuTllTRTpLTy5JUV9SRVZFTlVFX01FRElBTl9FU1QuMTAwMy4zMS8xMi8yMDE5Li5GLlVTRC5DAQAAABJoAAACAAAABTQwNDY3AQ4AAAAFAAAAATMBAAAAATACAAAACjEwMDE2NTYyNzgDAAAABjEwMDE4MQQAAAABMgYAAAABMAcAAAADMTYwCAAAAAExCQAAAAExCgAAAAEwCwAAAAsxMTY3MDMxNDMwNQwAAAABMQ0AAAAIMS8xLzIwMjAQAAAACTgvMTYvMjAyMPNIGHjyQdgIkpnzePJB2AgyQ0lRLk5ZU0U6UkFDRS5JUV9UT1RBTF9DQS4yMDAwLjMxLzEyLzIwMTkuLkYuRVVSLkMBAAAAPYKwEAIAAAAIMjY3OS44OTIBCAAAAAUAAAABMQEAAAAKMTk5MDQyMzY4NwMAAAACNTACAAAABDEwMDgEAAAAATEHAAAA</t>
  </si>
  <si>
    <t>CjEyLzMxLzIwMTkIAAAACTgvMTYvMjAyMAkAAAABMDuGF3jyQdgICoP8ePJB2AgtQ0lRLk5ZU0U6S08uSVFfQ0FQRVguMTAwMC4zMS8xMi8yMDE5Li5GLlVTRC5DAQAAABJoAAACAAAABS0xMzQ3AQgAAAAFAAAAATEBAAAACjE5NDY0MzA3ODEDAAAAAzE2MAIAAAAEMjAyMQQAAAABMQcAAAAKMTIvMzEvMjAxOQgAAAAJOC8xNi8yMDIwCQAAAAEw2hSWd/JB2AgQ5uV48kHYCDRDSVEuTFNFOlRTQ08uSVFfUFJFRl9FUVVJVFkuMTAwMC4zMC8wNC8yMDIwLi5GLkdCUC5DAQAAADBQBgADAAAAAADJMQdL8kHYCNMgm1nyQdgIGUNJUS4uSVFfVk9MVU1FLjE1LzA2LzIwMTgFAAAAAAAAAAgAAAAUKEludmFsaWQgSWRlbnRpZmllcilDcYVS8kHYCCn/CnHyQdgIIkNJUS5OWVNFOlJBQ0UuSVFfVk9MVU1FLjA4LzAyLzIwMTkBAAAAPYKwEAIAAAAIMC4zOTY2OTEApLx/U/JB2Ag6W7ty8kHYCCdDSVEuTFNFOlRTQ08uSVFfRVBTX0VTVC42MDAwLjMwLzA0LzIwMjABAAAAMFAGAAIAAAAHMC4xNjMxNQEOAAAABQAAAAIxMQEAAAAIMjAxNTc4NzkCAAAACjEwMDAyNjQ0OTkDAAAABjEwMDE3MwQAAAABMwYAAAABMAcAAAACNTUIAAAAATAJAAAAATEKAAAAATALAAAACzExODgzNzM5NTM5DAAAAAIxMg0AAAAINS8xLzIwMjAQAAAACTQvMzAvMjAyMLGvJFXyQdgIUGODWfJB2AgtQ0lRLk5ZU0U6UkFDRS5JUV9FQklULjk5</t>
  </si>
  <si>
    <t>OS4zMC8wNC8yMDIwLi5GLkVVUi5DAQAAAD2CsBACAAAABzgyMi4xMDgBCAAAAAUAAAABMQEAAAAKMjAxNTYzOTgxOAMAAAACNTACAAAAAzQwMAQAAAABMQcAAAAJNC8zMC8yMDIwCAAAAAk4LzE2LzIwMjAJAAAAATDZCgdL8kHYCEmQpFnyQdgILUNJUS5OQVNEQVFHUzpUU0xBLklRX0xBU1RTQUxFUFJJQ0UuMDkvMDgvMjAxOQEAAAAQxqIBAgAAAAYyMzUuMDEA0YN+U/JB2AiWgilx8kHYCCBDSVEuTllTRTpLTy5JUV9WT0xVTUUuMDcvMTIvMjAxOAEAAAASaAAAAgAAAAcxNS41NjU3AMfif1PyQdgIvRQgcfJB2AglQ0lRLl5DT01QLklRX0xBU1RTQUxFUFJJQ0UuMDkvMDMvMjAxOAEAAACJuCgAAgAAAAc3NTYwLjgxANgt3nTyQdgIuARGdvJB2Ag0Q0lRLkxTRTpTRk9SLklRX1RPVEFMX0FTU0VUUy45OTguMzAvMDQvMjAyMC4uRi5HQlAuQwEAAADLU+QhAwAAAAAAyTEHS/JB2Ai8vZRZ8kHYCDtDSVEuTllTRTpNQU5VLklRX0VCSVREQV9NRURJQU5fRVNULjYwMDEuMzEvMTIvMjAxOS4uRi5HQlAuQwEAAADdaw0AAwAAAAAA80gYePJB2AiUL+948kHYCCxDSVEuTFNFOlRTQ08uSVFfRUJULjEwMDIuMzEvMTIvMjAxOS4uRi5HQlAuQwEAAAAwUAYAAwAAAAAAHiIYePJB2AibOet48kHYCDJDSVEuTFNFOlNGT1IuSVFfVE9UQUxfUkVWLjEwMDAuMzAvMDQvMjAyMC4uRi5HQlAuQwEAAADLU+QhAgAAAAcyMTUu</t>
  </si>
  <si>
    <t>MTMyAQgAAAAFAAAAATEBAAAACjIwMjI1OTk3OTkDAAAAAjU1AgAAAAIyOAQAAAABMQcAAAAJNC8zMC8yMDIwCAAAAAk4LzE2LzIwMjAJAAAAATDZCgdL8kHYCCO3nVnyQdgIOENJUS5OQVNEQVFHUzpDQUtFLklRX1RPVEFMX0xJQUIuMTAwMC4zMC8wNC8yMDIwLi5GLlVTRC5DAQAAAAjgBAACAAAACDIyNjguODUxAQgAAAAFAAAAATEBAAAACjIwMjE1ODE0MTEDAAAAAzE2MAIAAAAEMTI3NgQAAAABMQcAAAAJNC8zMC8yMDIwCAAAAAk4LzE2LzIwMjAJAAAAATD/b8pM8kHYCBkQmlnyQdgIIkNJUS5OWVNFOk1BTlUuSVFfVk9MVU1FLjIwLzEyLzIwMTkBAAAA3WsNAAIAAAAIMC4wNTIzNzEAlf0kVfJB2Ajt679y8kHYCDVDSVEuTllTRTpSQUNFLklRX1BSSUNFX1RBUkdFVC42MDAwLjMxLzEyLzIwMTkuLi5FVVIuQwEAAAA9grAQAgAAAAkxNTEuMzEwMjcBDgAAAAUAAAABNwEAAAAJMzEzOTc0OTgxAgAAAAoxMDAzMjI1MTI1AwAAAAYxMDAxNjEEAAAAAzI1NQYAAAABMAcAAAACNTAIAAAAATEJAAAAATEKAAAAATALAAAACzExNzA1MjUxMjYxDAAAAAE4DQAAAAgxLzEvMjAyMBAAAAAJOC8xNi8yMDIwHiIYePJB2AgUoAB58kHYCC1DSVEuTkFTREFRR1M6Q0FLRS5JUV9MQVNUU0FMRVBSSUNFLjI3LzA3LzIwMTgBAAAACOAEAAIAAAAFNTkuMjUAOr+FUvJB2Ag89Q5x8kHYCDtDSVEuTFNFOlNGT1IuSVFfVE9U</t>
  </si>
  <si>
    <t>QUxfQ09NTU9OX0VRVUlUWS45OTYuMzAvMDQvMjAyMC4uRi5HQlAuQwEAAADLU+QhAwAAAAAA2QoHS/JB2AhnppxZ8kHYCCRDSVEuXkFTWC5JUV9MQVNUU0FMRVBSSUNFLjE1LzAzLzIwMTkBAAAAH1PrAQIAAAALMzk2OC4zMTAzMDkAoJ43UfJB2AjPvRpz8kHYCCZDSVEuTkFTREFRR1M6VFNMQS5JUV9WT0xVTUUuMTcvMDUvMjAxOQEAAAAQxqIBAgAAAAgxNy43ODY2NwCj1iRV8kHYCIO/wXLyQdgIPkNJUS5MU0U6VFNDTy5JUV9UT1RBTF9ERUJUX05PTl9DVVJSRU5ULjk5Ni4zMS8xMi8yMDE5Li5GLkdCUC5DAQAAADBQBgACAAAABTEwNjUxAQgAAAAFAAAAATEBAAAACjE3OTE0NjgxNDYDAAAAAjU1AgAAAAUyNTIyNAQAAAABMQcAAAAKMTIvMzEvMjAxOQgAAAAJOC8xNi8yMDIwCQAAAAEwhNQXePJB2AgFCvd48kHYCEBDSVEuTkFTREFRR1M6Q0FLRS5JUV9SRVZFTlVFX01FRElBTl9FU1QuMTAwMi4zMS8xMi8yMDE5Li5GLlVTRC5DAQAAAAjgBAACAAAACDI5NDAuNTQyAQ4AAAAFAAAAATMBAAAAATACAAAACjEwMDIyMjQyMjIDAAAABjEwMDE4MQQAAAABMgYAAAABMAcAAAADMTYwCAAAAAExCQAAAAExCgAAAAEwCwAAAAsxMTcyNzA4MzA0NgwAAAABMQ0AAAAIMS8xLzIwMjAQAAAACTgvMTYvMjAyMPNIGHjyQdgIdkrzePJB2Ag6Q0lRLk5ZU0U6TUFOVS5JUV9DQVBFWF9NRURJQU5fRVNULjEwMDMuMzEv</t>
  </si>
  <si>
    <t>MTIvMjAxOS4uRi5HQlAuQwEAAADdaw0AAgAAAAQtMTUwAQ4AAAAFAAAAATMBAAAAATACAAAACjEwMDM3MjgyMDEDAAAABjEwNDA5MQQAAAABMwYAAAABMAcAAAACNTUIAAAAATEJAAAAATEKAAAAATALAAAACzExNjIxMjQyOTU3DAAAAAExDQAAAAgxLzEvMjAyMBAAAAAJOC8xNi8yMDIwOzyWd/JB2AjUqOZ48kHYCClDSVEuTllTRTpNQU5VLklRX0xBU1RTQUxFUFJJQ0UuMTYvMDgvMjAxOQEAAADdaw0AAgAAAAUxNy4zNgDRg35T8kHYCIDQKXHyQdgIJ0NJUS5OWVNFOktPLklRX0xBU1RTQUxFUFJJQ0UuMDgvMDMvMjAxOQEAAAASaAAAAgAAAAU0NC44NACkvH9T8kHYCL1+JHHyQdgILUNJUS5OQVNEQVFHUzpDQUtFLklRX0xBU1RTQUxFUFJJQ0UuMzEvMDcvMjAxOAEAAAAI4AQAAgAAAAU1Ni4wMwDoNX5T8kHYCFNFKnHyQdgILUNJUS5OQVNEQVFHUzpUU0xBLklRX0xBU1RTQUxFUFJJQ0UuMDIvMDMvMjAxOAEAAAAQxqIBAgAAAAYzMzUuMTIAKCtCdfJB2Aj3Nld28kHYCDBDSVEuTllTRTpSQUNFLklRX0VCSVREQS4yMDAwLjMwLzA0LzIwMjAuLkYuRVVSLkMBAAAAPYKwEAIAAAAIMTExMi42MzUBCAAAAAUAAAABMQEAAAAKMjAxNTY0Mjk1NAMAAAACNTACAAAABDQwNTEEAAAAATEHAAAACTQvMzAvMjAyMAgAAAAJOC8xNi8yMDIwCQAAAAEw2QoHS/JB2AjSlaJZ8kHYCDJDSVEuTllTRTpNQU5VLklRX1RP</t>
  </si>
  <si>
    <t>VEFMX1JFVi45OTkuMzAvMDQvMjAyMC4uRi5HQlAuQwEAAADdaw0AAgAAAAc1ODkuNzU4AQgAAAAFAAAAATEBAAAACjE5ODU4NDUwMjkDAAAAAjU1AgAAAAIyOAQAAAABMQcAAAAJNC8zMC8yMDIwCAAAAAk4LzE2LzIwMjAJAAAAATC8WAdL8kHYCBnenVnyQdgIJENJUS5JUTI2Njg2NDAuSVFfTEFTVFNBTEVQUklDRS40MzU4NQEAAABguCgAAgAAAAQzLjgzAKPWJFXyQdgIWuOGWfJB2AgkQ0lRLl5TUFguSVFfTEFTVFNBTEVQUklDRS4yMS8wOS8yMDE4AQAAAJu4KAACAAAAEDI5MjkuNjY3MTk1NjI1MzMAisU3UfJB2AisvRNz8kHYCCtDSVEuTllTRTpNQU5VLklRX05JLjk5Ny4zMS8xMi8yMDE5Li5GLkdCUC5DAQAAAN1rDQACAAAABjM2LjM3MQEIAAAABQAAAAExAQAAAAoxOTEwMjQ3NDAzAwAAAAI1NQIAAAACMTUEAAAAATEHAAAACjEyLzMxLzIwMTkIAAAACTgvMTYvMjAyMAkAAAABMNoUlnfyQdgIVXzoePJB2Ag4Q0lRLkxTRTpUU0NPLklRX0VCSVRfTUVESUFOX0VTVC42MDAwLjMwLzA0LzIwMjAuLkYuR0JQLkMBAAAAMFAGAAIAAAAEMjg0MAEOAAAABQAAAAIxMQEAAAABMAIAAAAKMTAwMDI2NDQ5OQMAAAAGMTAwMjE2BAAAAAEzBgAAAAEwBwAAAAI1NQgAAAABMQkAAAABMQoAAAABMAsAAAALMTE4OTIzNTc5NzgMAAAAAjEyDQAAAAg1LzEvMjAyMBAAAAAJOC8xNi8yMDIwpH8HS/JB2Aht9KNZ8kHY</t>
  </si>
  <si>
    <t>CDxDSVEuTkFTREFRR1M6VFNMQS5JUV9FU1RfRVBTX0dST1dUSF81WVJfSElHSC42MDAwLjMwLzA0LzIwMjABAAAAEMaiAQIAAAADMTA1AQ4AAAAFAAAAATcBAAAACTEwODgwMzkxNQIAAAAKMTAwMDg3MjkyMwMAAAAGMTAwMTY5BAAAAAEyBgAAAAEwBwAAAAEwCAAAAAEwCQAAAAExCgAAAAEwCwAAAAsxMTg5Nzk5MjIyMQwAAAABOA0AAAAINS8xLzIwMjAQAAAACTQvMzAvMjAyMLGvJFXyQdgIooJ/WfJB2AgnQ0lRLk5ZU0U6S08uSVFfTEFTVFNBTEVQUklDRS4wNi8xMi8yMDE5AQAAABJoAAACAAAABTU0LjQyAOg1flPyQdgIZuwtcfJB2AgnQ0lRLiRBRURLV0QuSVFfTEFTVFNBTEVQUklDRS4zMC8wNC8yMDE5AQAAACXrWgACAAAADDEyLjA1Mjg5NzU1MgCqJCVV8kHYCEkYg1nyQdgIQENJUS5OQVNEQVFHUzpDQUtFLklRX1RPVEFMX0NPTU1PTl9FUVVJVFkuOTk3LjMxLzEyLzIwMTkuLkYuVVNELkMBAAAACOAEAAIAAAAHNTg4LjUzOQEIAAAABQAAAAExAQAAAAoxODc3MTQ0NDM4AwAAAAMxNjACAAAABDEwMDYEAAAAATEHAAAACjEyLzMxLzIwMTkIAAAACTgvMTYvMjAyMAkAAAABMB77F3jyQdgIaefzePJB2Ag2Q0lRLkxTRTpTRk9SLklRX0RBX01FRElBTl9FU1QuNjAwMS4zMS8xMi8yMDE5Li5GLkdCUC5DAQAAAMtT5CEDAAAAAADaFJZ38kHYCHsH6HjyQdgIO0NJUS5MU0U6VFNDTy5JUV9UT1RBTF9E</t>
  </si>
  <si>
    <t>RUJUX0NVUlJFTlQuMjAwMC4zMS8xMi8yMDE5Li5GLkdCUC5DAQAAADBQBgACAAAABDE0NTIBCAAAAAUAAAABMQEAAAAKMTk4Njc5MzI0MAMAAAACNTUCAAAABTI1MjIzBAAAAAExBwAAAAoxMi8zMS8yMDE5CAAAAAk4LzE2LzIwMjAJAAAAATA7hhd48kHYCFmg+XjyQdgIKUNJUS5OWVNFOlJBQ0UuSVFfTEFTVFNBTEVQUklDRS4yMi8wMy8yMDE5AQAAAD2CsBACAAAABjEyOC42NQC5lH9T8kHYCITMJHHyQdgIGUNJUS4uSVFfVk9MVU1FLjA3LzA5LzIwMTgFAAAAAAAAAAgAAAAUKEludmFsaWQgSWRlbnRpZmllcilvI4VS8kHYCB10EnHyQdgIJ0NJUS5OWVNFOktPLklRX0xBU1RTQUxFUFJJQ0UuMjEvMTIvMjAxOAEAAAASaAAAAgAAAAU0Ny41NwDH4n9T8kHYCBjBIXHyQdgIPkNJUS5OQVNEQVFHUzpUU0xBLklRX0VTVF9FUFNfR1JPV1RIXzVZUl9NRURJQU4uNjAwMC4zMS8xMi8yMDE5AQAAABDGogECAAAAAzEwNQEOAAAABQAAAAE3AQAAAAkxMDg4MDM5MTUCAAAACjEwMDA4NzI5MjMDAAAABjEwMDE2OAQAAAABMgYAAAABMAcAAAABMAgAAAABMAkAAAABMQoAAAABMAsAAAALMTE2Njk3MzAyODIMAAAAATgNAAAACDEvMS8yMDIwEAAAAAoxMi8zMS8yMDE5KCtCdfJB2AglO0528kHYCCJDSVEuTllTRTpSQUNFLklRX1ZPTFVNRS4yMC8wNy8yMDE4AQAAAD2CsBACAAAACDAuNDk5ODM5ADq/hVLyQdgITjEO</t>
  </si>
  <si>
    <t>cfJB2AgmQ0lRLk5BU0RBUUdTOlRTTEEuSVFfVk9MVU1FLjAyLzA4LzIwMTkBAAAAEMaiAQIAAAAINi4xMzY0ODEAo9YkVfJB2Ah35sFy8kHYCC1DSVEuTllTRTpLTy5JUV9DQVBFWC4yMDAwLjMwLzA0LzIwMjAuLkYuVVNELkMBAAAAEmgAAAIAAAAFLTE5OTMBCAAAAAUAAAABMQEAAAAKMjAzMDM3Njg5NwMAAAADMTYwAgAAAAQyMDIxBAAAAAExBwAAAAk0LzMwLzIwMjAIAAAACTgvMTYvMjAyMAkAAAABMANJykzyQdgIakKrWfJB2AgkQ0lRLl5TUFguSVFfTEFTVFNBTEVQUklDRS4xMy8wMy8yMDIwAQAAAJu4KAACAAAAEDI3MTEuMDIxNjkzMzY5NjMASQUzUvJB2Ag7U7pZ8kHYCCJDSVEuTllTRTpSQUNFLklRX1ZPTFVNRS4wNy8wNi8yMDE5AQAAAD2CsBACAAAACDAuNDA5NDcyACVhtVPyQdgIGtC7cvJB2AgpQ0lRLk5ZU0U6TUFOVS5JUV9MQVNUU0FMRVBSSUNFLjA5LzAzLzIwMTgBAAAA3WsNAAIAAAAFMTkuNjUAKCtCdfJB2AgIm1Z28kHYCCBDSVEuLklRX0xBU1RTQUxFUFJJQ0UuMDMvMDEvMjAyMAUAAAAAAAAACAAAABQoSW52YWxpZCBJZGVudGlmaWVyKef5NlLyQdgIwF7SWfJB2AgoQ0lRLk5ZU0U6UkFDRS5JUV9CRVRBXzJZUl9SU1EuMzEvMTIvMjAxOQEAAAA9grAQAgAAABEwLjIyMTE2ODQ2MjczNTg0OADfBt508kHYCCCxR3byQdgIMENJUS5OWVNFOk1BTlUuSVFfSU5DX1RBWC45OTkuMzEv</t>
  </si>
  <si>
    <t>MTIvMjAxOS4uRi5HQlAuQwEAAADdaw0AAgAAAAY2My40NjIBCAAAAAUAAAABMQEAAAAKMTk4NTg0NTAyOQMAAAACNTUCAAAAAjc1BAAAAAExBwAAAAoxMi8zMS8yMDE5CAAAAAk4LzE2LzIwMjAJAAAAATDc7ZV38kHYCGjb6XjyQdgIMUNJUUFWRy4lVENNU00wMy5JUV9MQVNUU0FMRVBSSUNFLjQwMTc4LjMxLzEyLzIwMTkBAAAACB8oAgIAAAARMC41NzU3Njk2OTIxMjMxNTEAQVJCdfJB2AhYdF128kHYCCJDSVEuTllTRTpNQU5VLklRX1ZPTFVNRS4zMS8wNS8yMDE5AQAAAN1rDQACAAAACDAuMDQzNzY0AJX9JFXyQdgIJlC/cvJB2AgpQ0lRLk5ZU0U6UkFDRS5JUV9MQVNUU0FMRVBSSUNFLjAxLzAyLzIwMTkBAAAAPYKwEAIAAAAGMTI3LjEzAKS8f1PyQdgIB0cjcfJB2Ag7Q0lRLk5ZU0U6UkFDRS5JUV9FQklUREFfTUVESUFOX0VTVC4xMDAyLjMwLzA0LzIwMjAuLkYuRVVSLkMBAAAAPYKwEAIAAAAEMTU2MgEOAAAABQAAAAEzAQAAAAEwAgAAAAoxMDAzMjI2ODU0AwAAAAYxMDAxODgEAAAAATMGAAAAATAHAAAAAjUwCAAAAAExCQAAAAExCgAAAAEwCwAAAAsxMTg5NTUzNTc0NgwAAAABMQ0AAAAINS8xLzIwMjAQAAAACTgvMTYvMjAyMKR/B0vyQdgIH4WhWfJB2AgpQ0lRLk5ZU0U6UkFDRS5JUV9MQVNUU0FMRVBSSUNFLjIwLzAzLzIwMjABAAAAPYKwEAIAAAAGMTM5LjU2AAHofVPyQdgIui1eWfJB2Agm</t>
  </si>
  <si>
    <t>Q0lRLk5BU0RBUUdTOlRTTEEuSVFfVk9MVU1FLjMxLzAxLzIwMjABAAAAEMaiAQIAAAAIMTUuNzE5MjcAo9YkVfJB2AjDZntZ8kHYCCBDSVEuLklRX0xBU1RTQUxFUFJJQ0UuMTYvMTEvMjAxOAUAAAAAAAAACAAAABQoSW52YWxpZCBJZGVudGlmaWVyKeyNNlHyQdgIW09lc/JB2AgvQ0lRLk5ZU0U6UkFDRS5JUV9FQklUREEuOTk3LjMwLzA0LzIwMjAuLkYuRVVSLkMBAAAAPYKwEAIAAAAHNzg0LjU3OQEIAAAABQAAAAExAQAAAAoxOTQ3NDQ0MTg0AwAAAAI1MAIAAAAENDA1MQQAAAABMQcAAAAJNC8zMC8yMDIwCAAAAAk4LzE2LzIwMjAJAAAAATDZCgdL8kHYCJVYo1nyQdgILUNJUS5OQVNEQVFHUzpDQUtFLklRX0xBU1RTQUxFUFJJQ0UuMzAvMDkvMjAxNgEAAAAI4AQAAgAAAAU1MC4wNgDBqn5T8kHYCLsYJXHyQdgIJ0NJUS5OWVNFOktPLklRX0xBU1RTQUxFUFJJQ0UuMzEvMDEvMjAxOAEAAAASaAAAAgAAAAU0Ny41OQAFXX5T8kHYCDjoKHHyQdgIIENJUS4uSVFfTEFTVFNBTEVQUklDRS4zMC8wNi8yMDE4BQAAAAAAAAAIAAAAFChJbnZhbGlkIElkZW50aWZpZXIp7CA3UvJB2AiUETVz8kHYCCRDSVEuXkFTWC5JUV9MQVNUU0FMRVBSSUNFLjAxLzExLzIwMTkBAAAAH1PrAQIAAAALNDAyMi43MzU1ODcAtbw3UvJB2AgMrRlz8kHYCDpDSVEuTFNFOlRTQ08uSVFfRUJJVERBX01FRElBTl9FU1QuNjAwMC4z</t>
  </si>
  <si>
    <t>MC8wNC8yMDIwLi5GLkdCUC5DAQAAADBQBgACAAAABzQ1NDkuMDIBDgAAAAUAAAACMTEBAAAAATACAAAACjEwMDAyNjQ0OTkDAAAABjEwMDE4OAQAAAABMwYAAAABMAcAAAACNTUIAAAAATEJAAAAATEKAAAAATALAAAACzExODkyMzU4NDk5DAAAAAIxMg0AAAAINS8xLzIwMjAQAAAACTgvMTYvMjAyMKR/B0vyQdgICqyhWfJB2AgnQ0lRLiRBRURDSEYuSVFfTEFTVFNBTEVQUklDRS4zMC8wNC8yMDE5AQAAACXrWgACAAAACzMuNjAwOTgwMzkyAJX9JFXyQdgIsKuFWfJB2AgqQ0lRLkxTRTpTRk9SLklRX05JLjk5OS4zMS8xMi8yMDE5Li5GLkdCUC5DAQAAAMtT5CEDAAAAAADc7ZV38kHYCEqj6HjyQdgIIUNJUS5MU0U6VFNDTy5JUV9WT0xVTUUuMTkvMDEvMjAxOAEAAAAwUAYAAgAAAAgxOS4zNzAzOAAoK0J18kHYCPYrW3byQdgILUNJUS5OWVNFOlJBQ0UuSVFfUFJJQ0VfVk9MX0hJU1RfWVIuMzAvMDQvMjAyMAEAAAA9grAQAgAAAAcyOC44NDY2APw6JFXyQdgI8GiIWfJB2AgtQ0lRLk5BU0RBUUdTOkNBS0UuSVFfTEFTVFNBTEVQUklDRS4wNC8wNS8yMDE4AQAAAAjgBAACAAAABTUyLjk2ACnmhVLyQdgIvekFcfJB2AgxQ0lRLkxTRTpTRk9SLklRX0NPU1RfUkVWLjIwMDAuMzEvMTIvMjAxOS4uRi5HQlAuQwEAAADLU+QhAgAAAAkzMC4zMTAyOTEBCAAAAAUAAAABMQEAAAAKMTk2MTExNzQwMQMAAAACNTUC</t>
  </si>
  <si>
    <t>AAAAATEEAAAAATEHAAAACjEyLzMxLzIwMTkIAAAACTgvMTYvMjAyMAkAAAABMB77F3jyQdgIfHjxePJB2AgzQ0lRLk5ZU0U6TUFOVS5JUV9JTlZFTlRPUlkuMjAwMC4zMC8wNC8yMDIwLi5GLkdCUC5DAQAAAN1rDQACAAAABTIuNTM1AQgAAAAFAAAAATEBAAAACjIwMTg2MzIwMDMDAAAAAjU1AgAAAAQxMDQzBAAAAAExBwAAAAk0LzMwLzIwMjAIAAAACTgvMTYvMjAyMAkAAAABMP9vykzyQdgIKVSsWfJB2AgoQ0lRLkxTRTpTRk9SLklRX0xBU1RTQUxFUFJJQ0UuMDQvMDUvMjAxOAEAAADLU+QhAwAAAAAAKeaFUvJB2AjIwgVx8kHYCDJDSVEuTllTRTpSQUNFLklRX0xUX0lOVkVTVC45OTYuMzAvMDQvMjAyMC4uRi5FVVIuQwEAAAA9grAQAgAAAAUwLjk3OAEIAAAABQAAAAExAQAAAAoxODc2MDQzMzEzAwAAAAI1MAIAAAAEMTA1NAQAAAABMQcAAAAJNC8zMC8yMDIwCAAAAAk4LzE2LzIwMjAJAAAAATDg4wZL8kHYCJb1lVnyQdgILUNJUS5OQVNEQVFHUzpUU0xBLklRX0xBU1RTQUxFUFJJQ0UuMjEvMTIvMjAxOAEAAAAQxqIBAgAAAAYzMTkuNzcAx+J/U/JB2AgPmiFx8kHYCDRDSVEuTkFTREFRR1M6VFNMQS5JUV9JTkNfVEFYLjk5Ni4zMS8xMi8yMDE5Li5GLlVTRC5DAQAAABDGogECAAAABTkuNDA0AQgAAAAFAAAAATEBAAAACjE4MzAxNDMzMDADAAAAAzE2MAIAAAACNzUEAAAAATEHAAAACjEyLzMxLzIw</t>
  </si>
  <si>
    <t>MTkIAAAACTgvMTYvMjAyMAkAAAABMNztlXfyQdgICo3pePJB2AghQ0lRLkxTRTpTRk9SLklRX1ZPTFVNRS4yNy8wNy8yMDE4AQAAAMtT5CEDAAAAAAA6v4VS8kHYCDz1DnHyQdgIJkNJUS5OQVNEQVFHUzpDQUtFLklRX1ZPTFVNRS4wMS8wMi8yMDE5AQAAAAjgBAACAAAACDAuODMzODc2AKS8f1PyQdgI/RPAcvJB2AggQ0lRLk5ZU0U6S08uSVFfVk9MVU1FLjI4LzA2LzIwMTkBAAAAEmgAAAIAAAAIMTYuMzM5ODcAo9YkVfJB2Agu98Jy8kHYCChDSVEuTFNFOlNGT1IuSVFfTEFTVFNBTEVQUklDRS4xOS8wMS8yMDE4AQAAAMtT5CEDAAAAAAAoK0J18kHYCPYrW3byQdgIKENJUS5MU0U6U0ZPUi5JUV9MQVNUU0FMRVBSSUNFLjMwLzExLzIwMTkBAAAAy1PkIQIAAAAEMS43OQAB6H1T8kHYCFY6LnHyQdgIIENJUS5OWVNFOktPLklRX1ZPTFVNRS4yNi8wMS8yMDE4AQAAABJoAAACAAAACDE2LjY3MTIzACgrQnXyQdgI+2hadvJB2AgkQ0lRLl5TUFguSVFfTEFTVFNBTEVQUklDRS4yMC8wNy8yMDE4AQAAAJu4KAACAAAAEDI4MDEuODI4MDg4MDkxNzIAisU3UfJB2AiOCxRz8kHYCDZDSVEuTkFTREFRR1M6Q0FLRS5JUV9UT1RBTF9SRVYuOTk1LjMwLzA0LzIwMjAuLkYuVVNELkMBAAAACOAEAAIAAAAIMTk3Ni42MjQBCAAAAAUAAAABMQEAAAAKMTgzMDM4Njk4NgMAAAADMTYwAgAAAAIyOAQAAAABMQcAAAAJNC8z</t>
  </si>
  <si>
    <t>MC8yMDIwCAAAAAk4LzE2LzIwMjAJAAAAATD/b8pM8kHYCNh5nlnyQdgIIkNJUS5OWVNFOlJBQ0UuSVFfVk9MVU1FLjE4LzA1LzIwMTgBAAAAPYKwEAIAAAAIMC4yMTExMTUAKeaFUvJB2AjfaAhx8kHYCCBDSVEuLklRX0xBU1RTQUxFUFJJQ0UuMjgvMDIvMjAxOAUAAAAAAAAACAAAABQoSW52YWxpZCBJZGVudGlmaWVyKWhvN1LyQdgIXT86c/JB2AhAQ0lRLk5BU0RBUUdTOkNBS0UuSVFfVE9UQUxfREVCVF9DVVJSRU5ULjIwMDAuMzAvMDQvMjAyMC4uRi5VU0QuQwEAAAAI4AQAAgAAAAcxMjguMDgxAQgAAAAFAAAAATEBAAAACjIwMjE1ODI3MDQDAAAAAzE2MAIAAAAFMjUyMjMEAAAAATEHAAAACTQvMzAvMjAyMAgAAAAJOC8xNi8yMDIwCQAAAAEwA0nKTPJB2AgtQpZZ8kHYCCdDSVEuJEFFRFRORC5JUV9MQVNUU0FMRVBSSUNFLjMwLzA0LzIwMjABAAAAJetaAAIAAAAKMS4yNzc0MzE5MgCqJCVV8kHYCH7aglnyQdgIPENJUS5MU0U6U0ZPUi5JUV9UT1RBTF9DT01NT05fRVFVSVRZLjEwMDAuMzEvMTIvMjAxOS4uRi5HQlAuQwEAAADLU+QhAgAAAAYzMzkuMjIBCAAAAAUAAAABMQEAAAAKMTk2MTExNjI3MQMAAAACNTUCAAAABDEwMDYEAAAAATEHAAAACjEyLzMxLzIwMTkIAAAACTgvMTYvMjAyMAkAAAABMB77F3jyQdgILzT0ePJB2AgpQ0lRLk5ZU0U6TUFOVS5JUV9MQVNUU0FMRVBSSUNFLjI3LzA5LzIw</t>
  </si>
  <si>
    <t>MTkBAAAA3WsNAAIAAAAFMTYuNDEABV1+U/JB2Ahwhytx8kHYCCRDSVEuXkFTWC5JUV9MQVNUU0FMRVBSSUNFLjMwLzExLzIwMTgBAAAAH1PrAQIAAAALMzgyMy4zNDQ2MTMACZY3UvJB2AiqMhtz8kHYCDRDSVEuTkFTREFRR1M6VFNMQS5JUV9SVUFfTkVULjIwMDAuMzEvMTIvMjAxOS4uLkxPQ0FMAQAAABDGogEDAAAAAAD+A0J18kHYCCbpT3byQdgILUNJUS5OQVNEQVFHUzpDQUtFLklRX0xBU1RTQUxFUFJJQ0UuMzEvMTAvMjAxNgEAAAAI4AQAAgAAAAU1My4xOQDRg35T8kHYCKtmJXHyQdgIKUNJUS5OWVNFOk1BTlUuSVFfTEFTVFNBTEVQUklDRS4xMS8xMC8yMDE5AQAAAN1rDQACAAAABTE2LjE2AAVdflPyQdgIE/MrcfJB2AgtQ0lRLk5BU0RBUUdTOkNBS0UuSVFfTEFTVFNBTEVQUklDRS4wMS8wMi8yMDE5AQAAAAjgBAACAAAABTQ0Ljk3AKS8f1PyQdgI9m0jcfJB2Ag2Q0lRLkFVRC5JUV9GVUxMX0NVUlZFX0FOTlVBTC5BTExDT1JQLkhZLjIwWS4zMS8xMi8yMDE5AQAAAAAAAAACAAAACTAuMDg4NzQwMgDYLd508kHYCEn4SXbyQdgILUNJUS5OQVNEQVFHUzpUU0xBLklRX0xBU1RTQUxFUFJJQ0UuMjMvMDgvMjAxOQEAAAAQxqIBAgAAAAUyMTEuNADRg35T8kHYCHEeKnHyQdgINkNJUS5OQVNEQVFHUzpUU0xBLklRX0xUX0lOVkVTVC45OTYuMzAvMDQvMjAyMC4uRi5VU0QuQwEAAAAQxqIBAwAAAAAA</t>
  </si>
  <si>
    <t>vFgHS/JB2AiW9ZVZ8kHYCClDSVEuTllTRTpSQUNFLklRX0xBU1RTQUxFUFJJQ0UuMjkvMTEvMjAxOQEAAAA9grAQAgAAAAYxNjguMjcA6DV+U/JB2Ah+dy1x8kHYCCZDSVEuTkFTREFRR1M6VFNMQS5JUV9WT0xVTUUuMjQvMDUvMjAxOQEAAAAQxqIBAgAAAAgxNC4xMzY1NwCj1iRV8kHYCIyYwXLyQdgIOUNJUS5OWVNFOlJBQ0UuSVFfRUJJVF9NRURJQU5fRVNULjEwMDEuMzEvMTIvMjAxOS4uRi5FVVIuQwEAAAA9grAQAgAAAAM5MzQBDgAAAAUAAAABMwEAAAABMAIAAAAKMTAwMzIyNjgwMgMAAAAGMTAwMjE2BAAAAAEzBgAAAAEwBwAAAAI1MAgAAAABMQkAAAABMQoAAAABMAsAAAALMTE3Mzk2MTcyMDAMAAAAATENAAAACDEvMS8yMDIwEAAAAAk4LzE2LzIwMjDzSBh48kHYCEFx7HjyQdgILENJUS5OWVNFOk1BTlUuSVFfU0dBLjk5OS4zMS8xMi8yMDE5Li5GLkdCUC5DAQAAAN1rDQACAAAABTI5Mi40AQgAAAAFAAAAATEBAAAACjE5ODU4NDUwMjkDAAAAAjU1AgAAAAIyMwQAAAABMQcAAAAKMTIvMzEvMjAxOQgAAAAJOC8xNi8yMDIwCQAAAAEwHiIYePJB2Ahly+948kHYCBlDSVEuLklRX1ZPTFVNRS4yMi8wMi8yMDE5BQAAAAAAAAAIAAAAFChJbnZhbGlkIElkZW50aWZpZXIpxx9/U/JB2Ah+cbpy8kHYCCJDSVEuTllTRTpSQUNFLklRX1ZPTFVNRS4zMC8wMy8yMDE4AQAAAD2CsBADAAAAAAAoK0J18kHY</t>
  </si>
  <si>
    <t>CIF/UnbyQdgIP0NJUS5OQVNEQVFHUzpUU0xBLklRX0VCSVREQV9NRURJQU5fRVNULjEwMDMuMzAvMDQvMjAyMC4uRi5VU0QuQwEAAAAQxqIBAgAAAAc4Njk3LjU1AQ4AAAAFAAAAATMBAAAAATACAAAACjEwMDE4Njg5MTcDAAAABjEwMDE4OAQAAAABMgYAAAABMAcAAAADMTYwCAAAAAExCQAAAAExCgAAAAEwCwAAAAsxMTg5ODkxMTg4NQwAAAABMQ0AAAAINS8xLzIwMjAQAAAACTgvMTYvMjAyMKR/B0vyQdgIMRChWfJB2AgvQ0lRLk5ZU0U6S08uSVFfVE9UQUxfQ0EuOTk4LjMxLzEyLzIwMTkuLkYuVVNELkMBAAAAEmgAAAIAAAAFMzQwMTABCAAAAAUAAAABMQEAAAAKMTk0NjQzMDc4MgMAAAADMTYwAgAAAAQxMDA4BAAAAAExBwAAAAoxMi8zMS8yMDE5CAAAAAk4LzE2LzIwMjAJAAAAATA7hhd48kHYCIEP/HjyQdgIIUNJUS5MU0U6VFNDTy5JUV9WT0xVTUUuMDcvMDIvMjAyMAEAAAAwUAYAAgAAAAgyNy41Mzk0NACV/SRV8kHYCG4MeFnyQdgIKUNJUS5OWVNFOk1BTlUuSVFfTEFTVFNBTEVQUklDRS4wOS8wOC8yMDE5AQAAAN1rDQACAAAABTE3Ljc1ANGDflPyQdgIloIpcfJB2AhAQ0lRLk5BU0RBUUdTOlRTTEEuSVFfVE9UQUxfQ09NTU9OX0VRVUlUWS45OTkuMzAvMDQvMjAyMC4uRi5VU0QuQwEAAAAQxqIBAgAAAAQ0OTIzAQgAAAAFAAAAATEBAAAACjIwMTM5MDc0NjMDAAAAAzE2MAIAAAAEMTAwNgQA</t>
  </si>
  <si>
    <t>AAABMQcAAAAJNC8zMC8yMDIwCAAAAAk4LzE2LzIwMjAJAAAAATC8WAdL8kHYCJAKnFnyQdgIOENJUS5MU0U6VFNDTy5JUV9FQklUX01FRElBTl9FU1QuMTAwMy4zMC8wNC8yMDIwLi5GLkdCUC5DAQAAADBQBgACAAAACDI4NTUuNzk5AQ4AAAAFAAAAATMBAAAAATACAAAACjEwMDE0MTYwNzcDAAAABjEwMDIxNgQAAAABMwYAAAABMAcAAAACNTUIAAAAATEJAAAAATEKAAAAATALAAAACzExODkzMzQ1NjQ1DAAAAAExDQAAAAg1LzEvMjAyMBAAAAAJOC8xNi8yMDIwpH8HS/JB2Ah6pqNZ8kHYCC1DSVEuTFNFOlRTQ08uSVFfREFfQ0YuOTk5LjMxLzEyLzIwMTkuLkYuR0JQLkMBAAAAMFAGAAIAAAAEMTA4NwEIAAAABQAAAAExAQAAAAoxOTY4NzM2NTU5AwAAAAI1NQIAAAAEMjE2MAQAAAABMQcAAAAKMTIvMzEvMjAxOQgAAAAJOC8xNi8yMDIwCQAAAAEw2hSWd/JB2AisROd48kHYCDNDSVEuTFNFOlNGT1IuSVFfUFJFRl9FUVVJVFkuOTk2LjMwLzA0LzIwMjAuLkYuR0JQLkMBAAAAy1PkIQMAAAAAANkKB0vyQdgIp7ybWfJB2AgnQ0lRLkxTRTpTRk9SLklRX0ZJU0NBTF9RLi4zMC8wNC8yMDIwLi5GAQAAAMtT5CEDAAAAAlE0AODjBkvyQdgI4OMGS/JB2AgjQ0lRLiVUQ01TWTMwLklRX0xBU1RTQUxFUFJJQ0UuNDM0NjUBAAAAIx8oAgIAAAAEMy4wMgBBUkJ18kHYCNGkS3byQdgIL0NJUS5OWVNFOk1BTlUuSVFf</t>
  </si>
  <si>
    <t>REFfQ0YuMTAwMC4zMS8xMi8yMDE5Li5GLkdCUC5DAQAAAN1rDQACAAAABjE0MC44OAEIAAAABQAAAAExAQAAAAoxOTg1ODQ1MDYzAwAAAAI1NQIAAAAEMjE2MAQAAAABMQcAAAAKMTIvMzEvMjAxOQgAAAAJOC8xNi8yMDIwCQAAAAEw2hSWd/JB2Aiga+d48kHYCDlDSVEuTllTRTpLTy5JUV9UT1RBTF9ERUJUX0NVUlJFTlQuOTk3LjMxLzEyLzIwMTkuLkYuVVNELkMBAAAAEmgAAAIAAAAFMTU4NTgBCAAAAAUAAAABMQEAAAAKMTg3NTc5NzgwOQMAAAADMTYwAgAAAAUyNTIyMwQAAAABMQcAAAAKMTIvMzEvMjAxOQgAAAAJOC8xNi8yMDIwCQAAAAEwHK0XePJB2AhVK/l48kHYCClDSVEuTllTRTpLTy5JUV9DT1NUX0JPUlJPV0lORy4uMzEvMTIvMjAxOQEAAAASaAAAAgAAAAYyLjEzOTUBCAAAAAUAAAABMQEAAAAKMjAxNjc5MzcyNAMAAAADMTYwAgAAAAUyMTY4MQQAAAABMAcAAAAKMTIvMzEvMjAxOQgAAAAKMTIvMzEvMjAxOQkAAAABMP4DQnXyQdgIQ01PdvJB2AguQ0lRLk5ZU0U6UkFDRS5JUV9FQklULjIwMDAuMzAvMDQvMjAyMC4uRi5FVVIuQwEAAAA9grAQAgAAAAc5MTcuMzg1AQgAAAAFAAAAATEBAAAACjIwMTU2NDI5NTQDAAAAAjUwAgAAAAM0MDAEAAAAATEHAAAACTQvMzAvMjAyMAgAAAAJOC8xNi8yMDIwCQAAAAEw2QoHS/JB2AhWQ6RZ8kHYCDdDSVEuTllTRTpNQU5VLklRX0VTVF9FUFNfR1JP</t>
  </si>
  <si>
    <t>V1RIXzVZUl9OVU0uNjAwMC4zMS8xMi8yMDE5AQAAAN1rDQABAAAAATEA/gNCdfJB2AjAsE528kHYCCVDSVEuXkNPTVAuSVFfTEFTVFNBTEVQUklDRS4zMS8wOC8yMDE1AQAAAIm4KAACAAAABzQ3NzYuNTEAoJ43UfJB2AhXdQpz8kHYCDVDSVEuTllTRTpLTy5JUV9FU1RfRVBTX0dST1dUSF81WVJfTE9XLjYwMDAuMzEvMTIvMjAxOQEAAAASaAAAAgAAAAE1AQ4AAAAFAAAAATcBAAAABzI2MDEyMDECAAAABTIyMjA4AwAAAAYxMDAxNzAEAAAAATIGAAAAATAHAAAAATAIAAAAATAJAAAAATEKAAAAATALAAAACzExNjU2NTY3MzI0DAAAAAE4DQAAAAgxLzEvMjAyMBAAAAAKMTIvMzEvMjAxOSgrQnXyQdgID4lOdvJB2AgnQ0lRLk5ZU0U6S08uSVFfTEFTVFNBTEVQUklDRS4xNS8wNi8yMDE4AQAAABJoAAACAAAABTQ0LjEyACnmhVLyQdgIKCYLcfJB2AgrQ0lRLk5ZU0U6S08uSVFfUEVSSU9EREFURS45OTguMzAvMDQvMjAyMC4uRgEAAAASaAAABQAAAAozMS8xMi8yMDE3ALGvJFXyQdgI5nuBWfJB2AgiQ0lRLk5ZU0U6TUFOVS5JUV9WT0xVTUUuMDQvMDUvMjAxOAEAAADdaw0AAgAAAAcwLjAzMzgzACnmhVLyQdgIyMIFcfJB2AggQ0lRLi5JUV9MQVNUU0FMRVBSSUNFLjI5LzA2LzIwMTgFAAAAAAAAAAgAAAAUKEludmFsaWQgSWRlbnRpZmllcimndzdR8kHYCCeudHPyQdgIJ0NJUS4kQUVESVJSLklRX0xBU1RT</t>
  </si>
  <si>
    <t>QUxFUFJJQ0UuMzEvMTIvMjAxOAEAAAAl61oAAgAAAAg4Ljc0RS0wNQD+A0J18kHYCAFCTHbyQdgIJ0NJUS5OWVNFOktPLklRX0xBU1RTQUxFUFJJQ0UuMTYvMDMvMjAxOAEAAAASaAAAAgAAAAU0My40NgAoK0J18kHYCIr+VXbyQdgINENJUS5MU0U6U0ZPUi5JUV9UT1RBTF9BU1NFVFMuOTk2LjMwLzA0LzIwMjAuLkYuR0JQLkMBAAAAy1PkIQMAAAAAANkKB0vyQdgIqguVWfJB2AguQ0lRLk5ZU0U6UkFDRS5JUV9DQVBFWC45OTYuMzEvMTIvMjAxOS4uRi5FVVIuQwEAAAA9grAQAgAAAAgtMTY5LjM2MwEIAAAABQAAAAExAQAAAAoxODMwNDc0MDk0AwAAAAI1MAIAAAAEMjAyMQQAAAABMQcAAAAKMTIvMzEvMjAxOQgAAAAJOC8xNi8yMDIwCQAAAAEw2hSWd/JB2Ag3SuV48kHYCChDSVEuTFNFOlNGT1IuSVFfTEFTVFNBTEVQUklDRS4yOC8wMi8yMDE3AQAAAMtT5CEDAAAAAADRg35T8kHYCBErJnHyQdgIOkNJUS5OWVNFOktPLklRX1JFVkVOVUVfTUVESUFOX0VTVC42MDAwLjMxLzEyLzIwMTkuLkYuVVNELkMBAAAAEmgAAAIAAAAFMzgxMDcBDgAAAAUAAAACMTEBAAAAATACAAAACDc4ODg3NDkzAwAAAAYxMDAxODEEAAAAATIGAAAAATAHAAAAAzE2MAgAAAABMQkAAAABMQoAAAABMAsAAAALMTE2NzAzMTY0NzMMAAAAAjEyDQAAAAgxLzEvMjAyMBAAAAAJOC8xNi8yMDIw80gYePJB2AiII/N48kHYCChDSVEu</t>
  </si>
  <si>
    <t>TFNFOlNGT1IuSVFfTEFTVFNBTEVQUklDRS4zMC8wOS8yMDE1AQAAAMtT5CEDAAAAAAC5lH9T8kHYCDJdInHyQdgIM0NJUS5OQVNEQVFHUzpDQUtFLklRX0xBU1RTQUxFUFJJQ0UuMzAvMDQvMjAyMC5VU0QuQwEAAAAI4AQAAgAAAAUyMi4yOQCzQ8Na8kHYCDul0VryQdgIJ0NJUS4kQUVEVFdELklRX0xBU1RTQUxFUFJJQ0UuMzEvMTIvMjAxOQEAAAAl61oAAgAAAAswLjEyMjc4MTIxMwD+A0J18kHYCNh9S3byQdgIKENJUS5OWVNFOk1BTlUuSVFfQkVUQV81WVJfUlNRLjMxLzEyLzIwMTkBAAAA3WsNAAIAAAARMC4xMTU5NzgzODc3OTI4NjcA3wbedPJB2Ag/PEd28kHYCDFDSVEuTkFTREFRR1M6VFNMQS5JUV9FQlQuMTAwMC4zMS8xMi8yMDE5Li5GLlVTRC5DAQAAABDGogECAAAACS0xMDA0Ljc0NQEIAAAABQAAAAExAQAAAAoxOTQ1ODczNTQ2AwAAAAMxNjACAAAAAzEzOQQAAAABMQcAAAAKMTIvMzEvMjAxOQgAAAAJOC8xNi8yMDIwCQAAAAEw3O2Vd/JB2Aix6+p48kHYCCZDSVEuTkFTREFRR1M6VFNMQS5JUV9WT0xVTUUuMTMvMTIvMjAxOQEAAAAQxqIBAgAAAAg2LjU3NDI4MQCj1iRV8kHYCFhbwnLyQdgIO0NJUS5MU0U6U0ZPUi5JUV9UT1RBTF9DT01NT05fRVFVSVRZLjk5OC4zMC8wNC8yMDIwLi5GLkdCUC5DAQAAAMtT5CEDAAAAAADZCgdL8kHYCIJYnFnyQdgIJ0NJUS5OWVNFOktPLklRX0xBU1RT</t>
  </si>
  <si>
    <t>QUxFUFJJQ0UuMjgvMDIvMjAxOAEAAAASaAAAAgAAAAU0My4yMgAFXX5T8kHYCK8NKXHyQdgIPkNJUS5OQVNEQVFHUzpUU0xBLklRX0NBUEVYX01FRElBTl9FU1QuNjAwMC4zMC8wNC8yMDIwLi5GLlVTRC5DAQAAABDGogECAAAACi0yNTAzLjU1MTMBDgAAAAUAAAACMTEBAAAAATACAAAACDE1MzU3Njg2AwAAAAYxMDQwOTEEAAAAATIGAAAAATAHAAAAAzE2MAgAAAABMQkAAAABMQoAAAABMAsAAAALMTE5MDI1OTQ5MDIMAAAAAjEyDQAAAAg1LzEvMjAyMBAAAAAJOC8xNi8yMDIwpH8HS/JB2Ah+9KpZ8kHYCCRDSVEuXlNQWC5JUV9MQVNUU0FMRVBSSUNFLjA5LzAzLzIwMTgBAAAAm7goAAIAAAAQMjc4Ni41NjUxMDI3NTMxNQDYLd508kHYCIBSRnbyQdgINENJUS5OQVNEQVFHUzpUU0xBLklRX0VCSVREQS4yMDAwLjMwLzA0LzIwMjAuLkYuVVNELkMBAAAAEMaiAQIAAAAEMzAzMwEIAAAABQAAAAExAQAAAAoyMDMyMDQ1MzM0AwAAAAMxNjACAAAABDQwNTEEAAAAATEHAAAACTQvMzAvMjAyMAgAAAAJOC8xNi8yMDIwCQAAAAEwyTEHS/JB2AgScKJZ8kHYCCVDSVEuXkNPTVAuSVFfTEFTVFNBTEVQUklDRS4yNC8wMS8yMDIwAQAAAIm4KAACAAAABzkzMTQuOTEASQUzUvJB2Aic6rxZ8kHYCCRDSVEuXkFTWC5JUV9MQVNUU0FMRVBSSUNFLjA5LzExLzIwMTgBAAAAH1PrAQIAAAALMzkwMS43MjQ5ODMAisU3UfJB</t>
  </si>
  <si>
    <t>2AjEWhtz8kHYCCxDSVEuTFNFOlNGT1IuSVFfRUJJVC45OTguMzEvMTIvMjAxOS4uRi5HQlAuQwEAAADLU+QhAwAAAAAAHiIYePJB2Ahn/Ot48kHYCDZDSVEuTFNFOlRTQ08uSVFfREFfTUVESUFOX0VTVC4xMDAxLjMxLzEyLzIwMTkuLkYuR0JQLkMBAAAAMFAGAAIAAAAHMjA1NC42NAEOAAAABQAAAAEzAQAAAAEwAgAAAAoxMDAwMjY0NDk4AwAAAAYxMTQxOTAEAAAAATMGAAAAATAHAAAAAjU1CAAAAAExCQAAAAExCgAAAAEwCwAAAAsxMTYzNjU1NjUzNwwAAAABMQ0AAAAIMS8xLzIwMjAQAAAACTgvMTYvMjAyMDs8lnfyQdgIlpLnePJB2AgoQ0lRLkxTRTpUU0NPLklRX0xBU1RTQUxFUFJJQ0UuMjIvMDYvMjAxOAEAAAAwUAYAAgAAAAUyLjYxNwAp5oVS8kHYCP2aC3HyQdgILUNJUS5OQVNEQVFHUzpDQUtFLklRX0xBU1RTQUxFUFJJQ0UuMTAvMDQvMjAyMAEAAAAI4AQAAgAAAAQyMC4yAAHofVPyQdgIh/BeWfJB2AgrQ0lRLkxTRTpTRk9SLklRX0VCVC45OTkuMzAvMDQvMjAyMC4uRi5HQlAuQwEAAADLU+QhAgAAAAotMTUuNjM2MDAzAQgAAAAFAAAAATEBAAAACjE5NjExMTYyNzEDAAAAAjU1AgAAAAMxMzkEAAAAATEHAAAACTQvMzAvMjAyMAgAAAAJOC8xNi8yMDIwCQAAAAEw2QoHS/JB2AjGFaZZ8kHYCDVDSVEuQVVELklRX0ZVTExfQ1VSVkVfQU5OVUFMLkFMTENPUlAuQS4yMFkuMzEvMTIvMjAxOQEA</t>
  </si>
  <si>
    <t>AAAAAAAAAgAAAAkwLjAzNDAxNzIA2C3edPJB2AhJ+El28kHYCCBDSVEuLklRX0xBU1RTQUxFUFJJQ0UuMzEvMTIvMjAxOAUAAAAAAAAACAAAABQoSW52YWxpZCBJZGVudGlmaWVyKef5NlLyQdgIdTguc/JB2AgsQ0lRLk5ZU0U6UkFDRS5JUV9TR0EuOTk5LjMxLzEyLzIwMTkuLkYuRVVSLkMBAAAAPYKwEAIAAAAHMzI5LjA2NQEIAAAABQAAAAExAQAAAAoxOTQ3NDQ0MTkwAwAAAAI1MAIAAAACMjMEAAAAATEHAAAACjEyLzMxLzIwMTkIAAAACTgvMTYvMjAyMAkAAAABMB4iGHjyQdgIiqTvePJB2AgoQ0lRLkxTRTpUU0NPLklRX0xBU1RTQUxFUFJJQ0UuMDMvMDUvMjAxOQEAAAAwUAYAAgAAAAUyLjQ3NADe0n5T8kHYCBErJnHyQdgIKUNJUS5OWVNFOk1BTlUuSVFfTEFTVFNBTEVQUklDRS4zMC8xMS8yMDE2AQAAAN1rDQACAAAABTE0Ljk1ANGDflPyQdgIM48lcfJB2AgoQ0lRLkxTRTpTRk9SLklRX0xBU1RTQUxFUFJJQ0UuMDgvMDIvMjAxOQEAAADLU+QhAgAAAAUxLjMyNQCkvH9T8kHYCPZtI3HyQdgIPUNJUS5OWVNFOlJBQ0UuSVFfVE9UQUxfQ09NTU9OX0VRVUlUWS4xMDAwLjMxLzEyLzIwMTkuLkYuRVVSLkMBAAAAPYKwEAIAAAAIMTM0OC43MjIBCAAAAAUAAAABMQEAAAAKMTk0NzQ0NDE4MwMAAAACNTACAAAABDEwMDYEAAAAATEHAAAACjEyLzMxLzIwMTkIAAAACTgvMTYvMjAyMAkAAAABMB77F3jy</t>
  </si>
  <si>
    <t>QdgILzT0ePJB2AgqQ0lRLkxTRTpUU0NPLklRX0dQLjk5Ny4zMS8xMi8yMDE5Li5GLkdCUC5DAQAAADBQBgACAAAABDIxNzMBCAAAAAUAAAABMQEAAAAKMTg0NzgyNTE0OAMAAAACNTUCAAAAAjEwBAAAAAExBwAAAAoxMi8zMS8yMDE5CAAAAAk4LzE2LzIwMjAJAAAAATAeIhh48kHYCHNA8HjyQdgILkNJUS5MU0U6U0ZPUi5JUV9FQklUREEuOTk5LjMxLzEyLzIwMTkuLkYuR0JQLkMBAAAAy1PkIQMAAAAAAB4iGHjyQdgIwmvuePJB2Ag2Q0lRLkxTRTpUU0NPLklRX0NBU0hfU1RfSU5WRVNULjk5Ni4zMC8wNC8yMDIwLi5GLkdCUC5DAQAAADBQBgACAAAABDU5OTEBCAAAAAUAAAABMQEAAAAKMTg0NzgyNTE0OAMAAAACNTUCAAAABDEwMDIEAAAAATEHAAAACTQvMzAvMjAyMAgAAAAJOC8xNi8yMDIwCQAAAAEwyTEHS/JB2AgpOJNZ8kHYCDFDSVFBVkcuJVRDTVNNMDYuSVFfTEFTVFNBTEVQUklDRS40MDI5OC4zMC8wNC8yMDIwAQAAAAsfKAICAAAAETAuNjc0MjM4MzA0Njc4MTI5AKokJVXyQdgI2w+FWfJB2AggQ0lRLi5JUV9MQVNUU0FMRVBSSUNFLjE0LzA5LzIwMTgFAAAAAAAAAAgAAAAUKEludmFsaWQgSWRlbnRpZmllcikIAzdR8kHYCNWNa3PyQdgIKUNJUS5OWVNFOk1BTlUuSVFfTEFTVFNBTEVQUklDRS4wNy8xMi8yMDE4AQAAAN1rDQACAAAABTE3LjI5AMfif1PyQdgIvRQgcfJB2AgwQ0lRLkxTRTpU</t>
  </si>
  <si>
    <t>U0NPLklRX0NPU1RfUkVWLjk5OC4zMS8xMi8yMDE5Li5GLkdCUC5DAQAAADBQBgACAAAABTUyOTMyAQgAAAAFAAAAATEBAAAACjE4ODg1MjUwNzQDAAAAAjU1AgAAAAExBAAAAAExBwAAAAoxMi8zMS8yMDE5CAAAAAk4LzE2LzIwMjAJAAAAATAe+xd48kHYCH4q8XjyQdgINUNJUUFWRy4kQUVERVVSLklRX0xBU1RTQUxFUFJJQ0UuMzEvMTIvMjAxNS4zMS8xMi8yMDE2AQAAACXrWgACAAAACDQuMDY0MjA2AOqWykzyQdgIf+NfdvJB2AgmQ0lRLk5BU0RBUUdTOlRTTEEuSVFfVk9MVU1FLjE3LzA4LzIwMTgBAAAAEMaiAQIAAAAIMTguOTU4NjEAOr+FUvJB2AjwyBBx8kHYCCZDSVEuTkFTREFRR1M6VFNMQS5JUV9WT0xVTUUuMDkvMDIvMjAxOAEAAAAQxqIBAgAAAAgxMi45MzM3MgAoK0J18kHYCBFXWXbyQdgIN0NJUS5OQVNEQVFHUzpUU0xBLklRX0xUX0lOVkVTVC4xMDAwLjMxLzEyLzIwMTkuLkYuVVNELkMBAAAAEMaiAQIAAAAGMTIuMTU5AQgAAAAFAAAAATEBAAAACjE5NDU4NzM1NDYDAAAAAzE2MAIAAAAEMTA1NAQAAAABMQcAAAAKMTIvMzEvMjAxOQgAAAAJOC8xNi8yMDIwCQAAAAEwO4YXePJB2AifYfp48kHYCDRDSVEuTllTRTpNQU5VLklRX1RPVEFMX0xJQUIuMjAwMC4zMC8wNC8yMDIwLi5GLkdCUC5DAQAAAN1rDQACAAAABzg5Ny42NTMBCAAAAAUAAAABMQEAAAAKMjAxODYzMjAwMwMAAAACNTUC</t>
  </si>
  <si>
    <t>AAAABDEyNzYEAAAAATEHAAAACTQvMzAvMjAyMAgAAAAJOC8xNi8yMDIwCQAAAAEw/2/KTPJB2AgZEJpZ8kHYCCJDSVEuTllTRTpNQU5VLklRX1ZPTFVNRS4yNS8wMS8yMDE5AQAAAN1rDQACAAAACDAuMDY4MTg4AKS8f1PyQdgIPAK/cvJB2AgkQ0lRLl5TUFguSVFfTEFTVFNBTEVQUklDRS4zMC8wNC8yMDE4AQAAAJu4KAACAAAAEDI2NDguMDQ5MzY0NzA4NzIAtbw3UvJB2AiSBghz8kHYCB9DSVEuTkFTREFRR1M6VFNMQS5JUV9DT01QQU5ZX0lEAQAAABDGogEDAAAACklRMjc0NDQ3NTIA/DokVfJB2AiG7olZ8kHYCEVDSVEuTkFTREFRR1M6Q0FLRS5JUV9NSU5PUklUWV9JTlRFUkVTVF9UT1RBTC4xMDAwLjMwLzA0LzIwMjAuLkYuVVNELkMBAAAACOAEAAMAAAAAAP9vykzyQdgIyk6ZWfJB2Ag1Q0lRLk5BU0RBUUdTOlRTTEEuSVFfU0hBUkVTT1VUU1RBTkRJTkcuMzEvMTIvMjAxOC5VU0QBAAAAEMaiAQIAAAAKMTcxLjczMjc3NQAVIspM8kHYCLLNYHbyQdgIGUNJUS4uSVFfVk9MVU1FLjA2LzA3LzIwMTgFAAAAAAAAAAgAAAAUKEludmFsaWQgSWRlbnRpZmllcilDcYVS8kHYCLmrDHHyQdgIIENJUS4uSVFfTEFTVFNBTEVQUklDRS4zMS8wNS8yMDE1BQAAAAAAAAAIAAAAFChJbnZhbGlkIElkZW50aWZpZXIpzCk3UfJB2AhD9mFz8kHYCChDSVEuTFNFOlNGT1IuSVFfTEFTVFNBTEVQUklDRS4zMS8xMi8y</t>
  </si>
  <si>
    <t>MDE0AQAAAMtT5CEDAAAAAABBUkJ18kHYCN2EUHbyQdgIJENJUS5eQVNYLklRX0xBU1RTQUxFUFJJQ0UuMzEvMDUvMjAxNwEAAAAfU+sBAgAAAAs0MTE2LjA3OTM5MQBHhYVR8kHYCNiFC3PyQdgIJ0NJUS5OWVNFOktPLklRX0xBU1RTQUxFUFJJQ0UuMjIvMTEvMjAxOQEAAAASaAAAAgAAAAU1My4wMwDoNX5T8kHYCH53LXHyQdgIMUNJUS5OQVNEQVFHUzpUU0xBLklRX0VCSVQuOTk4LjMwLzA0LzIwMjAuLkYuVVNELkMBAAAAEMaiAQIAAAAFLTE2MzIBCAAAAAUAAAABMQEAAAAKMjAxMzkwNzQ3MAMAAAADMTYwAgAAAAM0MDAEAAAAATEHAAAACTQvMzAvMjAyMAgAAAAJOC8xNi8yMDIwCQAAAAEwyTEHS/JB2AgzuKRZ8kHYCCdDSVEuTllTRTpLTy5JUV9MQVNUU0FMRVBSSUNFLjI5LzAyLzIwMjABAAAAEmgAAAIAAAAFNTMuNDkAAeh9U/JB2AiXF19Z8kHYCDZDSVEuTllTRTpSQUNFLklRX0VRVUlUWV9NRVRIT0QuOTk2LjMxLzEyLzIwMTkuLkYuRVVSLkMBAAAAPYKwEAMAAAAAAEdgF3jyQdgIRUD/ePJB2AglQ0lRLl5DT01QLklRX0xBU1RTQUxFUFJJQ0UuMDQvMDEvMjAxOQEAAACJuCgAAgAAAAc2NzM4Ljg2AIrFN1HyQdgIxe8Wc/JB2AgnQ0lRLiRBRUREWkQuSVFfTEFTVFNBTEVQUklDRS4zMS8xMi8yMDE5AQAAACXrWgACAAAACzAuMDMwNjczMjU4AP4DQnXyQdgICs1LdvJB2AgyQ0lRLk5ZU0U6TUFO</t>
  </si>
  <si>
    <t>VS5JUV9UT1RBTF9DTC4yMDAwLjMwLzA0LzIwMjAuLkYuR0JQLkMBAAAA3WsNAAIAAAAGMzEyLjI0AQgAAAAFAAAAATEBAAAACjIwMTg2MzIwMDMDAAAAAjU1AgAAAAQxMDA5BAAAAAExBwAAAAk0LzMwLzIwMjAIAAAACTgvMTYvMjAyMAkAAAABMLxYB0vyQdgI7wSXWfJB2AgoQ0lRLkxTRTpTRk9SLklRX0xBU1RTQUxFUFJJQ0UuMzEvMDcvMjAxOQEAAADLU+QhAgAAAAUxLjU1NQAID35T8kHYCJQpLXHyQdgIQENJUS5OQVNEQVFHUzpUU0xBLklRX1RPVEFMX0NPTU1PTl9FUVVJVFkuOTk2LjMxLzEyLzIwMTkuLkYuVVNELkMBAAAAEMaiAQIAAAAGOTExLjcxAQgAAAAFAAAAATEBAAAACjE4MzAxNDMzMDADAAAAAzE2MAIAAAAEMTAwNgQAAAABMQcAAAAKMTIvMzEvMjAxOQgAAAAJOC8xNi8yMDIwCQAAAAEwHvsXePJB2AivwPN48kHYCCxDSVEuTllTRTpNQU5VLklRX0ZJU0NBTF9ZLjEwMDAuMzAvMDQvMjAyMC4uRgEAAADdaw0AAQAAAAQyMDE5APw6JFXyQdgIp3mJWfJB2Ag7Q0lRLk5BU0RBUUdTOkNBS0UuSVFfRVNUX0VQU19HUk9XVEhfNVlSX0xPVy42MDAwLjMxLzEyLzIwMTkBAAAACOAEAAIAAAACMTIBDgAAAAUAAAABNwEAAAAHMjU5OTY5NQIAAAAGMjczODg4AwAAAAYxMDAxNzAEAAAAATIGAAAAATAHAAAAATAIAAAAATAJAAAAATEKAAAAATALAAAACzExNjU5MDMwNDEyDAAAAAE4DQAAAAgxLzEv</t>
  </si>
  <si>
    <t>MjAyMBAAAAAKMTIvMzEvMjAxOSgrQnXyQdgID4lOdvJB2AgkQ0lRLl5TUFguSVFfTEFTVFNBTEVQUklDRS4xMy8wNy8yMDE4AQAAAJu4KAACAAAADzI4MDEuMzExMzcyNjYxNwCKxTdR8kHYCI4LFHPyQdgIKUNJUS5OWVNFOk1BTlUuSVFfTEFTVFNBTEVQUklDRS4zMS8wMy8yMDE1AQAAAN1rDQACAAAABTE1LjkxAEFSQnXyQdgIGTdQdvJB2AgkQ0lRLl5BU1guSVFfTEFTVFNBTEVQUklDRS4wNy8xMi8yMDE4AQAAAB9T6wECAAAACzM3MTAuNjYxMjE3AIrFN1HyQdgIoAsbc/JB2AhEQ0lRLk5BU0RBUUdTOkNBS0UuSVFfTUlOT1JJVFlfSU5URVJFU1RfVE9UQUwuOTk3LjMwLzA0LzIwMjAuLkYuVVNELkMBAAAACOAEAAMAAAAAAP9vykzyQdgIMMKZWfJB2AgpQ0lRLkxTRTpUU0NPLklRX0RJVklERU5EX1lJRUxELjMxLzEyLzIwMTkBAAAAMFAGAAIAAAAGMi4yNjA5AP4DQnXyQdgIjyZPdvJB2AggQ0lRLk5ZU0U6S08uSVFfVk9MVU1FLjA3LzA5LzIwMTgBAAAAEmgAAAIAAAAIMTAuMjA4MTEAQ5iFUvJB2AgRmxJx8kHYCCVDSVEuXkNPTVAuSVFfTEFTVFNBTEVQUklDRS4yMC8wNC8yMDE4AQAAAIm4KAACAAAABzcxNDYuMTIA2C3edPJB2AimK0Z28kHYCDJDSVEuTFNFOlRTQ08uSVFfVE9UQUxfTElBQi45OTguMzEvMTIvMjAxOS4uRi5HQlAuQwEAAAAwUAYAAgAAAAUzOTQzOQEIAAAABQAAAAExAQAAAAox</t>
  </si>
  <si>
    <t>ODg4NTI1MDc0AwAAAAI1NQIAAAAEMTI3NgQAAAABMQcAAAAKMTIvMzEvMjAxOQgAAAAJOC8xNi8yMDIwCQAAAAEwhNQXePJB2AgElPV48kHYCC9DSVEuTllTRTpLTy5JUV9UT1RBTF9DTC45OTcuMzEvMTIvMjAxOS4uRi5VU0QuQwEAAAASaAAAAgAAAAUyNjkyOQEIAAAABQAAAAExAQAAAAoxODc1Nzk3ODA5AwAAAAMxNjACAAAABDEwMDkEAAAAATEHAAAACjEyLzMxLzIwMTkIAAAACTgvMTYvMjAyMAkAAAABMBytF3jyQdgILWf4ePJB2AgwQ0lRLk5BU0RBUUdTOkNBS0UuSVFfRUJULjk5OC4zMC8wNC8yMDIwLi5GLlVTRC5DAQAAAAjgBAACAAAABzE0Ni40NjYBCAAAAAUAAAABMQEAAAAKMjAyMTU4MTQwOQMAAAADMTYwAgAAAAMxMzkEAAAAATEHAAAACTQvMzAvMjAyMAgAAAAJOC8xNi8yMDIwCQAAAAEw/2/KTPJB2AjPPKZZ8kHYCCBDSVEuTllTRTpLTy5JUV9WT0xVTUUuMDgvMTEvMjAxOQEAAAASaAAAAgAAAAg3LjE0MTkzMQCj1iRV8kHYCBBsw3LyQdgIJUNJUS4uSVFfUFJJQ0VfVk9MX0hJU1RfMllSLjMwLzA0LzIwMjAFAAAAAAAAAAgAAAAUKEludmFsaWQgSWRlbnRpZmllciniEiRV8kHYCPBoiFnyQdgIJ0NJUS4kQUVETVlSLklRX0xBU1RTQUxFUFJJQ0UuMzEvMTIvMjAxOQEAAAAl61oAAgAAAAswLjg5Njk0NzQ5NwD+A0J18kHYCNGkS3byQdgILUNJUS5OQVNEQVFHUzpDQUtFLklRX0xBU1RT</t>
  </si>
  <si>
    <t>QUxFUFJJQ0UuMzEvMDgvMjAxOQEAAAAI4AQAAgAAAAUzNy45OQAB6H1T8kHYCHeeLXHyQdgIGUNJUS4uSVFfVk9MVU1FLjE4LzEwLzIwMTkFAAAAAAAAAAgAAAAUKEludmFsaWQgSWRlbnRpZmllcinZObVT8kHYCEwNu3LyQdgIMUNJUUFWRy4lVENNU1kwNS5JUV9MQVNUU0FMRVBSSUNFLjQwMTc4LjMxLzEyLzIwMTkBAAAAFx8oAgIAAAAQMS42NTAxMTE5NTUyMTc5MQBBUkJ18kHYCO9WS3byQdgILUNJUS5OQVNEQVFHUzpUU0xBLklRX0xBU1RTQUxFUFJJQ0UuMjIvMTEvMjAxOQEAAAAQxqIBAgAAAAYzMzMuMDQA6DV+U/JB2AiIUC1x8kHYCC1DSVEuTkFTREFRR1M6Q0FLRS5JUV9MQVNUU0FMRVBSSUNFLjEzLzA5LzIwMTkBAAAACOAEAAIAAAAFNDIuNTgABV1+U/JB2AijCCtx8kHYCCZDSVEuTkFTREFRR1M6Q0FLRS5JUV9WT0xVTUUuMzAvMDgvMjAxOQEAAAAI4AQAAgAAAAgwLjc5Mzk4NQCV/SRV8kHYCMXVwHLyQdgINUNJUS5OQVNEQVFHUzpUU0xBLklRX1RPVEFMX0NMLjk5OC4zMS8xMi8yMDE5Li5GLlVTRC5DAQAAABDGogECAAAACDU4MzUuNzg5AQgAAAAFAAAAATEBAAAACjE5NDU4NzM1NTEDAAAAAzE2MAIAAAAEMTAwOQQAAAABMQcAAAAKMTIvMzEvMjAxOQgAAAAJOC8xNi8yMDIwCQAAAAEwHK0XePJB2AgtZ/h48kHYCDlDSVEuTFNFOlNGT1IuSVFfSElHSF9UQVJHRVRfUFJJQ0UuNjAwMC4z</t>
  </si>
  <si>
    <t>MS8xMi8yMDE5Li4uR0JQLkMBAAAAy1PkIQIAAAAQMi4xMDAwMzIzNDg2MzgxMQEOAAAABQAAAAE3AQAAAAk1ODIwMjExNTYCAAAACjEwMDQzMTYwNDgDAAAABjEwMDE2MwQAAAADMjU1BgAAAAEwBwAAAAI1NQgAAAABMQkAAAABMQoAAAABMAsAAAALMTE2OTgxODcxMjYMAAAAATgNAAAACDEvMS8yMDIwEAAAAAk4LzE2LzIwMjAeIhh48kHYCDhSAHnyQdgINkNJUS5MU0U6U0ZPUi5JUV9EQV9NRURJQU5fRVNULjYwMDEuMzAvMDQvMjAyMC4uRi5HQlAuQwEAAADLU+QhAwAAAAAApH8HS/JB2Aj8IKlZ8kHYCCdDSVEuJEFFREFVRC5JUV9MQVNUU0FMRVBSSUNFLjMwLzA0LzIwMTkBAAAAJetaAAIAAAALMi41ODQ3OTk0MzcAlf0kVfJB2Aiwq4VZ8kHYCChDSVEuTFNFOlNGT1IuSVFfTEFTVFNBTEVQUklDRS4zMS8wMS8yMDE4AQAAAMtT5CEDAAAAAAAFXX5T8kHYCE6aKHHyQdgIO0NJUS5MU0U6U0ZPUi5JUV9SRVZFTlVFX01FRElBTl9FU1QuNjAwMC4zMC8wNC8yMDIwLi5GLkdCUC5DAQAAAMtT5CECAAAAEDM2MC40NTkzNTcyODY0MTIBDgAAAAUAAAACMTEBAAAAATACAAAACjEwMDQzMTYwNTEDAAAABjEwMDE4MQQAAAABMwYAAAABMAcAAAACNTUIAAAAATEJAAAAATEKAAAAATALAAAACzExODk5MzMwMDk4DAAAAAIxMg0AAAAINS8xLzIwMjAQAAAACTgvMTYvMjAyMKR/B0vyQdgIQ0KdWfJB2Ag1Q0lRLk5Z</t>
  </si>
  <si>
    <t>U0U6S08uSVFfTklfTUVESUFOX0VTVC4xMDAxLjMwLzA0LzIwMjAuLkYuVVNELkMBAAAAEmgAAAIAAAAKODA3OS4yMjAyMQEOAAAABQAAAAEzAQAAAAEwAgAAAAoxMDAxNDE2NDIwAwAAAAYxMDAyNTEEAAAAATIGAAAAATAHAAAAAzE2MAgAAAABMQkAAAABMQoAAAABMAsAAAALMTE4ODUyODI4MjYMAAAAATENAAAACDUvMS8yMDIwEAAAAAk4LzE2LzIwMjD/b8pM8kHYCErCp1nyQdgILUNJUS5OQVNEQVFHUzpUU0xBLklRX0xBU1RTQUxFUFJJQ0UuMzEvMTAvMjAxNQEAAAAQxqIBAgAAAAYyMDYuOTMAuZR/U/JB2Aj/qiJx8kHYCDlDSVEuTFNFOlNGT1IuSVFfSElHSF9UQVJHRVRfUFJJQ0UuNjAwMC4zMC8wNC8yMDIwLi4uR0JQLkMBAAAAy1PkIQIAAAAQMi4wNzk1OTE3OTMwMTc2NgEOAAAABQAAAAE3AQAAAAk1ODIwMjExNTYCAAAACjEwMDQzMTYwNDgDAAAABjEwMDE2MwQAAAADMjU1BgAAAAEwBwAAAAI1NQgAAAABMQkAAAABMQoAAAABMAsAAAALMTE5MDI4MDg5NzEMAAAAATgNAAAACDUvMS8yMDIwEAAAAAk4LzE2LzIwMjCkfwdL8kHYCA1Cj1nyQdgIIENJUS5OWVNFOktPLklRX1ZPTFVNRS4wOC8wMi8yMDE5AQAAABJoAAACAAAACDkuODEzMjk3AKS8f1PyQdgIWILCcvJB2Ag3Q0lRLk5ZU0U6TUFOVS5JUV9EQV9NRURJQU5fRVNULjEwMDMuMzEvMTIvMjAxOS4uRi5HQlAuQwEAAADdaw0AAwAAAAAA</t>
  </si>
  <si>
    <t>2hSWd/JB2AhrLuh48kHYCClDSVEuTllTRTpNQU5VLklRX0xBU1RTQUxFUFJJQ0UuMzAvMDkvMjAxNwEAAADdaw0AAgAAAAIxOAAFXX5T8kHYCI3XJ3HyQdgIIUNJUS5MU0U6U0ZPUi5JUV9WT0xVTUUuMDYvMDkvMjAxOQEAAADLU+QhAgAAAAgwLjEzMDAzMwCV/SRV8kHYCOJVvXLyQdgIKUNJUS5OWVNFOktPLklRX0dQLjk5Ny4zMC8wNC8yMDIwLi5GLlVTRC5DAQAAABJoAAACAAAABTI1Mzk4AQgAAAAFAAAAATEBAAAACjE5NDY0MzA3ODIDAAAAAzE2MAIAAAACMTAEAAAAATEHAAAACTQvMzAvMjAyMAgAAAAJOC8xNi8yMDIwCQAAAAEwA0nKTPJB2AiG/59Z8kHYCDtDSVEuTFNFOlNGT1IuSVFfUkVWRU5VRV9NRURJQU5fRVNULjEwMDMuMzAvMDQvMjAyMC4uRi5HQlAuQwEAAADLU+QhAgAAABA1NjEuOTUwOTYwNjA4MTgyAQ4AAAAFAAAAATMBAAAAATACAAAACjEwMDQ2MzA2NzEDAAAABjEwMDE4MQQAAAABMwYAAAABMAcAAAACNTUIAAAAATEJAAAAATEKAAAAATALAAAACzExODk5MzMwMDMyDAAAAAExDQAAAAg1LzEvMjAyMBAAAAAJOC8xNi8yMDIwpH8HS/JB2AhdzZxZ8kHYCC1DSVEuTkFTREFRR1M6VFNMQS5JUV9MQVNUU0FMRVBSSUNFLjEyLzAxLzIwMTgBAAAAEMaiAQIAAAAGMzM2LjIyACgrQnXyQdgI56BbdvJB2AgpQ0lRLk5ZU0U6TUFOVS5JUV9MQVNUU0FMRVBSSUNFLjE0LzA2LzIwMTkBAAAA</t>
  </si>
  <si>
    <t>3WsNAAIAAAAFMTcuODcAwap+U/JB2AjNiSdx8kHYCClDSVEuTllTRTpNQU5VLklRX0xBU1RTQUxFUFJJQ0UuMTAvMDQvMjAyMAEAAADdaw0AAgAAAAIxNQAB6H1T8kHYCIfwXlnyQdgIN0NJUS5OWVNFOk1BTlUuSVFfTklfTUVESUFOX0VTVC4xMDAzLjMwLzA0LzIwMjAuLkYuR0JQLkMBAAAA3WsNAAIAAAAGMjIuMTI3AQ4AAAAFAAAAATMBAAAAATACAAAACjEwMDM3MjgyMDEDAAAABjEwMDI1MQQAAAABMwYAAAABMAcAAAACNTUIAAAAATEJAAAAATEKAAAAATALAAAACzExODY4NjIzOTgxDAAAAAExDQAAAAg1LzEvMjAyMBAAAAAJOC8xNi8yMDIwpH8HS/JB2AhWm6dZ8kHYCCZDSVEuTkFTREFRR1M6Q0FLRS5JUV9WT0xVTUUuMTgvMDUvMjAxOAEAAAAI4AQAAgAAAAcxLjU3MDc0ACnmhVLyQdgI32gIcfJB2Ag6Q0lRLk5BU0RBUUdTOlRTTEEuSVFfRVFVSVRZX01FVEhPRC45OTcuMzAvMDQvMjAyMC4uRi5VU0QuQwEAAAAQxqIBAwAAAAAAvFgHS/JB2AjRK5BZ8kHYCCdDSVEuTllTRTpLTy5JUV9MQVNUU0FMRVBSSUNFLjMwLzA2LzIwMTYBAAAAEmgAAAIAAAAFNDUuMzMAwap+U/JB2Ai9fiRx8kHYCCRDSVEuXkFTWC5JUV9MQVNUU0FMRVBSSUNFLjIxLzEyLzIwMTgBAAAAH1PrAQIAAAALMzY2OC42NTU5MzUAisU3UfJB2AigCxtz8kHYCCdDSVEuTllTRTpLTy5JUV9MQVNUU0FMRVBSSUNFLjAyLzAzLzIw</t>
  </si>
  <si>
    <t>MTgBAAAAEmgAAAIAAAAFNDMuNzIAKCtCdfJB2Aj3Nld28kHYCDVDSVFBVkcuJEFFREdCUC5JUV9MQVNUU0FMRVBSSUNFLjI4LzAyLzIwMTUuMjcvMDIvMjAxNgEAAAAl61oAAgAAAAg1LjU2MzEyNwDqlspM8kHYCH/jX3byQdgIMUNJUS5OQVNEQVFHUzpDQUtFLklRX1BFUklPRERBVEUuOTk4LjMwLzA0LzIwMjAuLkYBAAAACOAEAAUAAAAKMDIvMDEvMjAxOACxryRV8kHYCOpUgVnyQdgINkNJUS5OQVNEQVFHUzpDQUtFLklRX1NIQVJFU09VVFNUQU5ESU5HX09VVC4zMS8xMi8yMDE5LgEAAAAI4AQAAgAAAAk0NC42MzM3ODkAKCtCdfJB2Ahx3F118kHYCClDSVEuTllTRTpSQUNFLklRX0xBU1RTQUxFUFJJQ0UuMTUvMTEvMjAxOQEAAAA9grAQAgAAAAMxNjcA6DV+U/JB2AifAi1x8kHYCC1DSVEuTkFTREFRR1M6Q0FLRS5JUV9MQVNUU0FMRVBSSUNFLjAyLzExLzIwMTgBAAAACOAEAAIAAAAFNDkuMTcAx+J/U/JB2Aj7aBdx8kHYCCZDSVEuTkFTREFRR1M6VFNMQS5JUV9WT0xVTUUuMjQvMDgvMjAxOAEAAAAQxqIBAgAAAAgzLjYwMjU2NAA6v4VS8kHYCOJkEXHyQdgIO0NJUS5OQVNEQVFHUzpUU0xBLklRX0NBU0hfU1RfSU5WRVNULjk5Ny4zMC8wNC8yMDIwLi5GLlVTRC5DAQAAABDGogECAAAACDMzOTMuMjE2AQgAAAAFAAAAATEBAAAACjE5NDU4NzM1NTEDAAAAAzE2MAIAAAAEMTAwMgQAAAABMQcAAAAJ</t>
  </si>
  <si>
    <t>NC8zMC8yMDIwCAAAAAk4LzE2LzIwMjAJAAAAATC8WAdL8kHYCDwRk1nyQdgIMENJUS5OWVNFOktPLklRX0xUX0lOVkVTVC45OTcuMzAvMDQvMjAyMC4uRi5VU0QuQwEAAAASaAAAAgAAAAUxODU2OQEIAAAABQAAAAExAQAAAAoxOTQ2NDMwNzgyAwAAAAMxNjACAAAABDEwNTQEAAAAATEHAAAACTQvMzAvMjAyMAgAAAAJOC8xNi8yMDIwCQAAAAEwA0nKTPJB2AiDp5VZ8kHYCClDSVEuTllTRTpNQU5VLklRX0xBU1RTQUxFUFJJQ0UuMjgvMDIvMjAxOAEAAADdaw0AAgAAAAQxOS43AAVdflPyQdgIOOgocfJB2Ag2Q0lRLk5BU0RBUUdTOkNBS0UuSVFfTFRfSU5WRVNULjk5OS4zMS8xMi8yMDE5Li5GLlVTRC5DAQAAAAjgBAACAAAABjU5LjUyMQEIAAAABQAAAAExAQAAAAoxOTQ4MTc2NjgwAwAAAAMxNjACAAAABDEwNTQEAAAAATEHAAAACjEyLzMxLzIwMTkIAAAACTgvMTYvMjAyMAkAAAABMDuGF3jyQdgI8Tv6ePJB2Ag1Q0lRLk5BU0RBUUdTOlRTTEEuSVFfU0hBUkVTT1VUU1RBTkRJTkcuMzEvMTIvMjAxNy5VU0QBAAAAEMaiAQIAAAAKMTY4LjA2NzM5NQAVIspM8kHYCHv0YHbyQdgIIENJUS4uSVFfTEFTVFNBTEVQUklDRS4zMC8wOS8yMDE4BQAAAAAAAAAIAAAAFChJbnZhbGlkIElkZW50aWZpZXIp5/k2UvJB2Ahw3zFz8kHYCDJDSVEuTllTRTpNQU5VLklRX1RPVEFMX0NBLjEwMDAuMzAvMDQvMjAyMC4u</t>
  </si>
  <si>
    <t>Ri5HQlAuQwEAAADdaw0AAgAAAAczODguMzIzAQgAAAAFAAAAATEBAAAACjE5ODU4NDUwNjMDAAAAAjU1AgAAAAQxMDA4BAAAAAExBwAAAAk0LzMwLzIwMjAIAAAACTgvMTYvMjAyMAkAAAABMP9vykzyQdgIFYaTWfJB2AgzQ0lRLkxTRTpUU0NPLklRX1RPVEFMX0xJQUIuMjAwMC4zMC8wNC8yMDIwLi5GLkdCUC5DAQAAADBQBgACAAAABTM5MDQ5AQgAAAAFAAAAATEBAAAACjIwMjY1MDczODgDAAAAAjU1AgAAAAQxMjc2BAAAAAExBwAAAAk0LzMwLzIwMjAIAAAACTgvMTYvMjAyMAkAAAABMMkxB0vyQdgIGRCaWfJB2AgkQ0lRLk5ZU0U6TUFOVS5JUV9CRVRBXzVZUi4zMS8xMi8yMDE5AQAAAN1rDQACAAAAEDAuNzIwOTc3MTM5MjQ4NTkA3wbedPJB2Ag/PEd28kHYCCBDSVEuLklRX0xBU1RTQUxFUFJJQ0UuMjUvMDUvMjAxOAUAAAAAAAAACAAAABQoSW52YWxpZCBJZGVudGlmaWVyKaCeN1HyQdgIIi54c/JB2Ag6Q0lRLk5BU0RBUUdTOkNBS0UuSVFfVE9UQUxfQVNTRVRTLjEwMDAuMzEvMTIvMjAxOS4uRi5VU0QuQwEAAAAI4AQAAgAAAAgxMzE0LjEzMwEIAAAABQAAAAExAQAAAAoxOTQ4MTc2Njc1AwAAAAMxNjACAAAABDEwMDcEAAAAATEHAAAACjEyLzMxLzIwMTkIAAAACTgvMTYvMjAyMAkAAAABMDuGF3jyQdgIUHL7ePJB2Ag7Q0lRLk5ZU0U6TUFOVS5JUV9UT1RBTF9ERUJUX0NVUlJFTlQuOTk2LjMw</t>
  </si>
  <si>
    <t>LzA0LzIwMjAuLkYuR0JQLkMBAAAA3WsNAAIAAAAFMC40ODUBCAAAAAUAAAABMQEAAAAKMTg2MTczNjg2OQMAAAACNTUCAAAABTI1MjIzBAAAAAExBwAAAAk0LzMwLzIwMjAIAAAACTgvMTYvMjAyMAkAAAABMP9vykzyQdgIBd6WWfJB2Ag6Q0lRLk5ZU0U6S08uSVFfVE9UQUxfQ09NTU9OX0VRVUlUWS45OTguMzEvMTIvMjAxOS4uRi5VU0QuQwEAAAASaAAAAgAAAAUyMzA2MgEIAAAABQAAAAExAQAAAAoxOTQ2NDMwNzgyAwAAAAMxNjACAAAABDEwMDYEAAAAATEHAAAACjEyLzMxLzIwMTkIAAAACTgvMTYvMjAyMAkAAAABMB77F3jyQdgISQ30ePJB2Ag1Q0lRQVZHLiRBRURFVVIuSVFfTEFTVFNBTEVQUklDRS4zMS8xMi8yMDE2LjMxLzEyLzIwMTcBAAAAJetaAAIAAAAINC4xNDk5MDcA6pbKTPJB2AgnvV928kHYCCxDSVEuTFNFOlNGT1IuSVFfUEVSSU9EREFURS45OTguMzAvMDQvMjAyMC4uRgEAAADLU+QhAwAAAAAAsa8kVfJB2AjqVIFZ8kHYCC1DSVEuTkFTREFRR1M6Q0FLRS5JUV9MQVNUU0FMRVBSSUNFLjE5LzEwLzIwMTgBAAAACOAEAAIAAAAFNDkuNTkAQ5iFUvJB2AhtGxZx8kHYCDxDSVEuTllTRTpSQUNFLklRX1JFVkVOVUVfTUVESUFOX0VTVC4xMDAxLjMxLzEyLzIwMTkuLkYuRVVSLkMBAAAAPYKwEAIAAAAEMzc0NAEOAAAABQAAAAEzAQAAAAEwAgAAAAoxMDAzMjI2ODAyAwAAAAYxMDAxODEE</t>
  </si>
  <si>
    <t>AAAAATMGAAAAATAHAAAAAjUwCAAAAAExCQAAAAExCgAAAAEwCwAAAAsxMTgyMzMzNDYxNwwAAAABMQ0AAAAIMS8xLzIwMjAQAAAACTgvMTYvMjAyMPNIGHjyQdgIlNXyePJB2AghQ0lRLk5ZU0U6UkFDRS5JUV9QUklNQVJZX0lORFVTVFJZAQAAAD2CsBADAAAAGEF1dG9tb2JpbGUgTWFudWZhY3R1cmVycwDiEiRV8kHYCF+QiFnyQdgILUNJUS5MU0U6U0ZPUi5JUV9FQklULjIwMDAuMzEvMTIvMjAxOS4uRi5HQlAuQwEAAADLU+QhAgAAAAktNS45NDAwMDEBCAAAAAUAAAABMQEAAAAKMTk2MTExNzQwMQMAAAACNTUCAAAAAzQwMAQAAAABMQcAAAAKMTIvMzEvMjAxOQgAAAAJOC8xNi8yMDIwCQAAAAEwHiIYePJB2AhBcex48kHYCC1DSVEuTllTRTpSQUNFLklRX0VCSVQuOTk4LjMxLzEyLzIwMTkuLkYuRVVSLkMBAAAAPYKwEAIAAAAHNjQwLjkxNwEIAAAABQAAAAExAQAAAAoxOTQ3NDQ0MTg0AwAAAAI1MAIAAAADNDAwBAAAAAExBwAAAAoxMi8zMS8yMDE5CAAAAAk4LzE2LzIwMjAJAAAAATAeIhh48kHYCGf863jyQdgIOkNJUS5OWVNFOktPLklRX1JFVkVOVUVfTUVESUFOX0VTVC4xMDAxLjMwLzA0LzIwMjAuLkYuVVNELkMBAAAAEmgAAAIAAAAKMzMzMDAuOTMyNQEOAAAABQAAAAEzAQAAAAEwAgAAAAoxMDAxNDE2NDIwAwAAAAYxMDAxODEEAAAAATIGAAAAATAHAAAAAzE2MAgAAAABMQkAAAABMQoAAAAB</t>
  </si>
  <si>
    <t>MAsAAAALMTE4OTE1MTY0MjgMAAAAATENAAAACDUvMS8yMDIwEAAAAAk4LzE2LzIwMjD/b8pM8kHYCENCnVnyQdgIKUNJUS5OWVNFOlJBQ0UuSVFfTEFTVFNBTEVQUklDRS4yMC8wNy8yMDE4AQAAAD2CsBACAAAAAzE0MAA6v4VS8kHYCE4xDnHyQdgIIUNJUS5MU0U6VFNDTy5JUV9WT0xVTUUuMjEvMTIvMjAxOAEAAAAwUAYAAgAAAAg0My4wMDY1NQDH4n9T8kHYCF5zIXHyQdgIMENJUS5OQVNEQVFHUzpUU0xBLklRX0dQLjEwMDAuMzEvMTIvMjAxOS4uRi5VU0QuQwEAAAAQxqIBAgAAAAg0MDQyLjAyMQEIAAAABQAAAAExAQAAAAoxOTQ1ODczNTQ2AwAAAAMxNjACAAAAAjEwBAAAAAExBwAAAAoxMi8zMS8yMDE5CAAAAAk4LzE2LzIwMjAJAAAAATAeIhh48kHYCJe18HjyQdgIN0NJUS5OWVNFOlJBQ0UuSVFfREFfTUVESUFOX0VTVC4xMDAxLjMwLzA0LzIwMjAuLkYuRVVSLkMBAAAAPYKwEAIAAAADNDIyAQ4AAAAFAAAAATMBAAAAATACAAAACjEwMDMyMjY4MDcDAAAABjExNDE5MAQAAAABMwYAAAABMAcAAAACNTAIAAAAATEJAAAAATEKAAAAATALAAAACzExODk1NTM1ODc0DAAAAAExDQAAAAg1LzEvMjAyMBAAAAAJOC8xNi8yMDIwpH8HS/JB2AjXlalZ8kHYCDZDSVEuTllTRTpSQUNFLklRX1RPVEFMX0FTU0VUUy4yMDAwLjMxLzEyLzIwMTkuLkYuRVVSLkMBAAAAPYKwEAIAAAAHNTM0MC4wOAEIAAAABQAA</t>
  </si>
  <si>
    <t>AAExAQAAAAoxOTkwNDIzNjg3AwAAAAI1MAIAAAAEMTAwNwQAAAABMQcAAAAKMTIvMzEvMjAxOQgAAAAJOC8xNi8yMDIwCQAAAAEwO4YXePJB2AhQcvt48kHYCDNDSVEuTFNFOlRTQ08uSVFfUFJFRl9FUVVJVFkuOTk5LjMwLzA0LzIwMjAuLkYuR0JQLkMBAAAAMFAGAAMAAAAAAMkxB0vyQdgIyUebWfJB2AghQ0lRLkxTRTpTRk9SLklRX1ZPTFVNRS4yMC8wOS8yMDE5AQAAAMtT5CECAAAACDAuMzc2MjU5AJX9JFXyQdgI4lW9cvJB2Ag3Q0lRLk5ZU0U6UkFDRS5JUV9EQV9NRURJQU5fRVNULjEwMDMuMzEvMTIvMjAxOS4uRi5FVVIuQwEAAAA9grAQAgAAAAU0ODAuNQEOAAAABQAAAAEzAQAAAAEwAgAAAAoxMDAzMjI2ODU0AwAAAAYxMTQxOTAEAAAAATMGAAAAATAHAAAAAjUwCAAAAAExCQAAAAExCgAAAAEwCwAAAAsxMTcxOTI2NTQ3NgwAAAABMQ0AAAAIMS8xLzIwMjAQAAAACTgvMTYvMjAyMNoUlnfyQdgIay7oePJB2AggQ0lRLk5ZU0U6S08uSVFfVk9MVU1FLjI1LzEwLzIwMTkBAAAAEmgAAAIAAAAHOS43ODI0NACj1iRV8kHYCBBsw3LyQdgIJUNJUS5eQ09NUC5JUV9MQVNUU0FMRVBSSUNFLjAxLzAyLzIwMTkBAAAAibgoAAIAAAAHNzI2My44NwCKxTdR8kHYCMXvFnPyQdgIIENJUS5OWVNFOktPLklRX1ZPTFVNRS4xNC8xMi8yMDE4AQAAABJoAAACAAAACDEzLjgzNjA3AMfif1PyQdgIa9cgcfJB2Agm</t>
  </si>
  <si>
    <t>Q0lRLk5BU0RBUUdTOlRTTEEuSVFfVk9MVU1FLjI5LzAzLzIwMTkBAAAAEMaiAQIAAAAINS45OTEzMzgAuZR/U/JB2AiZccFy8kHYCDdDSVEuTllTRTpNQU5VLklRX0RBX01FRElBTl9FU1QuMTAwMi4zMC8wNC8yMDIwLi5GLkdCUC5DAQAAAN1rDQADAAAAAACkfwdL8kHYCP1HqVnyQdgIMENJUS5OWVNFOlJBQ0UuSVFfUlVBX05FVC4yMDAwLjMwLzA0LzIwMjAuLi5MT0NBTAEAAAA9grAQAwAAAAAAsa8kVfJB2AgRQdJa8kHYCCVDSVEuXkNPTVAuSVFfTEFTVFNBTEVQUklDRS4yMy8wMi8yMDE4AQAAAIm4KAACAAAABzczMzcuMzkA2C3edPJB2Ai4BEZ28kHYCBlDSVEuLklRX1ZPTFVNRS4wNi8xMi8yMDE5BQAAAAAAAAAIAAAAFChJbnZhbGlkIElkZW50aWZpZXIp2Tm1U/JB2AhGNLty8kHYCCdDSVEuJEFFRFJVQi5JUV9MQVNUU0FMRVBSSUNFLjMwLzA0LzIwMjABAAAAJetaAAIAAAALMC4wNDk2OTkyNzQAqiQlVfJB2Ajl6IRZ8kHYCChDSVEuTFNFOlNGT1IuSVFfTEFTVFNBTEVQUklDRS4wMy8wOC8yMDE4AQAAAMtT5CEDAAAAAAA6v4VS8kHYCBaRD3HyQdgIJENJUS5eQVNYLklRX0xBU1RTQUxFUFJJQ0UuMjYvMDQvMjAxOQEAAAAfU+sBAgAAAAs0MDcyLjcyNjEyMgCgnjdR8kHYCNSWGnPyQdgIKUNJUS5OWVNFOk1BTlUuSVFfTEFTVFNBTEVQUklDRS4zMC8wNi8yMDE5AQAAAN1rDQACAAAABTE4LjA4</t>
  </si>
  <si>
    <t>AAgPflPyQdgInwItcfJB2Ag2Q0lRLk5BU0RBUUdTOlRTTEEuSVFfVE9UQUxfUkVWLjk5Ny4zMS8xMi8yMDE5Li5GLlVTRC5DAQAAABDGogECAAAACDQwNDYuMDI1AQgAAAAFAAAAATEBAAAACjE4NzU3NjkwODIDAAAAAzE2MAIAAAACMjgEAAAAATEHAAAACjEyLzMxLzIwMTkIAAAACTgvMTYvMjAyMAkAAAABMB77F3jyQdgIxxLyePJB2Ag9Q0lRLk5BU0RBUUdTOkNBS0UuSVFfRUJJVF9NRURJQU5fRVNULjYwMDAuMzAvMDQvMjAyMC4uRi5VU0QuQwEAAAAI4AQAAgAAAAgtODguOTA0NQEOAAAABQAAAAIxMQEAAAABMAIAAAAKMTAwMjIyNDIyMgMAAAAGMTAwMjE2BAAAAAEyBgAAAAEwBwAAAAMxNjAIAAAAATEJAAAAATEKAAAAATALAAAACzExODg2NTA5NTU3DAAAAAIxMg0AAAAINS8xLzIwMjAQAAAACTgvMTYvMjAyMP9vykzyQdgIbfSjWfJB2AgpQ0lRLk5ZU0U6UkFDRS5JUV9MQVNUU0FMRVBSSUNFLjI4LzAyLzIwMTkBAAAAPYKwEAIAAAAGMTI4LjI2AAgPflPyQdgI3xgscfJB2AgnQ0lRLk5ZU0U6S08uSVFfTEFTVFNBTEVQUklDRS4xMC8wNC8yMDIwAQAAABJoAAACAAAAAjQ5AAHofVPyQdgIh/BeWfJB2AgZQ0lRLi5JUV9WT0xVTUUuMTUvMDMvMjAxOQUAAAAAAAAACAAAABQoSW52YWxpZCBJZGVudGlmaWVyKa/4flPyQdgIfnG6cvJB2AgnQ0lRLiRBRURDT1AuSVFfTEFTVFNBTEVQUklDRS4zMC8w</t>
  </si>
  <si>
    <t>NC8yMDE5AQAAACXrWgACAAAACzAuMDAxMTM1NDY0AKokJVXyQdgIMdiDWfJB2AgkQ0lRLl5BU1guSVFfTEFTVFNBTEVQUklDRS4wNC8wNS8yMDE4AQAAAB9T6wECAAAACzQxNTguNjQyNjE5AIrFN1HyQdgIevUbc/JB2Ag3Q0lRLk5BU0RBUUdTOlRTTEEuSVFfSU5WRU5UT1JZLjIwMDAuMzEvMTIvMjAxOS4uRi5VU0QuQwEAAAAQxqIBAgAAAAQzNTgxAQgAAAAFAAAAATEBAAAACjE5ODk0NTMxMzADAAAAAzE2MAIAAAAEMTA0MwQAAAABMQcAAAAKMTIvMzEvMjAxOQgAAAAJOC8xNi8yMDIwCQAAAAEw2hSWd/JB2Ag3SuV48kHYCCJDSVEuTllTRTpSQUNFLklRX1ZPTFVNRS4wOC8wNi8yMDE4AQAAAD2CsBACAAAACDAuMTc1NDc1ACnmhVLyQdgIozwKcfJB2AgtQ0lRLk5BU0RBUUdTOkNBS0UuSVFfTEFTVFNBTEVQUklDRS4zMS8wNy8yMDE1AQAAAAjgBAACAAAABTU3Ljc0ALmUf1PyQdgID5ohcfJB2AghQ0lRLkxTRTpTRk9SLklRX1ZPTFVNRS4xNC8wMi8yMDIwAQAAAMtT5CECAAAACDAuMTgyMzA3AJX9JFXyQdgI/yN3WfJB2Ag3Q0lRLk5BU0RBUUdTOlRTTEEuSVFfTFRfSU5WRVNULjIwMDAuMzAvMDQvMjAyMC4uRi5VU0QuQwEAAAAQxqIBAwAAAAAAvFgHS/JB2AiiMpVZ8kHYCCxDSVEuTFNFOlNGT1IuSVFfRUJULjIwMDAuMzAvMDQvMjAyMC4uRi5HQlAuQwEAAADLU+QhAgAAAAYtOS4xOTUBCAAAAAUA</t>
  </si>
  <si>
    <t>AAABMQEAAAAKMjAyMjU5OTg4NwMAAAACNTUCAAAAAzEzOQQAAAABMQcAAAAJNC8zMC8yMDIwCAAAAAk4LzE2LzIwMjAJAAAAATDJMQdL8kHYCPDHpVnyQdgIKENJUS5MU0U6U0ZPUi5JUV9MQVNUU0FMRVBSSUNFLjEwLzAxLzIwMjABAAAAy1PkIQIAAAAEMS44OQAID35T8kHYCErlW1nyQdgIMENJUS5MU0U6U0ZPUi5JUV9DT1NUX1JFVi45OTkuMzEvMTIvMjAxOS4uRi5HQlAuQwEAAADLU+QhAwAAAAAAHvsXePJB2AhZUfF48kHYCDFDSVEuTkFTREFRR1M6VFNMQS5JUV9QRVJJT0REQVRFLjk5Ny4zMC8wNC8yMDIwLi5GAQAAABDGogEFAAAACjMxLzEyLzIwMTYAsa8kVfJB2AjqVIFZ8kHYCCBDSVEuLklRX0xBU1RTQUxFUFJJQ0UuMTkvMDcvMjAxOQUAAAAAAAAACAAAABQoSW52YWxpZCBJZGVudGlmaWVyKZI2hVHyQdgIv3U7c/JB2Ag3Q0lRLk5BU0RBUUdTOkNBS0UuSVFfVE9UQUxfUkVWLjIwMDAuMzEvMTIvMjAxOS4uRi5VU0QuQwEAAAAI4AQAAgAAAAgyMzczLjgxNwEIAAAABQAAAAExAQAAAAoxOTkxMzI3MDQwAwAAAAMxNjACAAAAAjI4BAAAAAExBwAAAAoxMi8zMS8yMDE5CAAAAAk4LzE2LzIwMjAJAAAAATAe+xd48kHYCJTV8njyQdgINkNJUS5OQVNEQVFHUzpUU0xBLklRX1RPVEFMX1JFVi45OTUuMzEvMTIvMjAxOS4uRi5VU0QuQwEAAAAQxqIBAgAAAAgyMDEzLjQ5NgEIAAAABQAAAAExAQAA</t>
  </si>
  <si>
    <t>AAoxNzc3NjYwNzM0AwAAAAMxNjACAAAAAjI4BAAAAAExBwAAAAoxMi8zMS8yMDE5CAAAAAk4LzE2LzIwMjAJAAAAATAe+xd48kHYCGPH8XjyQdgIIENJUS4uSVFfTEFTVFNBTEVQUklDRS4xOC8wMS8yMDE5BQAAAAAAAAAIAAAAFChJbnZhbGlkIElkZW50aWZpZXIpp3c3UfJB2Agy91pz8kHYCC1DSVEuTkFTREFRR1M6VFNMQS5JUV9MQVNUU0FMRVBSSUNFLjIxLzA2LzIwMTkBAAAAEMaiAQIAAAAGMjIxLjg2AMGqflPyQdgIjdcncfJB2AguQ0lRLkxTRTpTRk9SLklRX0VCSVREQS45OTguMzAvMDQvMjAyMC4uRi5HQlAuQwEAAADLU+QhAwAAAAAA2QoHS/JB2AioMaNZ8kHYCCJDSVEuTllTRTpSQUNFLklRX1ZPTFVNRS4yNy8wMy8yMDIwAQAAAD2CsBACAAAACDAuNjE5NjU2ANk5tVPyQdgI8zh2WfJB2AgkQ0lRLl5TUFguSVFfTEFTVFNBTEVQUklDRS4xMS8wMS8yMDE5AQAAAJu4KAACAAAAEDI1OTYuMjU3MzAxNTY0MDQAisU3UfJB2AgTSRNz8kHYCDFDSVEuTllTRTpLTy5JUV9JTlZFTlRPUlkuMjAwMC4zMS8xMi8yMDE5Li5GLlVTRC5DAQAAABJoAAACAAAABDMyNjYBCAAAAAUAAAABMQEAAAAKMTk4ODgwMTUyNgMAAAADMTYwAgAAAAQxMDQzBAAAAAExBwAAAAoxMi8zMS8yMDE5CAAAAAk4LzE2LzIwMjAJAAAAATDaFJZ38kHYCDdK5XjyQdgIIENJUS5OWVNFOktPLklRX1ZPTFVNRS4wNi8wNC8yMDE4</t>
  </si>
  <si>
    <t>AQAAABJoAAACAAAACDExLjQ5NTA4ACgrQnXyQdgIOZRRdvJB2AgkQ0lRLl5TUFguSVFfTEFTVFNBTEVQUklDRS4zMS8wOC8yMDE2AQAAAJu4KAACAAAAEDIxNzAuOTQ2OTU3NjkyNDUAfKuFUfJB2AjKewhz8kHYCDlDSVEuTkFTREFRR1M6VFNMQS5JUV9TSEFSRVNPVVRTVEFORElOR19PVVQuMzEvMTIvMjAxNC5VU0QBAAAAEMaiAQIAAAAKMTI3LjQ5NDA5NwBHYBd48kHYCNTFAHnyQdgIGUNJUS4uSVFfVk9MVU1FLjE5LzA0LzIwMTkFAAAAAAAAAAgAAAAUKEludmFsaWQgSWRlbnRpZmllcimv+H5T8kHYCH5xunLyQdgIJENJUS5eQVNYLklRX0xBU1RTQUxFUFJJQ0UuMDMvMDQvMjAyMAEAAAAfU+sBAgAAAAsyOTU4LjQwNDUyNgAA3jJS8kHYCAELv1nyQdgIJkNJUS5OQVNEQVFHUzpUU0xBLklRX1ZPTFVNRS4zMC8wOC8yMDE5AQAAABDGogECAAAACDkuMzI3Nzc1AKPWJFXyQdgIbQ3CcvJB2AhBQ0lRLk5BU0RBUUdTOlRTTEEuSVFfVE9UQUxfQ09NTU9OX0VRVUlUWS4xMDAwLjMxLzEyLzIwMTkuLkYuVVNELkMBAAAAEMaiAQIAAAAINDkyMy4yNDMBCAAAAAUAAAABMQEAAAAKMTk0NTg3MzU0NgMAAAADMTYwAgAAAAQxMDA2BAAAAAExBwAAAAoxMi8zMS8yMDE5CAAAAAk4LzE2LzIwMjAJAAAAATAe+xd48kHYCCNb9HjyQdgILUNJUS5OQVNEQVFHUzpUU0xBLklRX0xBU1RTQUxFUFJJQ0UuMzEvMDcvMjAx</t>
  </si>
  <si>
    <t>NgEAAAAQxqIBAgAAAAYyMzQuNzkAwap+U/JB2AhypSRx8kHYCClDSVEuTllTRTpNQU5VLklRX0xBU1RTQUxFUFJJQ0UuMjgvMTIvMjAxOAEAAADdaw0AAgAAAAUxOC43NADH4n9T8kHYCBs2InHyQdgILENJUS5OWVNFOktPLklRX0xBU1RTQUxFUFJJQ0UuMzAvMDQvMjAyMC5VU0QuAQAAABJoAAACAAAABTQ1Ljg5AGUcw1ryQdgIZRzDWvJB2AgkQ0lRLl5TUFguSVFfTEFTVFNBTEVQUklDRS4yMC8wNC8yMDE4AQAAAJu4KAACAAAAEDI2NzAuMTQxNzU1NjQ3MzkA2C3edPJB2AiQeUZ28kHYCDNDSVEuTllTRTpLTy5JUV9TSEFSRVNPVVRTVEFORElOR19PVVQuMzEvMTIvMjAxNi5VU0QBAAAAEmgAAAIAAAALNDM3MC4zODE2MTIAA0nKTPJB2Ag6kGF28kHYCCJDSVEuTllTRTpSQUNFLklRX1ZPTFVNRS4wOS8wMy8yMDE4AQAAAD2CsBACAAAACDAuMzI0MzA3ACgrQnXyQdgIz8BWdvJB2AgcQ0lRLkxTRTpTRk9SLklRX0NPVU5UUllfTkFNRQEAAADLU+QhAwAAAA5Vbml0ZWQgS2luZ2RvbQD8OiRV8kHYCM/diFnyQdgIMUNJUS5OWVNFOk1BTlUuSVFfVE9UQUxfQ0EuOTk5LjMwLzA0LzIwMjAuLkYuR0JQLkMBAAAA3WsNAAIAAAAHNDEzLjQ1NwEIAAAABQAAAAExAQAAAAoxOTg1ODQ1MDI5AwAAAAI1NQIAAAAEMTAwOAQAAAABMQcAAAAJNC8zMC8yMDIwCAAAAAk4LzE2LzIwMjAJAAAAATC8WAdL8kHYCOmrk1ny</t>
  </si>
  <si>
    <t>QdgIKENJUS5MU0U6VFNDTy5JUV9MQVNUU0FMRVBSSUNFLjMxLzAxLzIwMTUBAAAAMFAGAAIAAAAGMi4yNDc1AEFSQnXyQdgIiVxQdvJB2AgiQ0lRLk5ZU0U6TUFOVS5JUV9WT0xVTUUuMjQvMDEvMjAyMAEAAADdaw0AAgAAAAgwLjA1NTM0OACV/SRV8kHYCB5EeVnyQdgIN0NJUS5VU0QuSVFfRlVMTF9DVVJWRV9BTk5VQUwuQUxMQ09SUC5BQUEuMjBZLjMxLzEyLzIwMTkBAAAAAAAAAAIAAAAJMC4wMzQ1OTc2ANgt3nTyQdgIdFxJdvJB2Ag4Q0lRLk5BU0RBUUdTOlRTTEEuSVFfUFJFRl9FUVVJVFkuOTk3LjMwLzA0LzIwMjAuLkYuVVNELkMBAAAAEMaiAQMAAAAAALxYB0vyQdgIspWbWfJB2AgnQ0lRLk5ZU0U6S08uSVFfTEFTVFNBTEVQUklDRS4yNy8xMi8yMDE5AQAAABJoAAACAAAABTU1LjM1AAgPflPyQdgINIgucfJB2AgqQ0lRLk5ZU0U6S08uSVFfTkkuMjAwMC4zMC8wNC8yMDIwLi5GLlVTRC5DAQAAABJoAAACAAAABTEwMDE3AQgAAAAFAAAAATEBAAAACjIwMzAzNzY4OTcDAAAAAzE2MAIAAAACMTUEAAAAATEHAAAACTQvMzAvMjAyMAgAAAAJOC8xNi8yMDIwCQAAAAEwA0nKTPJB2AhjEKhZ8kHYCEBDSVEuTFNFOlRTQ08uSVFfTUlOT1JJVFlfSU5URVJFU1RfVE9UQUwuMTAwMC4zMC8wNC8yMDIwLi5GLkdCUC5DAQAAADBQBgACAAAAAy0yMgEIAAAABQAAAAExAQAAAAoyMDI2NTA3MzA5AwAAAAI1</t>
  </si>
  <si>
    <t>NQIAAAAEMTMxMgQAAAABMQcAAAAJNC8zMC8yMDIwCAAAAAk4LzE2LzIwMjAJAAAAATDJMQdL8kHYCMpOmVnyQdgIM0NJUS5MU0U6U0ZPUi5JUV9QUkVGX0VRVUlUWS45OTkuMzAvMDQvMjAyMC4uRi5HQlAuQwEAAADLU+QhAwAAAAAA2QoHS/JB2AjJR5tZ8kHYCChDSVEuTFNFOlNGT1IuSVFfTEFTVFNBTEVQUklDRS4xOC8wMS8yMDE5AQAAAMtT5CECAAAABTEuMjc1AKS8f1PyQdgI5tEicfJB2AgnQ0lRLiRBRURNWVIuSVFfTEFTVFNBTEVQUklDRS4zMC8wNC8yMDIwAQAAACXrWgACAAAACjAuODU1Mzk5NTIAqiQlVfJB2Agk/4NZ8kHYCCFDSVEuTFNFOlRTQ08uSVFfVk9MVU1FLjA5LzA4LzIwMTkBAAAAMFAGAAIAAAAIMTYuMjcxMzgAlf0kVfJB2AhhZr5y8kHYCCRDSVEuXlNQWC5JUV9MQVNUU0FMRVBSSUNFLjA0LzA1LzIwMTgBAAAAm7goAAIAAAAQMjY2My40MjAzMzczMDAzOQCKxTdR8kHYCPKAFHPyQdgIJUNJUS5eQ09NUC5JUV9MQVNUU0FMRVBSSUNFLjMxLzAxLzIwMTcBAAAAibgoAAIAAAAHNTYxNC43OQB8q4VR8kHYCHEBCnPyQdgIKUNJUS5OWVNFOlJBQ0UuSVFfTEFTVFNBTEVQUklDRS4yOC8wOS8yMDE4AQAAAD2CsBACAAAABjEzNi45MQBDmIVS8kHYCKcgFHHyQdgIO0NJUS5OQVNEQVFHUzpDQUtFLklRX0RBX01FRElBTl9FU1QuMTAwMy4zMC8wNC8yMDIwLi5GLlVTRC5DAQAAAAjgBAAC</t>
  </si>
  <si>
    <t>AAAAAzEwNQEOAAAABQAAAAEzAQAAAAEwAgAAAAoxMDAyMjI0MjI0AwAAAAYxMTQxOTAEAAAAATIGAAAAATAHAAAAAzE2MAgAAAABMQkAAAABMQoAAAABMAsAAAALMTE4NzAzNTU3NjMMAAAAATENAAAACDUvMS8yMDIwEAAAAAk4LzE2LzIwMjD/b8pM8kHYCP35qFnyQdgIMENJUS5OWVNFOlJBQ0UuSVFfSU5DX1RBWC45OTYuMzAvMDQvMjAyMC4uRi5FVVIuQwEAAAA9grAQAgAAAAcxNDQuMTE1AQgAAAAFAAAAATEBAAAACjE4NzYwNDMzMTMDAAAAAjUwAgAAAAI3NQQAAAABMQcAAAAJNC8zMC8yMDIwCAAAAAk4LzE2LzIwMjAJAAAAATDZCgdL8kHYCGB0p1nyQdgIIENJUS4uSVFfTEFTVFNBTEVQUklDRS4yOC8wMi8yMDE1BQAAAAAAAAAIAAAAFChJbnZhbGlkIElkZW50aWZpZXIpXzPcdPJB2AilQEV28kHYCDFDSVEuTkFTREFRR1M6Q0FLRS5JUV9FQlQuMTAwMC4zMS8xMi8yMDE5Li5GLlVTRC5DAQAAAAjgBAACAAAABzEwNy40MTEBCAAAAAUAAAABMQEAAAAKMTk0ODE3NjY3NQMAAAADMTYwAgAAAAMxMzkEAAAAATEHAAAACjEyLzMxLzIwMTkIAAAACTgvMTYvMjAyMAkAAAABMNztlXfyQdgIsevqePJB2AgsQ0lRLk5ZU0U6UkFDRS5JUV9HUC4xMDAwLjMwLzA0LzIwMjAuLkYuRVVSLkMBAAAAPYKwEAIAAAAIMTk2MS4zMDUBCAAAAAUAAAABMQEAAAAKMjAxNTYzOTgyMgMAAAACNTACAAAAAjEwBAAAAAEx</t>
  </si>
  <si>
    <t>BwAAAAk0LzMwLzIwMjAIAAAACTgvMTYvMjAyMAkAAAABMNkKB0vyQdgIwbKfWfJB2AgpQ0lRLk5ZU0U6TUFOVS5JUV9MQVNUU0FMRVBSSUNFLjAxLzAzLzIwMTkBAAAA3WsNAAIAAAAFMjAuMjkApLx/U/JB2AiBMCRx8kHYCCdDSVEuJEFFRFJPTi5JUV9MQVNUU0FMRVBSSUNFLjMwLzA0LzIwMTkBAAAAJetaAAIAAAALMC44NjQ0NzkzODIAqiQlVfJB2Ah+2oJZ8kHYCCdDSVEuJEFFRENBRC5JUV9MQVNUU0FMRVBSSUNFLjMwLzA0LzIwMjABAAAAJetaAAIAAAAKMi42NDQ3NjczNQCV/SRV8kHYCKbShVnyQdgIOkNJUS5OWVNFOk1BTlUuSVFfQ0FQRVhfTUVESUFOX0VTVC4xMDAyLjMxLzEyLzIwMTkuLkYuR0JQLkMBAAAA3WsNAAIAAAAELTE3NQEOAAAABQAAAAEzAQAAAAEwAgAAAAoxMDAzMDkyNDMwAwAAAAYxMDQwOTEEAAAAATMGAAAAATAHAAAAAjU1CAAAAAExCQAAAAExCgAAAAEwCwAAAAsxMTYyMTI0Mjk4MQwAAAABMQ0AAAAIMS8xLzIwMjAQAAAACTgvMTYvMjAyMDs8lnfyQdgI4IHmePJB2AgpQ0lRLk5ZU0U6UkFDRS5JUV9MQVNUU0FMRVBSSUNFLjMwLzA0LzIwMTgBAAAAPYKwEAIAAAAGMTIyLjY4AOg1flPyQdgIl1spcfJB2AhEQ0lRLk5BU0RBUUdTOlRTTEEuSVFfTUlOT1JJVFlfSU5URVJFU1RfVE9UQUwuOTk4LjMwLzA0LzIwMjAuLkYuVVNELkMBAAAAEMaiAQIAAAAHMTM5NS4wOAEIAAAA</t>
  </si>
  <si>
    <t>BQAAAAExAQAAAAoyMDEzOTA3NDcwAwAAAAMxNjACAAAABDEzMTIEAAAAATEHAAAACTQvMzAvMjAyMAgAAAAJOC8xNi8yMDIwCQAAAAEwvFgHS/JB2Ag7m5lZ8kHYCCRDSVEuXkFTWC5JUV9MQVNUU0FMRVBSSUNFLjMwLzExLzIwMTUBAAAAH1PrAQIAAAALMzQ5Mi4xMzAxMDYAoJ43UfJB2AjR0wtz8kHYCDtDSVEuTFNFOlRTQ08uSVFfVE9UQUxfQ09NTU9OX0VRVUlUWS45OTcuMzAvMDQvMjAyMC4uRi5HQlAuQwEAAAAwUAYAAgAAAAQ2NDM4AQgAAAAFAAAAATEBAAAACjE4ODg1MjUwNzQDAAAAAjU1AgAAAAQxMDA2BAAAAAExBwAAAAk0LzMwLzIwMjAIAAAACTgvMTYvMjAyMAkAAAABMMkxB0vyQdgIcX+cWfJB2AgnQ0lRLiRBRURDTFAuSVFfTEFTVFNBTEVQUklDRS4zMS8xMi8yMDE4AQAAACXrWgACAAAACzAuMDA1MjkzMTE3AP4DQnXyQdgIBfRLdvJB2AgpQ0lRLk5ZU0U6UkFDRS5JUV9MQVNUU0FMRVBSSUNFLjA5LzExLzIwMTgBAAAAPYKwEAIAAAAGMTEwLjA3AMfif1PyQdgI6gcdcfJB2AgtQ0lRLk5BU0RBUUdTOkNBS0UuSVFfTEFTVFNBTEVQUklDRS4xMy8wNC8yMDE4AQAAAAjgBAACAAAABTUyLjE5AEFSQnXyQdgIq0dRdvJB2AgoQ0lRLkxTRTpUU0NPLklRX0xBU1RTQUxFUFJJQ0UuMDUvMDQvMjAxOQEAAAAwUAYAAgAAAAUyLjM2OQC5lH9T8kHYCDZBJXHyQdgIJUNJUS5eQ09NUC5JUV9MQVNU</t>
  </si>
  <si>
    <t>U0FMRVBSSUNFLjMxLzEwLzIwMTUBAAAAibgoAAIAAAAHNTA1My43NQCgnjdR8kHYCFd1CnPyQdgIMENJUS5OWVNFOktPLklRX1RPVEFMX0NMLjEwMDAuMzEvMTIvMjAxOS4uRi5VU0QuQwEAAAASaAAAAgAAAAUyOTIyMwEIAAAABQAAAAExAQAAAAoxOTQ2NDMwNzgxAwAAAAMxNjACAAAABDEwMDkEAAAAATEHAAAACjEyLzMxLzIwMTkIAAAACTgvMTYvMjAyMAkAAAABMBytF3jyQdgIpLb4ePJB2AgjQ0lRLkxTRTpUU0NPLklRX0JFVEFfNVlSLjMwLzA0LzIwMjABAAAAMFAGAAIAAAARMC40MTA1NjI1OTIyNzc0MzQAo9YkVfJB2AjOBIlZ8kHYCCRDSVEuXlNQWC5JUV9MQVNUU0FMRVBSSUNFLjAzLzAxLzIwMjABAAAAm7goAAIAAAAQMzIzNC44NDg1NjMyMzgwOAAJljdS8kHYCCuhulnyQdgIIENJUS4uSVFfTEFTVFNBTEVQUklDRS4zMS8wNy8yMDE3BQAAAAAAAAAIAAAAFChJbnZhbGlkIElkZW50aWZpZXIpnA+FUfJB2AiIrUNz8kHYCCRDSVEuXlNQWC5JUV9MQVNUU0FMRVBSSUNFLjMwLzExLzIwMTUBAAAAm7goAAIAAAAQMjA4MC40MDY4Mjg2MTgxNgCgnjdR8kHYCKPICHPyQdgIKUNJUS5OWVNFOk1BTlUuSVFfTEFTVFNBTEVQUklDRS4zMS8wMy8yMDIwAQAAAN1rDQACAAAABTE1LjA1AAHofVPyQdgIlxdfWfJB2AgpQ0lRLk5ZU0U6TUFOVS5JUV9MQVNUU0FMRVBSSUNFLjMxLzA1LzIwMTkBAAAA3WsN</t>
  </si>
  <si>
    <t>AAIAAAAFMTguMjYAwap+U/JB2Aio2yxx8kHYCDdDSVEuTllTRTpSQUNFLklRX0NBU0hfU1RfSU5WRVNULjk5Ni4zMS8xMi8yMDE5Li5GLkVVUi5DAQAAAD2CsBACAAAABzEzNC4yNzgBCAAAAAUAAAABMQEAAAAKMTgzMDQ3NDA5NAMAAAACNTACAAAABDEwMDIEAAAAATEHAAAACjEyLzMxLzIwMTkIAAAACTgvMTYvMjAyMAkAAAABMDuGF3jyQdgI+an8ePJB2AgkQ0lRLl5TUFguSVFfTEFTVFNBTEVQUklDRS4zMS8xMi8yMDE4AQAAAJu4KAACAAAAEDI1MDYuODQ3MTgyNjI3MjIACZY3UvJB2Aj03wdz8kHYCDVDSVEuTllTRTpSQUNFLklRX1BSRUZfRVFVSVRZLjEwMDAuMzEvMTIvMjAxOS4uRi5FVVIuQwEAAAA9grAQAwAAAAAAhNQXePJB2Aj69vR48kHYCC9DSVEuTFNFOlRTQ08uSVFfRUJJVERBLjEwMDAuMzAvMDQvMjAyMC4uRi5HQlAuQwEAAAAwUAYAAgAAAAQ0MTI4AQgAAAAFAAAAATEBAAAACjIwMjY1MDczMDkDAAAAAjU1AgAAAAQ0MDUxBAAAAAExBwAAAAk0LzMwLzIwMjAIAAAACTgvMTYvMjAyMAkAAAABMMkxB0vyQdgIsLyiWfJB2AgnQ0lRLiRBRURUSEIuSVFfTEFTVFNBTEVQUklDRS4zMS8xMi8yMDE4AQAAACXrWgACAAAACzAuMTEzNjI3MjI0AP4DQnXyQdgI0aRLdvJB2AggQ0lRLi5JUV9MQVNUU0FMRVBSSUNFLjIxLzAyLzIwMjAFAAAAAAAAAAgAAAAUKEludmFsaWQgSWRlbnRpZmllcikg</t>
  </si>
  <si>
    <t>aTJS8kHYCJGsy1nyQdgIKUNJUS5OWVNFOlJBQ0UuSVFfTEFTVFNBTEVQUklDRS4zMC8xMS8yMDE1AQAAAD2CsBACAAAABTQ2LjM1ALmUf1PyQdgI5tEicfJB2Ag7Q0lRLk5ZU0U6TUFOVS5JUV9FQklUREFfTUVESUFOX0VTVC4xMDAxLjMwLzA0LzIwMjAuLkYuR0JQLkMBAAAA3WsNAAIAAAADMTEwAQ4AAAAFAAAAATMBAAAAATACAAAACjEwMDMwOTI0MjMDAAAABjEwMDE4OAQAAAABMwYAAAABMAcAAAACNTUIAAAAATEJAAAAATEKAAAAATALAAAACzExODY4NjI2MzQ1DAAAAAExDQAAAAg1LzEvMjAyMBAAAAAJOC8xNi8yMDIw6pbKTPJB2AjsR6JZ8kHYCCNDSVEuJVRDTVNZMDEuSVFfTEFTVFNBTEVQUklDRS40MzU4NQEAAAAOHygCAgAAAAQyLjM5AKPWJFXyQdgI5eiEWfJB2Ag7Q0lRLk5ZU0U6TUFOVS5JUV9UT1RBTF9ERUJUX0NVUlJFTlQuOTk4LjMwLzA0LzIwMjAuLkYuR0JQLkMBAAAA3WsNAAIAAAAFNS43MjQBCAAAAAUAAAABMQEAAAAKMTk4NTg0NTA0NQMAAAACNTUCAAAABTI1MjIzBAAAAAExBwAAAAk0LzMwLzIwMjAIAAAACTgvMTYvMjAyMAkAAAABMLxYB0vyQdgIEJCWWfJB2AgtQ0lRLk5BU0RBUUdTOlRTTEEuSVFfTEFTVFNBTEVQUklDRS4wOS8xMS8yMDE4AQAAABDGogECAAAABjM1MC41MQDH4n9T8kHYCNVVHXHyQdgINENJUS5OWVNFOktPLklRX1RPVEFMX0FTU0VUUy4xMDAwLjMxLzEy</t>
  </si>
  <si>
    <t>LzIwMTkuLkYuVVNELkMBAAAAEmgAAAIAAAAFODMyMTYBCAAAAAUAAAABMQEAAAAKMTk0NjQzMDc4MQMAAAADMTYwAgAAAAQxMDA3BAAAAAExBwAAAAoxMi8zMS8yMDE5CAAAAAk4LzE2LzIwMjAJAAAAATA7hhd48kHYCFxL+3jyQdgILUNJUS5MU0U6U0ZPUi5JUV9EQV9DRi45OTguMzEvMTIvMjAxOS4uRi5HQlAuQwEAAADLU+QhAwAAAAAA2hSWd/JB2Ai/9uZ48kHYCDVDSVFBVkcuJEFFRFVTRC5JUV9MQVNUU0FMRVBSSUNFLjMxLzEyLzIwMTIuMzEvMTIvMjAxMwEAAAAl61oAAgAAAAgzLjY3MzA1OABHYBd48kHYCMcTAXnyQdgIL0NJUS5OWVNFOlJBQ0UuSVFfRUJJVERBLjk5OS4zMC8wNC8yMDIwLi5GLkVVUi5DAQAAAD2CsBACAAAABzk5NS42NjUBCAAAAAUAAAABMQEAAAAKMjAxNTYzOTgxOAMAAAACNTACAAAABDQwNTEEAAAAATEHAAAACTQvMzAvMjAyMAgAAAAJOC8xNi8yMDIwCQAAAAEw2QoHS/JB2AiuCqNZ8kHYCC1DSVEuTkFTREFRR1M6Q0FLRS5JUV9MQVNUU0FMRVBSSUNFLjA1LzA0LzIwMTkBAAAACOAEAAIAAAAFNDguNzcAuZR/U/JB2AirZiVx8kHYCCVDSVEuXkNPTVAuSVFfTEFTVFNBTEVQUklDRS4zMS8wOC8yMDE4AQAAAIm4KAACAAAABzgxMDkuNTQAtbw3UvJB2Ai9shdz8kHYCChDSVEuTFNFOlNGT1IuSVFfTEFTVFNBTEVQUklDRS4zMS8wNS8yMDE4AQAAAMtT5CEDAAAAAADoNX5T</t>
  </si>
  <si>
    <t>8kHYCIipKXHyQdgIOUNJUS5MU0U6VFNDTy5JUV9DQVBFWF9NRURJQU5fRVNULjEwMDMuMzAvMDQvMjAyMC4uRi5HQlAuQwEAAAAwUAYAAgAAAActMTA2MC41AQ4AAAAFAAAAATMBAAAAATACAAAACjEwMDE0MTYwNzcDAAAABjEwNDA5MQQAAAABMwYAAAABMAcAAAACNTUIAAAAATEJAAAAATEKAAAAATALAAAACzExODgzNzQyNzA0DAAAAAExDQAAAAg1LzEvMjAyMBAAAAAJOC8xNi8yMDIwpH8HS/JB2AiSpqpZ8kHYCChDSVEuTFNFOlNGT1IuSVFfTEFTVFNBTEVQUklDRS4wNS8wNC8yMDE5AQAAAMtT5CECAAAABTEuMzA1ALmUf1PyQdgINkElcfJB2AhAQ0lRLk5BU0RBUUdTOkNBS0UuSVFfVE9UQUxfQ09NTU9OX0VRVUlUWS45OTkuMzAvMDQvMjAyMC4uRi5VU0QuQwEAAAAI4AQAAgAAAAc1NzEuMDU5AQgAAAAFAAAAATEBAAAACjIwMjE1ODE0MjADAAAAAzE2MAIAAAAEMTAwNgQAAAABMQcAAAAJNC8zMC8yMDIwCAAAAAk4LzE2LzIwMjAJAAAAATD/b8pM8kHYCJAKnFnyQdgIJkNJUS5OQVNEQVFHUzpDQUtFLklRX1ZPTFVNRS4xNC8xMi8yMDE4AQAAAAjgBAACAAAACDAuNjU4MDc4AMfif1PyQdgIbrAgcfJB2AgnQ0lRLiRBRUROWkQuSVFfTEFTVFNBTEVQUklDRS4zMS8xMi8yMDE5AQAAACXrWgACAAAACzIuNDc2MjM1NDIxAN8G3nTyQdgIGrtKdvJB2AgpQ0lRLk5ZU0U6TUFOVS5JUV9MQVNUU0FMRVBS</t>
  </si>
  <si>
    <t>SUNFLjMxLzAxLzIwMTcBAAAA3WsNAAIAAAAFMTUuMjUA0YN+U/JB2AgOBCZx8kHYCCpDSVEuSVE0Mzk0MzgyNC5JUV9MQVNUU0FMRVBSSUNFLjMxLzEyLzIwMTkBAAAAkIeeAgIAAAAIMC4yNDEzNTYA3wbedPJB2Agau0p28kHYCCJDSVEuTllTRTpNQU5VLklRX1ZPTFVNRS4wOC8wNi8yMDE4AQAAAN1rDQACAAAABzAuMDE5MDcAKeaFUvJB2AhGYwpx8kHYCDFDSVEuTllTRTpSQUNFLklRX1RPVEFMX0NBLjk5Ni4zMS8xMi8yMDE5Li5GLkVVUi5DAQAAAD2CsBACAAAACDI4NDQuNjU1AQgAAAAFAAAAATEBAAAACjE4MzA0NzQwOTQDAAAAAjUwAgAAAAQxMDA4BAAAAAExBwAAAAoxMi8zMS8yMDE5CAAAAAk4LzE2LzIwMjAJAAAAATA7hhd48kHYCEWZ+3jyQdgIK0NJUS5OWVNFOktPLklRX0VCVC4xMDAzLjMwLzA0LzIwMjAuLkYuVVNELkMBAAAAEmgAAAMAAAAAAANJykzyQdgIDgWlWfJB2AgqQ0lRLkxTRTpTRk9SLklRX05JLjk5OC4zMS8xMi8yMDE5Li5GLkdCUC5DAQAAAMtT5CEDAAAAAADaFJZ38kHYCFV86HjyQdgINUNJUUFWRy4kQUVEVVNELklRX0xBU1RTQUxFUFJJQ0UuMzEvMTIvMjAxNS4zMS8xMi8yMDE2AQAAACXrWgACAAAACDMuNjcyODg2AOqWykzyQdgIJ71fdvJB2Ag1Q0lRLk5BU0RBUUdTOlRTTEEuSVFfVE9UQUxfQ0EuOTk2LjMwLzA0LzIwMjAuLkYuVVNELkMBAAAAEMaiAQIAAAAIMjc4</t>
  </si>
  <si>
    <t>Mi4wMDYBCAAAAAUAAAABMQEAAAAKMTg3NTc2OTA4MgMAAAADMTYwAgAAAAQxMDA4BAAAAAExBwAAAAk0LzMwLzIwMjAIAAAACTgvMTYvMjAyMAkAAAABMLxYB0vyQdgIzyGUWfJB2AgtQ0lRLkxTRTpTRk9SLklRX0NBUEVYLjk5OC4zMS8xMi8yMDE5Li5GLkdCUC5DAQAAAMtT5CEDAAAAAADaFJZ38kHYCCCY5XjyQdgIIENJUS5OWVNFOktPLklRX1ZPTFVNRS4xNS8xMS8yMDE5AQAAABJoAAACAAAACDguOTgyNTU0AKPWJFXyQdgIEGzDcvJB2AgtQ0lRLk5BU0RBUUdTOkNBS0UuSVFfTEFTVFNBTEVQUklDRS4wOC8wMy8yMDE5AQAAAAjgBAACAAAABTQ2LjEzAKS8f1PyQdgIvX4kcfJB2AgxQ0lRLk5ZU0U6UkFDRS5JUV9JTkNfVEFYLjEwMDAuMzEvMTIvMjAxOS4uRi5FVVIuQwEAAAA9grAQAgAAAAYxNi4zMTcBCAAAAAUAAAABMQEAAAAKMTk0NzQ0NDE4MwMAAAACNTACAAAAAjc1BAAAAAExBwAAAAoxMi8zMS8yMDE5CAAAAAk4LzE2LzIwMjAJAAAAATDc7ZV38kHYCOoB6njyQdgIIUNJUS5MU0U6U0ZPUi5JUV9WT0xVTUUuMTMvMDQvMjAxOAEAAADLU+QhAwAAAAAAQVJCdfJB2AirR1F28kHYCCdDSVEuJEFFRFFBUi5JUV9MQVNUU0FMRVBSSUNFLjMwLzA0LzIwMjABAAAAJetaAAIAAAALMS4wMDg5MjczNDUAqiQlVfJB2Ah+2oJZ8kHYCDNDSVEuTFNFOlNGT1IuSVFfVE9UQUxfTElBQi4xMDAwLjMwLzA0</t>
  </si>
  <si>
    <t>LzIwMjAuLkYuR0JQLkMBAAAAy1PkIQIAAAAHMzA4LjI3NAEIAAAABQAAAAExAQAAAAoyMDIyNTk5Nzk5AwAAAAI1NQIAAAAEMTI3NgQAAAABMQcAAAAJNC8zMC8yMDIwCAAAAAk4LzE2LzIwMjAJAAAAATDZCgdL8kHYCA83mlnyQdgIIkNJUS5OWVNFOlJBQ0UuSVFfVk9MVU1FLjE5LzA0LzIwMTkBAAAAPYKwEAMAAAAAALmUf1PyQdgIGtC7cvJB2AgkQ0lRLl5TUFguSVFfTEFTVFNBTEVQUklDRS4wOC8wMy8yMDE5AQAAAJu4KAACAAAAEDI3NDMuMDY3NjY5MjE2MTMAoJ43UfJB2AjeIRNz8kHYCCRDSVEuXlNQWC5JUV9MQVNUU0FMRVBSSUNFLjMxLzAzLzIwMTUBAAAAm7goAAIAAAAQMjA2Ny44ODcyNDA3NTg1MQDYLd508kHYCH2gRnbyQdgILUNJUS5OQVNEQVFHUzpDQUtFLklRX0xBU1RTQUxFUFJJQ0UuMjcvMDkvMjAxOQEAAAAI4AQAAgAAAAU0MC44OQAFXX5T8kHYCHCHK3HyQdgIKENJUS5MU0U6U0ZPUi5JUV9MQVNUU0FMRVBSSUNFLjMwLzA2LzIwMTcBAAAAy1PkIQMAAAAAANGDflPyQdgIxRQncfJB2AgkQ0lRLl5BU1guSVFfTEFTVFNBTEVQUklDRS4wOC8xMS8yMDE5AQAAAB9T6wECAAAACzQwNTUuNjU1NjQ5ALW8N1LyQdgIDK0Zc/JB2AgiQ0lRLk5ZU0U6TUFOVS5JUV9WT0xVTUUuMTcvMDEvMjAyMAEAAADdaw0AAgAAAAgwLjAzOTIxMQCV/SRV8kHYCB5EeVnyQdgIKENJUS5OWVNFOlJBQ0Uu</t>
  </si>
  <si>
    <t>SVFfQkVUQV81WVJfUlNRLjMwLzA0LzIwMjABAAAAPYKwEAIAAAARMC4yMTc0NzM2OTQzNTAzMDgAo9YkVfJB2AjwaIhZ8kHYCCRDSVEuXlNQWC5JUV9MQVNUU0FMRVBSSUNFLjEzLzEyLzIwMTkBAAAAm7goAAIAAAAQMzE2OC43OTk2MzMxNTc3NgC1vDdS8kHYCCnqEXPyQdgINENJUS5OWVNFOktPLklRX1RPVEFMX0FTU0VUUy4xMDAwLjMwLzA0LzIwMjAuLkYuVVNELkMBAAAAEmgAAAIAAAAFODYzODEBCAAAAAUAAAABMQEAAAAKMjAxNjc5MTI0NQMAAAADMTYwAgAAAAQxMDA3BAAAAAExBwAAAAk0LzMwLzIwMjAIAAAACTgvMTYvMjAyMAkAAAABMANJykzyQdgI0m+UWfJB2AhEQ0lRLk5BU0RBUUdTOlRTTEEuSVFfVE9UQUxfREVCVF9OT05fQ1VSUkVOVC4yMDAwLjMxLzEyLzIwMTkuLkYuVVNELkMBAAAAEMaiAQIAAAAFMTIzODMBCAAAAAUAAAABMQEAAAAKMTk4OTQ1MzEzMAMAAAADMTYwAgAAAAUyNTIyNAQAAAABMQcAAAAKMTIvMzEvMjAxOQgAAAAJOC8xNi8yMDIwCQAAAAEwHK0XePJB2AhkG/h48kHYCCpDSVEuTllTRTpNQU5VLklRX0RJVklERU5EX1lJRUxELjMxLzEyLzIwMTkBAAAA3WsNAAIAAAAGMC45MDMxAP4DQnXyQdgIjyZPdvJB2AgnQ0lRLk5ZU0U6S08uSVFfTEFTVFNBTEVQUklDRS4zMS8wNS8yMDE4AQAAABJoAAACAAAAAjQzAOg1flPyQdgIgNApcfJB2AgnQ0lRLiRBRURJRFIuSVFf</t>
  </si>
  <si>
    <t>TEFTVFNBTEVQUklDRS4zMS8xMi8yMDE5AQAAACXrWgACAAAACzAuMDAwMjY1NDI5AP4DQnXyQdgI7hpMdvJB2AgmQ0lRLk5BU0RBUUdTOlRTTEEuSVFfVk9MVU1FLjI4LzA5LzIwMTgBAAAAEMaiAQIAAAAIMzMuNjQ5NjkAQ5iFUvJB2AipRxRx8kHYCDZDSVEuTkFTREFRR1M6VFNMQS5JUV9UT1RBTF9SRVYuOTk3LjMwLzA0LzIwMjAuLkYuVVNELkMBAAAAEMaiAQIAAAAINzAwMC4xMzIBCAAAAAUAAAABMQEAAAAKMTk0NTg3MzU1MQMAAAADMTYwAgAAAAIyOAQAAAABMQcAAAAJNC8zMC8yMDIwCAAAAAk4LzE2LzIwMjAJAAAAATC8WAdL8kHYCOwrnlnyQdgIQENJUS5OQVNEQVFHUzpUU0xBLklRX1JFVkVOVUVfTUVESUFOX0VTVC42MDAxLjMxLzEyLzIwMTkuLkYuVVNELkMBAAAAEMaiAQMAAAAAAPNIGHjyQdgIdkrzePJB2AgyQ0lRLk5BU0RBUUdTOkNBS0UuSVFfREFfQ0YuOTk3LjMxLzEyLzIwMTkuLkYuVVNELkMBAAAACOAEAAIAAAAGODUuNTYzAQgAAAAFAAAAATEBAAAACjE4NzcxNDQ0MzgDAAAAAzE2MAIAAAAEMjE2MAQAAAABMQcAAAAKMTIvMzEvMjAxOQgAAAAJOC8xNi8yMDIwCQAAAAEw2hSWd/JB2Ai/9uZ48kHYCDJDSVEuTllTRTpNQU5VLklRX1RPVEFMX1JFVi45OTguMzEvMTIvMjAxOS4uRi5HQlAuQwEAAADdaw0AAgAAAAc1ODEuMjU0AQgAAAAFAAAAATEBAAAACjE5ODU4NDUwNDUDAAAA</t>
  </si>
  <si>
    <t>AjU1AgAAAAIyOAQAAAABMQcAAAAKMTIvMzEvMjAxOQgAAAAJOC8xNi8yMDIwCQAAAAEwHvsXePJB2AjHEvJ48kHYCCZDSVEuTkFTREFRR1M6VFNMQS5JUV9WT0xVTUUuMTIvMDEvMjAxOAEAAAAQxqIBAgAAAAg0LjgyNTA1OQAoK0J18kHYCOegW3byQdgIMENJUS5MU0U6VFNDTy5JUV9TSEFSRVNPVVRTVEFORElORy4yNy8wMi8yMDE2LkdCUAEAAAAwUAYAAgAAAAs4MDgxLjk2MjE4NgAVIspM8kHYCEAaYXbyQdgILUNJUS5OQVNEQVFHUzpUU0xBLklRX0xBU1RTQUxFUFJJQ0UuMDQvMDUvMjAxOAEAAAAQxqIBAgAAAAYyOTQuMDkAKeaFUvJB2Ai96QVx8kHYCC1DSVEuTkFTREFRR1M6Q0FLRS5JUV9MQVNUU0FMRVBSSUNFLjMxLzAxLzIwMTgBAAAACOAEAAIAAAAFNDkuMTkABV1+U/JB2AiHwChx8kHYCBlDSVEuLklRX1ZPTFVNRS4yMy8wMy8yMDE4BQAAAAAAAAAIAAAAFChJbnZhbGlkIElkZW50aWZpZXIpGN1BdfJB2AiK/lV28kHYCDlDSVEuTllTRTpLTy5JUV9UT1RBTF9ERUJUX0NVUlJFTlQuOTk4LjMxLzEyLzIwMTkuLkYuVVNELkMBAAAAEmgAAAIAAAAFMTYwMjUBCAAAAAUAAAABMQEAAAAKMTk0NjQzMDc4MgMAAAADMTYwAgAAAAUyNTIyMwQAAAABMQcAAAAKMTIvMzEvMjAxOQgAAAAJOC8xNi8yMDIwCQAAAAEwHK0XePJB2AhVK/l48kHYCChDSVEuTFNFOlNGT1IuSVFfTEFTVFNBTEVQUklDRS4y</t>
  </si>
  <si>
    <t>OS8xMi8yMDE3AQAAAMtT5CEDAAAAAAAoK0J18kHYCHL/XHbyQdgINUNJUS5MU0U6U0ZPUi5JUV9FUVVJVFlfTUVUSE9ELjk5Ni4zMC8wNC8yMDIwLi5GLkdCUC5DAQAAAMtT5CEDAAAAAADZCgdL8kHYCLt5kFnyQdgINkNJUS5MU0U6VFNDTy5JUV9FUVVJVFlfTUVUSE9ELjEwMDAuMzAvMDQvMjAyMC4uRi5HQlAuQwEAAAAwUAYAAgAAAAMyMjABCAAAAAUAAAABMQEAAAAKMjAyNjUwNzMwOQMAAAACNTUCAAAABDMwNjMEAAAAATEHAAAACTQvMzAvMjAyMAgAAAAJOC8xNi8yMDIwCQAAAAEwyTEHS/JB2Ajn3Y9Z8kHYCChDSVEuTFNFOlRTQ08uSVFfTEFTVFNBTEVQUklDRS4yMy8wOC8yMDE5AQAAADBQBgACAAAABTIuMTI2ANGDflPyQdgIcR4qcfJB2Ag6Q0lRLk5ZU0U6S08uSVFfVE9UQUxfQ09NTU9OX0VRVUlUWS45OTguMzAvMDQvMjAyMC4uRi5VU0QuQwEAAAASaAAAAgAAAAUxNzA3MgEIAAAABQAAAAExAQAAAAoyMDE2NzkxMjUwAwAAAAMxNjACAAAABDEwMDYEAAAAATEHAAAACTQvMzAvMjAyMAgAAAAJOC8xNi8yMDIwCQAAAAEwA0nKTPJB2AiLMZxZ8kHYCD1DSVEuTkFTREFRR1M6VFNMQS5JUV9FQklUX01FRElBTl9FU1QuMTAwMi4zMC8wNC8yMDIwLi5GLlVTRC5DAQAAABDGogECAAAABzIzMjMuMzUBDgAAAAUAAAABMwEAAAABMAIAAAAKMTAwMTU1NjY0MQMAAAAGMTAwMjE2BAAAAAEyBgAAAAEw</t>
  </si>
  <si>
    <t>BwAAAAMxNjAIAAAAATEJAAAAATEKAAAAATALAAAACzExOTAwODIyMzE2DAAAAAExDQAAAAg1LzEvMjAyMBAAAAAJOC8xNi8yMDIwpH8HS/JB2Ah5zaNZ8kHYCClDSVEuTllTRTpNQU5VLklRX0xBU1RTQUxFUFJJQ0UuMzAvMTEvMjAxOQEAAADdaw0AAgAAAAUxOC40OAAB6H1T8kHYCFY6LnHyQdgIJENJUS5eQVNYLklRX0xBU1RTQUxFUFJJQ0UuMDgvMDIvMjAxOQEAAAAfU+sBAgAAAAszODY5LjQzNzY1NwCKxTdR8kHYCK/kGnPyQdgIIENJUS5OWVNFOktPLklRX1ZPTFVNRS4yMi8xMS8yMDE5AQAAABJoAAACAAAACDkuMTEzMzQ4AKPWJFXyQdgIEGzDcvJB2AhAQ0lRLk5ZU0U6UkFDRS5JUV9UT1RBTF9ERUJUX05PTl9DVVJSRU5ULjIwMDAuMzEvMTIvMjAxOS4uRi5FVVIuQwEAAAA9grAQAgAAAAgyMDkwLjUwNwEIAAAABQAAAAExAQAAAAoxOTkwNDIzNjg3AwAAAAI1MAIAAAAFMjUyMjQEAAAAATEHAAAACjEyLzMxLzIwMTkIAAAACTgvMTYvMjAyMAkAAAABMBytF3jyQdgI1PL3ePJB2AgmQ0lRLk5BU0RBUUdTOkNBS0UuSVFfVk9MVU1FLjI0LzA4LzIwMTgBAAAACOAEAAIAAAAIMC41MDE3MTYAOr+FUvJB2AjiZBFx8kHYCDRDSVEuTllTRTpLTy5JUV9FUVVJVFlfTUVUSE9ELjk5Ny4zMS8xMi8yMDE5Li5GLlVTRC5DAQAAABJoAAACAAAABTEyMzE4AQgAAAAFAAAAATEBAAAACjE4NzU3OTc4MDkDAAAA</t>
  </si>
  <si>
    <t>AzE2MAIAAAAEMzA2MwQAAAABMQcAAAAKMTIvMzEvMjAxOQgAAAAJOC8xNi8yMDIwCQAAAAEwR2AXePJB2Agptf948kHYCC1DSVEuTllTRTpNQU5VLklRX0VCVC4xMDAyLjMwLzA0LzIwMjAuLkYuR0JQLkMBAAAA3WsNAAMAAAAAAP9vykzyQdgIEVOlWfJB2AgkQ0lRLl5TUFguSVFfTEFTVFNBTEVQUklDRS4xMy8wOS8yMDE5AQAAAJu4KAACAAAAEDMwMDcuMzg3MzczNjI3NzUAtbw3UvJB2AgUXxJz8kHYCCJDSVEuTllTRTpNQU5VLklRX1ZPTFVNRS4wOC8xMS8yMDE5AQAAAN1rDQACAAAACDAuMDcyNTE3AJX9JFXyQdgISsa/cvJB2AgpQ0lRLk5ZU0U6S08uSVFfR1AuOTk5LjMxLzEyLzIwMTkuLkYuVVNELkMBAAAAEmgAAAIAAAAFMjIxNTUBCAAAAAUAAAABMQEAAAAKMTk0NjQzMDc3OQMAAAADMTYwAgAAAAIxMAQAAAABMQcAAAAKMTIvMzEvMjAxOQgAAAAJOC8xNi8yMDIwCQAAAAEwHiIYePJB2AiajvB48kHYCDBDSVEuTkFTREFRR1M6Q0FLRS5JUV9TR0EuOTk4LjMxLzEyLzIwMTkuLkYuVVNELkMBAAAACOAEAAIAAAAHMjk4Ljc5OAEIAAAABQAAAAExAQAAAAoxOTQ4MTc2NjYyAwAAAAMxNjACAAAAAjIzBAAAAAExBwAAAAoxMi8zMS8yMDE5CAAAAAk4LzE2LzIwMjAJAAAAATAeIhh48kHYCIqk73jyQdgILkNJUS5MU0U6U0ZPUi5JUV9FQklUREEuOTk2LjMwLzA0LzIwMjAuLkYuR0JQLkMBAAAAy1Pk</t>
  </si>
  <si>
    <t>IQMAAAAAAMkxB0vyQdgI04CjWfJB2AgoQ0lRLkxTRTpUU0NPLklRX0xBU1RTQUxFUFJJQ0UuMDcvMDIvMjAyMAEAAAAwUAYAAgAAAAUyLjU0OAAID35T8kHYCPXOXFnyQdgINUNJUS5OQVNEQVFHUzpUU0xBLklRX1RPVEFMX0NBLjk5Ny4zMS8xMi8yMDE5Li5GLlVTRC5DAQAAABDGogECAAAACDI3ODIuMDA2AQgAAAAFAAAAATEBAAAACjE4NzU3NjkwODIDAAAAAzE2MAIAAAAEMTAwOAQAAAABMQcAAAAKMTIvMzEvMjAxOQgAAAAJOC8xNi8yMDIwCQAAAAEwO4YXePJB2Ai06Pt48kHYCCRDSVEuXlNQWC5JUV9MQVNUU0FMRVBSSUNFLjE2LzAyLzIwMTgBAAAAm7goAAIAAAAQMjczMi4yMTk4MzY3OTcxNQDYLd508kHYCIBSRnbyQdgIM0NJUS5MU0U6U0ZPUi5JUV9FQVJOSU5HX0NPLjIwMDAuMzAvMDQvMjAyMC4uRi5HQlAuQwEAAADLU+QhAgAAAAYtMTAuMDQBCAAAAAUAAAABMQEAAAAKMjAyMjU5OTg4NwMAAAACNTUCAAAAATcEAAAAATEHAAAACTQvMzAvMjAyMAgAAAAJOC8xNi8yMDIwCQAAAAEw2QoHS/JB2AjxFa1Z8kHYCCVDSVEuXkNPTVAuSVFfTEFTVFNBTEVQUklDRS4zMS8xMi8yMDE0AQAAAIm4KAACAAAABzQ3MzYuMDUA2C3edPJB2Ah9oEZ28kHYCC5DSVEuTllTRTpNQU5VLklRX0RBX0NGLjk5OS4zMC8wNC8yMDIwLi5GLkdCUC5DAQAAAN1rDQACAAAABzE0OS4xMzUBCAAAAAUAAAABMQEAAAAK</t>
  </si>
  <si>
    <t>MTk4NTg0NTAyOQMAAAACNTUCAAAABDIxNjAEAAAAATEHAAAACTQvMzAvMjAyMAgAAAAJOC8xNi8yMDIwCQAAAAEwvFgHS/JB2Ai9CqpZ8kHYCC5DSVEuTllTRTpSQUNFLklRX0VCSVQuMTAwMC4zMC8wNC8yMDIwLi5GLkVVUi5DAQAAAD2CsBACAAAABzkxNy4zODUBCAAAAAUAAAABMQEAAAAKMjAxNTYzOTgyMgMAAAACNTACAAAAAzQwMAQAAAABMQcAAAAJNC8zMC8yMDIwCAAAAAk4LzE2LzIwMjAJAAAAATDZCgdL8kHYCFlqpFnyQdgIIENJUS4uSVFfTEFTVFNBTEVQUklDRS4zMS8wNS8yMDE4BQAAAAAAAAAIAAAAFChJbnZhbGlkIElkZW50aWZpZXIpwkc3UvJB2AghSTZz8kHYCDNDSVEuTkFTREFRR1M6VFNMQS5JUV9FQklUREEuOTk4LjMxLzEyLzIwMTkuLkYuVVNELkMBAAAAEMaiAQIAAAAHMzAxLjQ1OQEIAAAABQAAAAExAQAAAAoxOTQ1ODczNTUxAwAAAAMxNjACAAAABDQwNTEEAAAAATEHAAAACjEyLzMxLzIwMTkIAAAACTgvMTYvMjAyMAkAAAABMB4iGHjyQdgIwmvuePJB2Ag+Q0lRLk5ZU0U6S08uSVFfTUlOT1JJVFlfSU5URVJFU1RfVE9UQUwuOTk4LjMxLzEyLzIwMTkuLkYuVVNELkMBAAAAEmgAAAIAAAADMTU4AQgAAAAFAAAAATEBAAAACjE5NDY0MzA3ODIDAAAAAzE2MAIAAAAEMTMxMgQAAAABMQcAAAAKMTIvMzEvMjAxOQgAAAAJOC8xNi8yMDIwCQAAAAEwhNQXePJB2AiTfPZ48kHYCC1D</t>
  </si>
  <si>
    <t>SVEuTFNFOlRTQ08uSVFfREFfQ0YuOTk4LjMxLzEyLzIwMTkuLkYuR0JQLkMBAAAAMFAGAAIAAAAEMTI5OAEIAAAABQAAAAExAQAAAAoxODg4NTI1MDc0AwAAAAI1NQIAAAAEMjE2MAQAAAABMQcAAAAKMTIvMzEvMjAxOQgAAAAJOC8xNi8yMDIwCQAAAAEw2hSWd/JB2AhwHud48kHYCDZDSVEuTFNFOlNGT1IuSVFfRVFVSVRZX01FVEhPRC4yMDAwLjMwLzA0LzIwMjAuLkYuR0JQLkMBAAAAy1PkIQMAAAAAANkKB0vyQdgI87aPWfJB2AghQ0lRLkxTRTpTRk9SLklRX1ZPTFVNRS4wNS8xMC8yMDE4AQAAAMtT5CECAAAACDAuNTgyMzkxAEOYhVLyQdgIc+MUcfJB2AhDQ0lRLk5BU0RBUUdTOlRTTEEuSVFfVE9UQUxfREVCVF9OT05fQ1VSUkVOVC45OTYuMzEvMTIvMjAxOS4uRi5VU0QuQwEAAAAQxqIBAgAAAAgxODUwLjE4NQEIAAAABQAAAAExAQAAAAoxODMwMTQzMzAwAwAAAAMxNjACAAAABTI1MjI0BAAAAAExBwAAAAoxMi8zMS8yMDE5CAAAAAk4LzE2LzIwMjAJAAAAATAcrRd48kHYCN4w93jyQdgIGUNJUS4uSVFfVk9MVU1FLjI0LzA4LzIwMTgFAAAAAAAAAAgAAAAUKEludmFsaWQgSWRlbnRpZmllcilvI4VS8kHYCGk8EXHyQdgIGUNJUS4uSVFfVk9MVU1FLjAzLzA4LzIwMTgFAAAAAAAAAAgAAAAUKEludmFsaWQgSWRlbnRpZmllcilRSoVS8kHYCBaRD3HyQdgINUNJUS5MU0U6VFNDTy5JUV9UT1RBTF9B</t>
  </si>
  <si>
    <t>U1NFVFMuMjAwMC4zMC8wNC8yMDIwLi5GLkdCUC5DAQAAADBQBgACAAAABTUyMzAyAQgAAAAFAAAAATEBAAAACjIwMjY1MDczODgDAAAAAjU1AgAAAAQxMDA3BAAAAAExBwAAAAk0LzMwLzIwMjAIAAAACTgvMTYvMjAyMAkAAAABMMkxB0vyQdgI20iUWfJB2AgkQ0lRLl5BU1guSVFfTEFTVFNBTEVQUklDRS4zMS8wNS8yMDE4AQAAAB9T6wECAAAACzQyMjIuMTk5NDI3ALW8N1LyQdgIAjgLc/JB2AgnQ0lRLk5ZU0U6S08uSVFfTEFTVFNBTEVQUklDRS4wNy8wMi8yMDIwAQAAABJoAAACAAAABTU5LjE5AAgPflPyQdgIpvRcWfJB2AgrQ0lRLkxTRTpTRk9SLklRX0xBU1RTQUxFUFJJQ0UuMzEvMTIvMjAxOS4uQwEAAADLU+QhAgAAAAUxLjkyNQAoK0J18kHYCKBcYXXyQdgIJkNJUS5OQVNEQVFHUzpUU0xBLklRX1ZPTFVNRS4xNC8xMi8yMDE4AQAAABDGogECAAAACDYuMzM3NTU1AMfif1PyQdgIa9cgcfJB2AguQ0lRLk5ZU0U6UkFDRS5JUV9QUklDRV9WT0xfSElTVF8yWVIuMzAvMDQvMjAyMAEAAAA9grAQAgAAAAczMS4yNTk0APw6JFXyQdgI8GiIWfJB2AgkQ0lRLl5TUFguSVFfTEFTVFNBTEVQUklDRS4xMi8wNy8yMDE5AQAAAJu4KAACAAAAEDMwMTMuNzcyNjQ5MDc2ODEAfKuFUfJB2AgHrRJz8kHYCDBDSVEuTllTRTpSQUNFLklRX0VCSVREQS4xMDAwLjMxLzEyLzIwMTkuLkYuRVVSLkMBAAAAPYKwEAIA</t>
  </si>
  <si>
    <t>AAAHOTg1LjM3NwEIAAAABQAAAAExAQAAAAoxOTQ3NDQ0MTgzAwAAAAI1MAIAAAAENDA1MQQAAAABMQcAAAAKMTIvMzEvMjAxOQgAAAAJOC8xNi8yMDIwCQAAAAEwHiIYePJB2Ai7ku548kHYCDVDSVEuTllTRTpNQU5VLklRX1NIQVJFU09VVFNUQU5ESU5HX09VVC4zMC8wNi8yMDE2LkdCUAEAAADdaw0AAgAAAAoxNjMuODkyMjg5AANJykzyQdgIzrVhdvJB2Ag8Q0lRLk5ZU0U6UkFDRS5JUV9SRVZFTlVFX01FRElBTl9FU1QuMTAwMS4zMC8wNC8yMDIwLi5GLkVVUi5DAQAAAD2CsBACAAAACDM5NjkuNTIzAQ4AAAAFAAAAATMBAAAAATACAAAACjEwMDMyMjY4MDcDAAAABjEwMDE4MQQAAAABMwYAAAABMAcAAAACNTAIAAAAATEJAAAAATEKAAAAATALAAAACzExODk1NTM2MTk4DAAAAAExDQAAAAg1LzEvMjAyMBAAAAAJOC8xNi8yMDIwpH8HS/JB2AgyaZ1Z8kHYCDZDSVEuQVVELklRX0ZVTExfQ1VSVkVfQU5OVUFMLkFMTENPUlAuQkIuMjBZLjMxLzEyLzIwMTkBAAAAAAAAAAIAAAAJMC4wODgyNTY1ANgt3nTyQdgISfhJdvJB2AgnQ0lRLiRBRURJU0suSVFfTEFTVFNBTEVQUklDRS4zMS8xMi8yMDE5AQAAACXrWgACAAAACzAuMDMwMzQyODM0AP4DQnXyQdgI7hpMdvJB2AggQ0lRLk5ZU0U6S08uSVFfVk9MVU1FLjA2LzA5LzIwMTkBAAAAEmgAAAIAAAAIOS4wOTM1MTQAo9YkVfJB2AgnHsNy8kHYCCBDSVEu</t>
  </si>
  <si>
    <t>TllTRTpLTy5JUV9WT0xVTUUuMDMvMDUvMjAxOQEAAAASaAAAAgAAAAg3LjA3Njk0OQCj1iRV8kHYCDjQwnLyQdgIJ0NJUS4kQUVESEtELklRX0xBU1RTQUxFUFJJQ0UuMzAvMDQvMjAxOQEAAAAl61oAAgAAAAswLjQ2ODE2OTQ0OQCqJCVV8kHYCNsPhVnyQdgILENJUS5OWVNFOlJBQ0UuSVFfR1AuMjAwMC4zMS8xMi8yMDE5Li5GLkVVUi5DAQAAAD2CsBACAAAACDE5MTUuODU2AQgAAAAFAAAAATEBAAAACjE5OTA0MjM2ODcDAAAAAjUwAgAAAAIxMAQAAAABMQcAAAAKMTIvMzEvMjAxOQgAAAAJOC8xNi8yMDIwCQAAAAEwHvsXePJB2AiXtfB48kHYCDNDSVEuTkFTREFRR1M6VFNMQS5JUV9MQVNUU0FMRVBSSUNFLjMxLzEyLzIwMTUuVVNELkMBAAAAEMaiAQIAAAAGMjQwLjAxABUiykzyQdgIlH9gdvJB2AgpQ0lRLk5ZU0U6TUFOVS5JUV9MQVNUU0FMRVBSSUNFLjMxLzAzLzIwMTgBAAAA3WsNAAIAAAAEMTkuMgAFXX5T8kHYCDI2KXHyQdgIN0NJUS5OQVNEQVFHUzpUU0xBLklRX1RPVEFMX0xJQUIuOTk4LjMxLzEyLzIwMTkuLkYuVVNELkMBAAAAEMaiAQIAAAAJMTY3NTguOTUxAQgAAAAFAAAAATEBAAAACjE5NDU4NzM1NTEDAAAAAzE2MAIAAAAEMTI3NgQAAAABMQcAAAAKMTIvMzEvMjAxOQgAAAAJOC8xNi8yMDIwCQAAAAEwhNQXePJB2AgQu/V48kHYCClDSVEuTllTRTpSQUNFLklRX0xBU1RTQUxFUFJJ</t>
  </si>
  <si>
    <t>Q0UuMTgvMDUvMjAxOAEAAAA9grAQAgAAAAYxMzIuNTMAKeaFUvJB2AjfaAhx8kHYCCVDSVEuXkNPTVAuSVFfTEFTVFNBTEVQUklDRS4yOS8wMi8yMDIwAQAAAIm4KAACAAAABzg1NjcuMzcAAN4yUvJB2AhXhbZZ8kHYCDlDSVEuTkFTREFRR1M6VFNMQS5JUV9QUkVGX0VRVUlUWS4yMDAwLjMxLzEyLzIwMTkuLkYuVVNELkMBAAAAEMaiAQMAAAAAAITUF3jyQdgIP0b1ePJB2AgvQ0lRLkxTRTpTRk9SLklRX0VCSVREQS4yMDAwLjMwLzA0LzIwMjAuLkYuR0JQLkMBAAAAy1PkIQIAAAAFMjYuMjMBCAAAAAUAAAABMQEAAAAKMjAyMjU5OTg4NwMAAAACNTUCAAAABDQwNTEEAAAAATEHAAAACTQvMzAvMjAyMAgAAAAJOC8xNi8yMDIwCQAAAAEw2QoHS/JB2AjSlaJZ8kHYCCRDSVEuXlNQWC5JUV9MQVNUU0FMRVBSSUNFLjIwLzA5LzIwMTkBAAAAm7goAAIAAAAQMjk5Mi4wNzIyOTM1MDcxOAC1vDdS8kHYCBRfEnPyQdgIK0NJUS5OWVNFOlJBQ0UuSVFfR1AuOTk4LjMxLzEyLzIwMTkuLkYuRVVSLkMBAAAAPYKwEAIAAAAIMTU2Mi4zODgBCAAAAAUAAAABMQEAAAAKMTk0NzQ0NDE4NAMAAAACNTACAAAAAjEwBAAAAAExBwAAAAoxMi8zMS8yMDE5CAAAAAk4LzE2LzIwMjAJAAAAATAeIhh48kHYCDxm8HjyQdgIP0NJUS5MU0U6VFNDTy5JUV9NSU5PUklUWV9JTlRFUkVTVF9UT1RBTC45OTkuMzAvMDQvMjAyMC4uRi5H</t>
  </si>
  <si>
    <t>QlAuQwEAAAAwUAYAAgAAAAMtMjQBCAAAAAUAAAABMQEAAAAKMTk2ODczNjU2MwMAAAACNTUCAAAABDEzMTIEAAAAATEHAAAACTQvMzAvMjAyMAgAAAAJOC8xNi8yMDIwCQAAAAEwyTEHS/JB2AhKdJlZ8kHYCCFDSVEuTFNFOlNGT1IuSVFfVk9MVU1FLjE4LzAxLzIwMTkBAAAAy1PkIQIAAAAIMC4xMzU4OTcApLx/U/JB2Ajqkrxy8kHYCCxDSVEuTFNFOlRTQ08uSVFfRUJJVC45OTkuMzEvMTIvMjAxOS4uRi5HQlAuQwEAAAAwUAYAAgAAAAQxNjM2AQgAAAAFAAAAATEBAAAACjE5Njg3MzY1NTkDAAAAAjU1AgAAAAM0MDAEAAAAATEHAAAACjEyLzMxLzIwMTkIAAAACTgvMTYvMjAyMAkAAAABMB4iGHjyQdgIWCPsePJB2AgwQ0lRLk5BU0RBUUdTOlRTTEEuSVFfU0dBLjk5OC4zMS8xMi8yMDE5Li5GLlVTRC5DAQAAABDGogECAAAACDE0MTAuNDg5AQgAAAAFAAAAATEBAAAACjE5NDU4NzM1NTEDAAAAAzE2MAIAAAACMjMEAAAAATEHAAAACjEyLzMxLzIwMTkIAAAACTgvMTYvMjAyMAkAAAABMB4iGHjyQdgIZcvvePJB2AgoQ0lRLkxTRTpTRk9SLklRX0xBU1RTQUxFUFJJQ0UuMDkvMDMvMjAxOAEAAADLU+QhAwAAAAAAKCtCdfJB2AjPwFZ28kHYCD9DSVEuTkFTREFRR1M6Q0FLRS5JUV9UT1RBTF9ERUJUX0NVUlJFTlQuOTk4LjMwLzA0LzIwMjAuLkYuVVNELkMBAAAACOAEAAMAAAAAAANJykzyQdgIEJCWWfJB</t>
  </si>
  <si>
    <t>2Ag7Q0lRLkxTRTpUU0NPLklRX1JFVkVOVUVfTUVESUFOX0VTVC4xMDAxLjMwLzA0LzIwMjAuLkYuR0JQLkMBAAAAMFAGAAIAAAALNjA5ODAuMTIwNzYBDgAAAAUAAAABMwEAAAABMAIAAAAKMTAwMDI2NDQ5OQMAAAAGMTAwMTgxBAAAAAEzBgAAAAEwBwAAAAI1NQgAAAABMQkAAAABMQoAAAABMAsAAAALMTE4OTIzNTgzMDEMAAAAATENAAAACDUvMS8yMDIwEAAAAAk4LzE2LzIwMjCkfwdL8kHYCDJpnVnyQdgIJkNJUS5OQVNEQVFHUzpDQUtFLklRX1ZPTFVNRS4xNi8wMy8yMDE4AQAAAAjgBAACAAAACDAuODYwMzI0ACgrQnXyQdgI9yRWdvJB2Ag5Q0lRLk5BU0RBUUdTOkNBS0UuSVFfU0hBUkVTT1VUU1RBTkRJTkdfT1VULjAzLzAxLzIwMTcuVVNEAQAAAAjgBAACAAAACTQ4LjQzMzk2NgBbk+JN8kHYCDqQYXbyQdgIMkNJUS5MU0U6VFNDTy5JUV9UT1RBTF9MSUFCLjk5Ny4zMC8wNC8yMDIwLi5GLkdCUC5DAQAAADBQBgACAAAABTM5NDM5AQgAAAAFAAAAATEBAAAACjE4ODg1MjUwNzQDAAAAAjU1AgAAAAQxMjc2BAAAAAExBwAAAAk0LzMwLzIwMjAIAAAACTgvMTYvMjAyMAkAAAABMMkxB0vyQdgI+4SaWfJB2AgoQ0lRLkxTRTpTRk9SLklRX0xBU1RTQUxFUFJJQ0UuMDYvMDkvMjAxOQEAAADLU+QhAgAAAAMxLjQA0YN+U/JB2AhYkypx8kHYCBpDSVEuTFNFOlRTQ08uSVFfQ09NUEFOWV9JRAEAAAAwUAYA</t>
  </si>
  <si>
    <t>AwAAAAhJUTQxMzc0NAD8OiRV8kHYCL4riVnyQdgILENJUS5OWVNFOk1BTlUuSVFfRUJULjk5Ni4zMS8xMi8yMDE5Li5GLkdCUC5DAQAAAN1rDQACAAAABi0zLjU2NwEIAAAABQAAAAExAQAAAAoxODYxNzM2ODY5AwAAAAI1NQIAAAADMTM5BAAAAAExBwAAAAoxMi8zMS8yMDE5CAAAAAk4LzE2LzIwMjAJAAAAATDc7ZV38kHYCNVP6njyQdgIKENJUS5MU0U6U0ZPUi5JUV9MQVNUU0FMRVBSSUNFLjI3LzAzLzIwMjABAAAAy1PkIQIAAAAEMS40NQAB6H1T8kHYCGhTXlnyQdgIJ0NJUS4kQUVER0JQLklRX0xBU1RTQUxFUFJJQ0UuMzAvMDYvMjAxNQEAAAAl61oAAgAAAAs1Ljc3NTU5MzY0NwAVIspM8kHYCNsgX3byQdgIO0NJUS5OWVNFOk1BTlUuSVFfRUJJVERBX01FRElBTl9FU1QuMTAwMi4zMC8wNC8yMDIwLi5GLkdCUC5DAQAAAN1rDQACAAAABzE4Mi4wNzYBDgAAAAUAAAABMwEAAAABMAIAAAAKMTAwMzA5MjQzMAMAAAAGMTAwMTg4BAAAAAEzBgAAAAEwBwAAAAI1NQgAAAABMQkAAAABMQoAAAABMAsAAAALMTE4Njg2MjYwNTEMAAAAATENAAAACDUvMS8yMDIwEAAAAAk4LzE2LzIwMjDqlspM8kHYCCBeoVnyQdgIKUNJUS5OWVNFOlJBQ0UuSVFfTEFTVFNBTEVQUklDRS4xNi8xMS8yMDE4AQAAAD2CsBACAAAABjExMC43NADH4n9T8kHYCLXKHXHyQdgIK0NJUS5OWVNFOk1BTlUuSVFfTkkuOTk4LjMxLzEy</t>
  </si>
  <si>
    <t>LzIwMTkuLkYuR0JQLkMBAAAA3WsNAAIAAAAGMzkuMjA5AQgAAAAFAAAAATEBAAAACjE5ODU4NDUwNDUDAAAAAjU1AgAAAAIxNQQAAAABMQcAAAAKMTIvMzEvMjAxOQgAAAAJOC8xNi8yMDIwCQAAAAEw2hSWd/JB2AhKo+h48kHYCC1DSVEuTkFTREFRR1M6Q0FLRS5JUV9MQVNUU0FMRVBSSUNFLjMxLzA1LzIwMTcBAAAACOAEAAIAAAAFNTguOTgA0YN+U/JB2AgS7iZx8kHYCCZDSVEuSVExMDA4ODk5NTEuSVFfTEFTVFNBTEVQUklDRS40MzQ2NQEAAABfdQMGAgAAAAUwLjc4NADYLd508kHYCNLoSHbyQdgIM0NJUS5OWVNFOk1BTlUuSVFfTFRfSU5WRVNULjIwMDAuMzEvMTIvMjAxOS4uRi5HQlAuQwEAAADdaw0AAwAAAAAAO4YXePJB2AjPsPp48kHYCDRDSVEuTFNFOlNGT1IuSVFfUFJJQ0VfVEFSR0VULjYwMDAuMzEvMTIvMjAxOS4uLkdCUC5DAQAAAMtT5CECAAAAEDIuMTAwMDMyMzQ4NjM4MTEBDgAAAAUAAAABNwEAAAAJNTgyMDIxMTU2AgAAAAoxMDA0MzE2MDQ4AwAAAAYxMDAxNjEEAAAAAzI1NQYAAAABMAcAAAACNTUIAAAAATEJAAAAATEKAAAAATALAAAACzExNjk4MTg3MTI0DAAAAAE4DQAAAAgxLzEvMjAyMBAAAAAJOC8xNi8yMDIwHiIYePJB2AgUoAB58kHYCDJDSVEuTllTRTpNQU5VLklRX1RPVEFMX0NBLjEwMDAuMzEvMTIvMjAxOS4uRi5HQlAuQwEAAADdaw0AAgAAAAczODguMzIzAQgAAAAF</t>
  </si>
  <si>
    <t>AAAAATEBAAAACjE5ODU4NDUwNjMDAAAAAjU1AgAAAAQxMDA4BAAAAAExBwAAAAoxMi8zMS8yMDE5CAAAAAk4LzE2LzIwMjAJAAAAATA7hhd48kHYCIk2/HjyQdgIJkNJUS5OQVNEQVFHUzpDQUtFLklRX1ZPTFVNRS4zMC8xMS8yMDE4AQAAAAjgBAACAAAACDEuMDI4NzIxAMfif1PyQdgIC3kfcfJB2Ag1Q0lRQVZHLiRBRURVU0QuSVFfTEFTVFNBTEVQUklDRS4zMS8xMi8yMDE2LjMxLzEyLzIwMTcBAAAAJetaAAIAAAAIMy42NzI4MTEA6pbKTPJB2AhllF928kHYCDZDSVEuTkFTREFRR1M6Q0FLRS5JUV9UT1RBTF9SRVYuOTk4LjMwLzA0LzIwMjAuLkYuVVNELkMBAAAACOAEAAIAAAAIMjI2MC41MDIBCAAAAAUAAAABMQEAAAAKMjAyMTU4MTQwOQMAAAADMTYwAgAAAAIyOAQAAAABMQcAAAAJNC8zMC8yMDIwCAAAAAk4LzE2LzIwMjAJAAAAATD/b8pM8kHYCAQFnlnyQdgIMUNJUUFWRy4lVENNU1kwNS5JUV9MQVNUU0FMRVBSSUNFLjQwMjk4LjMwLzA0LzIwMjABAAAAFx8oAgIAAAAQMS41OTk3MzYxMDU1NTc3OACqJCVV8kHYCAKbhFnyQdgIJkNJUS5OQVNEQVFHUzpDQUtFLklRX1ZPTFVNRS4yMC8wMy8yMDIwAQAAAAjgBAACAAAACDQuNjE1NzY0AJX9JFXyQdgIyKJ6WfJB2AghQ0lRLkxTRTpTRk9SLklRX1ZPTFVNRS4xMi8xMC8yMDE4AQAAAMtT5CECAAAACDAuMTMyNDAxAEOYhVLyQdgIUlgVcfJB2Agz</t>
  </si>
  <si>
    <t>Q0lRLk5BU0RBUUdTOkNBS0UuSVFfRUJJVERBLjk5OC4zMS8xMi8yMDE5Li5GLlVTRC5DAQAAAAjgBAACAAAABzI4OS43MTcBCAAAAAUAAAABMQEAAAAKMTk0ODE3NjY2MgMAAAADMTYwAgAAAAQ0MDUxBAAAAAExBwAAAAoxMi8zMS8yMDE5CAAAAAk4LzE2LzIwMjAJAAAAATAeIhh48kHYCMJr7njyQdgIJ0NJUS5OWVNFOktPLklRX0xBU1RTQUxFUFJJQ0UuMTMvMDMvMjAyMAEAAAASaAAAAgAAAAU0OC40NwAB6H1T8kHYCMQGXlnyQdgIIUNJUS5MU0U6U0ZPUi5JUV9WT0xVTUUuMDMvMDgvMjAxOAEAAADLU+QhAwAAAAAAOr+FUvJB2AgWkQ9x8kHYCDNDSVEuTFNFOlNGT1IuSVFfUFJFRl9FUVVJVFkuOTk4LjMxLzEyLzIwMTkuLkYuR0JQLkMBAAAAy1PkIQMAAAAAAB77F3jyQdgIEKn0ePJB2AgnQ0lRLk5ZU0U6S08uSVFfTEFTVFNBTEVQUklDRS4zMC8wNi8yMDE5AQAAABJoAAACAAAABTUwLjkyAAgPflPyQdgIlCktcfJB2AgpQ0lRLk5ZU0U6UkFDRS5JUV9MQVNUU0FMRVBSSUNFLjIwLzA0LzIwMTgBAAAAPYKwEAIAAAAGMTIyLjY4AEFSQnXyQdgI9qtQdvJB2AhAQ0lRLk5BU0RBUUdTOkNBS0UuSVFfVE9UQUxfQ09NTU9OX0VRVUlUWS45OTcuMzAvMDQvMjAyMC4uRi5VU0QuQwEAAAAI4AQAAgAAAAc2MDMuMjA3AQgAAAAFAAAAATEBAAAACjE5NDgxNzY2NjIDAAAAAzE2MAIAAAAEMTAwNgQAAAABMQcA</t>
  </si>
  <si>
    <t>AAAJNC8zMC8yMDIwCAAAAAk4LzE2LzIwMjAJAAAAATD/b8pM8kHYCIJYnFnyQdgIMkNJUS5OWVNFOktPLklRX0VBUk5JTkdfQ08uMjAwMC4zMS8xMi8yMDE5Li5GLlVTRC5DAQAAABJoAAACAAAABDgwOTgBCAAAAAUAAAABMQEAAAAKMTk4ODgwMTUyNgMAAAADMTYwAgAAAAE3BAAAAAExBwAAAAoxMi8zMS8yMDE5CAAAAAk4LzE2LzIwMjAJAAAAATDaFJZ38kHYCLmH5HjyQdgIIENJUS4uSVFfTEFTVFNBTEVQUklDRS4wOS8wOC8yMDE5BQAAAAAAAAAIAAAAFChJbnZhbGlkIElkZW50aWZpZXIpkjaFUfJB2AjkMjdz8kHYCCRDSVEuXlNQWC5JUV9MQVNUU0FMRVBSSUNFLjAxLzExLzIwMTkBAAAAm7goAAIAAAAQMzA2Ni45MTQ3MzUwMzE1OQC1vDdS8kHYCDAREnPyQdgIPkNJUS5OQVNEQVFHUzpDQUtFLklRX0hJR0hfVEFSR0VUX1BSSUNFLjYwMDAuMzEvMTIvMjAxOS4uLlVTRC5DAQAAAAjgBAACAAAAAjU1AQ4AAAAFAAAAATcBAAAABzI1OTk2OTUCAAAABjI3Mzg4OAMAAAAGMTAwMTYzBAAAAAMyNTUGAAAAATAHAAAAAzE2MAgAAAABMQkAAAABMQoAAAABMAsAAAALMTE3MjQxMTAyNTMMAAAAATgNAAAACDEvMS8yMDIwEAAAAAk4LzE2LzIwMjAeIhh48kHYCER5AHnyQdgIL0NJUS5OQVNEQVFHUzpDQUtFLklRX05JLjk5Ny4zMC8wNC8yMDIwLi5GLlVTRC5DAQAAAAjgBAACAAAABzEzOS40OTQBCAAAAAUA</t>
  </si>
  <si>
    <t>AAABMQEAAAAKMTk0ODE3NjY2MgMAAAADMTYwAgAAAAIxNQQAAAABMQcAAAAJNC8zMC8yMDIwCAAAAAk4LzE2LzIwMjAJAAAAATD/b8pM8kHYCA+sqFnyQdgIOENJUS5MU0U6U0ZPUi5JUV9FQklUX01FRElBTl9FU1QuMTAwMi4zMC8wNC8yMDIwLi5GLkdCUC5DAQAAAMtT5CECAAAAEDczLjAyNTMyOTUxNjI5MjMBDgAAAAUAAAABMwEAAAABMAIAAAAKMTAwNDM0OTY2MAMAAAAGMTAwMjE2BAAAAAEzBgAAAAEwBwAAAAI1NQgAAAABMQkAAAABMQoAAAABMAsAAAALMTE4OTkzMzAwNDQMAAAAATENAAAACDUvMS8yMDIwEAAAAAk4LzE2LzIwMjCkfwdL8kHYCG30o1nyQdgIKENJUS5MU0U6VFNDTy5JUV9MQVNUU0FMRVBSSUNFLjMxLzAzLzIwMTcBAAAAMFAGAAIAAAAFMS44NTYA0YN+U/JB2AgPUiZx8kHYCDFDSVEuTkFTREFRR1M6VFNMQS5JUV9FQklULjk5OS4zMS8xMi8yMDE5Li5GLlVTRC5DAQAAABDGogECAAAACS0xNjA2LjI4NgEIAAAABQAAAAExAQAAAAoxOTQ1ODczNTUwAwAAAAMxNjACAAAAAzQwMAQAAAABMQcAAAAKMTIvMzEvMjAxOQgAAAAJOC8xNi8yMDIwCQAAAAEwHiIYePJB2AhMSux48kHYCCxDSVEuTFNFOlNGT1IuSVFfTEFTVFNBTEVQUklDRS4wMDowMDowMC5HQlAuQwEAAADLU+QhAgAAAAQzLjIzABUiykzyQdgIss1gdvJB2AgkQ0lRLl5TUFguSVFfTEFTVFNBTEVQUklDRS4yMS8xMi8y</t>
  </si>
  <si>
    <t>MDE4AQAAAJu4KAACAAAAEDI0MTYuNjE4Mzg1MjA5OTQAisU3UfJB2AgTSRNz8kHYCCdDSVEuTllTRTpLTy5JUV9MQVNUU0FMRVBSSUNFLjE3LzAxLzIwMjABAAAAEmgAAAIAAAAFNTYuOTQACA9+U/JB2AgQWlxZ8kHYCDNDSVEuTllTRTpSQUNFLklRX1RPVEFMX0xJQUIuOTk4LjMxLzEyLzIwMTkuLkYuRVVSLkMBAAAAPYKwEAIAAAAIMzUxOS43OTkBCAAAAAUAAAABMQEAAAAKMTk0NzQ0NDE4NAMAAAACNTACAAAABDEyNzYEAAAAATEHAAAACjEyLzMxLzIwMTkIAAAACTgvMTYvMjAyMAkAAAABMITUF3jyQdgIBJT1ePJB2AgsQ0lRLk5ZU0U6UkFDRS5JUV9GSUxJTkdfQ1VSUkVOQ1kuLjMwLzA0LzIwMjABAAAAPYKwEAMAAAADRVVSALGvJFXyQdgIjtB/WfJB2Ag4Q0lRLk5BU0RBUUdTOkNBS0UuSVFfUFJFRl9FUVVJVFkuOTk5LjMwLzA0LzIwMjAuLkYuVVNELkMBAAAACOAEAAMAAAAAAP9vykzyQdgIyUebWfJB2AghQ0lRLkxTRTpUU0NPLklRX1ZPTFVNRS4yOC8wNi8yMDE5AQAAADBQBgACAAAACDI1Ljg3MjY3AJX9JFXyQdgIbT++cvJB2Ag5Q0lRLk5ZU0U6S08uSVFfRUJJVERBX01FRElBTl9FU1QuNjAwMC4zMC8wNC8yMDIwLi5GLlVTRC5DAQAAABJoAAACAAAACTEwODUwLjY2MwEOAAAABQAAAAIxMQEAAAABMAIAAAAINzg4ODc0OTQDAAAABjEwMDE4OAQAAAABMgYAAAABMAcAAAADMTYwCAAAAAEx</t>
  </si>
  <si>
    <t>CQAAAAExCgAAAAEwCwAAAAsxMTg4NDMxOTAxMwwAAAACMTINAAAACDUvMS8yMDIwEAAAAAk4LzE2LzIwMjD/b8pM8kHYCB+FoVnyQdgIOkNJUS5OWVNFOktPLklRX1JFVkVOVUVfTUVESUFOX0VTVC42MDAxLjMxLzEyLzIwMTkuLkYuVVNELkMBAAAAEmgAAAMAAAAAAPNIGHjyQdgIZHHzePJB2Ag3Q0lRLk5BU0RBUUdTOlRTTEEuSVFfVE9UQUxfTElBQi45OTcuMzAvMDQvMjAyMC4uRi5VU0QuQwEAAAAQxqIBAgAAAAkxNjc1OC45NTEBCAAAAAUAAAABMQEAAAAKMTk0NTg3MzU1MQMAAAADMTYwAgAAAAQxMjc2BAAAAAExBwAAAAk0LzMwLzIwMjAIAAAACTgvMTYvMjAyMAkAAAABMLxYB0vyQdgI+4SaWfJB2AgpQ0lRLk5ZU0U6UkFDRS5JUV9MQVNUU0FMRVBSSUNFLjI4LzA2LzIwMTkBAAAAPYKwEAIAAAAGMTYxLjQyAMGqflPyQdgIjdcncfJB2AgxQ0lRLk5BU0RBUUdTOkNBS0UuSVFfUEVSSU9EREFURS45OTQuMzEvMTIvMjAxOS4uRgEAAAAI4AQABQAAAAowMS8wMS8yMDEzAP4DQnXyQdgIX+5NdvJB2Ag2Q0lRLkxTRTpUU0NPLklRX05JX01FRElBTl9FU1QuMTAwMi4zMC8wNC8yMDIwLi5GLkdCUC5DAQAAADBQBgACAAAACTE3MzEuMDA4NQEOAAAABQAAAAEzAQAAAAEwAgAAAAoxMDAwMjY0NTAwAwAAAAYxMDAyNTEEAAAAATMGAAAAATAHAAAAAjU1CAAAAAExCQAAAAExCgAAAAEwCwAAAAsxMTk4NjM0</t>
  </si>
  <si>
    <t>MDUxNgwAAAABMQ0AAAAINS8xLzIwMjAQAAAACTgvMTYvMjAyMKR/B0vyQdgISsKnWfJB2AgoQ0lRLkxTRTpUU0NPLklRX0xBU1RTQUxFUFJJQ0UuMjgvMDIvMjAxOQEAAAAwUAYAAgAAAAQyLjI2AAgPflPyQdgI3xgscfJB2AglQ0lRLl5DT01QLklRX0xBU1RTQUxFUFJJQ0UuMzEvMDMvMjAxNQEAAACJuCgAAgAAAAc0OTAwLjg5ANgt3nTyQdgIfaBGdvJB2Ag7Q0lRLk5ZU0U6UkFDRS5JUV9UT1RBTF9ERUJUX0NVUlJFTlQuOTk5LjMwLzA0LzIwMjAuLkYuRVVSLkMBAAAAPYKwEAIAAAAHMzUyLjQwOQEIAAAABQAAAAExAQAAAAoyMDE1NjM5ODE4AwAAAAI1MAIAAAAFMjUyMjMEAAAAATEHAAAACTQvMzAvMjAyMAgAAAAJOC8xNi8yMDIwCQAAAAEw4OMGS/JB2AgQkJZZ8kHYCC5DSVEuTllTRTpNQU5VLklRX1BSSUNFX1ZPTF9ISVNUXzJZUi4zMC8wNC8yMDIwAQAAAN1rDQACAAAAAjMyAPw6JFXyQdgIsVKJWfJB2AgtQ0lRLk5BU0RBUUdTOkNBS0UuSVFfTEFTVFNBTEVQUklDRS4zMS8xMi8yMDE5AQAAAAjgBAACAAAABTM4Ljg2AAHofVPyQdgINIgucfJB2AgiQ0lRLk5ZU0U6UkFDRS5JUV9WT0xVTUUuMjAvMDMvMjAyMAEAAAA9grAQAgAAAAgwLjc4NDU2MwDZObVT8kHYCPM4dlnyQdgILUNJUS5OQVNEQVFHUzpUU0xBLklRX0xBU1RTQUxFUFJJQ0UuMzEvMDgvMjAxOAEAAAAQxqIBAgAAAAYzMDEuNjYA</t>
  </si>
  <si>
    <t>6DV+U/JB2AhZuipx8kHYCCpDSVEuTFNFOlNGT1IuSVFfR1AuOTk2LjMxLzEyLzIwMTkuLkYuR0JQLkMBAAAAy1PkIQMAAAAAAB4iGHjyQdgIc0DwePJB2AgmQ0lRLk5BU0RBUUdTOkNBS0UuSVFfVk9MVU1FLjA4LzAyLzIwMTkBAAAACOAEAAIAAAAIMC41MjE2NDkApLx/U/JB2AjxOsBy8kHYCDxDSVEuTFNFOlRTQ08uSVFfVE9UQUxfQ09NTU9OX0VRVUlUWS4xMDAwLjMxLzEyLzIwMTkuLkYuR0JQLkMBAAAAMFAGAAIAAAAFMTQ4NTgBCAAAAAUAAAABMQEAAAAKMTk2ODczNjU2MwMAAAACNTUCAAAABDEwMDYEAAAAATEHAAAACjEyLzMxLzIwMTkIAAAACTgvMTYvMjAyMAkAAAABMB77F3jyQdgILzT0ePJB2Ag2Q0lRLkdCUC5JUV9GVUxMX0NVUlZFX0FOTlVBTC5BTExDT1JQLkFBLjIwWS4zMC8wNC8yMDIwAQAAAAAAAAACAAAACTAuMDE4NDQ2MgCqJCVV8kHYCFMKh1nyQdgIKkNJUS5OWVNFOktPLklRX0VCVC45OTYuMzAvMDQvMjAyMC4uRi5VU0QuQwEAAAASaAAAAgAAAAQ5NjA1AQgAAAAFAAAAATEBAAAACjE4NzU3OTc4MDkDAAAAAzE2MAIAAAADMTM5BAAAAAExBwAAAAk0LzMwLzIwMjAIAAAACTgvMTYvMjAyMAkAAAABMANJykzyQdgIuoqmWfJB2AgtQ0lRLk5BU0RBUUdTOlRTTEEuSVFfTEFTVFNBTEVQUklDRS4wOC8wNi8yMDE4AQAAABDGogECAAAABjMxNy42NgAp5oVS8kHYCFOKCnHyQdgIKkNJ</t>
  </si>
  <si>
    <t>US5OWVNFOktPLklRX1NHQS45OTkuMzEvMTIvMjAxOS4uRi5VU0QuQwEAAAASaAAAAgAAAAUxMjgyNwEIAAAABQAAAAExAQAAAAoxOTQ2NDMwNzc5AwAAAAMxNjACAAAAAjIzBAAAAAExBwAAAAoxMi8zMS8yMDE5CAAAAAk4LzE2LzIwMjAJAAAAATAeIhh48kHYCGXL73jyQdgIKUNJUS5OWVNFOlJBQ0UuSVFfTEFTVFNBTEVQUklDRS4zMS8xMi8yMDE3AQAAAD2CsBACAAAABjEwNC44NAAFXX5T8kHYCN9xKHHyQdgIJENJUS5eU1BYLklRX0xBU1RTQUxFUFJJQ0UuMTIvMDEvMjAxOAEAAACbuCgAAgAAABAyNzg2LjI0NDE0MzE4NjU1ANgt3nTyQdgIpitGdvJB2AgsQ0lRLk5ZU0U6UkFDRS5JUV9FQlQuOTk4LjMxLzEyLzIwMTkuLkYuRVVSLkMBAAAAPYKwEAIAAAAHNTY3LjM1MwEIAAAABQAAAAExAQAAAAoxOTQ3NDQ0MTg0AwAAAAI1MAIAAAADMTM5BAAAAAExBwAAAAoxMi8zMS8yMDE5CAAAAAk4LzE2LzIwMjAJAAAAATDc7ZV38kHYCMmd6njyQdgIJ0NJUS4kQUVES1JXLklRX0xBU1RTQUxFUFJJQ0UuMzEvMTIvMjAxOAEAAAAl61oAAgAAAAswLjAwMzI5OTM0OQDfBt508kHYCAYJS3byQdgIP0NJUS5OWVNFOk1BTlUuSVFfVE9UQUxfREVCVF9OT05fQ1VSUkVOVC45OTcuMzAvMDQvMjAyMC4uRi5HQlAuQwEAAADdaw0AAgAAAAc0OTQuMjM4AQgAAAAFAAAAATEBAAAACjE5MTAyNDc0MDMDAAAAAjU1AgAA</t>
  </si>
  <si>
    <t>AAUyNTIyNAQAAAABMQcAAAAJNC8zMC8yMDIwCAAAAAk4LzE2LzIwMjAJAAAAATC8WAdL8kHYCLOymFnyQdgIK0NJUS5OWVNFOlJBQ0UuSVFfRklTQ0FMX1kuNTAwLjMwLzA0LzIwMjAuLkYBAAAAPYKwEAEAAAAEMjAxOQD8OiRV8kHYCDHM0VryQdgIMUNJUS5MU0U6U0ZPUi5JUV9SVUFfR1JPU1MuMjAwMC4zMS8xMi8yMDE5Li4uTE9DQUwBAAAAy1PkIQIAAAAGMjUuNzc5AQgAAAAFAAAAATEBAAAACjIwMzYxNjc5MDMDAAAAAjU1AgAAAAU0ODM2NQQAAAABMAcAAAAKMTIvMzEvMjAxOQgAAAAKMTIvMzEvMjAxOQkAAAABMP4DQnXyQdgIJulPdvJB2AgrQ0lRLk5ZU0U6S08uSVFfU0dBLjEwMDAuMzEvMTIvMjAxOS4uRi5VU0QuQwEAAAASaAAAAgAAAAUxMDU2MQEIAAAABQAAAAExAQAAAAoxOTQ2NDMwNzgxAwAAAAMxNjACAAAAAjIzBAAAAAExBwAAAAoxMi8zMS8yMDE5CAAAAAk4LzE2LzIwMjAJAAAAATAeIhh48kHYCITx73jyQdgINUNJUS5OQVNEQVFHUzpDQUtFLklRX0NPU1RfUkVWLjk5Ny4zMC8wNC8yMDIwLi5GLlVTRC5DAQAAAAjgBAACAAAACDEyODYuNjI2AQgAAAAFAAAAATEBAAAACjE5NDgxNzY2NjIDAAAAAzE2MAIAAAABMQQAAAABMQcAAAAJNC8zMC8yMDIwCAAAAAk4LzE2LzIwMjAJAAAAATD/b8pM8kHYCMIVn1nyQdgIKENJUS5MU0U6U0ZPUi5JUV9MQVNUU0FMRVBSSUNFLjIzLzA4LzIw</t>
  </si>
  <si>
    <t>MTkBAAAAy1PkIQIAAAAEMS40MwDRg35T8kHYCHf3KXHyQdgIJkNJUS5OQVNEQVFHUzpUU0xBLklRX1ZPTFVNRS4yOS8xMi8yMDE3AQAAABDGogECAAAACDMuNzc3MTU1ACgrQnXyQdgIqthcdvJB2AgoQ0lRLkxTRTpUU0NPLklRX0xBU1RTQUxFUFJJQ0UuMzEvMDUvMjAxOAEAAAAwUAYAAgAAAAUyLjQ1NwDoNX5T8kHYCIDQKXHyQdgINENJUS5MU0U6VFNDTy5JUV9UT1RBTF9BU1NFVFMuOTk5LjMwLzA0LzIwMjAuLkYuR0JQLkMBAAAAMFAGAAIAAAAFNDkwNDcBCAAAAAUAAAABMQEAAAAKMTk2ODczNjU2MwMAAAACNTUCAAAABDEwMDcEAAAAATEHAAAACTQvMzAvMjAyMAgAAAAJOC8xNi8yMDIwCQAAAAEwyTEHS/JB2AjSlpRZ8kHYCC1DSVEuTkFTREFRR1M6VFNMQS5JUV9MQVNUU0FMRVBSSUNFLjI2LzEwLzIwMTgBAAAAEMaiAQIAAAAFMzMwLjkAQ5iFUvJB2AgqtxZx8kHYCC9DSVEuTkFTREFRR1M6Q0FLRS5JUV9OSS45OTcuMzEvMTIvMjAxOS4uRi5VU0QuQwEAAAAI4AQAAgAAAAcxMTYuNTIzAQgAAAAFAAAAATEBAAAACjE4NzcxNDQ0MzgDAAAAAzE2MAIAAAACMTUEAAAAATEHAAAACjEyLzMxLzIwMTkIAAAACTgvMTYvMjAyMAkAAAABMNoUlnfyQdgIVXzoePJB2AgtQ0lRLk5BU0RBUUdTOlRTTEEuSVFfTEFTVFNBTEVQUklDRS4zMS8wMS8yMDE5AQAAABDGogECAAAABjMwNy4wMgAID35T8kHYCBPz</t>
  </si>
  <si>
    <t>K3HyQdgIJkNJUS5OQVNEQVFHUzpDQUtFLklRX1ZPTFVNRS4xOS8wNC8yMDE5AQAAAAjgBAADAAAAAAC5lH9T8kHYCOdhwHLyQdgIIENJUS4uSVFfTEFTVFNBTEVQUklDRS4xOS8wMS8yMDE4BQAAAAAAAAAIAAAAFChJbnZhbGlkIElkZW50aWZpZXIpSYHcdPJB2Ajj4Tx28kHYCDtDSVEuTFNFOlRTQ08uSVFfUkVWRU5VRV9NRURJQU5fRVNULjYwMDAuMzAvMDQvMjAyMC4uRi5HQlAuQwEAAAAwUAYAAgAAAAs2MDk4MC4xMjA3NgEOAAAABQAAAAIxMQEAAAABMAIAAAAKMTAwMDI2NDQ5OQMAAAAGMTAwMTgxBAAAAAEzBgAAAAEwBwAAAAI1NQgAAAABMQkAAAABMQoAAAABMAsAAAALMTE4OTIzNTgzMDEMAAAAAjEyDQAAAAg1LzEvMjAyMBAAAAAJOC8xNi8yMDIwpH8HS/JB2AhDQp1Z8kHYCDVDSVEuTkFTREFRR1M6Q0FLRS5JUV9UT1RBTF9DQS45OTkuMzAvMDQvMjAyMC4uRi5VU0QuQwEAAAAI4AQAAgAAAAYxOTUuMjMBCAAAAAUAAAABMQEAAAAKMjAyMTU4MTQyMAMAAAADMTYwAgAAAAQxMDA4BAAAAAExBwAAAAk0LzMwLzIwMjAIAAAACTgvMTYvMjAyMAkAAAABMANJykzyQdgI6auTWfJB2AgrQ0lRLkxTRTpTRk9SLklRX1NHQS45OTcuMzEvMTIvMjAxOS4uRi5HQlAuQwEAAADLU+QhAwAAAAAAHiIYePJB2AiAfe948kHYCCBDSVEuTllTRTpLTy5JUV9WT0xVTUUuMzEvMDEvMjAyMAEAAAASaAAAAgAAAAgx</t>
  </si>
  <si>
    <t>Ny42ODUyMwCj1iRV8kHYCIN3fFnyQdgIKUNJUS5OWVNFOlJBQ0UuSVFfTEFTVFNBTEVQUklDRS4zMS8xMC8yMDE2AQAAAD2CsBACAAAABTUyLjc3ANGDflPyQdgINkElcfJB2AgmQ0lRLk5BU0RBUUdTOkNBS0UuSVFfVk9MVU1FLjA0LzAxLzIwMTkBAAAACOAEAAIAAAAHMC45MDAxNgDH4n9T8kHYCP0TwHLyQdgIJENJUS5eQVNYLklRX0xBU1RTQUxFUFJJQ0UuMjUvMDEvMjAxOQEAAAAfU+sBAgAAAAszNzUxLjg4Mjc4NwCKxTdR8kHYCK/kGnPyQdgINkNJUS5FVVIuSVFfRlVMTF9DVVJWRV9BTk5VQUwuQUxMQ09SUC5BQS4yMFkuMzAvMDQvMjAyMAEAAAAAAAAAAgAAAAkwLjAxMzUzODUAqiQlVfJB2AhlvIZZ8kHYCCBDSVEuTllTRTpLTy5JUV9WT0xVTUUuMDIvMDgvMjAxOQEAAAASaAAAAgAAAAgxMy4xMDIzMQCj1iRV8kHYCCcew3LyQdgIIENJUS4uSVFfTEFTVFNBTEVQUklDRS4yOC8wMi8yMDIwBQAAAAAAAAAIAAAAFChJbnZhbGlkIElkZW50aWZpZXIpIGkyUvJB2Ag0xMpZ8kHYCCRDSVEuXkFTWC5JUV9MQVNUU0FMRVBSSUNFLjMxLzAzLzIwMjABAAAAH1PrAQIAAAALMzEwNy40MTc3NTgAAN4yUvJB2AjsWLhZ8kHYCDBDSVEuTFNFOlRTQ08uSVFfSU5DX1RBWC4xMDAwLjMwLzA0LzIwMjAuLkYuR0JQLkMBAAAAMFAGAAIAAAADMzgwAQgAAAAFAAAAATEBAAAACjIwMjY1MDczMDkDAAAAAjU1AgAA</t>
  </si>
  <si>
    <t>AAI3NQQAAAABMQcAAAAJNC8zMC8yMDIwCAAAAAk4LzE2LzIwMjAJAAAAATDJMQdL8kHYCIrYplnyQdgIO0NJUS5OQVNEQVFHUzpDQUtFLklRX05JX01FRElBTl9FU1QuMTAwMS4zMS8xMi8yMDE5Li5GLlVTRC5DAQAAAAjgBAACAAAABTExOC4zAQ4AAAAFAAAAATMBAAAAATACAAAACjEwMDIyMjQyMjEDAAAABjEwMDI1MQQAAAABMgYAAAABMAcAAAADMTYwCAAAAAExCQAAAAExCgAAAAEwCwAAAAsxMTcyNDExMDU3MAwAAAABMQ0AAAAIMS8xLzIwMjAQAAAACTgvMTYvMjAyMNoUlnfyQdgIKxjpePJB2AgnQ0lRLiRBRURWTkQuSVFfTEFTVFNBTEVQUklDRS4zMC8wNC8yMDIwAQAAACXrWgACAAAACzAuMDAwMTU2NDk4AKokJVXyQdgIHCaEWfJB2Ag6Q0lRLk5BU0RBUUdTOkNBS0UuSVFfVE9UQUxfQVNTRVRTLjEwMDAuMzAvMDQvMjAyMC4uRi5VU0QuQwEAAAAI4AQAAgAAAAgyODQwLjU5MwEIAAAABQAAAAExAQAAAAoyMDIxNTgxNDExAwAAAAMxNjACAAAABDEwMDcEAAAAATEHAAAACTQvMzAvMjAyMAgAAAAJOC8xNi8yMDIwCQAAAAEwA0nKTPJB2AjSb5RZ8kHYCDNDSVEuTllTRTpSQUNFLklRX1RPVEFMX1JFVi4yMDAwLjMxLzEyLzIwMTkuLkYuRVVSLkMBAAAAPYKwEAIAAAAIMzY4NC40NTkBCAAAAAUAAAABMQEAAAAKMTk5MDQyMzY4NwMAAAACNTACAAAAAjI4BAAAAAExBwAAAAoxMi8zMS8yMDE5CAAA</t>
  </si>
  <si>
    <t>AAk4LzE2LzIwMjAJAAAAATAe+xd48kHYCMmH8njyQdgIMkNJUS5OQVNEQVFHUzpUU0xBLklRX0RBX0NGLjk5OS4zMC8wNC8yMDIwLi5GLlVTRC5DAQAAABDGogECAAAABDE5MDEBCAAAAAUAAAABMQEAAAAKMjAxMzkwNzQ2MwMAAAADMTYwAgAAAAQyMTYwBAAAAAExBwAAAAk0LzMwLzIwMjAIAAAACTgvMTYvMjAyMAkAAAABMMkxB0vyQdgIvQqqWfJB2AghQ0lRLkxTRTpUU0NPLklRX1ZPTFVNRS4yNi8wNy8yMDE5AQAAADBQBgACAAAACDIzLjQ2NzM3AJX9JFXyQdgIYWa+cvJB2AgiQ0lRLk5ZU0U6UkFDRS5JUV9WT0xVTUUuMDgvMDMvMjAxOQEAAAA9grAQAgAAAAgwLjI1MDgwOQCkvH9T8kHYCCqpu3LyQdgIIENJUS4uSVFfTEFTVFNBTEVQUklDRS4xMi8wMS8yMDE4BQAAAAAAAAAIAAAAFChJbnZhbGlkIElkZW50aWZpZXIp69/ddPJB2Aj2bDx28kHYCCZDSVEuTkFTREFRR1M6VFNMQS5JUV9WT0xVTUUuMTUvMTEvMjAxOQEAAAAQxqIBAgAAAAg0LjgxMjU2MwCj1iRV8kHYCEs0wnLyQdgIJENJUS5eU1BYLklRX0xBU1RTQUxFUFJJQ0UuMTMvMDQvMjAxOAEAAACbuCgAAgAAABAyNjU2LjI5NjkwNTY1MzY1ANgt3nTyQdgIkHlGdvJB2AgsQ0lRLkxTRTpUU0NPLklRX1BFUklPRERBVEUuOTk5LjMwLzA0LzIwMjAuLkYBAAAAMFAGAAUAAAAKMjMvMDIvMjAxOQCxryRV8kHYCOZ7gVnyQdgIO0NJUS5MU0U6</t>
  </si>
  <si>
    <t>VFNDTy5JUV9SRVZFTlVFX01FRElBTl9FU1QuMTAwMi4zMC8wNC8yMDIwLi5GLkdCUC5DAQAAADBQBgACAAAABTYzOTc1AQ4AAAAFAAAAATMBAAAAATACAAAACjEwMDAyNjQ1MDADAAAABjEwMDE4MQQAAAABMwYAAAABMAcAAAACNTUIAAAAATEJAAAAATEKAAAAATALAAAACzExODkyMzU4MzU2DAAAAAExDQAAAAg1LzEvMjAyMBAAAAAJOC8xNi8yMDIwpH8HS/JB2AiBHJ1Z8kHYCCVDSVEuXkNPTVAuSVFfTEFTVFNBTEVQUklDRS4yMC8xMi8yMDE5AQAAAIm4KAACAAAABzg5MjQuOTYACZY3UvJB2Ag8ahVz8kHYCCZDSVEuTkFTREFRR1M6VFNMQS5JUV9WT0xVTUUuMDYvMDQvMjAxOAEAAAAQxqIBAgAAAAgxMy41MjAyOQAoK0J18kHYCB/iUXbyQdgINUNJUUFWRy4kQUVEVVNELklRX0xBU1RTQUxFUFJJQ0UuMzAvMTIvMjAxNC4yOS8xMi8yMDE1AQAAACXrWgACAAAACDMuNjcyOTg2AFuT4k3yQdgIf+NfdvJB2AgpQ0lRLk5ZU0U6UkFDRS5JUV9MQVNUU0FMRVBSSUNFLjE5LzAxLzIwMTgBAAAAPYKwEAIAAAAGMTIwLjk2ACgrQnXyQdgI9itbdvJB2AgzQ0lRLk5BU0RBUUdTOkNBS0UuSVFfVE9UQUxfUkVWOkNVUlJFTkNZLi4zMS8xMi8yMDE5AQAAAAjgBAADAAAAA1VTRAEIAAAABQAAAAExAQAAAAoyMDIxNTgyNzA0AwAAAAMxNjACAAAAAjI4BAAAAAEwBwAAAAoxMi8zMS8yMDE5CAAAAAoxMi8zMS8yMDE5</t>
  </si>
  <si>
    <t>CQAAAAEw/gNCdfJB2AjMDl528kHYCC1DSVEuTFNFOlRTQ08uSVFfQ0FQRVguOTk3LjMwLzA0LzIwMjAuLkYuR0JQLkMBAAAAMFAGAAIAAAAFLTEyMDUBCAAAAAUAAAABMQEAAAAKMTg4ODUyNTA3NAMAAAACNTUCAAAABDIwMjEEAAAAATEHAAAACTQvMzAvMjAyMAgAAAAJOC8xNi8yMDIwCQAAAAEwyTEHS/JB2Agx3qtZ8kHYCCdDSVEuTFNFOlRTQ08uSVFfQkVUQV8yWVJfUlNRLjMwLzA0LzIwMjABAAAAMFAGAAIAAAARMC4zNDQ1MjIwOTE5MTQ2NzYAo9YkVfJB2AjOBIlZ8kHYCCdDSVEuTFNFOlNGT1IuSVFfRVBTX0VTVC42MDAwLjMxLzEyLzIwMTkBAAAAy1PkIQIAAAAGMC4wODYzAQ4AAAAFAAAAAjExAQAAAAk1ODIwMjExNTYCAAAABzM5MDQ5OTEDAAAABjEwMDE3MwQAAAABMwYAAAABMAcAAAACNTAIAAAAATAJAAAAATEKAAAAATALAAAACzExODM0NTYwNzc0DAAAAAIxMg0AAAAIMS8xLzIwMjAQAAAACjEyLzMxLzIwMTkoK0J18kHYCAFCTHbyQdgIJkNJUS5OQVNEQVFHUzpDQUtFLklRX1ZPTFVNRS4wOS8xMS8yMDE4AQAAAAjgBAACAAAACDAuNTE2Mzc4AMfif1PyQdgI1VUdcfJB2AgkQ0lRLl5BU1guSVFfTEFTVFNBTEVQUklDRS4xOS8wNy8yMDE5AQAAAB9T6wECAAAACzQwOTguMzE4Mzg4AHyrhVHyQdgI4Ugac/JB2AgzQ0lRLk5ZU0U6TUFOVS5JUV9JTlZFTlRPUlkuMjAwMC4zMS8xMi8yMDE5</t>
  </si>
  <si>
    <t>Li5GLkdCUC5DAQAAAN1rDQACAAAABTIuNjY0AQgAAAAFAAAAATEBAAAACjE5OTM2MjEzMjIDAAAAAjU1AgAAAAQxMDQzBAAAAAExBwAAAAoxMi8zMS8yMDE5CAAAAAk4LzE2LzIwMjAJAAAAATDaFJZ38kHYCD8j5XjyQdgIIENJUS5OWVNFOktPLklRX1ZPTFVNRS4wMS8xMS8yMDE5AQAAABJoAAACAAAACDkuODg5NTI5AKPWJFXyQdgIEGzDcvJB2Ag5Q0lRLk5BU0RBUUdTOkNBS0UuSVFfUFJFRl9FUVVJVFkuMjAwMC4zMS8xMi8yMDE5Li5GLlVTRC5DAQAAAAjgBAADAAAAAACE1Bd48kHYCD9G9XjyQdgIJENJUS5eU1BYLklRX0xBU1RTQUxFUFJJQ0UuMTAvMDEvMjAyMAEAAACbuCgAAgAAABAzMjY1LjM1MTEzNTMzNzk3AP8rM1LyQdgIK6G6WfJB2AghQ0lRLkxTRTpUU0NPLklRX1ZPTFVNRS4xOC8wNS8yMDE4AQAAADBQBgACAAAACDU0LjM4NTgzACnmhVLyQdgI32gIcfJB2AgkQ0lRLl5BU1guSVFfTEFTVFNBTEVQUklDRS4yNy8wMy8yMDIwAQAAAB9T6wECAAAACTMwMjEuODkwMQBJBTNS8kHYCAELv1nyQdgIJENJUS5eQVNYLklRX0xBU1RTQUxFUFJJQ0UuMTUvMDIvMjAxOQEAAAAfU+sBAgAAAAszOTU0LjU2MTE0NQCgnjdR8kHYCM+9GnPyQdgINENJUS5OWVNFOlJBQ0UuSVFfUFJFRl9FUVVJVFkuOTk2LjMwLzA0LzIwMjAuLkYuRVVSLkMBAAAAPYKwEAMAAAAAANkKB0vyQdgIp7ybWfJB2AggQ0lR</t>
  </si>
  <si>
    <t>Li5JUV9MQVNUU0FMRVBSSUNFLjMxLzAzLzIwMTcFAAAAAAAAAAgAAAAUKEludmFsaWQgSWRlbnRpZmllcimSNoVR8kHYCDuzSHPyQdgIJ0NJUS5OWVNFOktPLklRX0xBU1RTQUxFUFJJQ0UuMjUvMDUvMjAxOAEAAAASaAAAAgAAAAQ0Mi40ACnmhVLyQdgIqSsJcfJB2AgkQ0lRLl5BU1guSVFfTEFTVFNBTEVQUklDRS4zMS8wOC8yMDE5AQAAAB9T6wECAAAACzM5NTMuMDI0MzI1AEkFM1LyQdgIJ8MKc/JB2AgmQ0lRLk5BU0RBUUdTOkNBS0UuSVFfVk9MVU1FLjA2LzA3LzIwMTgBAAAACOAEAAIAAAAIMC44MjgzMDYAOr+FUvJB2Ait0gxx8kHYCClDSVEuTllTRTpNQU5VLklRX0xBU1RTQUxFUFJJQ0UuMDUvMDEvMjAxOAEAAADdaw0AAgAAAAQxOS42ACgrQnXyQdgISjtcdvJB2AgnQ0lRLiRBRURLUFcuSVFfTEFTVFNBTEVQUklDRS4zMS8xMi8yMDE4AQAAACXrWgACAAAACzAuMDA0MDgxMTExAP4DQnXyQdgI02hMdvJB2AgoQ0lRLkxTRTpUU0NPLklRX0xBU1RTQUxFUFJJQ0UuMTAvMDQvMjAyMAEAAAAwUAYAAgAAAAQyLjMyAAHofVPyQdgIlsleWfJB2AgnQ0lRLk5BU0RBUUdTOlRTTEEuSVFfVEVWX09VVC4zMC8wNC8yMDIwAQAAABDGogECAAAADTE1MzcxNS45Nzk4OTUBBgAAAAUAAAABMQEAAAAKMjAzMjA0NTEyNQMAAAADMTYwAgAAAAU0NjIxNAQAAAABMAcAAAAJNC8zMC8yMDIwo9YkVfJB2Ah3535Z</t>
  </si>
  <si>
    <t>8kHYCCNDSVEuJVRDTVNZMDMuSVFfTEFTVFNBTEVQUklDRS40MzQ2NQEAAAAUHygCAgAAAAQyLjQ2AEFSQnXyQdgI+y9LdvJB2AgpQ0lRLk5ZU0U6UkFDRS5JUV9MQVNUU0FMRVBSSUNFLjMwLzA5LzIwMTYBAAAAPYKwEAIAAAAFNTEuODcAwap+U/JB2AjG8yRx8kHYCDBDSVEuTkFTREFRR1M6Q0FLRS5JUV9BUC4yMDAwLjMxLzEyLzIwMTkuLkYuVVNELkMBAAAACOAEAAIAAAAGMzYuMDk1AQgAAAAFAAAAATEBAAAACjE5OTEzMjcwNDADAAAAAzE2MAIAAAAEMTAxOAQAAAABMQcAAAAKMTIvMzEvMjAxOQgAAAAJOC8xNi8yMDIwCQAAAAEw2hSWd/JB2AhlruR48kHYCDdDSVEuTllTRTpNQU5VLklRX0VTVF9FUFNfR1JPV1RIXzVZUl9OVU0uNjAwMC4zMC8wNC8yMDIwAQAAAN1rDQABAAAAATEAsa8kVfJB2AiqNH9Z8kHYCDtDSVEuTkFTREFRR1M6Q0FLRS5JUV9FU1RfRVBTX0dST1dUSF81WVJfTlVNLjYwMDAuMzEvMTIvMjAxOQEAAAAI4AQAAQAAAAE0AP4DQnXyQdgIwLBOdvJB2AgxQ0lRLkxTRTpTRk9SLklRX1RPVEFMX1JFVi45OTUuMzAvMDQvMjAyMC4uRi5HQlAuQwEAAADLU+QhAwAAAAAA2QoHS/JB2AjYeZ5Z8kHYCDNDSVEuTllTRTpLTy5JUV9QUkVQQUlEX0VYUC4yMDAwLjMxLzEyLzIwMTkuLkYuVVNELkMBAAAAEmgAAAIAAAAEMjM2NwEIAAAABQAAAAExAQAAAAoxOTg4ODAxNTI2AwAAAAMxNjAC</t>
  </si>
  <si>
    <t>AAAABDEyMTIEAAAAATEHAAAACjEyLzMxLzIwMTkIAAAACTgvMTYvMjAyMAkAAAABMNoUlnfyQdgIPyPlePJB2AgtQ0lRLk5BU0RBUUdTOkNBS0UuSVFfTEFTVFNBTEVQUklDRS4wNy8wMi8yMDIwAQAAAAjgBAACAAAABTM5LjUxAAgPflPyQdgIpvRcWfJB2Ag0Q0lRLkxTRTpTRk9SLklRX1NIQVJFU09VVFNUQU5ESU5HX09VVC4zMS8xMi8yMDE5LkdCUAEAAADLU+QhAgAAAAk0NTIuODA3MTkAFSLKTPJB2AjMDl528kHYCDJDSVEuTFNFOlNGT1IuSVFfTFRfSU5WRVNULjEwMDAuMzEvMTIvMjAxOS4uRi5HQlAuQwEAAADLU+QhAwAAAAAAO4YXePJB2AifYfp48kHYCClDSVEuTllTRTpNQU5VLklRX0xBU1RTQUxFUFJJQ0UuMzEvMDgvMjAxNQEAAADdaw0AAgAAAAUxNy43NwC5lH9T8kHYCBs2InHyQdgIMkNJUS5MU0U6VFNDTy5JUV9FU1RfRVBTX0dST1dUSF81WVIuNjAwMC4zMC8wNC8yMDIwAQAAADBQBgACAAAABzYuNjk1NjgBDgAAAAUAAAABNwEAAAAIMjAxNTc4NzkCAAAABjQxMTY4MAMAAAAGMTAwMTY3BAAAAAEzBgAAAAEwBwAAAAEwCAAAAAEwCQAAAAExCgAAAAEwCwAAAAsxMTg2Nzc0NDcxNAwAAAABOA0AAAAINS8xLzIwMjAQAAAACTQvMzAvMjAyMLGvJFXyQdgIs6l/WfJB2AgpQ0lRLk5ZU0U6UkFDRS5JUV9MQVNUU0FMRVBSSUNFLjIyLzAyLzIwMTkBAAAAPYKwEAIAAAAGMTI2LjAzAKS8f1Py</t>
  </si>
  <si>
    <t>QdgIw+IjcfJB2AgmQ0lRLk5BU0RBUUdTOlRTTEEuSVFfVk9MVU1FLjE0LzAyLzIwMjABAAAAEMaiAQIAAAAIMTUuNjkzNzEAo9YkVfJB2AjDZntZ8kHYCCZDSVEuTkFTREFRR1M6VFNMQS5JUV9WT0xVTUUuMjEvMDIvMjAyMAEAAAAQxqIBAgAAAAgxNC4zMzk0NQCj1iRV8kHYCMNme1nyQdgIK0NJUS5JUTEwMDg4OTk0Ny5JUV9MQVNUU0FMRVBSSUNFLjMxLzEyLzIwMTkBAAAAW3UDBgIAAAAFMS4wOTMA3wbedPJB2Ah/IEp28kHYCCVDSVEuXkNPTVAuSVFfTEFTVFNBTEVQUklDRS4yOS8wNi8yMDE4AQAAAIm4KAACAAAABjc1MTAuMwCKxTdR8kHYCJgAGHPyQdgIK0NJUS5OWVNFOlJBQ0UuSVFfTkkuOTk3LjMwLzA0LzIwMjAuLkYuRVVSLkMBAAAAPYKwEAIAAAAHMzk4Ljc2MgEIAAAABQAAAAExAQAAAAoxOTQ3NDQ0MTg0AwAAAAI1MAIAAAACMTUEAAAAATEHAAAACTQvMzAvMjAyMAgAAAAJOC8xNi8yMDIwCQAAAAEw2QoHS/JB2AgPrKhZ8kHYCC9DSVEuTllTRTpLTy5JUV9UT1RBTF9DTC45OTkuMzAvMDQvMjAyMC4uRi5VU0QuQwEAAAASaAAAAgAAAAUyODc4MgEIAAAABQAAAAExAQAAAAoyMDE2NzkxMjUxAwAAAAMxNjACAAAABDEwMDkEAAAAATEHAAAACTQvMzAvMjAyMAgAAAAJOC8xNi8yMDIwCQAAAAEwA0nKTPJB2AjmK5dZ8kHYCDBDSVEuTkFTREFRR1M6Q0FLRS5JUV9FQlQuOTk2LjMxLzEyLzIw</t>
  </si>
  <si>
    <t>MTkuLkYuVVNELkMBAAAACOAEAAIAAAAHMTM4LjU0NAEIAAAABQAAAAExAQAAAAoxODMwMzg2OTg2AwAAAAMxNjACAAAAAzEzOQQAAAABMQcAAAAKMTIvMzEvMjAxOQgAAAAJOC8xNi8yMDIwCQAAAAEw3O2Vd/JB2AjVT+p48kHYCCBDSVEuTllTRTpLTy5JUV9WT0xVTUUuMDUvMDEvMjAxOAEAAAASaAAAAgAAAAgxMy4xMTMxNQAoK0J18kHYCEo7XHbyQdgIOENJUS5MU0U6U0ZPUi5JUV9FQklUX01FRElBTl9FU1QuMTAwMS4zMC8wNC8yMDIwLi5GLkdCUC5DAQAAAMtT5CECAAAAEDU0LjU0OTM3ODUzNDk4MDkBDgAAAAUAAAABMwEAAAABMAIAAAAKMTAwNDMxNjA1MQMAAAAGMTAwMjE2BAAAAAEzBgAAAAEwBwAAAAI1NQgAAAABMQkAAAABMQoAAAABMAsAAAALMTE4OTkzMzAwODYMAAAAATENAAAACDUvMS8yMDIwEAAAAAk4LzE2LzIwMjCkfwdL8kHYCF0bpFnyQdgIM0NJUS5MU0U6VFNDTy5JUV9QUkVGX0VRVUlUWS45OTguMzAvMDQvMjAyMC4uRi5HQlAuQwEAAAAwUAYAAwAAAAAAyTEHS/JB2AjIbptZ8kHYCCRDSVEuXlNQWC5JUV9MQVNUU0FMRVBSSUNFLjMxLzAzLzIwMjABAAAAm7goAAIAAAAQMjU4NC41OTA3NTk5MzQzMQAA3jJS8kHYCPI8tFnyQdgILkNJUS5OWVNFOlJBQ0UuSVFfREFfQ0YuOTk4LjMwLzA0LzIwMjAuLkYuRVVSLkMBAAAAPYKwEAIAAAAHMjYwLjYwNgEIAAAABQAAAAExAQAAAAoy</t>
  </si>
  <si>
    <t>MDE1NjM5ODA1AwAAAAI1MAIAAAAEMjE2MAQAAAABMQcAAAAJNC8zMC8yMDIwCAAAAAk4LzE2LzIwMjAJAAAAATDZCgdL8kHYCKkxqlnyQdgILUNJUS5OQVNEQVFHUzpUU0xBLklRX0xBU1RTQUxFUFJJQ0UuMjkvMDMvMjAxOQEAAAAQxqIBAgAAAAYyNzkuODYAuZR/U/JB2Ag2QSVx8kHYCDBDSVEuTllTRTpLTy5JUV9UT1RBTF9SRVYuOTk2LjMwLzA0LzIwMjAuLkYuVVNELkMBAAAAEmgAAAIAAAAFNDQyOTQBCAAAAAUAAAABMQEAAAAKMTg3NTc5NzgwOQMAAAADMTYwAgAAAAIyOAQAAAABMQcAAAAJNC8zMC8yMDIwCAAAAAk4LzE2LzIwMjAJAAAAATADScpM8kHYCN9SnlnyQdgIIENJUS5OWVNFOktPLklRX1ZPTFVNRS4xNy8wMS8yMDIwAQAAABJoAAACAAAABzE0LjI2NDMAo9YkVfJB2AiDd3xZ8kHYCCxDSVEuTllTRTpNQU5VLklRX05JLjEwMDAuMzEvMTIvMjAxOS4uRi5HQlAuQwEAAADdaw0AAgAAAAYxOC44ODEBCAAAAAUAAAABMQEAAAAKMTk4NTg0NTA2MwMAAAACNTUCAAAAAjE1BAAAAAExBwAAAAoxMi8zMS8yMDE5CAAAAAk4LzE2LzIwMjAJAAAAATDc7ZV38kHYCD/K6HjyQdgIK0NJUS5OWVNFOlJBQ0UuSVFfR1AuOTk2LjMwLzA0LzIwMjAuLkYuRVVSLkMBAAAAPYKwEAIAAAAIMTM1NS41NjMBCAAAAAUAAAABMQEAAAAKMTg3NjA0MzMxMwMAAAACNTACAAAAAjEwBAAAAAExBwAAAAk0LzMwLzIw</t>
  </si>
  <si>
    <t>MjAIAAAACTgvMTYvMjAyMAkAAAABMNkKB0vyQdgIZk2gWfJB2AgZQ0lRLi5JUV9WT0xVTUUuMTgvMDUvMjAxOAUAAAAAAAAACAAAABQoSW52YWxpZCBJZGVudGlmaWVyKUNxhVLyQdgI32gIcfJB2AgpQ0lRLk5ZU0U6UkFDRS5JUV9MQVNUU0FMRVBSSUNFLjMxLzAzLzIwMTkBAAAAPYKwEAIAAAAFMTMzLjgACA9+U/JB2AjTPyxx8kHYCClDSVEuTllTRTpSQUNFLklRX0xBU1RTQUxFUFJJQ0UuMDMvMDUvMjAxOQEAAAA9grAQAgAAAAYxMzQuMTQA3tJ+U/JB2AgRKyZx8kHYCDlDSVEuTFNFOlRTQ08uSVFfQ0FQRVhfTUVESUFOX0VTVC4xMDAyLjMxLzEyLzIwMTkuLkYuR0JQLkMBAAAAMFAGAAIAAAAHLTEyNDMuNQEOAAAABQAAAAEzAQAAAAEwAgAAAAoxMDAwMjY0NDk5AwAAAAYxMDQwOTEEAAAAATMGAAAAATAHAAAAAjU1CAAAAAExCQAAAAExCgAAAAEwCwAAAAsxMTcxMjQxMDcxMAwAAAABMQ0AAAAIMS8xLzIwMjAQAAAACTgvMTYvMjAyMDs8lnfyQdgI4IHmePJB2AgoQ0lRLkxTRTpTRk9SLklRX0xBU1RTQUxFUFJJQ0UuMTQvMDIvMjAyMAEAAADLU+QhAgAAAAQyLjI0AAgPflPyQdgIpvRcWfJB2AgnQ0lRLiRBRURCWU4uSVFfTEFTVFNBTEVQUklDRS4zMC8wNC8yMDE5AQAAACXrWgACAAAACzEuNzQ5MDQ3NjE5AKokJVXyQdgIJP+DWfJB2AgoQ0lRLkxTRTpUU0NPLklRX0xBU1RTQUxFUFJJQ0UuMDgv</t>
  </si>
  <si>
    <t>MDMvMjAxOQEAAAAwUAYAAgAAAAUyLjI4NQCkvH9T8kHYCL1+JHHyQdgIN0NJUS5OQVNEQVFHUzpDQUtFLklRX1RPVEFMX0xJQUIuOTk3LjMxLzEyLzIwMTkuLkYuVVNELkMBAAAACOAEAAIAAAAHNjQ0LjgwNwEIAAAABQAAAAExAQAAAAoxODc3MTQ0NDM4AwAAAAMxNjACAAAABDEyNzYEAAAAATEHAAAACjEyLzMxLzIwMTkIAAAACTgvMTYvMjAyMAkAAAABMITUF3jyQdgIBJT1ePJB2AggQ0lRLk5ZU0U6S08uSVFfVk9MVU1FLjI2LzA3LzIwMTkBAAAAEmgAAAIAAAAIMTEuNDUyMDkAo9YkVfJB2Agu98Jy8kHYCC1DSVEuTllTRTpLTy5JUV9MQVNUU0FMRVBSSUNFLjMxLzEyLzIwMTguVVNELkMBAAAAEmgAAAIAAAAFNDcuMzUAA0nKTPJB2Ag5MGB28kHYCDBDSVEuTllTRTpLTy5JUV9UT1RBTF9SRVYuOTk2LjMxLzEyLzIwMTkuLkYuVVNELkMBAAAAEmgAAAIAAAAFNDU5OTgBCAAAAAUAAAABMQEAAAAKMTgyOTIzMDk1NgMAAAADMTYwAgAAAAIyOAQAAAABMQcAAAAKMTIvMzEvMjAxOQgAAAAJOC8xNi8yMDIwCQAAAAEwHvsXePJB2AjHEvJ48kHYCDFDSVEuTllTRTpNQU5VLklRX1RPVEFMX0NMLjk5Ni4zMS8xMi8yMDE5Li5GLkdCUC5DAQAAAN1rDQACAAAABzMyMy40NDcBCAAAAAUAAAABMQEAAAAKMTg2MTczNjg2OQMAAAACNTUCAAAABDEwMDkEAAAAATEHAAAACjEyLzMxLzIwMTkIAAAACTgvMTYvMjAy</t>
  </si>
  <si>
    <t>MAkAAAABMBytF3jyQdgIZBv4ePJB2AgxQ0lRLk5BU0RBUUdTOkNBS0UuSVFfUEVSSU9EREFURS45OTcuMzEvMTIvMjAxOS4uRgEAAAAI4AQABQAAAAoyOS8xMi8yMDE1AP4DQnXyQdgIpaBNdvJB2AgnQ0lRLiRBRURCRFQuSVFfTEFTVFNBTEVQUklDRS4zMS8xMi8yMDE4AQAAACXrWgACAAAACzAuMDQ0MDI0OTMxAP4DQnXyQdgICs1LdvJB2AgtQ0lRLkxTRTpUU0NPLklRX1BSSUNFX1ZPTF9ISVNUXzVZUi4zMC8wNC8yMDIwAQAAADBQBgACAAAABzI2LjkxODMA/DokVfJB2AjOBIlZ8kHYCCtDSVEuTllTRTpLTy5JUV9QRVJJT0REQVRFLjk5Ny4zMC8wNC8yMDIwLi5GAQAAABJoAAAFAAAACjMxLzEyLzIwMTYAsa8kVfJB2AjqVIFZ8kHYCCdDSVEuJEFFREtXRC5JUV9MQVNUU0FMRVBSSUNFLjMxLzEyLzIwMTkBAAAAJetaAAIAAAAMMTIuMTE2NTEzODIyAP4DQnXyQdgI02hMdvJB2AgnQ0lRLiRBRURES0suSVFfTEFTVFNBTEVQUklDRS4zMS8xMi8yMDE5AQAAACXrWgACAAAACjAuNTUxNjEwODMA/gNCdfJB2AjYfUt28kHYCCZDSVEuTkFTREFRR1M6Q0FLRS5JUV9WT0xVTUUuMjEvMDIvMjAyMAEAAAAI4AQAAgAAAAgxLjE4NDk0NwCV/SRV8kHYCMiielnyQdgIO0NJUS5OQVNEQVFHUzpDQUtFLklRX05JX01FRElBTl9FU1QuMTAwMy4zMC8wNC8yMDIwLi5GLlVTRC5DAQAAAAjgBAACAAAACDEwOC42Mjg4</t>
  </si>
  <si>
    <t>AQ4AAAAFAAAAATMBAAAAATACAAAACjEwMDIyMjQyMjQDAAAABjEwMDI1MQQAAAABMgYAAAABMAcAAAADMTYwCAAAAAExCQAAAAExCgAAAAEwCwAAAAsxMTg4MjI3ODI1MwwAAAABMQ0AAAAINS8xLzIwMjAQAAAACTgvMTYvMjAyMP9vykzyQdgIYHSnWfJB2AgnQ0lRLiRBRURKUFkuSVFfTEFTVFNBTEVQUklDRS4zMC8wNC8yMDIwAQAAACXrWgACAAAACzAuMDM0MzI0ODU3AJX9JFXyQdgIlSCGWfJB2Ag6Q0lRLk5ZU0U6TUFOVS5JUV9DQVBFWF9NRURJQU5fRVNULjEwMDEuMzAvMDQvMjAyMC4uRi5HQlAuQwEAAADdaw0AAgAAAAgtMTg5LjMwMgEOAAAABQAAAAEzAQAAAAEwAgAAAAoxMDAzMDkyNDIzAwAAAAYxMDQwOTEEAAAAATMGAAAAATAHAAAAAjU1CAAAAAExCQAAAAExCgAAAAEwCwAAAAsxMTgxNzYwNjk5MgwAAAABMQ0AAAAINS8xLzIwMjAQAAAACTgvMTYvMjAyMKR/B0vyQdgIcRurWfJB2Ag5Q0lRLkxTRTpTRk9SLklRX0NBUEVYX01FRElBTl9FU1QuMTAwMi4zMC8wNC8yMDIwLi5GLkdCUC5DAQAAAMtT5CECAAAAES03LjE2MTg2ODcwNDAyOTE0AQ4AAAAFAAAAATMBAAAAATACAAAACjEwMDQzNDk2NjADAAAABjEwNDA5MQQAAAABMwYAAAABMAcAAAACNTUIAAAAATEJAAAAATEKAAAAATALAAAACzExODQ4MjAzNzY1DAAAAAExDQAAAAg1LzEvMjAyMBAAAAAJOC8xNi8yMDIwpH8HS/JB2Ah+9KpZ</t>
  </si>
  <si>
    <t>8kHYCDlDSVEuTkFTREFRR1M6VFNMQS5JUV9QUklDRV9UQVJHRVQuNjAwMC4zMS8xMi8yMDE5Li4uVVNELkMBAAAAEMaiAQIAAAAJMzIzLjQyMTk0AQ4AAAAFAAAAATcBAAAACTEwODgwMzkxNQIAAAAKMTAwMDg3MjkyMwMAAAAGMTAwMTYxBAAAAAMyNTUGAAAAATAHAAAAAzE2MAgAAAABMQkAAAABMQoAAAABMAsAAAALMTE3MjkwOTAyNzIMAAAAATgNAAAACDEvMS8yMDIwEAAAAAk4LzE2LzIwMjAeIhh48kHYCBSgAHnyQdgIJ0NJUS4kQUVETk9LLklRX0xBU1RTQUxFUFJJQ0UuMzEvMTIvMjAxOQEAAAAl61oAAgAAAAowLjQxNzgyNTA4AN8G3nTyQdgIFeJKdvJB2AgpQ0lRLk5ZU0U6UkFDRS5JUV9MQVNUU0FMRVBSSUNFLjI0LzA4LzIwMTgBAAAAPYKwEAIAAAAGMTI3LjUyADq/hVLyQdgIaTwRcfJB2AgoQ0lRLkxTRTpTRk9SLklRX0xBU1RTQUxFUFJJQ0UuMzEvMDUvMjAxNQEAAADLU+QhAwAAAAAApLx/U/JB2Ai17R9x8kHYCDVDSVEuTllTRTpLTy5JUV9FUVVJVFlfTUVUSE9ELjEwMDAuMzAvMDQvMjAyMC4uRi5VU0QuQwEAAAASaAAAAgAAAAUxOTAyNQEIAAAABQAAAAExAQAAAAoyMDE2NzkxMjQ1AwAAAAMxNjACAAAABDMwNjMEAAAAATEHAAAACTQvMzAvMjAyMAgAAAAJOC8xNi8yMDIwCQAAAAEwA0nKTPJB2Ajn3Y9Z8kHYCC5DSVEuTllTRTpSQUNFLklRX0NBUEVYLjk5OS4zMC8wNC8yMDIwLi5G</t>
  </si>
  <si>
    <t>LkVVUi5DAQAAAD2CsBACAAAACC0zMDAuNzk0AQgAAAAFAAAAATEBAAAACjIwMTU2Mzk4MTgDAAAAAjUwAgAAAAQyMDIxBAAAAAExBwAAAAk0LzMwLzIwMjAIAAAACTgvMTYvMjAyMAkAAAABMNkKB0vyQdgITberWfJB2Ag+Q0lRLk5BU0RBUUdTOkNBS0UuSVFfRVNUX0VQU19HUk9XVEhfNVlSX01FRElBTi42MDAwLjMwLzA0LzIwMjABAAAACOAEAAIAAAACMTQBDgAAAAUAAAABNwEAAAAHMjU5OTY5NQIAAAAGMjczODg4AwAAAAYxMDAxNjgEAAAAATIGAAAAATAHAAAAATAIAAAAATAJAAAAATEKAAAAATALAAAACzExODg1NDY5MjU4DAAAAAE4DQAAAAg1LzEvMjAyMBAAAAAJNC8zMC8yMDIwsa8kVfJB2AizqX9Z8kHYCCZDSVEuTkFTREFRR1M6VFNMQS5JUV9WT0xVTUUuMjYvMDQvMjAxOQEAAAAQxqIBAgAAAAgyMi4zNjA3MQC5lH9T8kHYCIyYwXLyQdgIIkNJUS5OWVNFOk1BTlUuSVFfVk9MVU1FLjIyLzAyLzIwMTkBAAAA3WsNAAIAAAAIMC4xNTk3MTgApLx/U/JB2Ag8Ar9y8kHYCBlDSVEuLklRX1ZPTFVNRS4wMS8wNi8yMDE4BQAAAAAAAAAIAAAAFChJbnZhbGlkIElkZW50aWZpZXIpQ3GFUvJB2AiNoAlx8kHYCCxDSVEuTllTRTpNQU5VLklRX0xBU1RTQUxFUFJJQ0UuMzEvMTIvMjAxOS4uQwEAAADdaw0AAgAAAAUxOS45MwAoK0J18kHYCCgrQnXyQdgIP0NJUS5MU0U6U0ZPUi5JUV9UT1RBTF9ERUJU</t>
  </si>
  <si>
    <t>X05PTl9DVVJSRU5ULjEwMDAuMzAvMDQvMjAyMC4uRi5HQlAuQwEAAADLU+QhAgAAAAY2MS4xNjEBCAAAAAUAAAABMQEAAAAKMjAyMjU5OTc5OQMAAAACNTUCAAAABTI1MjI0BAAAAAExBwAAAAk0LzMwLzIwMjAIAAAACTgvMTYvMjAyMAkAAAABMNkKB0vyQdgIiTyYWfJB2Ag8Q0lRLk5ZU0U6TUFOVS5JUV9SRVZFTlVFX01FRElBTl9FU1QuMTAwMy4zMC8wNC8yMDIwLi5GLkdCUC5DAQAAAN1rDQACAAAABzY0Ni4zNjcBDgAAAAUAAAABMwEAAAABMAIAAAAKMTAwMzcyODIwMQMAAAAGMTAwMTgxBAAAAAEzBgAAAAEwBwAAAAI1NQgAAAABMQkAAAABMQoAAAABMAsAAAALMTE4Njg2MjQyMjkMAAAAATENAAAACDUvMS8yMDIwEAAAAAk4LzE2LzIwMjDqlspM8kHYCGemnFnyQdgINUNJUS5OQVNEQVFHUzpUU0xBLklRX1NIQVJFU09VVFNUQU5ESU5HLjMxLzEyLzIwMTkuVVNEAQAAABDGogECAAAACjE4MC4yNDQ4NTgAFSLKTPJB2AgQXl528kHYCCRDSVEuXlNQWC5JUV9MQVNUU0FMRVBSSUNFLjIyLzExLzIwMTkBAAAAm7goAAIAAAAQMzExMC4yODgzNDg4MTUyNAC1vDdS8kHYCDAREnPyQdgILENJUS5MU0U6VFNDTy5JUV9FQlQuMTAwMC4zMS8xMi8yMDE5Li5GLkdCUC5DAQAAADBQBgACAAAABDE2NzQBCAAAAAUAAAABMQEAAAAKMTk2ODczNjU2MwMAAAACNTUCAAAAAzEzOQQAAAABMQcAAAAKMTIvMzEvMjAx</t>
  </si>
  <si>
    <t>OQgAAAAJOC8xNi8yMDIwCQAAAAEw3O2Vd/JB2Aix6+p48kHYCCdDSVEuJEFFRFNFSy5JUV9MQVNUU0FMRVBSSUNFLjMxLzEyLzIwMTgBAAAAJetaAAIAAAALMC40MTMzMDY4MzcA3wbedPJB2Agau0p28kHYCCRDSVEuXkFTWC5JUV9MQVNUU0FMRVBSSUNFLjA3LzAyLzIwMjABAAAAH1PrAQIAAAALNDE1MS4xNTAwMjgASQUzUvJB2Ag+M79Z8kHYCCtDSVEuTllTRTpLTy5JUV9QUklDRV9WT0xfSElTVF9ZUi4zMC8wNC8yMDIwAQAAABJoAAACAAAABzM2LjI0NzMA4hIkVfJB2AiG7olZ8kHYCDdDSVEuTkFTREFRR1M6Q0FLRS5JUV9UT1RBTF9SRVYuMTAwMC4zMC8wNC8yMDIwLi5GLlVTRC5DAQAAAAjgBAACAAAACDI0ODIuNjkyAQgAAAAFAAAAATEBAAAACjIwMjE1ODE0MTEDAAAAAzE2MAIAAAACMjgEAAAAATEHAAAACTQvMzAvMjAyMAgAAAAJOC8xNi8yMDIwCQAAAAEw/2/KTPJB2AgqkJ1Z8kHYCBlDSVEuLklRX1ZPTFVNRS4yMi8wMy8yMDE5BQAAAAAAAAAIAAAAFChJbnZhbGlkIElkZW50aWZpZXIpr/h+U/JB2Ah+cbpy8kHYCDtDSVEuTkFTREFRR1M6VFNMQS5JUV9EQV9NRURJQU5fRVNULjYwMDAuMzAvMDQvMjAyMC4uRi5VU0QuQwEAAAAQxqIBAgAAAAYyMTc4LjUBDgAAAAUAAAACMTEBAAAAATACAAAACDE1MzU3Njg2AwAAAAYxMTQxOTAEAAAAATIGAAAAATAHAAAAAzE2MAgAAAABMQkAAAABMQoA</t>
  </si>
  <si>
    <t>AAABMAsAAAALMTE4OTgzMDAzNTcMAAAAAjEyDQAAAAg1LzEvMjAyMBAAAAAJOC8xNi8yMDIwpH8HS/JB2Aj9R6lZ8kHYCDBDSVEuTFNFOlRTQ08uSVFfVE9UQUxfQ0EuOTk4LjMxLzEyLzIwMTkuLkYuR0JQLkMBAAAAMFAGAAIAAAAFMTU0MTcBCAAAAAUAAAABMQEAAAAKMTg4ODUyNTA3NAMAAAACNTUCAAAABDEwMDgEAAAAATEHAAAACjEyLzMxLzIwMTkIAAAACTgvMTYvMjAyMAkAAAABMDuGF3jyQdgItOj7ePJB2AgnQ0lRLk5ZU0U6S08uSVFfTEFTVFNBTEVQUklDRS4zMS8xMC8yMDE2AQAAABJoAAACAAAABDQyLjQA0YN+U/JB2AirZiVx8kHYCCdDSVEuTllTRTpLTy5JUV9MQVNUU0FMRVBSSUNFLjMxLzA1LzIwMTUBAAAAEmgAAAIAAAAFNDAuOTYApLx/U/JB2AjIOyBx8kHYCDZDSVEuTkFTREFRR1M6Q0FLRS5JUV9UT1RBTF9DTC4xMDAwLjMxLzEyLzIwMTkuLkYuVVNELkMBAAAACOAEAAIAAAAFNDE2LjUBCAAAAAUAAAABMQEAAAAKMTk0ODE3NjY3NQMAAAADMTYwAgAAAAQxMDA5BAAAAAExBwAAAAoxMi8zMS8yMDE5CAAAAAk4LzE2LzIwMjAJAAAAATAcrRd48kHYCKS2+HjyQdgIJENJUS5JUTI2Njg2NDIuSVFfTEFTVFNBTEVQUklDRS40MzQ2NQEAAABiuCgAAgAAAAQ1LjE0AN8G3nTyQdgIn9JJdvJB2AgZQ0lRLi5JUV9WT0xVTUUuMDgvMDMvMjAxOQUAAAAAAAAACAAAABQoSW52YWxpZCBJZGVu</t>
  </si>
  <si>
    <t>dGlmaWVyKa/4flPyQdgIcEq6cvJB2Ag0Q0lRLk5BU0RBUUdTOkNBS0UuSVFfSU5DX1RBWC45OTkuMzAvMDQvMjAyMC4uRi5VU0QuQwEAAAAI4AQAAgAAAAU4LjM3NgEIAAAABQAAAAExAQAAAAoyMDIxNTgxNDIwAwAAAAMxNjACAAAAAjc1BAAAAAExBwAAAAk0LzMwLzIwMjAIAAAACTgvMTYvMjAyMAkAAAABMP9vykzyQdgIgf+mWfJB2AgnQ0lRLiRBRURES0suSVFfTEFTVFNBTEVQUklDRS4zMC8wNC8yMDE5AQAAACXrWgACAAAACTAuNTUxMTkyOACqJCVV8kHYCBF0hFnyQdgILkNJUS5OWVNFOk1BTlUuSVFfUEVSSU9EREFURS4yMDAwLjMwLzA0LzIwMjAuLkYBAAAA3WsNAAUAAAAKMzEvMTIvMjAxOQCxryRV8kHYCOtlglnyQdgINUNJUS5OQVNEQVFHUzpUU0xBLklRX0NPU1RfUkVWLjk5Ny4zMS8xMi8yMDE5Li5GLlVTRC5DAQAAABDGogECAAAACDMxMjIuNTIyAQgAAAAFAAAAATEBAAAACjE4NzU3NjkwODIDAAAAAzE2MAIAAAABMQQAAAABMQcAAAAKMTIvMzEvMjAxOQgAAAAJOC8xNi8yMDIwCQAAAAEwHvsXePJB2Ah5A/F48kHYCCBDSVEuLklRX0xBU1RTQUxFUFJJQ0UuMTgvMTAvMjAxOQUAAAAAAAAACAAAABQoSW52YWxpZCBJZGVudGlmaWVyKWhvN1LyQdgIEskrc/JB2AgiQ0lRLk5ZU0U6TUFOVS5JUV9WT0xVTUUuMDkvMTEvMjAxOAEAAADdaw0AAgAAAAgwLjAxNzIwMQDH4n9T8kHYCOAuHXHy</t>
  </si>
  <si>
    <t>QdgIGUNJUS5OWVNFOktPLklRX0NPTVBBTllfSUQBAAAAEmgAAAMAAAAHSVEyNjY0MgD8OiRV8kHYCH0VilnyQdgILUNJUS5OQVNEQVFHUzpDQUtFLklRX0xBU1RTQUxFUFJJQ0UuMjUvMDEvMjAxOQEAAAAI4AQAAgAAAAU0NC45MQCkvH9T8kHYCDggI3HyQdgINENJUS5OQVNEQVFHUzpUU0xBLklRX0VCSVREQS4yMDAwLjMxLzEyLzIwMTkuLkYuVVNELkMBAAAAEMaiAQIAAAAHMjE3OC45MQEIAAAABQAAAAExAQAAAAoxOTg5NDUzMTMwAwAAAAMxNjACAAAABDQwNTEEAAAAATEHAAAACjEyLzMxLzIwMTkIAAAACTgvMTYvMjAyMAkAAAABMB4iGHjyQdgIrbnuePJB2Ag7Q0lRLk5BU0RBUUdTOlRTTEEuSVFfQ0FTSF9TVF9JTlZFU1QuOTk2LjMwLzA0LzIwMjAuLkYuVVNELkMBAAAAEMaiAQIAAAAIMTE5Ni45MDgBCAAAAAUAAAABMQEAAAAKMTg3NTc2OTA4MgMAAAADMTYwAgAAAAQxMDAyBAAAAAExBwAAAAk0LzMwLzIwMjAIAAAACTgvMTYvMjAyMAkAAAABMLxYB0vyQdgIKTiTWfJB2AgZQ0lRLi5JUV9WT0xVTUUuMzAvMTEvMjAxOAUAAAAAAAAACAAAABQoSW52YWxpZCBJZGVudGlmaWVyKbptf1PyQdgIKisfcfJB2AgqQ0lRLkxTRTpTRk9SLklRX0NPU1RfQk9SUk9XSU5HLi4zMC8wNC8yMDIwAQAAAMtT5CECAAAABjUuMTYxNAEIAAAABQAAAAExAQAAAAoyMDM2MTY3OTAzAwAAAAI1NQIAAAAFMjE2ODEE</t>
  </si>
  <si>
    <t>AAAAATAHAAAACTQvMzAvMjAyMAgAAAAKMTIvMzEvMjAxOQkAAAABMLGvJFXyQdgIAJl+WfJB2AgoQ0lRLkxTRTpUU0NPLklRX0xBU1RTQUxFUFJJQ0UuMzAvMDkvMjAxNgEAAAAwUAYAAgAAAAYxLjgyOTUAwap+U/JB2Ai7GCVx8kHYCCFDSVEuTFNFOlRTQ08uSVFfVk9MVU1FLjAxLzAyLzIwMTkBAAAAMFAGAAIAAAAIMTkuNzM3ODEApLx/U/JB2AiSyr1y8kHYCCRDSVEuXlNQWC5JUV9MQVNUU0FMRVBSSUNFLjE0LzA5LzIwMTgBAAAAm7goAAIAAAAQMjkwNC45NzUzODUzMDEzNwCKxTdR8kHYCKy9E3PyQdgILkNJUS5OWVNFOktPLklRX0VCSVREQS4xMDAwLjMxLzEyLzIwMTkuLkYuVVNELkMBAAAAEmgAAAIAAAAFMTA1OTQBCAAAAAUAAAABMQEAAAAKMTk0NjQzMDc4MQMAAAADMTYwAgAAAAQ0MDUxBAAAAAExBwAAAAoxMi8zMS8yMDE5CAAAAAk4LzE2LzIwMjAJAAAAATAeIhh48kHYCLuS7njyQdgIMkNJUS5MU0U6U0ZPUi5JUV9FU1RfRVBTX0dST1dUSF81WVIuNjAwMC4zMC8wNC8yMDIwAQAAAMtT5CECAAAAAjI0AQ4AAAAFAAAAATcBAAAACTU4MjAyMTE1NgIAAAAKMTAwNDMxNjA0OAMAAAAGMTAwMTY3BAAAAAEzBgAAAAEwBwAAAAEwCAAAAAEwCQAAAAExCgAAAAEwCwAAAAsxMTg0ODIwMjU3MwwAAAABOA0AAAAINS8xLzIwMjAQAAAACTQvMzAvMjAyMLGvJFXyQdgIs6l/WfJB2AghQ0lRLkxTRTpT</t>
  </si>
  <si>
    <t>Rk9SLklRX1ZPTFVNRS4xNC8xMi8yMDE4AQAAAMtT5CECAAAACDAuMDI4MDU5AMfif1PyQdgIbrAgcfJB2Ag6Q0lRLkxTRTpUU0NPLklRX1RPVEFMX0RFQlRfQ1VSUkVOVC45OTkuMzAvMDQvMjAyMC4uRi5HQlAuQwEAAAAwUAYAAgAAAAQxNTk5AQgAAAAFAAAAATEBAAAACjE5Njg3MzY1NjMDAAAAAjU1AgAAAAUyNTIyMwQAAAABMQcAAAAJNC8zMC8yMDIwCAAAAAk4LzE2LzIwMjAJAAAAATDJMQdL8kHYCBCQllnyQdgINUNJUS5OWVNFOlJBQ0UuSVFfU0hBUkVTT1VUU1RBTkRJTkdfT1VULjMxLzEyLzIwMTUuRVVSAQAAAD2CsBACAAAACDE4OC45MjE2ABUiykzyQdgIzrVhdvJB2AgrQ0lRLk5ZU0U6S08uSVFfRUJJVC45OTguMzAvMDQvMjAyMC4uRi5VU0QuQwEAAAASaAAAAgAAAAQ5MzQwAQgAAAAFAAAAATEBAAAACjIwMTY3OTEyNTADAAAAAzE2MAIAAAADNDAwBAAAAAExBwAAAAk0LzMwLzIwMjAIAAAACTgvMTYvMjAyMAkAAAABMANJykzyQdgISZCkWfJB2AgkQ0lRLl5TUFguSVFfTEFTVFNBTEVQUklDRS4yOS8wMy8yMDE5AQAAAJu4KAACAAAAEDI4MzQuMzk5ODE5NTc1MTUAoJ43UfJB2Ajq+hJz8kHYCCBDSVEuTllTRTpLTy5JUV9WT0xVTUUuMjQvMDEvMjAyMAEAAAASaAAAAgAAAAg4LjU5NDMyNQCj1iRV8kHYCFBPfFnyQdgIJ0NJUS5OWVNFOktPLklRX0xBU1RTQUxFUFJJQ0UuMzAvMDQvMjAx</t>
  </si>
  <si>
    <t>NgEAAAASaAAAAgAAAAQ0NC44AMGqflPyQdgI1QkkcfJB2AgyQ0lRLkxTRTpUU0NPLklRX0xUX0lOVkVTVC4yMDAwLjMwLzA0LzIwMjAuLkYuR0JQLkMBAAAAMFAGAAIAAAADMjI3AQgAAAAFAAAAATEBAAAACjIwMjY1MDczODgDAAAAAjU1AgAAAAQxMDU0BAAAAAExBwAAAAk0LzMwLzIwMjAIAAAACTgvMTYvMjAyMAkAAAABMMkxB0vyQdgIojKVWfJB2Ag7Q0lRLkxTRTpUU0NPLklRX1JFVkVOVUVfTUVESUFOX0VTVC4xMDAyLjMxLzEyLzIwMTkuLkYuR0JQLkMBAAAAMFAGAAIAAAALNjU2ODYuNjcyMjIBDgAAAAUAAAABMwEAAAABMAIAAAAKMTAwMDI2NDQ5OQMAAAAGMTAwMTgxBAAAAAEzBgAAAAEwBwAAAAI1NQgAAAABMQkAAAABMQoAAAABMAsAAAALMTE3MjIxMDYzODcMAAAAATENAAAACDEvMS8yMDIwEAAAAAk4LzE2LzIwMjDzSBh48kHYCIgj83jyQdgIJ0NJUS4kQUVES1JXLklRX0xBU1RTQUxFUFJJQ0UuMzAvMDQvMjAyMAEAAAAl61oAAgAAAAswLjAwMzAzNzAxOACqJCVV8kHYCOXohFnyQdgIJUNJUS5eQ09NUC5JUV9MQVNUU0FMRVBSSUNFLjI3LzA3LzIwMTgBAAAAibgoAAIAAAAHNzczNy40MgCKxTdR8kHYCJHZF3PyQdgIIkNJUS5OWVNFOk1BTlUuSVFfVk9MVU1FLjMxLzA4LzIwMTgBAAAA3WsNAAIAAAAIMC4yMDE5NTcAQ5iFUvJB2Ag9/xFx8kHYCCFDSVEuTFNFOlRTQ08uSVFfVk9MVU1F</t>
  </si>
  <si>
    <t>LjI4LzA5LzIwMTgBAAAAMFAGAAIAAAAIMjUuNDUzMjEAQ5iFUvJB2AipRxRx8kHYCDBDSVEuTkFTREFRR1M6VFNMQS5JUV9HUC4yMDAwLjMwLzA0LzIwMjAuLkYuVVNELkMBAAAAEMaiAQIAAAAENDczNwEIAAAABQAAAAExAQAAAAoyMDMyMDQ1MzM0AwAAAAMxNjACAAAAAjEwBAAAAAExBwAAAAk0LzMwLzIwMjAIAAAACTgvMTYvMjAyMAkAAAABMLxYB0vyQdgIpmOfWfJB2AggQ0lRLi5JUV9MQVNUU0FMRVBSSUNFLjMwLzA2LzIwMTYFAAAAAAAAAAgAAAAUKEludmFsaWQgSWRlbnRpZmllcilHhYVR8kHYCE0zU3PyQdgIL0NJUS5MU0U6U0ZPUi5JUV9SVUFfTkVULjIwMDAuMzAvMDQvMjAyMC4uLkxPQ0FMAQAAAMtT5CEDAAAAAACxryRV8kHYCA3WfVnyQdgIN0NJUS5BVUQuSVFfRlVMTF9DVVJWRV9BTk5VQUwuQUxMQ09SUC5BQUEuMjBZLjMwLzA0LzIwMjABAAAAAAAAAAIAAAAJMC4wMjI0NDc5AKokJVXyQdgIeW6GWfJB2AgtQ0lRLkxTRTpTRk9SLklRX0RBX0NGLjk5OS4zMS8xMi8yMDE5Li5GLkdCUC5DAQAAAMtT5CEDAAAAAADaFJZ38kHYCKxE53jyQdgIKUNJUS5OWVNFOlJBQ0UuSVFfTEFTVFNBTEVQUklDRS4yOS8xMi8yMDE3AQAAAD2CsBACAAAABjEwNC44NAAoK0J18kHYCHL/XHbyQdgIOkNJUS5OWVNFOk1BTlUuSVFfRVNUX0VQU19HUk9XVEhfNVlSX01FRElBTi42MDAwLjMwLzA0LzIwMjAB</t>
  </si>
  <si>
    <t>AAAA3WsNAAIAAAAHMC4yMjc1NQEOAAAABQAAAAE3AQAAAAkyMTUwNTUzODUCAAAABjcwMjcyOAMAAAAGMTAwMTY4BAAAAAEzBgAAAAEwBwAAAAEwCAAAAAEwCQAAAAExCgAAAAEwCwAAAAsxMTY5MjcyMzE5MgwAAAABOA0AAAAINS8xLzIwMjAQAAAACTQvMzAvMjAyMLGvJFXyQdgIooJ/WfJB2Ag9Q0lRLk5BU0RBUUdTOlRTTEEuSVFfRUJJVF9NRURJQU5fRVNULjEwMDEuMzAvMDQvMjAyMC4uRi5VU0QuQwEAAAAQxqIBAgAAAAM4NDIBDgAAAAUAAAABMwEAAAABMAIAAAAKMTAwMDg3Mjk2MwMAAAAGMTAwMjE2BAAAAAEyBgAAAAEwBwAAAAMxNjAIAAAAATEJAAAAATEKAAAAATALAAAACzExODk5MTgzMDE5DAAAAAExDQAAAAg1LzEvMjAyMBAAAAAJOC8xNi8yMDIwpH8HS/JB2AhdG6RZ8kHYCC9DSVEuTllTRTpLTy5JUV9UT1RBTF9DQS45OTkuMzAvMDQvMjAyMC4uRi5VU0QuQwEAAAASaAAAAgAAAAUyNDkzMAEIAAAABQAAAAExAQAAAAoyMDE2NzkxMjUxAwAAAAMxNjACAAAABDEwMDgEAAAAATEHAAAACTQvMzAvMjAyMAgAAAAJOC8xNi8yMDIwCQAAAAEwA0nKTPJB2Ajpq5NZ8kHYCCZDSVEuTkFTREFRR1M6Q0FLRS5JUV9WT0xVTUUuMDcvMDkvMjAxOAEAAAAI4AQAAgAAAAgwLjc1NDQwMgBDmIVS8kHYCBGbEnHyQdgIKENJUS5MU0U6U0ZPUi5JUV9MQVNUU0FMRVBSSUNFLjA4LzAzLzIwMTkBAAAAy1Pk</t>
  </si>
  <si>
    <t>IQIAAAAFMS4yNTUApLx/U/JB2AjWVyRx8kHYCCxDSVEuTllTRTpLTy5JUV9EQV9DRi45OTYuMzEvMTIvMjAxOS4uRi5VU0QuQwEAAAASaAAAAgAAAAQxOTc2AQgAAAAFAAAAATEBAAAACjE4MjkyMzA5NTYDAAAAAzE2MAIAAAAEMjE2MAQAAAABMQcAAAAKMTIvMzEvMjAxOQgAAAAJOC8xNi8yMDIwCQAAAAEw2hSWd/JB2Ag50OZ48kHYCCZDSVEuTkFTREFRR1M6Q0FLRS5JUV9WT0xVTUUuMjcvMDMvMjAyMAEAAAAI4AQAAgAAAAc2Ljg1ODYxAJX9JFXyQdgIRsp6WfJB2AgtQ0lRLkxTRTpTRk9SLklRX0NBUEVYLjk5OS4zMS8xMi8yMDE5Li5GLkdCUC5DAQAAAMtT5CEDAAAAAADaFJZ38kHYCCCY5XjyQdgIL0NJUS5OWVNFOlJBQ0UuSVFfREFfQ0YuMjAwMC4zMC8wNC8yMDIwLi5GLkVVUi5DAQAAAD2CsBACAAAABzIxMi4zMTcBCAAAAAUAAAABMQEAAAAKMjAxNTY0Mjk1NAMAAAACNTACAAAABDIxNjAEAAAAATEHAAAACTQvMzAvMjAyMAgAAAAJOC8xNi8yMDIwCQAAAAEw2QoHS/JB2AjGvKlZ8kHYCChDSVEuTFNFOlRTQ08uSVFfTEFTVFNBTEVQUklDRS4yNy8wNy8yMDE4AQAAADBQBgACAAAABTIuNTc2ADq/hVLyQdgIPPUOcfJB2AgxQ0lRLk5ZU0U6UkFDRS5JUV9UQVJHRVRfUFJJQ0VfTlVNLjYwMDAuMzAvMDQvMjAyMAEAAAA9grAQAQAAAAIxMACxryRV8kHYCOoNf1nyQdgIMENJUS5MU0U6VFNDTy5J</t>
  </si>
  <si>
    <t>UV9TSEFSRVNPVVRTVEFORElORy4yOS8wMi8yMDIwLkdCUAEAAAAwUAYAAgAAAAs5NzM1LjQzNDY0OQAVIspM8kHYCJiVjVnyQdgINkNJUS5MU0U6VFNDTy5JUV9FU1RfRVBTX0dST1dUSF81WVJfTlVNLjYwMDAuMzAvMDQvMjAyMAEAAAAwUAYAAQAAAAExALGvJFXyQdgIqjR/WfJB2AgpQ0lRLk5ZU0U6TUFOVS5JUV9MQVNUU0FMRVBSSUNFLjA3LzAyLzIwMjABAAAA3WsNAAIAAAAFMTkuMzEACA9+U/JB2Aj1zlxZ8kHYCDZDSVEuRVVSLklRX0ZVTExfQ1VSVkVfQU5OVUFMLkFMTENPUlAuQUEuMjBZLjMxLzEyLzIwMTkBAAAAAAAAAAIAAAAJMC4wMTQ3OTA0ANgt3nTyQdgIyqtJdvJB2Ag5Q0lRLk5ZU0U6TUFOVS5JUV9FQklUX01FRElBTl9FU1QuNjAwMC4zMS8xMi8yMDE5Li5GLkdCUC5DAQAAAN1rDQACAAAABjM3Ljk2NAEOAAAABQAAAAIxMQEAAAABMAIAAAAHMzYxNzg4NAMAAAAGMTAwMjE2BAAAAAEzBgAAAAEwBwAAAAI1NQgAAAABMQkAAAABMQoAAAABMAsAAAALMTE4MTc0ODY5NzAMAAAAAjEyDQAAAAgxLzEvMjAyMBAAAAAJOC8xNi8yMDIw80gYePJB2Ag1mOx48kHYCDlDSVEuTFNFOlRTQ08uSVFfQ0FQRVhfTUVESUFOX0VTVC4xMDAyLjMwLzA0LzIwMjAuLkYuR0JQLkMBAAAAMFAGAAIAAAAFLTExNzUBDgAAAAUAAAABMwEAAAABMAIAAAAKMTAwMDI2NDUwMAMAAAAGMTA0MDkxBAAAAAEzBgAA</t>
  </si>
  <si>
    <t>AAEwBwAAAAI1NQgAAAABMQkAAAABMQoAAAABMAsAAAALMTE4OTIzNTcyODYMAAAAATENAAAACDUvMS8yMDIwEAAAAAk4LzE2LzIwMjCkfwdL8kHYCH70qlnyQdgIJ0NJUS4kQUVEUEhQLklRX0xBU1RTQUxFUFJJQ0UuMzEvMTIvMjAxOAEAAAAl61oAAgAAAAswLjA3MDAyODU5OQD+A0J18kHYCMiPTHbyQdgIN0NJUS5OWVNFOlJBQ0UuSVFfTklfTUVESUFOX0VTVC4xMDAzLjMxLzEyLzIwMTkuLkYuRVVSLkMBAAAAPYKwEAIAAAAJODM1LjA2Njk0AQ4AAAAFAAAAATMBAAAAATACAAAACjEwMDMyMjY4NTQDAAAABjEwMDI1MQQAAAABMwYAAAABMAcAAAACNTAIAAAAATEJAAAAATEKAAAAATALAAAACzExODYwNTU5NDc4DAAAAAExDQAAAAgxLzEvMjAyMBAAAAAJOC8xNi8yMDIw2hSWd/JB2AgbZul48kHYCDdDSVEuTFNFOlRTQ08uSVFfRVNUX0VQU19HUk9XVEhfNVlSX0hJR0guNjAwMC4zMC8wNC8yMDIwAQAAADBQBgACAAAABzYuNjk1NjgBDgAAAAUAAAABNwEAAAAIMjAxNTc4NzkCAAAABjQxMTY4MAMAAAAGMTAwMTY5BAAAAAEzBgAAAAEwBwAAAAEwCAAAAAEwCQAAAAExCgAAAAEwCwAAAAsxMTg2Nzc0NDcxOAwAAAABOA0AAAAINS8xLzIwMjAQAAAACTQvMzAvMjAyMLGvJFXyQdgIooJ/WfJB2AgnQ0lRLiRBRURHQlAuSVFfTEFTVFNBTEVQUklDRS4zMC8wNi8yMDE4AQAAACXrWgACAAAACzQuODQ2NTQx</t>
  </si>
  <si>
    <t>NTc4ABUiykzyQdgI06pedvJB2AgkQ0lRLl5TUFguSVFfTEFTVFNBTEVQUklDRS4wNi8wOS8yMDE5AQAAAJu4KAACAAAAEDI5NzguNzA3ODEwNjE3MTQAR4WFUfJB2AgUXxJz8kHYCDlDSVEuTFNFOlNGT1IuSVFfQ0FQRVhfTUVESUFOX0VTVC42MDAwLjMxLzEyLzIwMTkuLkYuR0JQLkMBAAAAy1PkIQIAAAARLTYuODI0NjUzNzA3Mzc1NTEBDgAAAAUAAAACMTEBAAAAATACAAAABzM5MDQ5OTEDAAAABjEwNDA5MQQAAAABMwYAAAABMAcAAAACNTUIAAAAATEJAAAAATEKAAAAATALAAAACzExODM0NTYwNzY4DAAAAAIxMg0AAAAIMS8xLzIwMjAQAAAACTgvMTYvMjAyMDs8lnfyQdgI+TPmePJB2Ag3Q0lRLkxTRTpUU0NPLklRX0NBU0hfU1RfSU5WRVNULjIwMDAuMzAvMDQvMjAyMC4uRi5HQlAuQwEAAAAwUAYAAgAAAAQzMTIwAQgAAAAFAAAAATEBAAAACjIwMjY1MDczODgDAAAAAjU1AgAAAAQxMDAyBAAAAAExBwAAAAk0LzMwLzIwMjAIAAAACTgvMTYvMjAyMAkAAAABMMkxB0vyQdgIq8eQWfJB2AgpQ0lRLk5ZU0U6UkFDRS5JUV9MQVNUU0FMRVBSSUNFLjIzLzA4LzIwMTkBAAAAPYKwEAIAAAAGMTUzLjIyANGDflPyQdgId/cpcfJB2AgkQ0lRLl5TUFguSVFfTEFTVFNBTEVQUklDRS4wMi8xMS8yMDE4AQAAAJu4KAACAAAAEDI3MjMuMDU4Mjc4MTIyMzcAisU3UfJB2AjMbxNz8kHYCDtDSVEuTFNFOlNGT1Iu</t>
  </si>
  <si>
    <t>SVFfUkVWRU5VRV9NRURJQU5fRVNULjEwMDMuMzEvMTIvMjAxOS4uRi5HQlAuQwEAAADLU+QhAgAAABA0MDguNDM1NTI2MjI3OTg4AQ4AAAAFAAAAATMBAAAAATACAAAACjEwMDQzNDk2NjADAAAABjEwMDE4MQQAAAABMwYAAAABMAcAAAACNTUIAAAAATEJAAAAATEKAAAAATALAAAACzExNjk4MTg2MzQ1DAAAAAExDQAAAAgxLzEvMjAyMBAAAAAJOC8xNi8yMDIw80gYePJB2AhkcfN48kHYCCdDSVEuJEFFRFNBUi5JUV9MQVNUU0FMRVBSSUNFLjMxLzEyLzIwMTkBAAAAJetaAAIAAAALMC45NzkxMjcyMzYA/gNCdfJB2AjUtkx28kHYCCdDSVEuJEFFREtHUy5JUV9MQVNUU0FMRVBSSUNFLjMwLzA0LzIwMjABAAAAJetaAAIAAAALMC4wNDY1NTk5NzUAqiQlVfJB2AhJGINZ8kHYCClDSVEuTllTRTpNQU5VLklRX0xBU1RTQUxFUFJJQ0UuMTMvMDkvMjAxOQEAAADdaw0AAgAAAAQxNy4zAAVdflPyQdgIowgrcfJB2Ag4Q0lRLk5BU0RBUUdTOlRTTEEuSVFfRUFSTklOR19DTy4yMDAwLjMxLzEyLzIwMTkuLkYuVVNELkMBAAAAEMaiAQIAAAAILTY5Ni41ODIBCAAAAAUAAAABMQEAAAAKMTk4OTQ1MzEzMAMAAAADMTYwAgAAAAE3BAAAAAExBwAAAAoxMi8zMS8yMDE5CAAAAAk4LzE2LzIwMjAJAAAAATDaFJZ38kHYCLmH5HjyQdgIJkNJUS5OQVNEQVFHUzpUU0xBLklRX1ZPTFVNRS4wNS8xMC8yMDE4AQAAABDGogEC</t>
  </si>
  <si>
    <t>AAAACDE3Ljk0NDU0AEOYhVLyQdgIaQoVcfJB2AgpQ0lRLk5ZU0U6UkFDRS5JUV9MQVNUU0FMRVBSSUNFLjI0LzAxLzIwMjABAAAAPYKwEAIAAAAGMTcyLjQ4AAgPflPyQdgIEFpcWfJB2AgkQ0lRLl5BU1guSVFfTEFTVFNBTEVQUklDRS4yOS8wNi8yMDE4AQAAAB9T6wECAAAACzQyMDIuMjQ4ODY2AIrFN1HyQdgIgc4bc/JB2AgmQ0lRLk5BU0RBUUdTOkNBS0UuSVFfVk9MVU1FLjMxLzAxLzIwMjABAAAACOAEAAIAAAAIMC43MDkyNTEAlf0kVfJB2AjCe3pZ8kHYCDBDSVFBVkcuJEFFRFVTRC5JUV9MQVNUU0FMRVBSSUNFLjQzNTU2LjMxLzAzLzIwMjABAAAAJetaAAIAAAAIMy42NzMwMTIA6pbKTPJB2AgmTYtZ8kHYCCdDSVEuTllTRTpLTy5JUV9MQVNUU0FMRVBSSUNFLjA1LzA3LzIwMTkBAAAAEmgAAAIAAAAFNTIuMTEA0YN+U/JB2AjfcShx8kHYCCZDSVEuTkFTREFRR1M6VFNMQS5JUV9WT0xVTUUuMjUvMTAvMjAxOQEAAAAQxqIBAgAAAAgzMC4wMDYwOQCj1iRV8kHYCG0NwnLyQdgIKENJUS5MU0U6VFNDTy5JUV9MQVNUU0FMRVBSSUNFLjExLzAxLzIwMTkBAAAAMFAGAAIAAAAEMi4xOACkvH9T8kHYCP+qInHyQdgIIENJUS5OWVNFOktPLklRX1ZPTFVNRS4wNi8xMi8yMDE5AQAAABJoAAACAAAACDcuODQzODM2AKPWJFXyQdgIB5PDcvJB2AgkQ0lRLl5TUFguSVFfTEFTVFNBTEVQUklDRS4zMS8wNy8y</t>
  </si>
  <si>
    <t>MDE4AQAAAJu4KAACAAAAEDI4MTYuMjg4NjMxMDkxMTIAtbw3UvJB2AiSBghz8kHYCChDSVEuTkFTREFRR1M6Q0FLRS5JUV9CRVRBXzVZUi4zMS8xMi8yMDE5AQAAAAjgBAACAAAAETAuNDMyNzI5Mjc3NDU0ODM5AN8G3nTyQdgIaBVHdvJB2AgiQ0lRLk5ZU0U6TUFOVS5JUV9WT0xVTUUuMDEvMTEvMjAxOQEAAADdaw0AAgAAAAcwLjAzOTE4AJX9JFXyQdgISsa/cvJB2AgvQ0lRLk5ZU0U6UkFDRS5JUV9MQVNUU0FMRVBSSUNFLjMxLzEyLzIwMTQuRVVSLkMBAAAAPYKwEAMAAAAAAEdgF3jyQdgIC+4AefJB2Ag3Q0lRLk5ZU0U6UkFDRS5JUV9EQV9NRURJQU5fRVNULjYwMDAuMzAvMDQvMjAyMC4uRi5FVVIuQwEAAAA9grAQAgAAAAM0MjIBDgAAAAUAAAACMTEBAAAAATACAAAACjEwMDMyMjY4MDcDAAAABjExNDE5MAQAAAABMwYAAAABMAcAAAACNTAIAAAAATEJAAAAATEKAAAAATALAAAACzExODk1NTM1ODc0DAAAAAIxMg0AAAAINS8xLzIwMjAQAAAACTgvMTYvMjAyMKR/B0vyQdgI2m6pWfJB2AgtQ0lRLk5BU0RBUUdTOlRTTEEuSVFfTEFTVFNBTEVQUklDRS4xNC8xMi8yMDE4AQAAABDGogECAAAABjM2NS43MQDH4n9T8kHYCGvXIHHyQdgIO0NJUS5OQVNEQVFHUzpUU0xBLklRX0RBX01FRElBTl9FU1QuMTAwMS4zMS8xMi8yMDE5Li5GLlVTRC5DAQAAABDGogECAAAACDIxMjYuMTQ5AQ4AAAAFAAAAATMB</t>
  </si>
  <si>
    <t>AAAAATACAAAACjEwMDA4NzI5NTgDAAAABjExNDE5MAQAAAABMgYAAAABMAcAAAADMTYwCAAAAAExCQAAAAExCgAAAAEwCwAAAAsxMTcyNzM2MDk4NQwAAAABMQ0AAAAIMS8xLzIwMjAQAAAACTgvMTYvMjAyMDs8lnfyQdgIj7nnePJB2AgnQ0lRLiRBRURHQlAuSVFfTEFTVFNBTEVQUklDRS4yOC8wMi8yMDE1AQAAACXrWgACAAAACzUuNjc0OTMyNDA2ABUiykzyQdgI2yBfdvJB2AgzQ0lRLk5ZU0U6S08uSVFfVE9UQUxfQVNTRVRTLjk5OC4zMS8xMi8yMDE5Li5GLlVTRC5DAQAAABJoAAACAAAABTg3MjcwAQgAAAAFAAAAATEBAAAACjE5NDY0MzA3ODIDAAAAAzE2MAIAAAAEMTAwNwQAAAABMQcAAAAKMTIvMzEvMjAxOQgAAAAJOC8xNi8yMDIwCQAAAAEwO4YXePJB2AipJft48kHYCChDSVEuTFNFOlRTQ08uSVFfTEFTVFNBTEVQUklDRS4xOS8xMC8yMDE4AQAAADBQBgACAAAABTIuMTQ2AEOYhVLyQdgIbRsWcfJB2AgiQ0lRLk5ZU0U6UkFDRS5JUV9WT0xVTUUuMTMvMTIvMjAxOQEAAAA9grAQAgAAAAgwLjMwNDY3NgAlYbVT8kHYCPNrvHLyQdgIIUNJUS5MU0U6U0ZPUi5JUV9WT0xVTUUuMDcvMDYvMjAxOQEAAADLU+QhAgAAAAgwLjA5MzMyNgDZObVT8kHYCMgHvXLyQdgILENJUS5MU0U6U0ZPUi5JUV9QRVJJT0REQVRFLjk5Ny4zMC8wNC8yMDIwLi5GAQAAAMtT5CEDAAAAAACxryRV8kHYCPQtgVnyQdgI</t>
  </si>
  <si>
    <t>LUNJUS5OQVNEQVFHUzpUU0xBLklRX0xBU1RTQUxFUFJJQ0UuMzEvMDUvMjAxNgEAAAAQxqIBAgAAAAYyMjMuMjMAwap+U/JB2AjWVyRx8kHYCCdDSVEuJEFFRFVHWC5JUV9MQVNUU0FMRVBSSUNFLjMwLzA0LzIwMTkBAAAAJetaAAIAAAALMC4wMDA5ODA2NDMAqiQlVfJB2Ah+2oJZ8kHYCC1DSVEuTkFTREFRR1M6Q0FLRS5JUV9MQVNUU0FMRVBSSUNFLjMwLzA0LzIwMTYBAAAACOAEAAIAAAAFNTEuMDEAwap+U/JB2AjVCSRx8kHYCClDSVEuTllTRTpNQU5VLklRX0xBU1RTQUxFUFJJQ0UuMTcvMDgvMjAxOAEAAADdaw0AAgAAAAUyMy42NQA6v4VS8kHYCPDIEHHyQdgIPENJUS5OWVNFOlJBQ0UuSVFfVE9UQUxfREVCVF9DVVJSRU5ULjEwMDAuMzAvMDQvMjAyMC4uRi5FVVIuQwEAAAA9grAQAgAAAAc0MjEuMzIzAQgAAAAFAAAAATEBAAAACjIwMTU2Mzk4MjIDAAAAAjUwAgAAAAUyNTIyMwQAAAABMQcAAAAJNC8zMC8yMDIwCAAAAAk4LzE2LzIwMjAJAAAAATDg4wZL8kHYCB1pllnyQdgILUNJUS5OQVNEQVFHUzpUU0xBLklRX0xBU1RTQUxFUFJJQ0UuMzAvMTEvMjAxOAEAAAAQxqIBAgAAAAYzNTAuNDgAx+J/U/JB2Ag/pStx8kHYCDdDSVEuTllTRTpSQUNFLklRX0VTVF9FUFNfR1JPV1RIXzVZUl9OVU0uNjAwMC4zMC8wNC8yMDIwAQAAAD2CsBABAAAAATEAsa8kVfJB2AjqDX9Z8kHYCDFDSVEuTkFTREFR</t>
  </si>
  <si>
    <t>R1M6VFNMQS5JUV9QRVJJT0REQVRFLjk5NS4zMC8wNC8yMDIwLi5GAQAAABDGogEFAAAACjMxLzEyLzIwMTQAsa8kVfJB2Ag3HYBZ8kHYCCBDSVEuLklRX0xBU1RTQUxFUFJJQ0UuMzEvMDEvMjAxOAUAAAAAAAAACAAAABQoSW52YWxpZCBJZGVudGlmaWVyKWhvN1LyQdgIv3U7c/JB2AgtQ0lRLk5BU0RBUUdTOlRTTEEuSVFfTEFTVFNBTEVQUklDRS4yNS8xMC8yMDE5AQAAABDGogECAAAABjMyOC4xMwAFXX5T8kHYCL6NLHHyQdgIKUNJUS5OWVNFOk1BTlUuSVFfTEFTVFNBTEVQUklDRS4wNS8wNy8yMDE5AQAAAN1rDQACAAAABTE4LjI2ANGDflPyQdgIckwocfJB2AgyQ0lRLkxTRTpTRk9SLklRX0xUX0lOVkVTVC4xMDAwLjMwLzA0LzIwMjAuLkYuR0JQLkMBAAAAy1PkIQMAAAAAANkKB0vyQdgIplmVWfJB2AgrQ0lRLk5ZU0U6S08uSVFfRUJJVC45OTcuMzEvMTIvMjAxOS4uRi5VU0QuQwEAAAASaAAAAgAAAAUxMDI0MAEIAAAABQAAAAExAQAAAAoxODc1Nzk3ODA5AwAAAAMxNjACAAAAAzQwMAQAAAABMQcAAAAKMTIvMzEvMjAxOQgAAAAJOC8xNi8yMDIwCQAAAAEwHiIYePJB2Ahz1et48kHYCCFDSVEuTFNFOlRTQ08uSVFfVk9MVU1FLjE3LzAxLzIwMjABAAAAMFAGAAIAAAAIMTUuODMwMzgAlf0kVfJB2AhuDHhZ8kHYCClDSVEuTllTRTpNQU5VLklRX0xBU1RTQUxFUFJJQ0UuMjkvMDYvMjAxOAEAAADd</t>
  </si>
  <si>
    <t>aw0AAgAAAAQyMC42ADq/hVLyQdgI1TYMcfJB2AggQ0lRLk5ZU0U6S08uSVFfVk9MVU1FLjA4LzAzLzIwMTkBAAAAEmgAAAIAAAAIMTUuNTc5MjkApLx/U/JB2AhHqcJy8kHYCDJDSVEuTllTRTpSQUNFLklRX1RPVEFMX1JFVi45OTguMzAvMDQvMjAyMC4uRi5FVVIuQwEAAAA9grAQAgAAAAczNDE2Ljg5AQgAAAAFAAAAATEBAAAACjIwMTU2Mzk4MDUDAAAAAjUwAgAAAAIyOAQAAAABMQcAAAAJNC8zMC8yMDIwCAAAAAk4LzE2LzIwMjAJAAAAATDZCgdL8kHYCAQFnlnyQdgIJ0NJUS4kQUVERUdQLklRX0xBU1RTQUxFUFJJQ0UuMzEvMTIvMjAxOQEAAAAl61oAAgAAAAswLjIyODg0MTY0OQD+A0J18kHYCAX0S3byQdgIOkNJUS5OQVNEQVFHUzpDQUtFLklRX0VRVUlUWV9NRVRIT0QuOTk4LjMxLzEyLzIwMTkuLkYuVVNELkMBAAAACOAEAAIAAAACNDIBCAAAAAUAAAABMQEAAAAKMTk0ODE3NjY2MgMAAAADMTYwAgAAAAQzMDYzBAAAAAExBwAAAAoxMi8zMS8yMDE5CAAAAAk4LzE2LzIwMjAJAAAAATBHYBd48kHYCCm1/3jyQdgIJUNJUS5eQ09NUC5JUV9MQVNUU0FMRVBSSUNFLjE3LzAxLzIwMjABAAAAibgoAAIAAAAHOTM4OC45NQBJBTNS8kHYCJzqvFnyQdgILUNJUS5OQVNEQVFHUzpDQUtFLklRX0xBU1RTQUxFUFJJQ0UuMzEvMTIvMjAxNAEAAAAI4AQAAgAAAAU1MC4zMQBBUkJ18kHYCIlcUHbyQdgILUNJ</t>
  </si>
  <si>
    <t>US5MU0U6VFNDTy5JUV9DQVBFWC45OTguMzAvMDQvMjAyMC4uRi5HQlAuQwEAAAAwUAYAAgAAAAUtMTQ0MAEIAAAABQAAAAExAQAAAAoxOTY4NzM2NTU5AwAAAAI1NQIAAAAEMjAyMQQAAAABMQcAAAAJNC8zMC8yMDIwCAAAAAk4LzE2LzIwMjAJAAAAATDJMQdL8kHYCE23q1nyQdgIJENJUS5eQVNYLklRX0xBU1RTQUxFUFJJQ0UuMjcvMDcvMjAxOAEAAAAfU+sBAgAAAAs0MjMyLjYzOTAyOQCKxTdR8kHYCHCnG3PyQdgIM0NJUUFWRy5JUTQzOTQzODE4LklRX0xBU1RTQUxFUFJJQ0UuNDAxNzguMzEvMTIvMjAxOQEAAACKh54CAgAAABAxLjM1Njc1NzkxMTk5Njg0ANgt3nTyQdgIJpRKdvJB2AggQ0lRLk5ZU0U6S08uSVFfVk9MVU1FLjIwLzA5LzIwMTkBAAAAEmgAAAIAAAAIMTkuMzQ5NDgAo9YkVfJB2AgkRcNy8kHYCDdDSVEuTFNFOlNGT1IuSVFfQ0FTSF9TVF9JTlZFU1QuMjAwMC4zMC8wNC8yMDIwLi5GLkdCUC5DAQAAAMtT5CECAAAABjY2LjEwNgEIAAAABQAAAAExAQAAAAoyMDIyNTk5ODg3AwAAAAI1NQIAAAAEMTAwMgQAAAABMQcAAAAJNC8zMC8yMDIwCAAAAAk4LzE2LzIwMjAJAAAAATDJMQdL8kHYCKvHkFnyQdgIKUNJUS5OWVNFOlJBQ0UuSVFfTEFTVFNBTEVQUklDRS4zMC8wNi8yMDE1AQAAAD2CsBADAAAAAACkvH9T8kHYCAiIIHHyQdgINENJUS5OWVNFOktPLklRX1RPVEFMX0FTU0VUUy4y</t>
  </si>
  <si>
    <t>MDAwLjMwLzA0LzIwMjAuLkYuVVNELkMBAAAAEmgAAAIAAAAFOTQwMTMBCAAAAAUAAAABMQEAAAAKMjAzMDM3Njg5NwMAAAADMTYwAgAAAAQxMDA3BAAAAAExBwAAAAk0LzMwLzIwMjAIAAAACTgvMTYvMjAyMAkAAAABMANJykzyQdgI20iUWfJB2AgkQ0lRLl5BU1guSVFfTEFTVFNBTEVQUklDRS4wNS8wMS8yMDE4AQAAAB9T6wECAAAACzQyNDYuMzc0NDU0ANgt3nTyQdgIprZFdvJB2Ag3Q0lRLkxTRTpTRk9SLklRX0VTVF9FUFNfR1JPV1RIXzVZUl9ISUdILjYwMDAuMzEvMTIvMjAxOQEAAADLU+QhAwAAAAAAKCtCdfJB2AiRYk528kHYCCJDSVEuTllTRTpSQUNFLklRX1ZPTFVNRS4xMy8wMy8yMDIwAQAAAD2CsBACAAAACDAuNzg5ODAyANk5tVPyQdgI8zh2WfJB2Ag6Q0lRLk5ZU0U6TUFOVS5JUV9FU1RfRVBTX0dST1dUSF81WVJfTUVESUFOLjYwMDAuMzEvMTIvMjAxOQEAAADdaw0AAgAAAAcwLjIyNzU1AQ4AAAAFAAAAATcBAAAACTIxNTA1NTM4NQIAAAAGNzAyNzI4AwAAAAYxMDAxNjgEAAAAATMGAAAAATAHAAAAATAIAAAAATAJAAAAATEKAAAAATALAAAACzExNjkyNzIzMTkyDAAAAAE4DQAAAAgxLzEvMjAyMBAAAAAKMTIvMzEvMjAxOSgrQnXyQdgIJTtOdvJB2AgoQ0lRLkxTRTpUU0NPLklRX0xBU1RTQUxFUFJJQ0UuMjMvMDIvMjAxOAEAAAAwUAYAAgAAAAUyLjA1NAAoK0J18kHYCHP4V3byQdgI</t>
  </si>
  <si>
    <t>IENJUS5OWVNFOktPLklRX1ZPTFVNRS4wMS8wNi8yMDE4AQAAABJoAAACAAAACDEwLjY2NDY1ACnmhVLyQdgIgccJcfJB2AgpQ0lRLk5ZU0U6TUFOVS5JUV9MQVNUU0FMRVBSSUNFLjI4LzAyLzIwMjABAAAA3WsNAAIAAAAFMTcuNDkACA9+U/JB2Aj4kV1Z8kHYCDlDSVEuTkFTREFRR1M6VFNMQS5JUV9UT1RBTF9BU1NFVFMuOTk2LjMxLzEyLzIwMTkuLkYuVVNELkMBAAAAEMaiAQIAAAAINTgzMC42NjcBCAAAAAUAAAABMQEAAAAKMTgzMDE0MzMwMAMAAAADMTYwAgAAAAQxMDA3BAAAAAExBwAAAAoxMi8zMS8yMDE5CAAAAAk4LzE2LzIwMjAJAAAAATA7hhd48kHYCMLX+njyQdgILkNJUS5MU0U6U0ZPUi5JUV9EQV9DRi4yMDAwLjMwLzA0LzIwMjAuLkYuR0JQLkMBAAAAy1PkIQIAAAAGMjQuOTcyAQgAAAAFAAAAATEBAAAACjIwMjI1OTk4ODcDAAAAAjU1AgAAAAQyMTYwBAAAAAExBwAAAAk0LzMwLzIwMjAIAAAACTgvMTYvMjAyMAkAAAABMNkKB0vyQdgIxrypWfJB2AgtQ0lRLk5BU0RBUUdTOlRTTEEuSVFfTEFTVFNBTEVQUklDRS4zMS8wMS8yMDE2AQAAABDGogECAAAABTE5MS4yAN7SflPyQdgI9m0jcfJB2AgxQ0lRLk5BU0RBUUdTOkNBS0UuSVFfU0dBLjEwMDAuMzAvMDQvMjAyMC4uRi5VU0QuQwEAAAAI4AQAAgAAAAczNTIuNzI3AQgAAAAFAAAAATEBAAAACjIwMjE1ODE0MTEDAAAAAzE2MAIAAAAC</t>
  </si>
  <si>
    <t>MjMEAAAAATEHAAAACTQvMzAvMjAyMAgAAAAJOC8xNi8yMDIwCQAAAAEw/2/KTPJB2AhfdKBZ8kHYCC9DSVEuTkFTREFRR1M6VFNMQS5JUV9HUC45OTYuMzAvMDQvMjAyMC4uRi5VU0QuQwEAAAAQxqIBAgAAAAc5MjMuNTAzAQgAAAAFAAAAATEBAAAACjE4NzU3NjkwODIDAAAAAzE2MAIAAAACMTAEAAAAATEHAAAACTQvMzAvMjAyMAgAAAAJOC8xNi8yMDIwCQAAAAEwvFgHS/JB2AhzJqBZ8kHYCCFDSVEuTFNFOlNGT1IuSVFfVk9MVU1FLjE1LzExLzIwMTkBAAAAy1PkIQIAAAAIMC40MDYyNDMAlf0kVfJB2Ai3fL1y8kHYCCxDSVEuTllTRTpLTy5JUV9FQklULjEwMDAuMzEvMTIvMjAxOS4uRi5VU0QuQwEAAAASaAAAAgAAAAQ5NTA4AQgAAAAFAAAAATEBAAAACjE5NDY0MzA3ODEDAAAAAzE2MAIAAAADNDAwBAAAAAExBwAAAAoxMi8zMS8yMDE5CAAAAAk4LzE2LzIwMjAJAAAAATAeIhh48kHYCExK7HjyQdgIOENJUS5OQVNEQVFHUzpUU0xBLklRX1RPVEFMX0xJQUIuMjAwMC4zMC8wNC8yMDIwLi5GLlVTRC5DAQAAABDGogECAAAABTI2NTc4AQgAAAAFAAAAATEBAAAACjIwMzIwNDUzMzQDAAAAAzE2MAIAAAAEMTI3NgQAAAABMQcAAAAJNC8zMC8yMDIwCAAAAAk4LzE2LzIwMjAJAAAAATC8WAdL8kHYCC3pmVnyQdgII0NJUS4lVENNU00wNi5JUV9MQVNUU0FMRVBSSUNFLjQzNTg1AQAAAAsfKAICAAAABDIu</t>
  </si>
  <si>
    <t>NDYAo9YkVfJB2AjbD4VZ8kHYCBlDSVEuLklRX1ZPTFVNRS4yMC8wNy8yMDE4BQAAAAAAAAAIAAAAFChJbnZhbGlkIElkZW50aWZpZXIpUUqFUvJB2AhOMQ5x8kHYCCBDSVEuLklRX0xBU1RTQUxFUFJJQ0UuMTYvMDMvMjAxOAUAAAAAAAAACAAAABQoSW52YWxpZCBJZGVudGlmaWVyKVRa3HTyQdgI7TpAdvJB2AgpQ0lRLk5ZU0U6TUFOVS5JUV9MQVNUU0FMRVBSSUNFLjMxLzA3LzIwMTUBAAAA3WsNAAIAAAAFMTguNDgAuZR/U/JB2AhecyFx8kHYCCZDSVEuTkFTREFRR1M6Q0FLRS5JUV9WT0xVTUUuMDYvMDQvMjAxOAEAAAAI4AQAAgAAAAgyLjAzMjU5MwAoK0J18kHYCB/iUXbyQdgIKUNJUS5OWVNFOlJBQ0UuSVFfTEFTVFNBTEVQUklDRS4zMS8wMS8yMDE4AQAAAD2CsBACAAAABTExOS41AAVdflPyQdgITpoocfJB2Ag2Q0lRLkxTRTpTRk9SLklRX0NBU0hfU1RfSU5WRVNULjk5OS4zMS8xMi8yMDE5Li5GLkdCUC5DAQAAAMtT5CEDAAAAAAA7hhd48kHYCFcg/XjyQdgIJUNJUS5OQVNEQVFHUzpDQUtFLklRX0ZJUlNUUFJJQ0lOR0RBVEUBAAAACOAEAAUAAAAKMTgvMDkvMTk5MgD8OiRV8kHYCC6vfVnyQdgIJ0NJUS4kQUVERUdQLklRX0xBU1RTQUxFUFJJQ0UuMzAvMDQvMjAxOQEAAAAl61oAAgAAAAswLjIxNDE2Nzg0NwCqJCVV8kHYCESKg1nyQdgIMkNJUS5OWVNFOktPLklRX1BSRUZfRVFVSVRZLjk5</t>
  </si>
  <si>
    <t>OC4zMS8xMi8yMDE5Li5GLlVTRC5DAQAAABJoAAADAAAAAAAe+xd48kHYCATQ9HjyQdgIM0NJUS5MU0U6U0ZPUi5JUV9QUkVGX0VRVUlUWS45OTkuMzEvMTIvMjAxOS4uRi5HQlAuQwEAAADLU+QhAwAAAAAAHvsXePJB2AgE0PR48kHYCDtDSVEuTkFTREFRR1M6VFNMQS5JUV9DQVNIX1NUX0lOVkVTVC45OTYuMzEvMTIvMjAxOS4uRi5VU0QuQwEAAAAQxqIBAgAAAAgxOTA1LjcxMwEIAAAABQAAAAExAQAAAAoxODMwMTQzMzAwAwAAAAMxNjACAAAABDEwMDIEAAAAATEHAAAACjEyLzMxLzIwMTkIAAAACTgvMTYvMjAyMAkAAAABMDuGF3jyQdgIWtL8ePJB2Ag1Q0lRLk5ZU0U6TUFOVS5JUV9UT1RBTF9BU1NFVFMuOTk2LjMxLzEyLzIwMTkuLkYuR0JQLkMBAAAA3WsNAAIAAAAIMTMwMS41ODgBCAAAAAUAAAABMQEAAAAKMTg2MTczNjg2OQMAAAACNTUCAAAABDEwMDcEAAAAATEHAAAACjEyLzMxLzIwMTkIAAAACTgvMTYvMjAyMAkAAAABMDuGF3jyQdgIz7D6ePJB2AgnQ0lRLk5ZU0U6S08uSVFfTEFTVFNBTEVQUklDRS4xMC8wNS8yMDE5AQAAABJoAAACAAAABTQ4LjE5AMGqflPyQdgIU54mcfJB2AgmQ0lRLk5BU0RBUUdTOkNBS0UuSVFfVk9MVU1FLjA4LzExLzIwMTkBAAAACOAEAAIAAAAIMC42NjM4NzgAlf0kVfJB2AixI8Fy8kHYCDBDSVEuTFNFOlNGT1IuSVFfQ09TVF9SRVYuOTk2LjMxLzEyLzIwMTku</t>
  </si>
  <si>
    <t>LkYuR0JQLkMBAAAAy1PkIQMAAAAAAB77F3jyQdgIoNzwePJB2Ag0Q0lRLk5ZU0U6UkFDRS5JUV9UT1RBTF9MSUFCLjIwMDAuMzAvMDQvMjAyMC4uRi5FVVIuQwEAAAA9grAQAgAAAAgzOTU5LjA4NAEIAAAABQAAAAExAQAAAAoyMDE1NjQyOTU0AwAAAAI1MAIAAAAEMTI3NgQAAAABMQcAAAAJNC8zMC8yMDIwCAAAAAk4LzE2LzIwMjAJAAAAATDZCgdL8kHYCBkQmlnyQdgIKENJUS5MU0U6U0ZPUi5JUV9MQVNUU0FMRVBSSUNFLjMxLzA3LzIwMTcBAAAAy1PkIQMAAAAAANGDflPyQdgItjsncfJB2Ag3Q0lRLkxTRTpUU0NPLklRX0VTVF9FUFNfR1JPV1RIXzVZUl9ISUdILjYwMDAuMzEvMTIvMjAxOQEAAAAwUAYAAgAAAAYxMy4yNjcBDgAAAAUAAAABNwEAAAAIMjAxNTc4NzkCAAAABjQxMTY4MAMAAAAGMTAwMTY5BAAAAAEzBgAAAAEwBwAAAAEwCAAAAAEwCQAAAAExCgAAAAEwCwAAAAsxMTYyMzQ5NTUxNgwAAAABOA0AAAAIMS8xLzIwMjAQAAAACjEyLzMxLzIwMTkoK0J18kHYCJFiTnbyQdgILUNJUS5MU0U6U0ZPUi5JUV9QUklDRV9WT0xfSElTVF81WVIuMzEvMTIvMjAxOQEAAADLU+QhAwAAAAAA69/ddPJB2Ahlikd28kHYCDVDSVEuTkFTREFRR1M6VFNMQS5JUV9UT1RBTF9DQS45OTcuMzAvMDQvMjAyMC4uRi5VU0QuQwEAAAAQxqIBAgAAAAg2MjU5Ljc5NgEIAAAABQAAAAExAQAAAAoxOTQ1ODczNTUx</t>
  </si>
  <si>
    <t>AwAAAAMxNjACAAAABDEwMDgEAAAAATEHAAAACTQvMzAvMjAyMAgAAAAJOC8xNi8yMDIwCQAAAAEwvFgHS/JB2AgD+5NZ8kHYCDBDSVEuTFNFOlRTQ08uSVFfVE9UQUxfQ0EuOTk4LjMwLzA0LzIwMjAuLkYuR0JQLkMBAAAAMFAGAAIAAAAFMTM3NDkBCAAAAAUAAAABMQEAAAAKMTk2ODczNjU1OQMAAAACNTUCAAAABDEwMDgEAAAAATEHAAAACTQvMzAvMjAyMAgAAAAJOC8xNi8yMDIwCQAAAAEwyTEHS/JB2Ajn0pNZ8kHYCCBDSVEuTllTRTpLTy5JUV9WT0xVTUUuMjkvMDYvMjAxOAEAAAASaAAAAgAAAAgxMS40ODU1NQA6v4VS8kHYCNU2DHHyQdgIJENJUS5eQVNYLklRX0xBU1RTQUxFUFJJQ0UuMjIvMDYvMjAxOAEAAAAfU+sBAgAAAAs0MjMwLjQzNDg0OQCKxTdR8kHYCIHOG3PyQdgIN0NJUS5OWVNFOk1BTlUuSVFfRVFVSVRZX01FVEhPRC4yMDAwLjMwLzA0LzIwMjAuLkYuR0JQLkMBAAAA3WsNAAMAAAAAALxYB0vyQdgI87aPWfJB2AgxQ0lRLkxTRTpTRk9SLklRX1RPVEFMX0NBLjIwMDAuMzAvMDQvMjAyMC4uRi5HQlAuQwEAAADLU+QhAgAAAAcxOTIuNDU5AQgAAAAFAAAAATEBAAAACjIwMjI1OTk4ODcDAAAAAjU1AgAAAAQxMDA4BAAAAAExBwAAAAk0LzMwLzIwMjAIAAAACTgvMTYvMjAyMAkAAAABMNkKB0vyQdgIKl+TWfJB2AgsQ0lRLk5ZU0U6UkFDRS5JUV9FQlQuOTk2LjMwLzA0LzIwMjAuLkYu</t>
  </si>
  <si>
    <t>RVVSLkMBAAAAPYKwEAIAAAAHNDM0LjE2OQEIAAAABQAAAAExAQAAAAoxODc2MDQzMzEzAwAAAAI1MAIAAAADMTM5BAAAAAExBwAAAAk0LzMwLzIwMjAIAAAACTgvMTYvMjAyMAkAAAABMNkKB0vyQdgIuoqmWfJB2AggQ0lRLi5JUV9MQVNUU0FMRVBSSUNFLjEzLzEyLzIwMTkFAAAAAAAAAAgAAAAUKEludmFsaWQgSWRlbnRpZmllcinn+TZS8kHYCKeAInPyQdgINUNJUS5OQVNEQVFHUzpUU0xBLklRX0lOQ19UQVguMjAwMC4zMC8wNC8yMDIwLi5GLlVTRC5DAQAAABDGogECAAAAAjg5AQgAAAAFAAAAATEBAAAACjIwMzIwNDUzMzQDAAAAAzE2MAIAAAACNzUEAAAAATEHAAAACTQvMzAvMjAyMAgAAAAJOC8xNi8yMDIwCQAAAAEwyTEHS/JB2AgMoaxZ8kHYCClDSVEuTllTRTpSQUNFLklRX0xBU1RTQUxFUFJJQ0UuMzEvMDgvMjAxNgEAAAA9grAQAgAAAAU0OC4xNADBqn5T8kHYCITMJHHyQdgIPkNJUS5MU0U6VFNDTy5JUV9UT1RBTF9ERUJUX05PTl9DVVJSRU5ULjk5Ni4zMC8wNC8yMDIwLi5GLkdCUC5DAQAAADBQBgACAAAABTExMTE3AQgAAAAFAAAAATEBAAAACjE4NDc4MjUxNDgDAAAAAjU1AgAAAAUyNTIyNAQAAAABMQcAAAAJNC8zMC8yMDIwCAAAAAk4LzE2LzIwMjAJAAAAATDJMQdL8kHYCJ/ZmFnyQdgIN0NJUS5OQVNEQVFHUzpDQUtFLklRX0xUX0lOVkVTVC4yMDAwLjMwLzA0LzIwMjAuLkYuVVNE</t>
  </si>
  <si>
    <t>LkMBAAAACOAEAAMAAAAAAANJykzyQdgIojKVWfJB2AhDQ0lRLk5BU0RBUUdTOlRTTEEuSVFfVE9UQUxfREVCVF9OT05fQ1VSUkVOVC45OTYuMzAvMDQvMjAyMC4uRi5VU0QuQwEAAAAQxqIBAgAAAAgyMjIyLjQ4MgEIAAAABQAAAAExAQAAAAoxODc1NzY5MDgyAwAAAAMxNjACAAAABTI1MjI0BAAAAAExBwAAAAk0LzMwLzIwMjAIAAAACTgvMTYvMjAyMAkAAAABMLxYB0vyQdgIn9mYWfJB2Ag7Q0lRLk5ZU0U6UkFDRS5JUV9FQklUREFfTUVESUFOX0VTVC42MDAwLjMxLzEyLzIwMTkuLkYuRVVSLkMBAAAAPYKwEAIAAAAJMTQxNy41MTE1AQ4AAAAFAAAAAjExAQAAAAEwAgAAAAcyNzY0NzM0AwAAAAYxMDAxODgEAAAAATMGAAAAATAHAAAAAjUwCAAAAAExCQAAAAExCgAAAAEwCwAAAAsxMTc2MjAwNDA4NgwAAAACMTINAAAACDEvMS8yMDIwEAAAAAk4LzE2LzIwMjDzSBh48kHYCKTg7njyQdgIKENJUS5MU0U6U0ZPUi5JUV9MQVNUU0FMRVBSSUNFLjMwLzAzLzIwMTgBAAAAy1PkIQMAAAAAACgrQnXyQdgIgX9SdvJB2AhAQ0lRLk5BU0RBUUdTOlRTTEEuSVFfUkVWRU5VRV9NRURJQU5fRVNULjYwMDAuMzEvMTIvMjAxOS4uRi5VU0QuQwEAAAAQxqIBAgAAAAcyODM1MC43AQ4AAAAFAAAAAjExAQAAAAEwAgAAAAgxNTM1NzY4NQMAAAAGMTAwMTgxBAAAAAEyBgAAAAEwBwAAAAMxNjAIAAAAATEJAAAAATEKAAAA</t>
  </si>
  <si>
    <t>ATALAAAACzExNzI5MDkwNDI3DAAAAAIxMg0AAAAIMS8xLzIwMjAQAAAACTgvMTYvMjAyMPNIGHjyQdgIiCPzePJB2AgtQ0lRLk5BU0RBUUdTOkNBS0UuSVFfTEFTVFNBTEVQUklDRS4yMi8wMy8yMDE5AQAAAAjgBAACAAAABTQ1LjY0ALmUf1PyQdgIxvMkcfJB2AgrQ0lRLk5ZU0U6UkFDRS5JUV9HUC45OTcuMzEvMTIvMjAxOS4uRi5FVVIuQwEAAAA9grAQAgAAAAgxMzU1LjU2MwEIAAAABQAAAAExAQAAAAoxODc2MDQzMzEzAwAAAAI1MAIAAAACMTAEAAAAATEHAAAACjEyLzMxLzIwMTkIAAAACTgvMTYvMjAyMAkAAAABMB4iGHjyQdgIc0DwePJB2AgtQ0lRLk5BU0RBUUdTOkNBS0UuSVFfTEFTVFNBTEVQUklDRS4yOC8wNi8yMDE5AQAAAAjgBAACAAAABTQzLjcyAMGqflPyQdgI5iMocfJB2Ag4Q0lRLk5BU0RBUUdTOlRTTEEuSVFfVE9UQUxfTElBQi4xMDAwLjMxLzEyLzIwMTkuLkYuVVNELkMBAAAAEMaiAQIAAAAIMjM0MjYuMDEBCAAAAAUAAAABMQEAAAAKMTk0NTg3MzU0NgMAAAADMTYwAgAAAAQxMjc2BAAAAAExBwAAAAoxMi8zMS8yMDE5CAAAAAk4LzE2LzIwMjAJAAAAATCE1Bd48kHYCPHh9XjyQdgIL0NJUS5OWVNFOlJBQ0UuSVFfVE9UQUxfUkVWOkNVUlJFTkNZLi4zMS8xMi8yMDE5AQAAAD2CsBADAAAAA0VVUgEIAAAABQAAAAExAQAAAAoyMDE1NjQyOTU0AwAAAAI1MAIAAAACMjgEAAAAATAH</t>
  </si>
  <si>
    <t>AAAACjEyLzMxLzIwMTkIAAAACjEyLzMxLzIwMTkJAAAAATD+A0J18kHYCMwOXnbyQdgIMENJUUFWRy4kQUVER0JQLklRX0xBU1RTQUxFUFJJQ0UuNDMzMzYuMjQvMDgvMjAxOQEAAAAl61oAAgAAAAg0LjcxNDA5MwBHYBd48kHYCMcTAXnyQdgILUNJUS5MU0U6U0ZPUi5JUV9QUklDRV9WT0xfSElTVF81WVIuMzAvMDQvMjAyMAEAAADLU+QhAwAAAAAA/DokVfJB2AjbtohZ8kHYCCdDSVEuTllTRTpLTy5JUV9MQVNUU0FMRVBSSUNFLjMxLzA3LzIwMTcBAAAAEmgAAAIAAAAFNDUuODQA0YN+U/JB2AjbYidx8kHYCCJDSVEuTllTRTpSQUNFLklRX1ZPTFVNRS4yNi8wNy8yMDE5AQAAAD2CsBACAAAACDAuMjQ3OTk1ACVhtVPyQdgIEfe7cvJB2AgkQ0lRLl5TUFguSVFfTEFTVFNBTEVQUklDRS4zMS8wMS8yMDE5AQAAAJu4KAACAAAAEDI3MDQuMTAwNTc5NzAyNTYA/yszUvJB2Aj03wdz8kHYCDVDSVEuTFNFOlNGT1IuSVFfVE9UQUxfUkVDRUlWLjIwMDAuMzAvMDQvMjAyMC4uRi5HQlAuQwEAAADLU+QhAgAAAAcxMjYuMzUzAQgAAAAFAAAAATEBAAAACjIwMjI1OTk4ODcDAAAAAjU1AgAAAAQxMDAxBAAAAAExBwAAAAk0LzMwLzIwMjAIAAAACTgvMTYvMjAyMAkAAAABMNkKB0vyQdgI/sesWfJB2AgmQ0lRLk5BU0RBUUdTOkNBS0UuSVFfVk9MVU1FLjE1LzA2LzIwMTgBAAAACOAEAAIAAAAIMy4yMjc5ODMAKeaF</t>
  </si>
  <si>
    <t>UvJB2AgoJgtx8kHYCChDSVEuTFNFOlNGT1IuSVFfTEFTVFNBTEVQUklDRS4zMC8wNC8yMDE3AQAAAMtT5CEDAAAAAADRg35T8kHYCFOeJnHyQdgIPENJUS5OQVNEQVFHUzpUU0xBLklRX0NBU0hfU1RfSU5WRVNULjEwMDAuMzEvMTIvMjAxOS4uRi5VU0QuQwEAAAAQxqIBAgAAAAgzNjg1LjYxOAEIAAAABQAAAAExAQAAAAoxOTQ1ODczNTQ2AwAAAAMxNjACAAAABDEwMDIEAAAAATEHAAAACjEyLzMxLzIwMTkIAAAACTgvMTYvMjAyMAkAAAABMDuGF3jyQdgIVBn/ePJB2AgiQ0lRLk5ZU0U6UkFDRS5JUV9WT0xVTUUuMDUvMDEvMjAxOAEAAAA9grAQAgAAAAgwLjQwODEzMwAoK0J18kHYCJpjXHbyQdgIIENJUS5MU0U6U0ZPUi5JUV9QUklNQVJZX0lORFVTVFJZAQAAAMtT5CEDAAAAC0FkdmVydGlzaW5nAOISJFXyQdgIz92IWfJB2AguQ0lRLk5ZU0U6UkFDRS5JUV9EQV9DRi45OTguMzEvMTIvMjAxOS4uRi5FVVIuQwEAAAA9grAQAgAAAAcxNDMuNjYyAQgAAAAFAAAAATEBAAAACjE5NDc0NDQxODQDAAAAAjUwAgAAAAQyMTYwBAAAAAExBwAAAAoxMi8zMS8yMDE5CAAAAAk4LzE2LzIwMjAJAAAAATDaFJZ38kHYCL/25njyQdgIOENJUS5OWVNFOktPLklRX0NBUEVYX01FRElBTl9FU1QuNjAwMS4zMS8xMi8yMDE5Li5GLlVTRC5DAQAAABJoAAADAAAAAAA7PJZ38kHYCNSo5njyQdgILUNJUS5OQVNEQVFHUzpU</t>
  </si>
  <si>
    <t>U0xBLklRX0xBU1RTQUxFUFJJQ0UuMTgvMDEvMjAxOQEAAAAQxqIBAgAAAAYzMDIuMjYApLx/U/JB2Aj3+CJx8kHYCDVDSVEuTkFTREFRR1M6VFNMQS5JUV9DT1NUX1JFVi45OTYuMzAvMDQvMjAyMC4uRi5VU0QuQwEAAAAQxqIBAgAAAAgzMTIyLjUyMgEIAAAABQAAAAExAQAAAAoxODc1NzY5MDgyAwAAAAMxNjACAAAAATEEAAAAATEHAAAACTQvMzAvMjAyMAgAAAAJOC8xNi8yMDIwCQAAAAEwvFgHS/JB2AixPJ9Z8kHYCCJDSVEuTllTRTpNQU5VLklRX1ZPTFVNRS4yMS8xMi8yMDE4AQAAAN1rDQACAAAACDAuMjM5MjgzAMfif1PyQdgID5ohcfJB2Ag8Q0lRLk5ZU0U6TUFOVS5JUV9SRVZFTlVFX01FRElBTl9FU1QuMTAwMy4zMS8xMi8yMDE5Li5GLkdCUC5DAQAAAN1rDQACAAAAAzYzNgEOAAAABQAAAAEzAQAAAAEwAgAAAAoxMDAzNzI4MjAxAwAAAAYxMDAxODEEAAAAATMGAAAAATAHAAAAAjU1CAAAAAExCQAAAAExCgAAAAEwCwAAAAsxMTY5MjUzODg0MQwAAAABMQ0AAAAIMS8xLzIwMjAQAAAACTgvMTYvMjAyMPNIGHjyQdgIZHHzePJB2AgtQ0lRLk5BU0RBUUdTOlRTTEEuSVFfTEFTVFNBTEVQUklDRS4zMS8xMC8yMDE3AQAAABDGogECAAAABjMzMS41MwAFXX5T8kHYCNf+J3HyQdgIIUNJUS5MU0U6U0ZPUi5JUV9WT0xVTUUuMDkvMDgvMjAxOQEAAADLU+QhAgAAAAgwLjEwOTY0OQDZObVT8kHYCLcu</t>
  </si>
  <si>
    <t>vXLyQdgILkNJUS5OWVNFOk1BTlUuSVFfQ0FQRVguOTk4LjMxLzEyLzIwMTkuLkYuR0JQLkMBAAAA3WsNAAIAAAAGLTguMzczAQgAAAAFAAAAATEBAAAACjE5ODU4NDUwNDUDAAAAAjU1AgAAAAQyMDIxBAAAAAExBwAAAAoxMi8zMS8yMDE5CAAAAAk4LzE2LzIwMjAJAAAAATDaFJZ38kHYCCCY5XjyQdgIJENJUS5eQVNYLklRX0xBU1RTQUxFUFJJQ0UuMTYvMTEvMjAxOAEAAAAfU+sBAgAAAAszODQzLjA5NDA3MQCKxTdR8kHYCKoyG3PyQdgIKUNJUS5OWVNFOk1BTlUuSVFfTEFTVFNBTEVQUklDRS4zMC8wOS8yMDE1AQAAAN1rDQACAAAABTE3LjE3ALmUf1PyQdgI+4MicfJB2AgnQ0lRLiRBRURQRU4uSVFfTEFTVFNBTEVQUklDRS4zMS8xMi8yMDE5AQAAACXrWgACAAAACzEuMTA4NzI5Nzc1AP4DQnXyQdgI02hMdvJB2AgmQ0lRLk5BU0RBUUdTOkNBS0UuSVFfVk9MVU1FLjE0LzAyLzIwMjABAAAACOAEAAIAAAAIMC40Mzc5MTMAlf0kVfJB2AjIonpZ8kHYCDFDSVEuTllTRTpNQU5VLklRX0lOQ19UQVguMjAwMC4zMC8wNC8yMDIwLi5GLkdCUC5DAQAAAN1rDQACAAAABjEzLjc1NAEIAAAABQAAAAExAQAAAAoyMDE4NjMyMDAzAwAAAAI1NQIAAAACNzUEAAAAATEHAAAACTQvMzAvMjAyMAgAAAAJOC8xNi8yMDIwCQAAAAEw/2/KTPJB2AgMoaxZ8kHYCCFDSVEuTFNFOlNGT1IuSVFfVk9MVU1FLjE5LzEwLzIw</t>
  </si>
  <si>
    <t>MTgBAAAAy1PkIQIAAAAGMC4wNzEzAEOYhVLyQdgIbRsWcfJB2AgrQ0lRLkxTRTpTRk9SLklRX1NHQS45OTYuMzEvMTIvMjAxOS4uRi5HQlAuQwEAAADLU+QhAwAAAAAAHiIYePJB2AiAfe948kHYCDNDSVEuTFNFOlRTQ08uSVFfRUFSTklOR19DTy4yMDAwLjMwLzA0LzIwMjAuLkYuR0JQLkMBAAAAMFAGAAIAAAADOTM1AQgAAAAFAAAAATEBAAAACjIwMjY1MDczODgDAAAAAjU1AgAAAAE3BAAAAAExBwAAAAk0LzMwLzIwMjAIAAAACTgvMTYvMjAyMAkAAAABMMkxB0vyQdgI8RWtWfJB2Ag1Q0lRLk5ZU0U6UkFDRS5JUV9UT1RBTF9BU1NFVFMuOTk5LjMwLzA0LzIwMjAuLkYuRVVSLkMBAAAAPYKwEAIAAAAINDg1MS43MzMBCAAAAAUAAAABMQEAAAAKMjAxNTYzOTgxOAMAAAACNTACAAAABDEwMDcEAAAAATEHAAAACTQvMzAvMjAyMAgAAAAJOC8xNi8yMDIwCQAAAAEw4OMGS/JB2AjSlpRZ8kHYCC1DSVEuTllTRTpSQUNFLklRX1NHQS4xMDAwLjMxLzEyLzIwMTkuLkYuRVVSLkMBAAAAPYKwEAIAAAAHMzI3LjM0MQEIAAAABQAAAAExAQAAAAoxOTQ3NDQ0MTgzAwAAAAI1MAIAAAACMjMEAAAAATEHAAAACjEyLzMxLzIwMTkIAAAACTgvMTYvMjAyMAkAAAABMB4iGHjyQdgIhPHvePJB2AgxQ0lRLk5ZU0U6TUFOVS5JUV9UT1RBTF9DQS45OTguMzEvMTIvMjAxOS4uRi5HQlAuQwEAAADdaw0AAgAAAAczOTguODU0</t>
  </si>
  <si>
    <t>AQgAAAAFAAAAATEBAAAACjE5ODU4NDUwNDUDAAAAAjU1AgAAAAQxMDA4BAAAAAExBwAAAAoxMi8zMS8yMDE5CAAAAAk4LzE2LzIwMjAJAAAAATA7hhd48kHYCIEP/HjyQdgINUNJUS5OWVNFOktPLklRX0NBU0hfU1RfSU5WRVNULjk5OC4zMS8xMi8yMDE5Li5GLlVTRC5DAQAAABJoAAACAAAABTIyMjAxAQgAAAAFAAAAATEBAAAACjE5NDY0MzA3ODIDAAAAAzE2MAIAAAAEMTAwMgQAAAABMQcAAAAKMTIvMzEvMjAxOQgAAAAJOC8xNi8yMDIwCQAAAAEwO4YXePJB2AhXIP148kHYCCBDSVEuTllTRTpLTy5JUV9WT0xVTUUuMjcvMDcvMjAxOAEAAAASaAAAAgAAAAgxMC41MTY5NQA6v4VS8kHYCA4bD3HyQdgIKkNJUS5OWVNFOktPLklRX0dQLjEwMDAuMzAvMDQvMjAyMC4uRi5VU0QuQwEAAAASaAAAAgAAAAUyMjY0NwEIAAAABQAAAAExAQAAAAoyMDE2NzkxMjQ1AwAAAAMxNjACAAAAAjEwBAAAAAExBwAAAAk0LzMwLzIwMjAIAAAACTgvMTYvMjAyMAkAAAABMANJykzyQdgIn4qfWfJB2Ag0Q0lRLkxTRTpUU0NPLklRX1NIQVJFU09VVFNUQU5ESU5HX09VVC4yNy8wMi8yMDE2LkdCUAEAAAAwUAYAAgAAAAs4MDkzLjY4Njk2MgAVIspM8kHYCM61YXbyQdgIIENJUS4uSVFfTEFTVFNBTEVQUklDRS4yOS8xMS8yMDE5BQAAAAAAAAAIAAAAFChJbnZhbGlkIElkZW50aWZpZXIp7CA3UvJB2AgA8SRz8kHYCCdDSVEu</t>
  </si>
  <si>
    <t>JEFFRENPUC5JUV9MQVNUU0FMRVBSSUNFLjMxLzEyLzIwMTkBAAAAJetaAAIAAAALMC4wMDExMTkxNjkA/gNCdfJB2AgF9Et28kHYCC5DSVEuTFNFOlRTQ08uSVFfRUJJVERBLjk5OC4zMC8wNC8yMDIwLi5GLkdCUC5DAQAAADBQBgACAAAABDI3MjMBCAAAAAUAAAABMQEAAAAKMTk2ODczNjU1OQMAAAACNTUCAAAABDQwNTEEAAAAATEHAAAACTQvMzAvMjAyMAgAAAAJOC8xNi8yMDIwCQAAAAEwyTEHS/JB2AioMaNZ8kHYCChDSVEuTFNFOlNGT1IuSVFfTEFTVFNBTEVQUklDRS4yOS8wMi8yMDE2AQAAAMtT5CEDAAAAAADe0n5T8kHYCPZtI3HyQdgINENJUS5MU0U6VFNDTy5JUV9UT1RBTF9BU1NFVFMuOTk4LjMwLzA0LzIwMjAuLkYuR0JQLkMBAAAAMFAGAAIAAAAFNDQ4ODQBCAAAAAUAAAABMQEAAAAKMTk2ODczNjU1OQMAAAACNTUCAAAABDEwMDcEAAAAATEHAAAACTQvMzAvMjAyMAgAAAAJOC8xNi8yMDIwCQAAAAEwyTEHS/JB2Ai8vZRZ8kHYCCFDSVEuTFNFOlRTQ08uSVFfVk9MVU1FLjE0LzAyLzIwMjABAAAAMFAGAAIAAAAIMTUuMTEyNDYAlf0kVfJB2AhuDHhZ8kHYCCVDSVEuXkNPTVAuSVFfTEFTVFNBTEVQUklDRS4wMy8wMS8yMDIwAQAAAIm4KAACAAAABzkwMjAuNzcACZY3UvJB2Aic6rxZ8kHYCCRDSVEuXkFTWC5JUV9MQVNUU0FMRVBSSUNFLjMxLzAxLzIwMTgBAAAAH1PrAQIAAAALNDEzNy42</t>
  </si>
  <si>
    <t>NTY0MzQAtbw3UvJB2AgCOAtz8kHYCDFDSVEuTllTRTpNQU5VLklRX0lOQ19UQVguMjAwMC4zMS8xMi8yMDE5Li5GLkdCUC5DAQAAAN1rDQACAAAABTcuODk0AQgAAAAFAAAAATEBAAAACjE5OTM2MjEzMjIDAAAAAjU1AgAAAAI3NQQAAAABMQcAAAAKMTIvMzEvMjAxOQgAAAAJOC8xNi8yMDIwCQAAAAEw2hSWd/JB2AjfKOp48kHYCDVDSVEuTllTRTpSQUNFLklRX1NIQVJFU09VVFNUQU5ESU5HX09VVC4zMS8xMi8yMDE2LkVVUgEAAAA9grAQAgAAAAoxODguOTIzNDk5ABUiykzyQdgIzrVhdvJB2AgzQ0lRLkxTRTpUU0NPLklRX0VBUk5JTkdfQ08uMjAwMC4zMS8xMi8yMDE5Li5GLkdCUC5DAQAAADBQBgACAAAABDEzMDYBCAAAAAUAAAABMQEAAAAKMTk4Njc5MzI0MAMAAAACNTUCAAAAATcEAAAAATEHAAAACjEyLzMxLzIwMTkIAAAACTgvMTYvMjAyMAkAAAABMNoUlnfyQdgIfWDkePJB2Ag6Q0lRLkxTRTpTRk9SLklRX1RPVEFMX0RFQlRfQ1VSUkVOVC45OTguMzAvMDQvMjAyMC4uRi5HQlAuQwEAAADLU+QhAwAAAAAA2QoHS/JB2AgHt5ZZ8kHYCCVDSVEuTkFTREFRR1M6VFNMQS5JUV9QUklNQVJZX0lORFVTVFJZAQAAABDGogEDAAAAGEF1dG9tb2JpbGUgTWFudWZhY3R1cmVycwDiEiRV8kHYCIbuiVnyQdgIJUNJUS5eQ09NUC5JUV9MQVNUU0FMRVBSSUNFLjI5LzEyLzIwMTcBAAAAibgoAAIAAAAHNjkw</t>
  </si>
  <si>
    <t>My4zOQDYLd508kHYCG3cRXbyQdgINENJUS5OQVNEQVFHUzpUU0xBLklRX0VCSVREQS4xMDAwLjMwLzA0LzIwMjAuLkYuVVNELkMBAAAAEMaiAQIAAAAEMjE4NwEIAAAABQAAAAExAQAAAAoyMDEzOTA3NDYwAwAAAAMxNjACAAAABDQwNTEEAAAAATEHAAAACTQvMzAvMjAyMAgAAAAJOC8xNi8yMDIwCQAAAAEwyTEHS/JB2AiwvKJZ8kHYCDdDSVEuTllTRTpLTy5JUV9FQklUX01FRElBTl9FU1QuNjAwMC4zMS8xMi8yMDE5Li5GLlVTRC5DAQAAABJoAAACAAAACTEwNzc5LjM3MgEOAAAABQAAAAIxMQEAAAABMAIAAAAINzg4ODc0OTMDAAAABjEwMDIxNgQAAAABMgYAAAABMAcAAAADMTYwCAAAAAExCQAAAAExCgAAAAEwCwAAAAsxMTcyMjA4MjEzMwwAAAACMTINAAAACDEvMS8yMDIwEAAAAAk4LzE2LzIwMjDzSBh48kHYCCu/7HjyQdgIHkNJUS5MU0U6VFNDTy5JUV9URVYuMzAvMDQvMjAyMAEAAAAwUAYAAgAAAAwzNjgwNy4wMjkwNDgBBgAAAAUAAAABMQEAAAAKMjAyNjUwNzM4MgMAAAACNTUCAAAABjEwMDA2MAQAAAABMAcAAAAJNC8zMC8yMDIwo9YkVfJB2AiZvn5Z8kHYCDBDSVEuTkFTREFRR1M6VFNMQS5JUV9FQlQuOTk2LjMxLzEyLzIwMTkuLkYuVVNELkMBAAAAEMaiAQIAAAAILTI4NC42MzYBCAAAAAUAAAABMQEAAAAKMTgzMDE0MzMwMAMAAAADMTYwAgAAAAMxMzkEAAAAATEHAAAACjEyLzMxLzIw</t>
  </si>
  <si>
    <t>MTkIAAAACTgvMTYvMjAyMAkAAAABMNztlXfyQdgI1U/qePJB2AgjQ0lRLiVUQ01TWTIwLklRX0xBU1RTQUxFUFJJQ0UuNDM1ODUBAAAAIB8oAgIAAAAEMi43NQCj1iRV8kHYCA9NhFnyQdgIPENJUS5OWVNFOk1BTlUuSVFfVE9UQUxfREVCVF9DVVJSRU5ULjIwMDAuMzAvMDQvMjAyMC4uRi5HQlAuQwEAAADdaw0AAgAAAAQ2LjkxAQgAAAAFAAAAATEBAAAACjIwMTg2MzIwMDMDAAAAAjU1AgAAAAUyNTIyMwQAAAABMQcAAAAJNC8zMC8yMDIwCAAAAAk4LzE2LzIwMjAJAAAAATC8WAdL8kHYCC1CllnyQdgIIENJUS5OWVNFOktPLklRX1ZPTFVNRS4xOS8wMS8yMDE4AQAAABJoAAACAAAACDE2LjE4NzQzACgrQnXyQdgIowNbdvJB2AgnQ0lRLiRBRURVU0QuSVFfTEFTVFNBTEVQUklDRS4zMS8xMi8yMDEyAQAAACXrWgACAAAABTMuNjczAEdgF3jyQdgILzsBefJB2AgtQ0lRLk5BU0RBUUdTOlRTTEEuSVFfTEFTVFNBTEVQUklDRS4zMS8xMi8yMDE0AQAAABDGogECAAAABjIyMi40MQBBUkJ18kHYCIlcUHbyQdgILENJUS5MU0U6VFNDTy5JUV9FQklULjk5Ni4zMS8xMi8yMDE5Li5GLkdCUC5DAQAAADBQBgACAAAAAzExOQEIAAAABQAAAAExAQAAAAoxNzkxNDY4MTQ2AwAAAAI1NQIAAAADNDAwBAAAAAExBwAAAAoxMi8zMS8yMDE5CAAAAAk4LzE2LzIwMjAJAAAAATAeIhh48kHYCHuu63jyQdgIKkNJUS5OWVNF</t>
  </si>
  <si>
    <t>OktPLklRX1NHQS45OTguMzAvMDQvMjAyMC4uRi5VU0QuQwEAAAASaAAAAgAAAAUxMjkwMQEIAAAABQAAAAExAQAAAAoyMDE2NzkxMjUwAwAAAAMxNjACAAAAAjIzBAAAAAExBwAAAAk0LzMwLzIwMjAIAAAACTgvMTYvMjAyMAkAAAABMANJykzyQdgIUcOgWfJB2AgsQ0lRLkxTRTpTRk9SLklRX1BSSUNFX1ZPTF9ISVNUX1lSLjMxLzEyLzIwMTkBAAAAy1PkIQIAAAAHMzAuMDM0MgDr39108kHYCGWKR3byQdgIJ0NJUS4kQUVERVVSLklRX0xBU1RTQUxFUFJJQ0UuMzEvMTIvMjAxMgEAAAAl61oAAgAAAAs0Ljg0Mjc3MTQ0MgBHYBd48kHYCC87AXnyQdgIL0NJUS5OWVNFOlJBQ0UuSVFfTEFTVFNBTEVQUklDRS4zMS8xMi8yMDE5LkVVUi5DAQAAAD2CsBACAAAACjEzOS45MTQ0MDgAFSLKTPJB2Agv6V128kHYCCdDSVEuJEFFREtFUy5JUV9MQVNUU0FMRVBSSUNFLjMwLzA0LzIwMjABAAAAJetaAAIAAAALMC4wMzQyNzkwNDgAqiQlVfJB2AhaPINZ8kHYCCVDSVEuXkNPTVAuSVFfTEFTVFNBTEVQUklDRS4xMC8wNC8yMDIwAQAAAIm4KAACAAAABzgxNTMuNTcAAN4yUvJB2Aifm7xZ8kHYCCxDSVEuTFNFOlNGT1IuSVFfUEVSSU9EREFURS45OTQuMzEvMTIvMjAxOS4uRgEAAADLU+QhAwAAAAAA/gNCdfJB2Ahf7k128kHYCCdDSVEuTllTRTpLTy5JUV9MQVNUU0FMRVBSSUNFLjI2LzA0LzIwMTkBAAAAEmgAAAIA</t>
  </si>
  <si>
    <t>AAAFNDguMjYA3tJ+U/JB2AgRKyZx8kHYCBlDSVEuLklRX1ZPTFVNRS4wOS8wMy8yMDE4BQAAAAAAAAAIAAAAFChJbnZhbGlkIElkZW50aWZpZXIpGN1BdfJB2Aj3Nld28kHYCDFDSVEuTllTRTpSQUNFLklRX1NIQVJFU09VVFNUQU5ESU5HLjMxLzEyLzIwMTcuRVVSAQAAAD2CsBACAAAACjE4OC45NTM4NzQAFSLKTPJB2Ah79GB28kHYCCxDSVEuTllTRTpNQU5VLklRX0VCVC45OTkuMzEvMTIvMjAxOS4uRi5HQlAuQwEAAADdaw0AAgAAAAYyNS44MzMBCAAAAAUAAAABMQEAAAAKMTk4NTg0NTAyOQMAAAACNTUCAAAAAzEzOQQAAAABMQcAAAAKMTIvMzEvMjAxOQgAAAAJOC8xNi8yMDIwCQAAAAEw3O2Vd/JB2Ai7xOp48kHYCC1DSVEuTFNFOlRTQ08uSVFfQ0FQRVguOTk2LjMwLzA0LzIwMjAuLkYuR0JQLkMBAAAAMFAGAAIAAAAELTg3MQEIAAAABQAAAAExAQAAAAoxODQ3ODI1MTQ4AwAAAAI1NQIAAAAEMjAyMQQAAAABMQcAAAAJNC8zMC8yMDIwCAAAAAk4LzE2LzIwMjAJAAAAATDJMQdL8kHYCH4GrFnyQdgIJUNJUS5JUTUwMDI3NTgwLklRX0xBU1RTQUxFUFJJQ0UuNDM1ODUBAAAAPFz7AgIAAAAFMS4xNDkAo9YkVfJB2AiVIIZZ8kHYCCdDSVEuJEFFREJSTC5JUV9MQVNUU0FMRVBSSUNFLjMxLzEyLzIwMTgBAAAAJetaAAIAAAALMC45NDg3NzY4OTcA/gNCdfJB2AjvVkt28kHYCC1DSVEuTkFTREFRR1M6</t>
  </si>
  <si>
    <t>VFNMQS5JUV9MQVNUU0FMRVBSSUNFLjI2LzAxLzIwMTgBAAAAEMaiAQIAAAAGMzQyLjg1ACgrQnXyQdgI+2hadvJB2AgmQ0lRLk5BU0RBUUdTOlRTTEEuSVFfVk9MVU1FLjE2LzA4LzIwMTkBAAAAEMaiAQIAAAAINS4yMDczNzYAo9YkVfJB2Ah35sFy8kHYCDFDSVEuTFNFOlRTQ08uSVFfQ09TVF9SRVYuMjAwMC4zMC8wNC8yMDIwLi5GLkdCUC5DAQAAADBQBgACAAAABTU5ODE2AQgAAAAFAAAAATEBAAAACjIwMjY1MDczODgDAAAAAjU1AgAAAAExBAAAAAExBwAAAAk0LzMwLzIwMjAIAAAACTgvMTYvMjAyMAkAAAABMMkxB0vyQdgIyqCeWfJB2AgpQ0lRLk5ZU0U6TUFOVS5JUV9MQVNUU0FMRVBSSUNFLjA2LzA0LzIwMTgBAAAA3WsNAAIAAAAEMTkuMwAoK0J18kHYCB/iUXbyQdgIN0NJUS5OWVNFOlJBQ0UuSVFfTklfTUVESUFOX0VTVC4xMDAzLjMwLzA0LzIwMjAuLkYuRVVSLkMBAAAAPYKwEAIAAAAHOTI1Ljg2OAEOAAAABQAAAAEzAQAAAAEwAgAAAAoxMDAzMjI2ODU5AwAAAAYxMDAyNTEEAAAAATMGAAAAATAHAAAAAjUwCAAAAAExCQAAAAExCgAAAAEwCwAAAAsxMTg5NTUzNTA4NAwAAAABMQ0AAAAINS8xLzIwMjAQAAAACTgvMTYvMjAyMKR/B0vyQdgIVpunWfJB2AgzQ0lRLk5ZU0U6UkFDRS5JUV9FU1RfRVBTX0dST1dUSF81WVIuNjAwMC4zMC8wNC8yMDIwAQAAAD2CsBACAAAABzkuMjcxMjQBDgAA</t>
  </si>
  <si>
    <t>AAUAAAABNwEAAAAJMzEzOTc0OTgxAgAAAAoxMDAzMjI1MTI1AwAAAAYxMDAxNjcEAAAAATMGAAAAATAHAAAAATAIAAAAATAJAAAAATEKAAAAATALAAAACzExODg0MjI3ODQxDAAAAAE4DQAAAAg1LzEvMjAyMBAAAAAJNC8zMC8yMDIwsa8kVfJB2AizqX9Z8kHYCCBDSVEuLklRX0xBU1RTQUxFUFJJQ0UuMzEvMDEvMjAyMAUAAAAAAAAACAAAABQoSW52YWxpZCBJZGVudGlmaWVyKSC3MlLyQdgIxJDOWfJB2AggQ0lRLi5JUV9MQVNUU0FMRVBSSUNFLjMwLzExLzIwMTgFAAAAAAAAAAgAAAAUKEludmFsaWQgSWRlbnRpZmllcinn+TZS8kHYCBMIY3PyQdgIKkNJUS5OWVNFOktPLklRX0xBU1RTQUxFUFJJQ0UuMzEvMTIvMjAxOS4uQwEAAAASaAAAAgAAAAU1NS4zNQAoK0J18kHYCCgrQnXyQdgIJENJUS5eQVNYLklRX0xBU1RTQUxFUFJJQ0UuMzAvMDYvMjAxOQEAAAAfU+sBAgAAAAs0MDU2Ljg4MDk1NgBJBTNS8kHYCB/qCnPyQdgIJkNJUS5OQVNEQVFHUzpUU0xBLklRX1ZPTFVNRS4wMy8wMS8yMDIwAQAAABDGogECAAAABzE3Ljc5NDcAo9YkVfJB2AjDZntZ8kHYCC1DSVEuTFNFOlNGT1IuSVFfQ0FQRVguOTk3LjMxLzEyLzIwMTkuLkYuR0JQLkMBAAAAy1PkIQMAAAAAANoUlnfyQdgIKnHlePJB2AgcQ0lRLkxTRTpUU0NPLklRX0NPVU5UUllfTkFNRQEAAAAwUAYAAwAAAA5Vbml0ZWQgS2luZ2RvbQD8OiRV</t>
  </si>
  <si>
    <t>8kHYCL4riVnyQdgIM0NJUS5OWVNFOktPLklRX1BSRVBBSURfRVhQLjIwMDAuMzAvMDQvMjAyMC4uRi5VU0QuQwEAAAASaAAAAgAAAAQyMzM5AQgAAAAFAAAAATEBAAAACjIwMzAzNzY4OTcDAAAAAzE2MAIAAAAEMTIxMgQAAAABMQcAAAAJNC8zMC8yMDIwCAAAAAk4LzE2LzIwMjAJAAAAATADScpM8kHYCClUrFnyQdgINENJUS5MU0U6VFNDTy5JUV9TSEFSRVNPVVRTVEFORElOR19PVVQuMjUvMDIvMjAxNy5HQlABAAAAMFAGAAIAAAALODE2MS4xMjYzNjIAFSLKTPJB2AjOtWF28kHYCCFDSVEuTFNFOlRTQ08uSVFfVk9MVU1FLjE2LzAzLzIwMTgBAAAAMFAGAAIAAAAIMTIzLjQ1ODQAKCtCdfJB2Aj3JFZ28kHYCCBDSVEuLklRX0xBU1RTQUxFUFJJQ0UuMDcvMTIvMjAxOAUAAAAAAAAACAAAABQoSW52YWxpZCBJZGVudGlmaWVyKV/hNFHyQdgIQ/Zhc/JB2AgtQ0lRLk5BU0RBUUdTOkNBS0UuSVFfTEFTVFNBTEVQUklDRS4zMS8wNy8yMDE3AQAAAAjgBAACAAAABTQ3LjU4ANGDflPyQdgI22IncfJB2AgtQ0lRLk5BU0RBUUdTOkNBS0UuSVFfTEFTVFNBTEVQUklDRS4wNC8wMS8yMDE5AQAAAAjgBAACAAAABTQyLjQxAMfif1PyQdgI+4MicfJB2Ag0Q0lRLk5BU0RBUUdTOkNBS0UuSVFfRUJJVERBLjIwMDAuMzAvMDQvMjAyMC4uRi5VU0QuQwEAAAAI4AQAAgAAAAcyMTUuMzgxAQgAAAAFAAAAATEBAAAACjIw</t>
  </si>
  <si>
    <t>MjE1ODI3MDQDAAAAAzE2MAIAAAAENDA1MQQAAAABMQcAAAAJNC8zMC8yMDIwCAAAAAk4LzE2LzIwMjAJAAAAATD/b8pM8kHYCBJwolnyQdgIK0NJUS5OWVNFOk1BTlUuSVFfRklTQ0FMX1EuNTAwLjMxLzEyLzIwMTkuLkYBAAAA3WsNAAMAAAACUTEA3wbedPJB2AhoFUd28kHYCC5DSVEuTllTRTpNQU5VLklRX0RBX0NGLjk5Ny4zMS8xMi8yMDE5Li5GLkdCUC5DAQAAAN1rDQACAAAABjk4LjA4OAEIAAAABQAAAAExAQAAAAoxOTEwMjQ3NDAzAwAAAAI1NQIAAAAEMjE2MAQAAAABMQcAAAAKMTIvMzEvMjAxOQgAAAAJOC8xNi8yMDIwCQAAAAEw2hSWd/JB2Ai/9uZ48kHYCCtDSVEuTllTRTpSQUNFLklRX0dQLjk5OC4zMC8wNC8yMDIwLi5GLkVVUi5DAQAAAD2CsBACAAAABzE3NjYuMDMBCAAAAAUAAAABMQEAAAAKMjAxNTYzOTgwNQMAAAACNTACAAAAAjEwBAAAAAExBwAAAAk0LzMwLzIwMjAIAAAACTgvMTYvMjAyMAkAAAABMNkKB0vyQdgIhv+fWfJB2AgtQ0lRLk5BU0RBUUdTOkNBS0UuSVFfTEFTVFNBTEVQUklDRS4zMS8wMS8yMDIwAQAAAAjgBAACAAAABDM4LjQACA9+U/JB2AiWyV5Z8kHYCCFDSVEuTllTRTpLTy5JUV9URVZfT1VULjMxLzEyLzIwMTkBAAAAEmgAAAIAAAANMjcyNDA4LjcyNzcyNQEGAAAABQAAAAExAQAAAAoxOTg4ODAxMDQxAwAAAAMxNjACAAAABTQ2MjE0BAAAAAEwBwAAAAoxMi8z</t>
  </si>
  <si>
    <t>MS8yMDE5QVJCdfJB2AgF10528kHYCCZDSVEuTkFTREFRR1M6VFNMQS5JUV9WT0xVTUUuMDYvMDcvMjAxOAEAAAAQxqIBAgAAAAg4Ljg2NTQ1MQA6v4VS8kHYCK3SDHHyQdgIPkNJUS5OQVNEQVFHUzpDQUtFLklRX0hJR0hfVEFSR0VUX1BSSUNFLjYwMDAuMzAvMDQvMjAyMC4uLlVTRC5DAQAAAAjgBAACAAAAAjQ1AQ4AAAAFAAAAATcBAAAABzI1OTk2OTUCAAAABjI3Mzg4OAMAAAAGMTAwMTYzBAAAAAMyNTUGAAAAATAHAAAAAzE2MAgAAAABMQkAAAABMQoAAAABMAsAAAALMTE5MDIzOTMyMjEMAAAAATgNAAAACDUvMS8yMDIwEAAAAAk4LzE2LzIwMjD/b8pM8kHYCA1Cj1nyQdgIOkNJUS5OQVNEQVFHUzpUU0xBLklRX0VRVUlUWV9NRVRIT0QuOTk5LjMwLzA0LzIwMjAuLkYuVVNELkMBAAAAEMaiAQMAAAAAALxYB0vyQdgI3QSQWfJB2AgxQ0lRLkxTRTpUU0NPLklRX0NPU1RfUkVWLjEwMDAuMzAvMDQvMjAyMC4uRi5HQlAuQwEAAAAwUAYAAgAAAAU1OTgxNgEIAAAABQAAAAExAQAAAAoyMDI2NTA3MzA5AwAAAAI1NQIAAAABMQQAAAABMQcAAAAJNC8zMC8yMDIwCAAAAAk4LzE2LzIwMjAJAAAAATDJMQdL8kHYCMHHnlnyQdgIJENJUS5eQVNYLklRX0xBU1RTQUxFUFJJQ0UuMDYvMTIvMjAxOQEAAAAfU+sBAgAAAAs0MDIzLjIwODA0OAC1vDdS8kHYCBCGGXPyQdgIPkNJUS5MU0U6U0ZPUi5JUV9UT1RBTF9E</t>
  </si>
  <si>
    <t>RUJUX05PTl9DVVJSRU5ULjk5Ny4zMS8xMi8yMDE5Li5GLkdCUC5DAQAAAMtT5CEDAAAAAAAcrRd48kHYCN4w93jyQdgIIENJUS4uSVFfTEFTVFNBTEVQUklDRS4wNS8wNy8yMDE5BQAAAAAAAAAIAAAAFChJbnZhbGlkIElkZW50aWZpZXIphl2FUfJB2Age5T1z8kHYCC9DSVEuTkFTREFRR1M6Q0FLRS5JUV9GSVNDQUxfUS41MDAuMzAvMDQvMjAyMC4uRgEAAAAI4AQAAwAAAAJRNAD8OiRV8kHYCJugiVnyQdgIJUNJUS5JUTUwMDI3NTgzLklRX0xBU1RTQUxFUFJJQ0UuNDM0NjUBAAAAP1z7AgIAAAAFMC45MDcA3wbedPJB2Aif0kl28kHYCCtDSVEuTllTRTpLTy5JUV9FQlQuMTAwMC4zMC8wNC8yMDIwLi5GLlVTRC5DAQAAABJoAAACAAAABTEwNzg2AQgAAAAFAAAAATEBAAAACjIwMTY3OTEyNDUDAAAAAzE2MAIAAAADMTM5BAAAAAExBwAAAAk0LzMwLzIwMjAIAAAACTgvMTYvMjAyMAkAAAABMANJykzyQdgI5O6lWfJB2AgmQ0lRLk5BU0RBUUdTOlRTTEEuSVFfVk9MVU1FLjIzLzA4LzIwMTkBAAAAEMaiAQIAAAAIOC41NTk3MDQAo9YkVfJB2Ah35sFy8kHYCClDSVEuTllTRTpSQUNFLklRX0xBU1RTQUxFUFJJQ0UuMzEvMDcvMjAxNgEAAAA9grAQAgAAAAU0NS4xNwDBqn5T8kHYCHKlJHHyQdgIJ0NJUS4kQUVEVVNELklRX0xBU1RTQUxFUFJJQ0UuMjcvMDMvMjAyMAEAAAAl61oAAgAAAAYzLjY3MjkAFSLK</t>
  </si>
  <si>
    <t>TPJB2AhmY4pZ8kHYCCRDSVEuXkFTWC5JUV9MQVNUU0FMRVBSSUNFLjMxLzAzLzIwMTcBAAAAH1PrAQIAAAALMzk5MC4wMDA5OTkAfKuFUfJB2AjYhQtz8kHYCCZDSVEuTkFTREFRR1M6Q0FLRS5JUV9WT0xVTUUuMDYvMDkvMjAxOQEAAAAI4AQAAgAAAAgwLjkwMzU2MgCV/SRV8kHYCMXVwHLyQdgIP0NJUS5OQVNEQVFHUzpDQUtFLklRX0VCSVREQV9NRURJQU5fRVNULjYwMDEuMzEvMTIvMjAxOS4uRi5VU0QuQwEAAAAI4AQAAwAAAAAA80gYePJB2AiUL+948kHYCClDSVEuTllTRTpSQUNFLklRX0xBU1RTQUxFUFJJQ0UuMjgvMDIvMjAyMAEAAAA9grAQAgAAAAYxNTcuNzUACA9+U/JB2AiTaV1Z8kHYCChDSVEuTFNFOlRTQ08uSVFfTEFTVFNBTEVQUklDRS4yNi8wNy8yMDE5AQAAADBQBgACAAAABDIuMjYA0YN+U/JB2Ag46Chx8kHYCCJDSVEuTllTRTpNQU5VLklRX1ZPTFVNRS4yNi8wNy8yMDE5AQAAAN1rDQACAAAACDAuMDE2NDgzAJX9JFXyQdgICXe/cvJB2AgnQ0lRLk5ZU0U6S08uSVFfTEFTVFNBTEVQUklDRS4xMC8wOC8yMDE4AQAAABJoAAACAAAABTQ2LjA4ADq/hVLyQdgIrlIQcfJB2AgmQ0lRLk5BU0RBUUdTOlRTTEEuSVFfVk9MVU1FLjIxLzEyLzIwMTgBAAAAEMaiAQIAAAAIOC4wMTY4MDEAx+J/U/JB2AgPmiFx8kHYCCBDSVEuLklRX0xBU1RTQUxFUFJJQ0UuMjAvMDcvMjAxOAUAAAAAAAAA</t>
  </si>
  <si>
    <t>CAAAABQoSW52YWxpZCBJZGVudGlmaWVyKb1QN1HyQdgIeh5wc/JB2AgnQ0lRLk5ZU0U6S08uSVFfTEFTVFNBTEVQUklDRS4xNy8wNS8yMDE5AQAAABJoAAACAAAABDQ5LjIAwap+U/JB2AhKxyZx8kHYCD1DSVEuTllTRTpSQUNFLklRX1RPVEFMX0NPTU1PTl9FUVVJVFkuMjAwMC4zMC8wNC8yMDIwLi5GLkVVUi5DAQAAAD2CsBACAAAABzE0ODEuMjkBCAAAAAUAAAABMQEAAAAKMjAxNTY0Mjk1NAMAAAACNTACAAAABDEwMDYEAAAAATEHAAAACTQvMzAvMjAyMAgAAAAJOC8xNi8yMDIwCQAAAAEw2QoHS/JB2Aid45tZ8kHYCCNDSVEuTkFTREFRR1M6Q0FLRS5JUV9URVYuMzEvMTIvMjAxOQEAAAAI4AQAAgAAAAoyODEyLjg3NjA0AQYAAAAFAAAAATEBAAAACjE5OTEzMjUyMjADAAAAAzE2MAIAAAAGMTAwMDYwBAAAAAEwBwAAAAoxMi8zMS8yMDE5QVJCdfJB2AiPJk928kHYCCRDSVEuXkFTWC5JUV9MQVNUU0FMRVBSSUNFLjA4LzAzLzIwMTkBAAAAH1PrAQIAAAALMzg5Ny40OTQxNTEAoJ43UfJB2AjPvRpz8kHYCCVDSVEuXkNPTVAuSVFfTEFTVFNBTEVQUklDRS4yNi8xMC8yMDE4AQAAAIm4KAACAAAABzcxNjcuMjEAisU3UfJB2AifZBdz8kHYCDBDSVEuTkFTREFRR1M6VFNMQS5JUV9TR0EuOTk2LjMxLzEyLzIwMTkuLkYuVVNELkMBAAAAEMaiAQIAAAAGNjAzLjY2AQgAAAAFAAAAATEBAAAACjE4MzAxNDMz</t>
  </si>
  <si>
    <t>MDADAAAAAzE2MAIAAAACMjMEAAAAATEHAAAACjEyLzMxLzIwMTkIAAAACTgvMTYvMjAyMAkAAAABMB4iGHjyQdgIgH3vePJB2AgtQ0lRLk5ZU0U6UkFDRS5JUV9QRVJJT0REQVRFLjk5NC4zMS8xMi8yMDE5Li5GAQAAAD2CsBAFAAAACjMxLzEyLzIwMTIA/gNCdfJB2AhYdF128kHYCCVDSVEuXkNPTVAuSVFfTEFTVFNBTEVQUklDRS4zMS8wMS8yMDE5AQAAAIm4KAACAAAABzcyODEuNzQA/yszUvJB2AiNZAlz8kHYCCdDSVEuTllTRTpLTy5JUV9MQVNUU0FMRVBSSUNFLjIwLzEyLzIwMTkBAAAAEmgAAAIAAAAFNTQuOTcACA9+U/JB2AhEYS5x8kHYCC5DSVEuTFNFOlRTQ08uSVFfTEFTVFNBTEVQUklDRS4zMC8wNC8yMDIwLkdCUC5DAQAAADBQBgACAAAABTIuMzUxALNDw1ryQdgIO6XRWvJB2AgiQ0lRLk5ZU0U6UkFDRS5JUV9WT0xVTUUuMDYvMDkvMjAxOQEAAAA9grAQAgAAAAgwLjI3OTA0MgAlYbVT8kHYCAMevHLyQdgIJkNJUS5OQVNEQVFHUzpDQUtFLklRX1ZPTFVNRS4yNy8xMi8yMDE5AQAAAAjgBAACAAAACDAuODY1MTU5AJX9JFXyQdgIsSPBcvJB2AglQ0lRLl5DT01QLklRX0xBU1RTQUxFUFJJQ0UuMjQvMDgvMjAxOAEAAACJuCgAAgAAAAc3OTQ1Ljk4AIrFN1HyQdgIvbIXc/JB2Ag1Q0lRQVZHLiRBRURFVVIuSVFfTEFTVFNBTEVQUklDRS4zMS8xMi8yMDEzLjMxLzEyLzIwMTQBAAAAJetaAAIA</t>
  </si>
  <si>
    <t>AAAINC44ODAxNTYA6pbKTPJB2AihCmB28kHYCCRDSVEuXkFTWC5JUV9MQVNUU0FMRVBSSUNFLjExLzA1LzIwMTgBAAAAH1PrAQIAAAALNDI0Mi4wMzg4ODkAisU3UfJB2Ah69Rtz8kHYCCBDSVEuTllTRTpLTy5JUV9WT0xVTUUuMDcvMDYvMjAxOQEAAAASaAAAAgAAAAgxNS4yOTM1NgCj1iRV8kHYCC73wnLyQdgIK0NJUS5MU0U6U0ZPUi5JUV9FQlQuOTk3LjMwLzA0LzIwMjAuLkYuR0JQLkMBAAAAy1PkIQMAAAAAANkKB0vyQdgItmOmWfJB2AgwQ0lRLkxTRTpTRk9SLklRX0lOQ19UQVguMTAwMC4zMC8wNC8yMDIwLi5GLkdCUC5DAQAAAMtT5CECAAAABTAuODQ1AQgAAAAFAAAAATEBAAAACjIwMjI1OTk3OTkDAAAAAjU1AgAAAAI3NQQAAAABMQcAAAAJNC8zMC8yMDIwCAAAAAk4LzE2LzIwMjAJAAAAATDZCgdL8kHYCIrYplnyQdgIJkNJUS5OQVNEQVFHUzpUU0xBLklRX1ZPTFVNRS4wNC8xMC8yMDE5AQAAABDGogECAAAABzguMDIxMTgAo9YkVfJB2AhtDcJy8kHYCD1DSVEuTkFTREFRR1M6VFNMQS5JUV9FQklUX01FRElBTl9FU1QuMTAwMi4zMS8xMi8yMDE5Li5GLlVTRC5DAQAAABDGogECAAAAAzk3NAEOAAAABQAAAAEzAQAAAAEwAgAAAAoxMDAwODcyOTYzAwAAAAYxMDAyMTYEAAAAATIGAAAAATAHAAAAAzE2MAgAAAABMQkAAAABMQoAAAABMAsAAAALMTE3MjkwODk3MTEMAAAAATENAAAACDEvMS8y</t>
  </si>
  <si>
    <t>MDIwEAAAAAk4LzE2LzIwMjDzSBh48kHYCCLm7HjyQdgIO0NJUS5OWVNFOlJBQ0UuSVFfRUJJVERBX01FRElBTl9FU1QuMTAwMy4zMC8wNC8yMDIwLi5GLkVVUi5DAQAAAD2CsBACAAAACjE4MTEuMjAzNTMBDgAAAAUAAAABMwEAAAABMAIAAAAKMTAwMzIyNjg1OQMAAAAGMTAwMTg4BAAAAAEzBgAAAAEwBwAAAAI1MAgAAAABMQkAAAABMQoAAAABMAsAAAALMTE4OTU1MzUyNTIMAAAAATENAAAACDUvMS8yMDIwEAAAAAk4LzE2LzIwMjCkfwdL8kHYCCc3oVnyQdgIOUNJUS5OQVNEQVFHUzpUU0xBLklRX1RPVEFMX0FTU0VUUy45OTguMzAvMDQvMjAyMC4uRi5VU0QuQwEAAAAQxqIBAgAAAAkyODY1NS4zNzIBCAAAAAUAAAABMQEAAAAKMjAxMzkwNzQ3MAMAAAADMTYwAgAAAAQxMDA3BAAAAAExBwAAAAk0LzMwLzIwMjAIAAAACTgvMTYvMjAyMAkAAAABMLxYB0vyQdgI0paUWfJB2Ag0Q0lRLkxTRTpUU0NPLklRX1RPVEFMX0FTU0VUUy45OTkuMzEvMTIvMjAxOS4uRi5HQlAuQwEAAAAwUAYAAgAAAAU0NDg4NAEIAAAABQAAAAExAQAAAAoxOTY4NzM2NTU5AwAAAAI1NQIAAAAEMTAwNwQAAAABMQcAAAAKMTIvMzEvMjAxOQgAAAAJOC8xNi8yMDIwCQAAAAEwO4YXePJB2AipJft48kHYCDZDSVEuTFNFOlRTQ08uSVFfQ0FTSF9TVF9JTlZFU1QuOTk4LjMwLzA0LzIwMjAuLkYuR0JQLkMBAAAAMFAGAAIAAAAEMzc4</t>
  </si>
  <si>
    <t>NAEIAAAABQAAAAExAQAAAAoxOTY4NzM2NTU5AwAAAAI1NQIAAAAEMTAwMgQAAAABMQcAAAAJNC8zMC8yMDIwCAAAAAk4LzE2LzIwMjAJAAAAATDJMQdL8kHYCDwRk1nyQdgIKENJUS5MU0U6U0ZPUi5JUV9MQVNUU0FMRVBSSUNFLjI2LzEwLzIwMTgBAAAAy1PkIQIAAAAFMS4wODUAQ5iFUvJB2AjtjxZx8kHYCCVDSVEuXkNPTVAuSVFfTEFTVFNBTEVQUklDRS4zMS8xMC8yMDE3AQAAAIm4KAACAAAABzY3MjcuNjcAtbw3UvJB2Ahn2Qlz8kHYCCxDSVEuTllTRTpLTy5JUV9FQklULjIwMDAuMzAvMDQvMjAyMC4uRi5VU0QuQwEAAAASaAAAAgAAAAUxMDY2MwEIAAAABQAAAAExAQAAAAoyMDMwMzc2ODk3AwAAAAMxNjACAAAAAzQwMAQAAAABMQcAAAAJNC8zMC8yMDIwCAAAAAk4LzE2LzIwMjAJAAAAATADScpM8kHYCFZDpFnyQdgIIUNJUS5MU0U6VFNDTy5JUV9WT0xVTUUuMDUvMDcvMjAxOQEAAAAwUAYAAgAAAAgxNC44OTcyNACV/SRV8kHYCG0/vnLyQdgIM0NJUS5OQVNEQVFHUzpDQUtFLklRX0VCSVREQS45OTYuMzEvMTIvMjAxOS4uRi5VU0QuQwEAAAAI4AQAAgAAAAcyMjguMjYyAQgAAAAFAAAAATEBAAAACjE4MzAzODY5ODYDAAAAAzE2MAIAAAAENDA1MQQAAAABMQcAAAAKMTIvMzEvMjAxOQgAAAAJOC8xNi8yMDIwCQAAAAEwHiIYePJB2Aj9Hu548kHYCClDSVEuTllTRTpNQU5VLklRX0xBU1RTQUxF</t>
  </si>
  <si>
    <t>UFJJQ0UuMzEvMDUvMjAxNwEAAADdaw0AAgAAAAUxNi40NQDRg35T8kHYCBLuJnHyQdgILkNJUS5OQVNEQVFHUzpUU0xBLklRX0RJVklERU5EX1lJRUxELjMxLzEyLzIwMTkBAAAAEMaiAQMAAAAAAP4DQnXyQdgIjyZPdvJB2AgwQ0lRLkxTRTpTRk9SLklRX0NPU1RfUkVWLjk5Ny4zMC8wNC8yMDIwLi5GLkdCUC5DAQAAAMtT5CEDAAAAAADJMQdL8kHYCLE8n1nyQdgIOkNJUS5OWVNFOlJBQ0UuSVFfQ0FQRVhfTUVESUFOX0VTVC42MDAxLjMxLzEyLzIwMTkuLkYuRVVSLkMBAAAAPYKwEAMAAAAAADs8lnfyQdgI4IHmePJB2AguQ0lRLk5ZU0U6TUFOVS5JUV9DQVBFWC45OTcuMzAvMDQvMjAyMC4uRi5HQlAuQwEAAADdaw0AAgAAAAYtNS4xMDEBCAAAAAUAAAABMQEAAAAKMTkxMDI0NzQwMwMAAAACNTUCAAAABDIwMjEEAAAAATEHAAAACTQvMzAvMjAyMAgAAAAJOC8xNi8yMDIwCQAAAAEw/2/KTPJB2Agx3qtZ8kHYCDNDSVEuTllTRTpSQUNFLklRX1RPVEFMX0xJQUIuOTk3LjMxLzEyLzIwMTkuLkYuRVVSLkMBAAAAPYKwEAIAAAAIMzg5NC44MDIBCAAAAAUAAAABMQEAAAAKMTg3NjA0MzMxMwMAAAACNTACAAAABDEyNzYEAAAAATEHAAAACjEyLzMxLzIwMTkIAAAACTgvMTYvMjAyMAkAAAABMITUF3jyQdgIEW31ePJB2AgzQ0lRLk5ZU0U6UkFDRS5JUV9MVF9JTlZFU1QuMjAwMC4zMS8xMi8yMDE5Li5GLkVV</t>
  </si>
  <si>
    <t>Ui5DAQAAAD2CsBACAAAABTM2LjkxAQgAAAAFAAAAATEBAAAACjE5OTA0MjM2ODcDAAAAAjUwAgAAAAQxMDU0BAAAAAExBwAAAAoxMi8zMS8yMDE5CAAAAAk4LzE2LzIwMjAJAAAAATA7hhd48kHYCM+w+njyQdgIMUNJUS5OQVNEQVFHUzpUU0xBLklRX0VCVC4xMDAzLjMxLzEyLzIwMTkuLkYuVVNELkMBAAAAEMaiAQMAAAAAAB4iGHjyQdgIh4frePJB2Ag7Q0lRLkxTRTpUU0NPLklRX1JFVkVOVUVfTUVESUFOX0VTVC4xMDAzLjMxLzEyLzIwMTkuLkYuR0JQLkMBAAAAMFAGAAIAAAALNjY4OTguMDE2ODIBDgAAAAUAAAABMwEAAAABMAIAAAAKMTAwMDI2NDUwMAMAAAAGMTAwMTgxBAAAAAEzBgAAAAEwBwAAAAI1NQgAAAABMQkAAAABMQoAAAABMAsAAAALMTE3MjIxMDYyNDkMAAAAATENAAAACDEvMS8yMDIwEAAAAAk4LzE2LzIwMjDzSBh48kHYCJKZ83jyQdgIJ0NJUS4kQUVEQ0FELklRX0xBU1RTQUxFUFJJQ0UuMzEvMTIvMjAxOAEAAAAl61oAAgAAAAsyLjY5MTc0OTYwMQDfBt508kHYCDFtSnbyQdgILUNJUS5OQVNEQVFHUzpUU0xBLklRX0xBU1RTQUxFUFJJQ0UuMDMvMDgvMjAxOAEAAAAQxqIBAgAAAAYzNDguMTcAOr+FUvJB2AjVtg9x8kHYCDdDSVEuTllTRTpSQUNFLklRX0NBU0hfU1RfSU5WRVNULjk5OS4zMS8xMi8yMDE5Li5GLkVVUi5DAQAAAD2CsBACAAAABzY1Mi44MTIBCAAAAAUAAAABMQEA</t>
  </si>
  <si>
    <t>AAAKMTk0NzQ0NDE5MAMAAAACNTACAAAABDEwMDIEAAAAATEHAAAACjEyLzMxLzIwMTkIAAAACTgvMTYvMjAyMAkAAAABMDuGF3jyQdgIVyD9ePJB2AgzQ0lRLk5ZU0U6UkFDRS5JUV9UT1RBTF9MSUFCLjk5OC4zMC8wNC8yMDIwLi5GLkVVUi5DAQAAAD2CsBACAAAACDMzNTcuMTY4AQgAAAAFAAAAATEBAAAACjIwMTU2Mzk4MDUDAAAAAjUwAgAAAAQxMjc2BAAAAAExBwAAAAk0LzMwLzIwMjAIAAAACTgvMTYvMjAyMAkAAAABMNkKB0vyQdgI+4SaWfJB2AgiQ0lRLk5ZU0U6TUFOVS5JUV9WT0xVTUUuMTQvMDkvMjAxOAEAAADdaw0AAgAAAAgwLjAyODQ1NgBDmIVS8kHYCGMQE3HyQdgIKENJUS5MU0U6U0ZPUi5JUV9MQVNUU0FMRVBSSUNFLjE2LzAzLzIwMTgBAAAAy1PkIQMAAAAAACgrQnXyQdgI9yRWdvJB2Ag1Q0lRLk5BU0RBUUdTOlRTTEEuSVFfU0hBUkVTT1VUU1RBTkRJTkcuMzAvMDQvMjAyMC5VU0QBAAAAEMaiAQIAAAAKMTg1LjM3MTEwNQCzQ8Na8kHYCEZ+0VryQdgILUNJUS5OWVNFOk1BTlUuSVFfUFJJQ0VfVk9MX0hJU1RfWVIuMzAvMDQvMjAyMAEAAADdaw0AAgAAAAczNi41NjM5APw6JFXyQdgIviuJWfJB2AgiQ0lRLi5JUV9DT1NUX0JPUlJPV0lORy4uMzAvMDQvMjAyMAUAAAAAAAAACAAAABQoSW52YWxpZCBJZGVudGlmaWVyKeISJFXyQdgIE3J+WfJB2Ag1Q0lRLkVVUi5JUV9GVUxMX0NV</t>
  </si>
  <si>
    <t>UlZFX0FOTlVBTC5BTExDT1JQLkIuMjBZLjMwLzA0LzIwMjABAAAAAAAAAAIAAAAJMC4wNzgwMjcyAKokJVXyQdgIb5WGWfJB2AgtQ0lRLk5BU0RBUUdTOkNBS0UuSVFfTEFTVFNBTEVQUklDRS4xMC8wNS8yMDE5AQAAAAjgBAACAAAABTQ3Ljc3AMGqflPyQdgI3ngmcfJB2AggQ0lRLk5ZU0U6S08uSVFfVk9MVU1FLjIwLzEyLzIwMTkBAAAAEmgAAAIAAAAIMjMuODMzMjkAo9YkVfJB2AgHk8Ny8kHYCDVDSVFBVkcuJEFFRFVTRC5JUV9MQVNUU0FMRVBSSUNFLjMxLzEyLzIwMTMuMzEvMTIvMjAxNAEAAAAl61oAAgAAAAgzLjY3MzEzNADqlspM8kHYCH/jX3byQdgIKUNJUS5OWVNFOk1BTlUuSVFfTEFTVFNBTEVQUklDRS4yNC8wMS8yMDIwAQAAAN1rDQACAAAABTE5LjA1AAgPflPyQdgIHIFcWfJB2AgZQ0lRLi5JUV9WT0xVTUUuMDcvMTIvMjAxOAUAAAAAAAAACAAAABQoSW52YWxpZCBJZGVudGlmaWVyKbptf1PyQdgIte0fcfJB2AgkQ0lRLl5BU1guSVFfTEFTVFNBTEVQUklDRS4yNy8wNC8yMDE4AQAAAB9T6wECAAAACzQxMjMuOTIyNDI3AIrFN1HyQdgIeBwcc/JB2AglQ0lRLl5DT01QLklRX0xBU1RTQUxFUFJJQ0UuMzEvMDUvMjAxOQEAAACJuCgAAgAAAAc3NDUzLjE1AEkFM1LyQdgIGVQWc/JB2AglQ0lRLl5DT01QLklRX0xBU1RTQUxFUFJJQ0UuMDcvMDIvMjAyMAEAAACJuCgAAgAAAAc5NTIwLjUx</t>
  </si>
  <si>
    <t>AEkFM1LyQdgIpcK8WfJB2AhAQ0lRLk5ZU0U6UkFDRS5JUV9NSU5PUklUWV9JTlRFUkVTVF9UT1RBTC45OTkuMzAvMDQvMjAyMC4uRi5FVVIuQwEAAAA9grAQAgAAAAU1LjExNwEIAAAABQAAAAExAQAAAAoyMDE1NjM5ODE4AwAAAAI1MAIAAAAEMTMxMgQAAAABMQcAAAAJNC8zMC8yMDIwCAAAAAk4LzE2LzIwMjAJAAAAATDZCgdL8kHYCDubmVnyQdgIKkNJUS5JUTQzOTQzODEyLklRX0xBU1RTQUxFUFJJQ0UuMzAvMDQvMjAyMAEAAACEh54CAgAAAAktMC43MjEwNTIAo9YkVfJB2Aim0oVZ8kHYCCdDSVEuJEFFRFZORC5JUV9MQVNUU0FMRVBSSUNFLjMxLzEyLzIwMTgBAAAAJetaAAIAAAALMC4wMDAxNTgzMTkA/gNCdfJB2AjRpEt28kHYCCJDSVEuTllTRTpSQUNFLklRX1ZPTFVNRS4xMi8wMS8yMDE4AQAAAD2CsBACAAAABzAuMzkzMDMAKCtCdfJB2AjJx1t28kHYCChDSVEuTFNFOlNGT1IuSVFfTEFTVFNBTEVQUklDRS4yOC8wMi8yMDE4AQAAAMtT5CEDAAAAAAAFXX5T8kHYCDjoKHHyQdgILUNJUS5OQVNEQVFHUzpDQUtFLklRX0xBU1RTQUxFUFJJQ0UuMzAvMDQvMjAxOQEAAAAI4AQAAgAAAAU0OS42MgAID35T8kHYCL6NLHHyQdgIJUNJUS5eQ09NUC5JUV9MQVNUU0FMRVBSSUNFLjMwLzExLzIwMTYBAAAAibgoAAIAAAAHNTMyMy42OAB8q4VR8kHYCHEBCnPyQdgILUNJUS5OQVNEQVFHUzpUU0xBLklR</t>
  </si>
  <si>
    <t>X0xBU1RTQUxFUFJJQ0UuMzAvMTEvMjAxNQEAAAAQxqIBAgAAAAYyMzAuMjYAuZR/U/JB2Aj3+CJx8kHYCCJDSVEuTllTRTpNQU5VLklRX1ZPTFVNRS4wNi8xMi8yMDE5AQAAAN1rDQACAAAACDAuNDQ4OTg1AJX9JFXyQdgI7eu/cvJB2AggQ0lRLi5JUV9MQVNUU0FMRVBSSUNFLjMxLzAxLzIwMTcFAAAAAAAAAAgAAAAUKEludmFsaWQgSWRlbnRpZmllcimSNoVR8kHYCIkiS3PyQdgIM0NJUS5OQVNEQVFHUzpDQUtFLklRX1RPVEFMX1JFVjpDVVJSRU5DWS4uMzAvMDQvMjAyMAEAAAAI4AQAAwAAAANVU0QBCAAAAAUAAAABMQEAAAAKMjA0MjQ1MTU2MAMAAAADMTYwAgAAAAIyOAQAAAABMAcAAAAJNC8zMC8yMDIwCAAAAAkzLzMxLzIwMjAJAAAAATD8OiRV8kHYCLoXglnyQdgIKENJUS5MU0U6U0ZPUi5JUV9MQVNUU0FMRVBSSUNFLjMwLzA2LzIwMTUBAAAAy1PkIQMAAAAAAKS8f1PyQdgIbrAgcfJB2AgqQ0lRLklRNDM5NDM4MTguSVFfTEFTVFNBTEVQUklDRS4zMS8xMi8yMDE5AQAAAIqHngICAAAACS0wLjE0MTYxNADfBt508kHYCDFtSnbyQdgIIkNJUS5OWVNFOlJBQ0UuSVFfQ09NUEFOWV9OQU1FX0xPTkcBAAAAPYKwEAMAAAAYRmVycmFyaSBOLlYuIChOWVNFOlJBQ0UpAAHofVPyQdgIljdhWfJB2AghQ0lRLkxTRTpTRk9SLklRX1ZPTFVNRS4xMy8wOS8yMDE5AQAAAMtT5CECAAAACDAuMzEzMTk2AJX9</t>
  </si>
  <si>
    <t>JFXyQdgI4lW9cvJB2AgiQ0lRLk5ZU0U6TUFOVS5JUV9WT0xVTUUuMTIvMDQvMjAxOQEAAADdaw0AAgAAAAgwLjAyNzIxOQC5lH9T8kHYCB4pv3LyQdgIPENJUS5OQVNEQVFHUzpUU0xBLklRX0NBU0hfU1RfSU5WRVNULjEwMDAuMzAvMDQvMjAyMC4uRi5VU0QuQwEAAAAQxqIBAgAAAAQ2MjY4AQgAAAAFAAAAATEBAAAACjIwMTM5MDc0NjADAAAAAzE2MAIAAAAEMTAwMgQAAAABMQcAAAAJNC8zMC8yMDIwCAAAAAk4LzE2LzIwMjAJAAAAATC8WAdL8kHYCKvHkFnyQdgILUNJUS5OQVNEQVFHUzpUU0xBLklRX0xBU1RTQUxFUFJJQ0UuMjMvMDMvMjAxOAEAAAAQxqIBAgAAAAYzMDEuNTQAKCtCdfJB2AhRzVJ28kHYCCFDSVEuTFNFOlRTQ08uSVFfVk9MVU1FLjIwLzA3LzIwMTgBAAAAMFAGAAIAAAAIMTcuODQyNzEAOr+FUvJB2AhOMQ5x8kHYCCNDSVEuTFNFOlNGT1IuSVFfQkVUQV8yWVIuMzAvMDQvMjAyMAEAAADLU+QhAgAAABAxLjE3OTIyNjU3MzU4MTY1AKPWJFXyQdgI27aIWfJB2AgnQ0lRLiRBRURSVUIuSVFfTEFTVFNBTEVQUklDRS4zMS8xMi8yMDE5AQAAACXrWgACAAAACzAuMDU5MTU5Mzk5AP4DQnXyQdgI+y9LdvJB2AgtQ0lRLk5BU0RBUUdTOkNBS0UuSVFfTEFTVFNBTEVQUklDRS4yNS8xMC8yMDE5AQAAAAjgBAACAAAABTQxLjk3AAVdflPyQdgIyWYscfJB2AgpQ0lRLk5ZU0U6UkFDRS5JUV9M</t>
  </si>
  <si>
    <t>QVNUU0FMRVBSSUNFLjA3LzAyLzIwMjABAAAAPYKwEAIAAAAGMTY2Ljc2AAgPflPyQdgI9c5cWfJB2Ag0Q0lRLk5BU0RBUUdTOkNBS0UuSVFfUlVBX05FVC4yMDAwLjMxLzEyLzIwMTkuLi5MT0NBTAEAAAAI4AQAAwAAAAAA/gNCdfJB2Agm6U928kHYCDdDSVEuTFNFOlNGT1IuSVFfQ0FTSF9TVF9JTlZFU1QuMTAwMC4zMS8xMi8yMDE5Li5GLkdCUC5DAQAAAMtT5CECAAAABjI1LjAwNQEIAAAABQAAAAExAQAAAAoxOTYxMTE2MjcxAwAAAAI1NQIAAAAEMTAwMgQAAAABMQcAAAAKMTIvMzEvMjAxOQgAAAAJOC8xNi8yMDIwCQAAAAEwO4YXePJB2AhV8v548kHYCDJDSVEuTllTRTpSQUNFLklRX1RPVEFMX0NMLjIwMDAuMzAvMDQvMjAyMC4uRi5FVVIuQwEAAAA9grAQAgAAAAgxNDAyLjAxNQEIAAAABQAAAAExAQAAAAoyMDE1NjQyOTU0AwAAAAI1MAIAAAAEMTAwOQQAAAABMQcAAAAJNC8zMC8yMDIwCAAAAAk4LzE2LzIwMjAJAAAAATDg4wZL8kHYCO8El1nyQdgIJ0NJUS4kQUVEQlJMLklRX0xBU1RTQUxFUFJJQ0UuMzAvMDQvMjAxOQEAAAAl61oAAgAAAAswLjkzMTc4NDE2NQCqJCVV8kHYCBrChFnyQdgIJ0NJUS4kQUVEVVNELklRX0xBU1RTQUxFUFJJQ0UuMjcvMDkvMjAxOQEAAAAl61oAAgAAAAUzLjY3MwBHYBd48kHYCNdiAXnyQdgIMUNJUS5OQVNEQVFHUzpDQUtFLklRX0VCVC4xMDAyLjMwLzA0LzIw</t>
  </si>
  <si>
    <t>MjAuLkYuVVNELkMBAAAACOAEAAMAAAAAAP9vykzyQdgIEVOlWfJB2Ag3Q0lRLk5ZU0U6TUFOVS5JUV9FUVVJVFlfTUVUSE9ELjIwMDAuMzEvMTIvMjAxOS4uRi5HQlAuQwEAAADdaw0AAwAAAAAAR2AXePJB2AgzKwB58kHYCDVDSVFBVkcuJEFFREdCUC5JUV9MQVNUU0FMRVBSSUNFLjMxLzEyLzIwMTguMzEvMTIvMjAxOQEAAAAl61oAAgAAAAg0LjY5MDAyMwDqlspM8kHYCBGbi1nyQdgIIUNJUS5MU0U6VFNDTy5JUV9WT0xVTUUuMDYvMTIvMjAxOQEAAAAwUAYAAgAAAAgxNy41MTkxNQCV/SRV8kHYCFW0vnLyQdgIKUNJUS5OWVNFOktPLklRX0ZJU0NBTF9ZLjUwMC4zMC8wNC8yMDIwLi5GAQAAABJoAAABAAAABDIwMjAA/DokVfJB2AhyPIpZ8kHYCClDSVEuTllTRTpNQU5VLklRX0xBU1RTQUxFUFJJQ0UuMjkvMTIvMjAxNwEAAADdaw0AAgAAAAQxOS44ACgrQnXyQdgIqthcdvJB2AgnQ0lRLk5ZU0U6S08uSVFfTEFTVFNBTEVQUklDRS4zMC8xMS8yMDE5AQAAABJoAAACAAAABDUzLjQAAeh9U/JB2AhEYS5x8kHYCCZDSVEuTkFTREFRR1M6Q0FLRS5JUV9WT0xVTUUuMjQvMDUvMjAxOQEAAAAI4AQAAgAAAAgxLjE0MDkyNACV/SRV8kHYCN6HwHLyQdgIIkNJUS5OWVNFOlJBQ0UuSVFfVk9MVU1FLjI1LzAxLzIwMTkBAAAAPYKwEAIAAAAIMC4zMzkyNzMApLx/U/JB2Agtgrty8kHYCCRDSVEuXkFTWC5JUV9M</t>
  </si>
  <si>
    <t>QVNUU0FMRVBSSUNFLjMxLzEyLzIwMTQBAAAAH1PrAQIAAAALMzUzMi43MzkwMTYA2C3edPJB2AiQeUZ28kHYCC9DSVEuTkFTREFRR1M6Q0FLRS5JUV9GSVNDQUxfWS41MDAuMzAvMDQvMjAyMC4uRgEAAAAI4AQAAQAAAAQyMDE5APw6JFXyQdgIkceJWfJB2AgyQ0lRLk5ZU0U6UkFDRS5JUV9UT1RBTF9DTC4xMDAwLjMwLzA0LzIwMjAuLkYuRVVSLkMBAAAAPYKwEAIAAAAIMTQwMi4wMTUBCAAAAAUAAAABMQEAAAAKMjAxNTYzOTgyMgMAAAACNTACAAAABDEwMDkEAAAAATEHAAAACTQvMzAvMjAyMAgAAAAJOC8xNi8yMDIwCQAAAAEw4OMGS/JB2AjmK5dZ8kHYCClDSVEuTllTRTpSQUNFLklRX0xBU1RTQUxFUFJJQ0UuMTUvMDYvMjAxOAEAAAA9grAQAgAAAAUxNDguOQAp5oVS8kHYCDDYCnHyQdgIMUNJUS5OWVNFOk1BTlUuSVFfVE9UQUxfQ0wuOTk5LjMxLzEyLzIwMTkuLkYuR0JQLkMBAAAA3WsNAAIAAAAHNDYxLjQ1NgEIAAAABQAAAAExAQAAAAoxOTg1ODQ1MDI5AwAAAAI1NQIAAAAEMTAwOQQAAAABMQcAAAAKMTIvMzEvMjAxOQgAAAAJOC8xNi8yMDIwCQAAAAEwHK0XePJB2Ai0j/h48kHYCCRDSVEuXlNQWC5JUV9MQVNUU0FMRVBSSUNFLjMwLzA5LzIwMTYBAAAAm7goAAIAAAAQMjE2OC4yNzIwODk2MzcyOQB8q4VR8kHYCMp7CHPyQdgIKUNJUS5OWVNFOlJBQ0UuSVFfTEFTVFNBTEVQUklDRS4zMS8w</t>
  </si>
  <si>
    <t>MS8yMDE1AQAAAD2CsBADAAAAAABBUkJ18kHYCIlcUHbyQdgIMENJUUFWRy4kQUVEVVNELklRX0xBU1RTQUxFUFJJQ0UuNDMzNzAuMjcvMDkvMjAxOQEAAAAl61oAAgAAAAgzLjY3MzAxOQBHYBd48kHYCC87AXnyQdgIMUNJUS5MU0U6U0ZPUi5JUV9MVF9JTlZFU1QuOTk4LjMxLzEyLzIwMTkuLkYuR0JQLkMBAAAAy1PkIQMAAAAAADuGF3jyQdgIsRP6ePJB2AhEQ0lRLk5BU0RBUUdTOlRTTEEuSVFfVE9UQUxfREVCVF9OT05fQ1VSUkVOVC4xMDAwLjMwLzA0LzIwMjAuLkYuVVNELkMBAAAAEMaiAQIAAAAFMTI2MjcBCAAAAAUAAAABMQEAAAAKMjAxMzkwNzQ2MAMAAAADMTYwAgAAAAUyNTIyNAQAAAABMQcAAAAJNC8zMC8yMDIwCAAAAAk4LzE2LzIwMjAJAAAAATC8WAdL8kHYCJYVmFnyQdgIIENJUS4uSVFfTEFTVFNBTEVQUklDRS4zMS8wOC8yMDE5BQAAAAAAAAAIAAAAFChJbnZhbGlkIElkZW50aWZpZXIpIGkyUvJB2AgA8SRz8kHYCCZDSVEuTkFTREFRR1M6Q0FLRS5JUV9WT0xVTUUuMDEvMDYvMjAxOAEAAAAI4AQAAgAAAAgwLjM5NzQxOQAp5oVS8kHYCIHHCXHyQdgIPUNJUS5OQVNEQVFHUzpUU0xBLklRX0VCSVRfTUVESUFOX0VTVC42MDAxLjMwLzA0LzIwMjAuLkYuVVNELkMBAAAAEMaiAQMAAAAAAKR/B0vyQdgIeqajWfJB2Ag5Q0lRLkxTRTpUU0NPLklRX0NBUEVYX01FRElBTl9FU1QuNjAwMS4z</t>
  </si>
  <si>
    <t>MS8xMi8yMDE5Li5GLkdCUC5DAQAAADBQBgADAAAAAAA7PJZ38kHYCOCB5njyQdgIMENJUS5OQVNEQVFHUzpDQUtFLklRX0VCVC45OTcuMzEvMTIvMjAxOS4uRi5VU0QuQwEAAAAI4AQAAgAAAAcxNTkuMzUyAQgAAAAFAAAAATEBAAAACjE4NzcxNDQ0MzgDAAAAAzE2MAIAAAADMTM5BAAAAAExBwAAAAoxMi8zMS8yMDE5CAAAAAk4LzE2LzIwMjAJAAAAATDc7ZV38kHYCMt26njyQdgILENJUS5OWVNFOlJBQ0UuSVFfUEVSSU9EREFURS45OTQuMzAvMDQvMjAyMC4uAQAAAD2CsBAFAAAACjMxLzEyLzIwMTMAZRzDWvJB2AhlHMNa8kHYCDBDSVEuTkFTREFRR1M6Q0FLRS5JUV9OSS4xMDAwLjMxLzEyLzIwMTkuLkYuVVNELkMBAAAACOAEAAIAAAAGOTkuMDM1AQgAAAAFAAAAATEBAAAACjE5NDgxNzY2NzUDAAAAAzE2MAIAAAACMTUEAAAAATEHAAAACjEyLzMxLzIwMTkIAAAACTgvMTYvMjAyMAkAAAABMNztlXfyQdgIOfHoePJB2AggQ0lRLk5ZU0U6S08uSVFfVk9MVU1FLjA5LzA4LzIwMTkBAAAAEmgAAAIAAAAHOS4yNjA4NwCj1iRV8kHYCCcew3LyQdgIKUNJUS5OWVNFOk1BTlUuSVFfTEFTVFNBTEVQUklDRS4wMy8wNC8yMDIwAQAAAN1rDQACAAAABTEzLjk4AAHofVPyQdgIu6JeWfJB2AgmQ0lRLk5BU0RBUUdTOkNBS0UuSVFfVk9MVU1FLjA4LzAzLzIwMTkBAAAACOAEAAIAAAAIMC40NjE5OTMApLx/U/JB</t>
  </si>
  <si>
    <t>2AjxOsBy8kHYCCBDSVEuLklRX0xBU1RTQUxFUFJJQ0UuMDcvMDIvMjAyMAUAAAAAAAAACAAAABQoSW52YWxpZCBJZGVudGlmaWVyKQ2QMlLyQdgIDKfNWfJB2Ag8Q0lRLk5ZU0U6UkFDRS5JUV9NRURJQU5fVEFSR0VUX1BSSUNFLjYwMDAuMzEvMTIvMjAxOS4uLkVVUi5DAQAAAD2CsBACAAAABzE2Mi45NzIBDgAAAAUAAAABNwEAAAAJMzEzOTc0OTgxAgAAAAoxMDAzMjI1MTI1AwAAAAYxMDAxNjIEAAAAAzI1NQYAAAABMAcAAAACNTAIAAAAATEJAAAAATEKAAAAATALAAAACzExNzA1MjUxMjYyDAAAAAE4DQAAAAgxLzEvMjAyMBAAAAAJOC8xNi8yMDIwHiIYePJB2AhEeQB58kHYCC1DSVEuTkFTREFRR1M6VFNMQS5JUV9MQVNUU0FMRVBSSUNFLjAyLzAyLzIwMTgBAAAAEMaiAQIAAAAGMzQzLjc1ACgrQnXyQdgI5fJZdvJB2Ag3Q0lRLkVVUi5JUV9GVUxMX0NVUlZFX0FOTlVBTC5BTExDT1JQLkNDQy4yMFkuMzAvMDQvMjAyMAEAAAAAAAAAAgAAAAgwLjE2NzIwMwCqJCVV8kHYCG+VhlnyQdgIGUNJUS4uSVFfVk9MVU1FLjEwLzA0LzIwMjAFAAAAAAAAAAgAAAAUKEludmFsaWQgSWRlbnRpZmllcinZObVT8kHYCD5PdVnyQdgIJENJUS5eQVNYLklRX0xBU1RTQUxFUFJJQ0UuMTIvMDEvMjAxOAEAAAAfU+sBAgAAAAs0MjY4Ljg4NzExMgDYLd508kHYCKa2RXbyQdgIMkNJUS5OWVNFOk1BTlUuSVFfQ09TVF9S</t>
  </si>
  <si>
    <t>RVYuMTAwMC4zMS8xMi8yMDE5Li5GLkdCUC5DAQAAAN1rDQACAAAABjY1Ljg3MQEIAAAABQAAAAExAQAAAAoxOTg1ODQ1MDYzAwAAAAI1NQIAAAABMQQAAAABMQcAAAAKMTIvMzEvMjAxOQgAAAAJOC8xNi8yMDIwCQAAAAEwHvsXePJB2Ah8ePF48kHYCDpDSVEuTllTRTpNQU5VLklRX0NBUEVYX01FRElBTl9FU1QuNjAwMS4zMS8xMi8yMDE5Li5GLkdCUC5DAQAAAN1rDQADAAAAAAA7PJZ38kHYCNSo5njyQdgIM0NJUS5OWVNFOk1BTlUuSVFfVE9UQUxfTElBQi45OTguMzAvMDQvMjAyMC4uRi5HQlAuQwEAAADdaw0AAgAAAAgxMDUzLjU2NQEIAAAABQAAAAExAQAAAAoxOTg1ODQ1MDQ1AwAAAAI1NQIAAAAEMTI3NgQAAAABMQcAAAAJNC8zMC8yMDIwCAAAAAk4LzE2LzIwMjAJAAAAATD/b8pM8kHYCAZemlnyQdgIIUNJUS5MU0U6U0ZPUi5JUV9WT0xVTUUuMTAvMDQvMjAyMAEAAADLU+QhAwAAAAAAlf0kVfJB2Aj/I3dZ8kHYCCJDSVEuTllTRTpSQUNFLklRX1ZPTFVNRS4yNy8wNy8yMDE4AQAAAD2CsBACAAAACDAuNTQ5ODEyADq/hVLyQdgIGc0OcfJB2AgxQ0lRLk5BU0RBUUdTOlRTTEEuSVFfRUJULjIwMDAuMzAvMDQvMjAyMC4uRi5VU0QuQwEAAAAQxqIBAgAAAAI1MAEIAAAABQAAAAExAQAAAAoyMDMyMDQ1MzM0AwAAAAMxNjACAAAAAzEzOQQAAAABMQcAAAAJNC8zMC8yMDIwCAAAAAk4LzE2LzIwMjAJ</t>
  </si>
  <si>
    <t>AAAAATDJMQdL8kHYCPDHpVnyQdgILkNJUS5OWVNFOktPLklRX1JVQV9ORVQuMjAwMC4zMS8xMi8yMDE5Li4uTE9DQUwBAAAAEmgAAAMAAAAAAP4DQnXyQdgIJulPdvJB2Ag0Q0lRLkxTRTpTRk9SLklRX1BSRVBBSURfRVhQLjIwMDAuMzEvMTIvMjAxOS4uRi5HQlAuQwEAAADLU+QhAgAAAAUwLjUxOAEIAAAABQAAAAExAQAAAAoxOTYxMTE3NDAxAwAAAAI1NQIAAAAEMTIxMgQAAAABMQcAAAAKMTIvMzEvMjAxOQgAAAAJOC8xNi8yMDIwCQAAAAEw2hSWd/JB2AhJ/OR48kHYCDFDSVEuTFNFOlNGT1IuSVFfTFRfSU5WRVNULjk5Ny4zMC8wNC8yMDIwLi5GLkdCUC5DAQAAAMtT5CEDAAAAAADJMQdL8kHYCCHPlVnyQdgIIkNJUS5OWVNFOlJBQ0UuSVFfVk9MVU1FLjA0LzAxLzIwMTkBAAAAPYKwEAIAAAAIMC41MjQyMTgAx+J/U/JB2Ag6W7ty8kHYCClDSVEuTllTRTpLTy5JUV9OSS45OTkuMzAvMDQvMjAyMC4uRi5VU0QuQwEAAAASaAAAAgAAAAQ2NDM0AQgAAAAFAAAAATEBAAAACjIwMTY3OTEyNTEDAAAAAzE2MAIAAAACMTUEAAAAATEHAAAACTQvMzAvMjAyMAgAAAAJOC8xNi8yMDIwCQAAAAEwA0nKTPJB2AgmXqhZ8kHYCCBDSVEuTllTRTpLTy5JUV9WT0xVTUUuMTYvMDMvMjAxOAEAAAASaAAAAgAAAAgyNi42MDMyOAAoK0J18kHYCMCOU3byQdgIIENJUS5OWVNFOktPLklRX1ZPTFVNRS4yMS8wMi8yMDIw</t>
  </si>
  <si>
    <t>AQAAABJoAAACAAAACDEwLjg0MjM2AKPWJFXyQdgIMp18WfJB2AgxQ0lRQVZHLiRBRURHQlAuSVFfTEFTVFNBTEVQUklDRS4wMDowMDowMC4wMDowMDowMAEAAAAl61oAAwAAAAAA6pbKTPJB2Ag5MGB28kHYCCFDSVEuTFNFOlRTQ08uSVFfVk9MVU1FLjExLzA1LzIwMTgBAAAAMFAGAAIAAAAIMzUuODIwMjUAKeaFUvJB2AidXgZx8kHYCEFDSVEuTkFTREFRR1M6VFNMQS5JUV9UT1RBTF9DT01NT05fRVFVSVRZLjIwMDAuMzAvMDQvMjAyMC4uRi5VU0QuQwEAAAAQxqIBAgAAAAQ5MTczAQgAAAAFAAAAATEBAAAACjIwMzIwNDUzMzQDAAAAAzE2MAIAAAAEMTAwNgQAAAABMQcAAAAJNC8zMC8yMDIwCAAAAAk4LzE2LzIwMjAJAAAAATC8WAdL8kHYCKe8m1nyQdgILUNJUS5OQVNEQVFHUzpDQUtFLklRX0xBU1RTQUxFUFJJQ0UuMTIvMDQvMjAxOQEAAAAI4AQAAgAAAAU0Ny42MwC5lH9T8kHYCDOPJXHyQdgINENJUS5MU0U6VFNDTy5JUV9TSEFSRVNPVVRTVEFORElOR19PVVQuMzEvMTIvMjAxOS5HQlABAAAAMFAGAAIAAAALOTg1MS45NTk1MzQAR2AXePJB2AjXYgF58kHYCCtDSVEuTllTRTpNQU5VLklRX0dQLjk5Ny4zMS8xMi8yMDE5Li5GLkdCUC5DAQAAAN1rDQACAAAABzQ0OS41NDQBCAAAAAUAAAABMQEAAAAKMTkxMDI0NzQwMwMAAAACNTUCAAAAAjEwBAAAAAExBwAAAAoxMi8zMS8yMDE5CAAAAAk4LzE2</t>
  </si>
  <si>
    <t>LzIwMjAJAAAAATAeIhh48kHYCDxm8HjyQdgIKkNJUS5JUTUwMDI3NTgxLklRX0xBU1RTQUxFUFJJQ0UuMzEvMTIvMjAxOQEAAAA9XPsCAgAAAAUwLjU1NADYLd508kHYCHRcSXbyQdgIL0NJUS5MU0U6U0ZPUi5JUV9JTkNfVEFYLjk5OC4zMS8xMi8yMDE5Li5GLkdCUC5DAQAAAMtT5CEDAAAAAADc7ZV38kHYCP+z6XjyQdgIJ0NJUS5MU0U6U0ZPUi5JUV9FUFNfRVNULjYwMDAuMzAvMDQvMjAyMAEAAADLU+QhAgAAAAcwLjA5MDY0AQ4AAAAFAAAAAjExAQAAAAk1ODIwMjExNTYCAAAACjEwMDQzMTYwNTEDAAAABjEwMDE3MwQAAAABMwYAAAABMAcAAAACNTAIAAAAATAJAAAAATEKAAAAATALAAAACzExODk5MzI5OTM1DAAAAAIxMg0AAAAINS8xLzIwMjAQAAAACTQvMzAvMjAyMLGvJFXyQdgIWjyDWfJB2AgtQ0lRLk5BU0RBUUdTOlRTTEEuSVFfTEFTVFNBTEVQUklDRS4zMC8wNi8yMDE3AQAAABDGogECAAAABjM2MS42MQDRg35T8kHYCMUUJ3HyQdgILUNJUS5OQVNEQVFHUzpDQUtFLklRX0xBU1RTQUxFUFJJQ0UuMzAvMTEvMjAxOAEAAAAI4AQAAgAAAAU0Ny4xOQDH4n9T8kHYCHCHK3HyQdgIK0NJUS5OWVNFOktPLklRX1BFUklPRERBVEUuOTk1LjMwLzA0LzIwMjAuLkYBAAAAEmgAAAUAAAAKMzEvMTIvMjAxNACxryRV8kHYCDcdgFnyQdgIKENJUS5MU0U6U0ZPUi5JUV9MQVNUU0FMRVBSSUNFLjMwLzA5</t>
  </si>
  <si>
    <t>LzIwMTkBAAAAy1PkIQIAAAAFMS4zOTUAAeh9U/JB2AinxS1x8kHYCCFDSVEuTFNFOlNGT1IuSVFfVk9MVU1FLjAyLzExLzIwMTgBAAAAy1PkIQIAAAAIMC4yMTE4MDgAx+J/U/JB2AjCKxdx8kHYCCdDSVEuTllTRTpLTy5JUV9MQVNUU0FMRVBSSUNFLjE3LzA4LzIwMTgBAAAAEmgAAAIAAAAENDYuNgA6v4VS8kHYCPDIEHHyQdgIMUNJUS5OQVNEQVFHUzpUU0xBLklRX0VCSVQuOTk2LjMxLzEyLzIwMTkuLkYuVVNELkMBAAAAEMaiAQIAAAAILTE4Ni42ODkBCAAAAAUAAAABMQEAAAAKMTgzMDE0MzMwMAMAAAADMTYwAgAAAAM0MDAEAAAAATEHAAAACjEyLzMxLzIwMTkIAAAACTgvMTYvMjAyMAkAAAABMB4iGHjyQdgIc9XrePJB2AgyQ0lRLk5ZU0U6S08uSVFfRUFSTklOR19DTy4yMDAwLjMwLzA0LzIwMjAuLkYuVVNELkMBAAAAEmgAAAIAAAAFMTAwNzcBCAAAAAUAAAABMQEAAAAKMjAzMDM3Njg5NwMAAAADMTYwAgAAAAE3BAAAAAExBwAAAAk0LzMwLzIwMjAIAAAACTgvMTYvMjAyMAkAAAABMANJykzyQdgI8RWtWfJB2AgyQ0lRLk5ZU0U6TUFOVS5JUV9SVUFfR1JPU1MuMjAwMC4zMS8xMi8yMDE5Li4uTE9DQUwBAAAA3WsNAAIAAAAFNS45NzYBCAAAAAUAAAABMQEAAAAKMjAxODYzMjAwMwMAAAACNTUCAAAABTQ4MzY1BAAAAAEwBwAAAAoxMi8zMS8yMDE5CAAAAAoxMi8zMS8yMDE5CQAAAAEw/gNCdfJB</t>
  </si>
  <si>
    <t>2AgDEFB28kHYCCpDSVEuSVE1MDAyNzU4My5JUV9MQVNUU0FMRVBSSUNFLjMxLzEyLzIwMTkBAAAAP1z7AgIAAAAFMC42MDYA3wbedPJB2AjKq0l28kHYCC1DSVEuTFNFOlRTQ08uSVFfREFfQ0YuOTk3LjMwLzA0LzIwMjAuLkYuR0JQLkMBAAAAMFAGAAIAAAAEMTI5OAEIAAAABQAAAAExAQAAAAoxODg4NTI1MDc0AwAAAAI1NQIAAAAEMjE2MAQAAAABMQcAAAAJNC8zMC8yMDIwCAAAAAk4LzE2LzIwMjAJAAAAATDJMQdL8kHYCKBYqlnyQdgIMENJUS5MU0U6U0ZPUi5JUV9UT1RBTF9DQS45OTkuMzAvMDQvMjAyMC4uRi5HQlAuQwEAAADLU+QhAgAAAAcxMDYuMTI2AQgAAAAFAAAAATEBAAAACjE5NjExMTYyNzEDAAAAAjU1AgAAAAQxMDA4BAAAAAExBwAAAAk0LzMwLzIwMjAIAAAACTgvMTYvMjAyMAkAAAABMNkKB0vyQdgI6auTWfJB2AgnQ0lRLk5ZU0U6S08uSVFfTEFTVFNBTEVQUklDRS4xOC8wNS8yMDE4AQAAABJoAAACAAAABTQyLjE4ACnmhVLyQdgI0Y8IcfJB2AggQ0lRLi5JUV9MQVNUU0FMRVBSSUNFLjMxLzEwLzIwMTUFAAAAAAAAAAgAAAAUKEludmFsaWQgSWRlbnRpZmllcinT2zZR8kHYCP4HXHPyQdgIK0NJUS5MU0U6VFNDTy5JUV9FQlQuOTk2LjMxLzEyLzIwMTkuLkYuR0JQLkMBAAAAMFAGAAIAAAAFLTYzMzQBCAAAAAUAAAABMQEAAAAKMTc5MTQ2ODE0NgMAAAACNTUCAAAAAzEzOQQAAAAB</t>
  </si>
  <si>
    <t>MQcAAAAKMTIvMzEvMjAxOQgAAAAJOC8xNi8yMDIwCQAAAAEw3O2Vd/JB2AjVT+p48kHYCC9DSVEuTllTRTpLTy5JUV9TSEFSRVNPVVRTVEFORElORy4zMS8xMi8yMDE3LlVTRAEAAAASaAAAAgAAAAs0MjYwLjY2NzMxNgADScpM8kHYCHv0YHbyQdgIMENJUS5OQVNEQVFHUzpDQUtFLklRX05JLjEwMDAuMzAvMDQvMjAyMC4uRi5VU0QuQwEAAAAI4AQAAgAAAAcxMjcuMjkzAQgAAAAFAAAAATEBAAAACjIwMjE1ODE0MTEDAAAAAzE2MAIAAAACMTUEAAAAATEHAAAACTQvMzAvMjAyMAgAAAAJOC8xNi8yMDIwCQAAAAEw/2/KTPJB2AgzN6hZ8kHYCChDSVEuTFNFOlRTQ08uSVFfTEFTVFNBTEVQUklDRS4zMC8wNi8yMDE4AQAAADBQBgACAAAABTIuNTY3AOg1flPyQdgId/cpcfJB2AgiQ0lRLk5ZU0U6UkFDRS5JUV9WT0xVTUUuMTEvMDUvMjAxOAEAAAA9grAQAgAAAAgwLjIxMTgwNgAp5oVS8kHYCKc3BnHyQdgIKUNJUS5OWVNFOk1BTlUuSVFfTEFTVFNBTEVQUklDRS4yMS8wOS8yMDE4AQAAAN1rDQACAAAABDI0LjEAQ5iFUvJB2AjB0hNx8kHYCC5DSVEuTllTRTpNQU5VLklRX0NBUEVYLjk5OS4zMC8wNC8yMDIwLi5GLkdCUC5DAQAAAN1rDQACAAAABi0xMy4yNgEIAAAABQAAAAExAQAAAAoxOTg1ODQ1MDI5AwAAAAI1NQIAAAAEMjAyMQQAAAABMQcAAAAJNC8zMC8yMDIwCAAAAAk4LzE2LzIwMjAJAAAAATC8</t>
  </si>
  <si>
    <t>WAdL8kHYCFSQq1nyQdgIIENJUS4uSVFfTEFTVFNBTEVQUklDRS4zMS8xMi8yMDE0BQAAAAAAAAAIAAAAFChJbnZhbGlkIElkZW50aWZpZXIpCbZBdfJB2Aj+S1128kHYCDpDSVEuTFNFOlNGT1IuSVFfRUJJVERBX01FRElBTl9FU1QuMTAwMy4zMS8xMi8yMDE5Li5GLkdCUC5DAQAAAMtT5CECAAAAEDc0LjAzNjUyMzA4MDU1NDgBDgAAAAUAAAABMwEAAAABMAIAAAAKMTAwNDM0OTY2MAMAAAAGMTAwMTg4BAAAAAEzBgAAAAEwBwAAAAI1NQgAAAABMQkAAAABMQoAAAABMAsAAAALMTE2OTgxODYxNTMMAAAAATENAAAACDEvMS8yMDIwEAAAAAk4LzE2LzIwMjDzSBh48kHYCJQv73jyQdgIJ0NJUS5OWVNFOktPLklRX0xBU1RTQUxFUFJJQ0UuMzEvMTIvMjAxNwEAAAASaAAAAgAAAAU0NS44OAAFXX5T8kHYCE6aKHHyQdgIJUNJUS5eQ09NUC5JUV9MQVNUU0FMRVBSSUNFLjE1LzAzLzIwMTkBAAAAibgoAAIAAAAHNzY4OC41MwCgnjdR8kHYCOGhFnPyQdgINENJUS5OQVNEQVFHUzpUU0xBLklRX0lOQ19UQVguOTk5LjMwLzA0LzIwMjAuLkYuVVNELkMBAAAAEMaiAQIAAAACNTgBCAAAAAUAAAABMQEAAAAKMjAxMzkwNzQ2MwMAAAADMTYwAgAAAAI3NQQAAAABMQcAAAAJNC8zMC8yMDIwCAAAAAk4LzE2LzIwMjAJAAAAATDJMQdL8kHYCIH/plnyQdgIIENJUS4uSVFfTEFTVFNBTEVQUklDRS4wNC8wMS8yMDE5BQAA</t>
  </si>
  <si>
    <t>AAAAAAAIAAAAFChJbnZhbGlkIElkZW50aWZpZXIpp3c3UfJB2AjlGF1z8kHYCClDSVEuTllTRTpSQUNFLklRX0xBU1RTQUxFUFJJQ0UuMDYvMDQvMjAxOAEAAAA9grAQAgAAAAYxMjAuNzUAKCtCdfJB2Agf4lF28kHYCDJDSVEuTkFTREFRR1M6Q0FLRS5JUV9EQV9DRi45OTkuMzAvMDQvMjAyMC4uRi5VU0QuQwEAAAAI4AQAAgAAAAY5My44NzYBCAAAAAUAAAABMQEAAAAKMjAyMTU4MTQyMAMAAAADMTYwAgAAAAQyMTYwBAAAAAExBwAAAAk0LzMwLzIwMjAIAAAACTgvMTYvMjAyMAkAAAABMP9vykzyQdgIvQqqWfJB2AgnQ0lRLiRBRURMS1IuSVFfTEFTVFNBTEVQUklDRS4zMS8xMi8yMDE5AQAAACXrWgACAAAACjAuMDIwMjQ2NjIA/gNCdfJB2AjUtkx28kHYCDFDSVEuTFNFOlNGT1IuSVFfVE9UQUxfUkVWLjk5OC4zMS8xMi8yMDE5Li5GLkdCUC5DAQAAAMtT5CEDAAAAAAAe+xd48kHYCL858njyQdgILUNJUS5OQVNEQVFHUzpDQUtFLklRX0xBU1RTQUxFUFJJQ0UuMTcvMDUvMjAxOQEAAAAI4AQAAgAAAAU0OC4wNADBqn5T8kHYCErHJnHyQdgINkNJUS5OQVNEQVFHUzpUU0xBLklRX0xUX0lOVkVTVC45OTcuMzAvMDQvMjAyMC4uRi5VU0QuQwEAAAAQxqIBAwAAAAAAvFgHS/JB2Aghz5VZ8kHYCCFDSVEuTFNFOlNGT1IuSVFfVk9MVU1FLjEyLzA0LzIwMTkBAAAAy1PkIQIAAAAIMC4wOTM3NTMAuZR/U/JB</t>
  </si>
  <si>
    <t>2Aji4Lxy8kHYCDxDSVEuTFNFOlRTQ08uSVFfVE9UQUxfQ09NTU9OX0VRVUlUWS4yMDAwLjMwLzA0LzIwMjAuLkYuR0JQLkMBAAAAMFAGAAIAAAAFMTMyNzUBCAAAAAUAAAABMQEAAAAKMjAyNjUwNzM4OAMAAAACNTUCAAAABDEwMDYEAAAAATEHAAAACTQvMzAvMjAyMAgAAAAJOC8xNi8yMDIwCQAAAAEwyTEHS/JB2Aid45tZ8kHYCCRDSVEuXkFTWC5JUV9MQVNUU0FMRVBSSUNFLjMxLzAxLzIwMTUBAAAAH1PrAQIAAAAHMzYyMS44MQDYLd508kHYCJB5RnbyQdgIJUNJUS5eQ09NUC5JUV9MQVNUU0FMRVBSSUNFLjI4LzA5LzIwMTgBAAAAibgoAAIAAAAHODA0Ni4zNQCKxTdR8kHYCMKLF3PyQdgIJUNJUS5JUTQzOTQzODE4LklRX0xBU1RTQUxFUFJJQ0UuNDM0NjUBAAAAioeeAgIAAAAIMC4zMTYyMjMA3wbedPJB2AgmlEp28kHYCCJDSVEuTllTRTpLTy5JUV9CRVRBXzVZUi4zMC8wNC8yMDIwAQAAABJoAAACAAAAETAuNTU5OTY1OTI1NzM3NzE2ALGvJFXyQdgIfRWKWfJB2AgmQ0lRLk5BU0RBUUdTOkNBS0UuSVFfVk9MVU1FLjIzLzA4LzIwMTkBAAAACOAEAAIAAAAIMC45MzkwNTUAlf0kVfJB2AjF1cBy8kHYCBlDSVEuTllTRTpSQUNFLklRX0VYQ0hBTkdFAQAAAD2CsBADAAAABE5ZU0UA/DokVfJB2AhfkIhZ8kHYCC1DSVEuTkFTREFRR1M6VFNMQS5JUV9MQVNUU0FMRVBSSUNFLjI1LzAxLzIwMTkBAAAA</t>
  </si>
  <si>
    <t>EMaiAQIAAAAGMjk3LjA0AKS8f1PyQdgIOCAjcfJB2Ag1Q0lRLk5BU0RBUUdTOlRTTEEuSVFfQ09TVF9SRVYuOTk2LjMxLzEyLzIwMTkuLkYuVVNELkMBAAAAEMaiAQIAAAAIMjMxNi42ODUBCAAAAAUAAAABMQEAAAAKMTgzMDE0MzMwMAMAAAADMTYwAgAAAAExBAAAAAExBwAAAAoxMi8zMS8yMDE5CAAAAAk4LzE2LzIwMjAJAAAAATAe+xd48kHYCHkD8XjyQdgIIUNJUS5MU0U6U0ZPUi5JUV9WT0xVTUUuMTMvMTIvMjAxOQEAAADLU+QhAgAAAAgwLjI3NjI0MQCV/SRV8kHYCKGjvXLyQdgIKENJUS5MU0U6VFNDTy5JUV9MQVNUU0FMRVBSSUNFLjEyLzEwLzIwMTgBAAAAMFAGAAIAAAAFMi4xNjkAQ5iFUvJB2AhGfxVx8kHYCD9DSVEuTkFTREFRR1M6VFNMQS5JUV9FQklUREFfTUVESUFOX0VTVC4xMDAyLjMwLzA0LzIwMjAuLkYuVVNELkMBAAAAEMaiAQIAAAAENjU0NQEOAAAABQAAAAEzAQAAAAEwAgAAAAoxMDAxNTU2NjQxAwAAAAYxMDAxODgEAAAAATIGAAAAATAHAAAAAzE2MAgAAAABMQkAAAABMQoAAAABMAsAAAALMTE4OTg5MTE5ODIMAAAAATENAAAACDUvMS8yMDIwEAAAAAk4LzE2LzIwMjCkfwdL8kHYCCBeoVnyQdgIQENJUS5MU0U6U0ZPUi5JUV9NSU5PUklUWV9JTlRFUkVTVF9UT1RBTC4xMDAwLjMwLzA0LzIwMjAuLkYuR0JQLkMBAAAAy1PkIQIAAAADMC4xAQgAAAAFAAAAATEBAAAACjIwMjI1</t>
  </si>
  <si>
    <t>OTk3OTkDAAAAAjU1AgAAAAQxMzEyBAAAAAExBwAAAAk0LzMwLzIwMjAIAAAACTgvMTYvMjAyMAkAAAABMMkxB0vyQdgISnSZWfJB2AhAQ0lRLk5BU0RBUUdTOlRTTEEuSVFfVE9UQUxfQ09NTU9OX0VRVUlUWS45OTguMzAvMDQvMjAyMC4uRi5VU0QuQwEAAAAQxqIBAgAAAAg0MjM3LjI0MgEIAAAABQAAAAExAQAAAAoyMDEzOTA3NDcwAwAAAAMxNjACAAAABDEwMDYEAAAAATEHAAAACTQvMzAvMjAyMAgAAAAJOC8xNi8yMDIwCQAAAAEwvFgHS/JB2AiLMZxZ8kHYCDZDSVEuTFNFOlRTQ08uSVFfRVFVSVRZX01FVEhPRC4yMDAwLjMxLzEyLzIwMTkuLkYuR0JQLkMBAAAAMFAGAAIAAAADNDY0AQgAAAAFAAAAATEBAAAACjE5ODY3OTMyNDADAAAAAjU1AgAAAAQzMDYzBAAAAAExBwAAAAoxMi8zMS8yMDE5CAAAAAk4LzE2LzIwMjAJAAAAATBHYBd48kHYCDMrAHnyQdgIKUNJUS5OWVNFOk1BTlUuSVFfTEFTVFNBTEVQUklDRS4zMS8wMS8yMDIwAQAAAN1rDQACAAAABTE4LjU3AAgPflPyQdgIu6JeWfJB2AhAQ0lRLk5ZU0U6UkFDRS5JUV9NSU5PUklUWV9JTlRFUkVTVF9UT1RBTC45OTYuMzAvMDQvMjAyMC4uRi5FVVIuQwEAAAA9grAQAgAAAAQ1LjcyAQgAAAAFAAAAATEBAAAACjE4NzYwNDMzMTMDAAAAAjUwAgAAAAQxMzEyBAAAAAExBwAAAAk0LzMwLzIwMjAIAAAACTgvMTYvMjAyMAkAAAABMNkKB0vyQdgI</t>
  </si>
  <si>
    <t>LemZWfJB2AgtQ0lRLk5BU0RBUUdTOlRTTEEuSVFfTEFTVFNBTEVQUklDRS4zMC8wOS8yMDE5AQAAABDGogECAAAABjI0MC44NwAB6H1T8kHYCGbsLXHyQdgIIENJUS5OWVNFOktPLklRX1ZPTFVNRS4yMS8wNi8yMDE5AQAAABJoAAACAAAACDIxLjI2NDQyAKPWJFXyQdgILvfCcvJB2AgtQ0lRLk5BU0RBUUdTOkNBS0UuSVFfTEFTVFNBTEVQUklDRS4xMC8wOC8yMDE4AQAAAAjgBAACAAAABTQ5LjI0ADq/hVLyQdgIrlIQcfJB2AgyQ0lRLk5BU0RBUUdTOkNBS0UuSVFfQ0FQRVguOTk2LjMwLzA0LzIwMjAuLkYuVVNELkMBAAAACOAEAAIAAAAILTE1My45NDEBCAAAAAUAAAABMQEAAAAKMTg3NzE0NDQzOAMAAAADMTYwAgAAAAQyMDIxBAAAAAExBwAAAAk0LzMwLzIwMjAIAAAACTgvMTYvMjAyMAkAAAABMP9vykzyQdgIfgasWfJB2AgwQ0lRLkxTRTpUU0NPLklRX1RPVEFMX0NBLjk5OS4zMC8wNC8yMDIwLi5GLkdCUC5DAQAAADBQBgACAAAABTEyNjY4AQgAAAAFAAAAATEBAAAACjE5Njg3MzY1NjMDAAAAAjU1AgAAAAQxMDA4BAAAAAExBwAAAAk0LzMwLzIwMjAIAAAACTgvMTYvMjAyMAkAAAABMMkxB0vyQdgI6auTWfJB2Ag4Q0lRLk5ZU0U6UkFDRS5JUV9DQVNIX1NUX0lOVkVTVC4yMDAwLjMxLzEyLzIwMTkuLkYuRVVSLkMBAAAAPYKwEAIAAAAHODc2LjMzOQEIAAAABQAAAAExAQAAAAoxOTkwNDIzNjg3</t>
  </si>
  <si>
    <t>AwAAAAI1MAIAAAAEMTAwMgQAAAABMQcAAAAKMTIvMzEvMjAxOQgAAAAJOC8xNi8yMDIwCQAAAAEwO4YXePJB2AhFQP948kHYCDFDSVEuTllTRTpLTy5JUV9UT1RBTF9SRVYuMTAwMC4zMS8xMi8yMDE5Li5GLlVTRC5DAQAAABJoAAACAAAABTMxODU2AQgAAAAFAAAAATEBAAAACjE5NDY0MzA3ODEDAAAAAzE2MAIAAAACMjgEAAAAATEHAAAACjEyLzMxLzIwMTkIAAAACTgvMTYvMjAyMAkAAAABMB77F3jyQdgIyYfyePJB2Ag3Q0lRLk5ZU0U6TUFOVS5JUV9DQVNIX1NUX0lOVkVTVC45OTkuMzEvMTIvMjAxOS4uRi5HQlAuQwEAAADdaw0AAgAAAAcyNDIuMDIyAQgAAAAFAAAAATEBAAAACjE5ODU4NDUwMjkDAAAAAjU1AgAAAAQxMDAyBAAAAAExBwAAAAoxMi8zMS8yMDE5CAAAAAk4LzE2LzIwMjAJAAAAATA7hhd48kHYCNlF/XjyQdgIGUNJUS4uSVFfVk9MVU1FLjExLzA1LzIwMTgFAAAAAAAAAAgAAAAUKEludmFsaWQgSWRlbnRpZmllcilDcYVS8kHYCJ1eBnHyQdgIL0NJUS5OWVNFOk1BTlUuSVFfTEFTVFNBTEVQUklDRS4zMC8wNC8yMDIwLkdCUC5DAQAAAN1rDQACAAAACjEyLjgyNzU0MjkAs0PDWvJB2AhGftFa8kHYCClDSVEuTllTRTpSQUNFLklRX0xBU1RTQUxFUFJJQ0UuMzEvMTIvMjAxNQEAAAA9grAQAgAAAAI0OAC5lH9T8kHYCPf4InHyQdgIGUNJUS4uSVFfVk9MVU1FLjI4LzEyLzIwMTgFAAAA</t>
  </si>
  <si>
    <t>AAAAAAgAAAAUKEludmFsaWQgSWRlbnRpZmllcim6bX9T8kHYCJsNInHyQdgIMUNJUS5OWVNFOk1BTlUuSVFfU0hBUkVTT1VUU1RBTkRJTkcuMzAvMDYvMjAxNi5HQlABAAAA3WsNAAIAAAAKMTYzLjg5MjI4OQADScpM8kHYCEAaYXbyQdgIJENJUS5JUTI2Njg2MzkuSVFfTEFTVFNBTEVQUklDRS40MzU4NQEAAABfuCgAAgAAAAQzLjcxAKPWJFXyQdgIRjGHWfJB2AgmQ0lRLk5BU0RBUUdTOlRTTEEuSVFfVk9MVU1FLjAyLzAzLzIwMTgBAAAAEMaiAQIAAAAINS4wOTI4MjkAKCtCdfJB2Aj3Nld28kHYCCpDSVEuSVE0Mzk0MzgwNi5JUV9MQVNUU0FMRVBSSUNFLjMxLzEyLzIwMTkBAAAAfoeeAgIAAAAILTAuNjYwNzEA3wbedPJB2Ag5Rkp28kHYCDBDSVEuTllTRTpLTy5JUV9MVF9JTlZFU1QuOTk2LjMxLzEyLzIwMTkuLkYuVVNELkMBAAAAEmgAAAIAAAAFMTQ4MzkBCAAAAAUAAAABMQEAAAAKMTgyOTIzMDk1NgMAAAADMTYwAgAAAAQxMDU0BAAAAAExBwAAAAoxMi8zMS8yMDE5CAAAAAk4LzE2LzIwMjAJAAAAATA7hhd48kHYCDru+XjyQdgIQENJUS5OQVNEQVFHUzpDQUtFLklRX1RPVEFMX0RFQlRfQ1VSUkVOVC4xMDAwLjMxLzEyLzIwMTkuLkYuVVNELkMBAAAACOAEAAMAAAAAADuGF3jyQdgI23f5ePJB2AggQ0lRLk5ZU0U6S08uSVFfVk9MVU1FLjIwLzAzLzIwMjABAAAAEmgAAAIAAAAHNTEuNTEzNQCj</t>
  </si>
  <si>
    <t>1iRV8kHYCDKdfFnyQdgINUNJUS5OWVNFOktPLklRX0VTVF9FUFNfR1JPV1RIXzVZUl9OVU0uNjAwMC4zMS8xMi8yMDE5AQAAABJoAAABAAAAATQA/gNCdfJB2AgPiU528kHYCChDSVEuTFNFOlRTQ08uSVFfTEFTVFNBTEVQUklDRS4zMS8xMi8yMDE4AQAAADBQBgACAAAABTEuOTAxAAgPflPyQdgIP6UrcfJB2Ag5Q0lRLk5ZU0U6S08uSVFfRUJJVERBX01FRElBTl9FU1QuMTAwMy4zMC8wNC8yMDIwLi5GLlVTRC5DAQAAABJoAAACAAAACjEyNzQ1LjMzMTUBDgAAAAUAAAABMwEAAAABMAIAAAAKMTAwMTc5Njg1NgMAAAAGMTAwMTg4BAAAAAEyBgAAAAEwBwAAAAMxNjAIAAAAATEJAAAAATEKAAAAATALAAAACzExODgzNjEyMzkwDAAAAAExDQAAAAg1LzEvMjAyMBAAAAAJOC8xNi8yMDIw/2/KTPJB2AgxEKFZ8kHYCC1DSVEuTFNFOlNGT1IuSVFfRUJJVC4xMDAwLjMwLzA0LzIwMjAuLkYuR0JQLkMBAAAAy1PkIQIAAAAFOC45NzEBCAAAAAUAAAABMQEAAAAKMjAyMjU5OTc5OQMAAAACNTUCAAAAAzQwMAQAAAABMQcAAAAJNC8zMC8yMDIwCAAAAAk4LzE2LzIwMjAJAAAAATDJMQdL8kHYCFlqpFnyQdgILUNJUS5MU0U6VFNDTy5JUV9QRVJJT0REQVRFLjEwMDAuMzAvMDQvMjAyMC4uRgEAAAAwUAYABQAAAAoyOS8wMi8yMDIwALGvJFXyQdgInYyCWfJB2Ag/Q0lRLk5BU0RBUUdTOlRTTEEuSVFfRUJJVERBX01F</t>
  </si>
  <si>
    <t>RElBTl9FU1QuMTAwMy4zMS8xMi8yMDE5Li5GLlVTRC5DAQAAABDGogECAAAABDU2NTUBDgAAAAUAAAABMwEAAAABMAIAAAAKMTAwMTU1NjY0MQMAAAAGMTAwMTg4BAAAAAEyBgAAAAEwBwAAAAMxNjAIAAAAATEJAAAAATEKAAAAATALAAAACzExNzI1NjY0ODgyDAAAAAExDQAAAAgxLzEvMjAyMBAAAAAJOC8xNi8yMDIw80gYePJB2AiLVu948kHYCC1DSVEuTkFTREFRR1M6VFNMQS5JUV9MQVNUU0FMRVBSSUNFLjI4LzAyLzIwMTUBAAAAEMaiAQIAAAAGMjAzLjM0AEFSQnXyQdgIGTdQdvJB2AghQ0lRLkxTRTpTRk9SLklRX1ZPTFVNRS4yNS8xMC8yMDE5AQAAAMtT5CECAAAACDAuMzIzNjkyAJX9JFXyQdgIt3y9cvJB2AglQ0lRLl5DT01QLklRX0xBU1RTQUxFUFJJQ0UuMDQvMDUvMjAxOAEAAACJuCgAAgAAAAc3MjA5LjYyAIrFN1HyQdgIaE4Yc/JB2AgoQ0lRLkxTRTpUU0NPLklRX0xBU1RTQUxFUFJJQ0UuMDgvMDIvMjAxOQEAAAAwUAYAAgAAAAUyLjI0MgCkvH9T8kHYCJ+UI3HyQdgIKkNJUS5MU0U6VFNDTy5JUV9HUC45OTkuMzAvMDQvMjAyMC4uRi5HQlAuQwEAAAAwUAYAAgAAAAQzNTE4AQgAAAAFAAAAATEBAAAACjE5Njg3MzY1NjMDAAAAAjU1AgAAAAIxMAQAAAABMQcAAAAJNC8zMC8yMDIwCAAAAAk4LzE2LzIwMjAJAAAAATDJMQdL8kHYCH3Yn1nyQdgIJENJUS5JUTI2Njg2NDIuSVFfTEFTVFNB</t>
  </si>
  <si>
    <t>TEVQUklDRS40MzU4NQEAAABiuCgAAgAAAAQ0LjY1AKPWJFXyQdgIeW6GWfJB2AgtQ0lRLk5BU0RBUUdTOkNBS0UuSVFfTEFTVFNBTEVQUklDRS4zMS8wOC8yMDE1AQAAAAjgBAACAAAABTU0LjI3ALmUf1PyQdgIGzYicfJB2AgnQ0lRLk5ZU0U6S08uSVFfTEFTVFNBTEVQUklDRS4yOC8wNi8yMDE5AQAAABJoAAACAAAABTUwLjkyAMGqflPyQdgI5iMocfJB2AgsQ0lRLk5BU0RBUUdTOkNBS0UuSVFfQkVUQV8yWVJfUlNRLjMxLzEyLzIwMTkBAAAACOAEAAIAAAARMC4xMTEyNDU2OTQ5Mjk2MDQA3wbedPJB2AhW7kZ28kHYCDVDSVEuTkFTREFRR1M6VFNMQS5JUV9JTkNfVEFYLjEwMDAuMzEvMTIvMjAxOS4uRi5VU0QuQwEAAAAQxqIBAgAAAAY1Ny44MzcBCAAAAAUAAAABMQEAAAAKMTk0NTg3MzU0NgMAAAADMTYwAgAAAAI3NQQAAAABMQcAAAAKMTIvMzEvMjAxOQgAAAAJOC8xNi8yMDIwCQAAAAEw3O2Vd/JB2AjqAep48kHYCDBDSVEuTFNFOlRTQ08uSVFfVE9UQUxfQ0EuOTk3LjMxLzEyLzIwMTkuLkYuR0JQLkMBAAAAMFAGAAIAAAAFMTQ2ODQBCAAAAAUAAAABMQEAAAAKMTg0NzgyNTE0OAMAAAACNTUCAAAABDEwMDgEAAAAATEHAAAACjEyLzMxLzIwMTkIAAAACTgvMTYvMjAyMAkAAAABMDuGF3jyQdgIncH7ePJB2AgnQ0lRLk5ZU0U6S08uSVFfTEFTVFNBTEVQUklDRS4xNi8wMi8yMDE4AQAAABJoAAAC</t>
  </si>
  <si>
    <t>AAAABTQ0Ljk4ACgrQnXyQdgIR5RYdvJB2Ag3Q0lRLk5BU0RBUUdTOlRTTEEuSVFfVE9UQUxfUkVWLjEwMDAuMzEvMTIvMjAxOS4uRi5VU0QuQwEAAAAQxqIBAgAAAAkyMTQ2MS4yNjgBCAAAAAUAAAABMQEAAAAKMTk0NTg3MzU0NgMAAAADMTYwAgAAAAIyOAQAAAABMQcAAAAKMTIvMzEvMjAxOQgAAAAJOC8xNi8yMDIwCQAAAAEwHvsXePJB2AjJh/J48kHYCCxDSVEuTFNFOlRTQ08uSVFfRUJJVC45OTguMzAvMDQvMjAyMC4uRi5HQlAuQwEAAAAwUAYAAgAAAAQxNjM2AQgAAAAFAAAAATEBAAAACjE5Njg3MzY1NTkDAAAAAjU1AgAAAAM0MDAEAAAAATEHAAAACTQvMzAvMjAyMAgAAAAJOC8xNi8yMDIwCQAAAAEwyTEHS/JB2AgzuKRZ8kHYCCpDSVEuTllTRTpLTy5JUV9TR0EuOTk4LjMxLzEyLzIwMTkuLkYuVVNELkMBAAAAEmgAAAIAAAAFMTU0MDEBCAAAAAUAAAABMQEAAAAKMTk0NjQzMDc4MgMAAAADMTYwAgAAAAIyMwQAAAABMQcAAAAKMTIvMzEvMjAxOQgAAAAJOC8xNi8yMDIwCQAAAAEwHiIYePJB2AiKpO948kHYCCdDSVEuTFNFOlRTQ08uSVFfQkVUQV81WVJfUlNRLjMwLzA0LzIwMjABAAAAMFAGAAIAAAASMC4wNjAyOTAyNjg1NjY0NDk1AKPWJFXyQdgIzgSJWfJB2AgkQ0lRLl5BU1guSVFfTEFTVFNBTEVQUklDRS4xMC8wMS8yMDIwAQAAAB9T6wECAAAACjQyMDYuNzE1NjkASQUzUvJB2Ag+M79Z</t>
  </si>
  <si>
    <t>8kHYCClDSVEuTllTRTpNQU5VLklRX0xBU1RTQUxFUFJJQ0UuMTkvMDEvMjAxOAEAAADdaw0AAgAAAAIyMQAoK0J18kHYCPYrW3byQdgIJ0NJUS4kQUVETVhOLklRX0xBU1RTQUxFUFJJQ0UuMzEvMTIvMjAxOQEAAAAl61oAAgAAAAswLjE5NDczNzM3MgDfBt508kHYCBq7SnbyQdgIGUNJUS4uSVFfVk9MVU1FLjA0LzAxLzIwMTkFAAAAAAAAAAgAAAAUKEludmFsaWQgSWRlbnRpZmllcimdRn9T8kHYCI4junLyQdgIOkNJUS5OQVNEQVFHUzpUU0xBLklRX0VRVUlUWV9NRVRIT0QuOTk4LjMwLzA0LzIwMjAuLkYuVVNELkMBAAAAEMaiAQMAAAAAALxYB0vyQdgI0SuQWfJB2Ag0Q0lRLkxTRTpUU0NPLklRX1RPVEFMX0FTU0VUUy45OTcuMzEvMTIvMjAxOS4uRi5HQlAuQwEAAAAwUAYAAgAAAAU0MzkwNAEIAAAABQAAAAExAQAAAAoxODQ3ODI1MTQ4AwAAAAI1NQIAAAAEMTAwNwQAAAABMQcAAAAKMTIvMzEvMjAxOQgAAAAJOC8xNi8yMDIwCQAAAAEwO4YXePJB2AjC1/p48kHYCCFDSVEuTFNFOlNGT1IuSVFfVk9MVU1FLjE3LzA1LzIwMTkBAAAAy1PkIQIAAAAIMC40Mjk1NTUA2Tm1U/JB2Aji4Lxy8kHYCCBDSVEuLklRX0xBU1RTQUxFUFJJQ0UuMjAvMDkvMjAxOQUAAAAAAAAACAAAABQoSW52YWxpZCBJZGVudGlmaWVyKQmWN1LyQdgIx6cwc/JB2AgoQ0lRLkxTRTpUU0NPLklRX0xBU1RTQUxFUFJJQ0UuMzAv</t>
  </si>
  <si>
    <t>MDQvMjAxNwEAAAAwUAYAAgAAAAYxLjgzMjUA0YN+U/JB2AhTniZx8kHYCCRDSVEuXkFTWC5JUV9MQVNUU0FMRVBSSUNFLjI5LzExLzIwMTkBAAAAH1PrAQIAAAALNDA2Ni43MzI0MTcAtbw3UvJB2AgMrRlz8kHYCC1DSVEuTkFTREFRR1M6Q0FLRS5JUV9MQVNUU0FMRVBSSUNFLjMxLzAzLzIwMTYBAAAACOAEAAIAAAAFNTMuMDkAwap+U/JB2AjD4iNx8kHYCCJDSVEuTllTRTpNQU5VLklRX1ZPTFVNRS4yMi8wMy8yMDE5AQAAAN1rDQACAAAACDAuMDUyMzQ0ALmUf1PyQdgIPAK/cvJB2AgzQ0lRLk5ZU0U6UkFDRS5JUV9JTlZFTlRPUlkuMjAwMC4zMC8wNC8yMDIwLi5GLkVVUi5DAQAAAD2CsBACAAAABzQyMC4wNTEBCAAAAAUAAAABMQEAAAAKMjAxNTY0Mjk1NAMAAAACNTACAAAABDEwNDMEAAAAATEHAAAACTQvMzAvMjAyMAgAAAAJOC8xNi8yMDIwCQAAAAEw2QoHS/JB2AgpVKxZ8kHYCC1DSVEuTkFTREFRR1M6VFNMQS5JUV9MQVNUU0FMRVBSSUNFLjA1LzAxLzIwMTgBAAAAEMaiAQIAAAAGMzE2LjU4ACgrQnXyQdgISjtcdvJB2AgwQ0lRLk5BU0RBUUdTOlRTTEEuSVFfRklMSU5HX0NVUlJFTkNZLi4zMS8xMi8yMDE5AQAAABDGogEDAAAAA1VTRAD+A0J18kHYCPTAXXbyQdgIJUNJUS5eQ09NUC5JUV9MQVNUU0FMRVBSSUNFLjI1LzEwLzIwMTkBAAAAibgoAAIAAAAHODI0My4xMgC1vDdS8kHYCCW4FXPy</t>
  </si>
  <si>
    <t>QdgILUNJUS5OWVNFOk1BTlUuSVFfRUJULjEwMDIuMzEvMTIvMjAxOS4uRi5HQlAuQwEAAADdaw0AAwAAAAAAHiIYePJB2AibOet48kHYCChDSVEuTFNFOlRTQ08uSVFfTEFTVFNBTEVQUklDRS4wMy8wMS8yMDIwAQAAADBQBgACAAAABTIuNTUxAAgPflPyQdgIa75bWfJB2AggQ0lRLi5JUV9MQVNUU0FMRVBSSUNFLjAyLzA4LzIwMTkFAAAAAAAAAAgAAAAUKEludmFsaWQgSWRlbnRpZmllcimSNoVR8kHYCIbfOHPyQdgILUNJUS5OQVNEQVFHUzpUU0xBLklRX0xBU1RTQUxFUFJJQ0UuMzEvMDcvMjAxOQEAAAAQxqIBAgAAAAYyNDEuNjEACA9+U/JB2AiIUC1x8kHYCCdDSVEuTllTRTpLTy5JUV9MQVNUU0FMRVBSSUNFLjMwLzA5LzIwMTcBAAAAEmgAAAIAAAAFNDUuMDEABV1+U/JB2AiN1ydx8kHYCCVDSVEuSVE0Mzk0MzgyMS5JUV9MQVNUU0FMRVBSSUNFLjQzNTg1AQAAAI2HngICAAAACDAuMzkwNjI0AKPWJFXyQdgIsKuFWfJB2AgwQ0lRLk5ZU0U6TUFOVS5JUV9JTkNfVEFYLjk5OC4zMC8wNC8yMDIwLi5GLkdCUC5DAQAAAN1rDQACAAAABjE3LjM3OQEIAAAABQAAAAExAQAAAAoxOTg1ODQ1MDQ1AwAAAAI1NQIAAAACNzUEAAAAATEHAAAACTQvMzAvMjAyMAgAAAAJOC8xNi8yMDIwCQAAAAEw/2/KTPJB2Ah1JqdZ8kHYCDJDSVEuTllTRTpNQU5VLklRX1RPVEFMX1JFVi45OTUuMzEvMTIvMjAxOS4uRi5H</t>
  </si>
  <si>
    <t>QlAuQwEAAADdaw0AAgAAAAc0MzMuMTY0AQgAAAAFAAAAATEBAAAACjE4MTA3OTA1MzIDAAAAAjU1AgAAAAIyOAQAAAABMQcAAAAKMTIvMzEvMjAxOQgAAAAJOC8xNi8yMDIwCQAAAAEwHvsXePJB2AiHn/F48kHYCCRDSVEuXlNQWC5JUV9MQVNUU0FMRVBSSUNFLjE1LzA2LzIwMTgBAAAAm7goAAIAAAAPMjc3OS42NjMwMjcyODc1AIrFN1HyQdgIlTIUc/JB2AgtQ0lRLk5BU0RBUUdTOkNBS0UuSVFfTEFTVFNBTEVQUklDRS4yNC8wNS8yMDE5AQAAAAjgBAACAAAABTQ0LjgyAMGqflPyQdgIEu4mcfJB2AguQ0lRLkxTRTpUU0NPLklRX0VCSVREQS45OTkuMzAvMDQvMjAyMC4uRi5HQlAuQwEAAAAwUAYAAgAAAAQzMjY3AQgAAAAFAAAAATEBAAAACjE5Njg3MzY1NjMDAAAAAjU1AgAAAAQ0MDUxBAAAAAExBwAAAAk0LzMwLzIwMjAIAAAACTgvMTYvMjAyMAkAAAABMMkxB0vyQdgIrgqjWfJB2AgZQ0lRLi5JUV9WT0xVTUUuMTIvMDEvMjAxOAUAAAAAAAAACAAAABQoSW52YWxpZCBJZGVudGlmaWVyKQm2QXXyQdgISjtcdvJB2AgsQ0lRLk5BU0RBUUdTOkNBS0UuSVFfRVBTX0VTVC42MDAwLjMxLzEyLzIwMTkBAAAACOAEAAIAAAAGMi43MjY5AQ4AAAAFAAAAAjExAQAAAAcyNTk5Njk1AgAAAAk2NTI1NzM5NDIDAAAABjEwMDE3MwQAAAABMgYAAAABMAcAAAADMTYwCAAAAAEwCQAAAAExCgAAAAEwCwAAAAsxMTc1</t>
  </si>
  <si>
    <t>NzQ1ODk4MQwAAAACMTINAAAACDEvMS8yMDIwEAAAAAoxMi8zMS8yMDE5KCtCdfJB2AjuGkx28kHYCCJDSVEuTllTRTpSQUNFLklRX1ZPTFVNRS4wMi8wMy8yMDE4AQAAAD2CsBACAAAACDAuNjkzNjQ4ACgrQnXyQdgI0V1XdvJB2Ag8Q0lRLk5ZU0U6TUFOVS5JUV9SRVZFTlVFX01FRElBTl9FU1QuNjAwMS4zMS8xMi8yMDE5Li5GLkdCUC5DAQAAAN1rDQADAAAAAADzSBh48kHYCGRx83jyQdgIGUNJUS4uSVFfVk9MVU1FLjA4LzAyLzIwMTkFAAAAAAAAAAgAAAAUKEludmFsaWQgSWRlbnRpZmllcinHH39T8kHYCHBKunLyQdgIIENJUS4uSVFfTEFTVFNBTEVQUklDRS4zMS8wMy8yMDE1BQAAAAAAAAAIAAAAFChJbnZhbGlkIElkZW50aWZpZXIpXzPcdPJB2AimtkV28kHYCCxDSVEuTllTRTpNQU5VLklRX0dQLjIwMDAuMzEvMTIvMjAxOS4uRi5HQlAuQwEAAADdaw0AAgAAAAc1NjEuNjY4AQgAAAAFAAAAATEBAAAACjE5OTM2MjEzMjIDAAAAAjU1AgAAAAIxMAQAAAABMQcAAAAKMTIvMzEvMjAxOQgAAAAJOC8xNi8yMDIwCQAAAAEwHvsXePJB2Aig3PB48kHYCC9DSVEuTllTRTpSQUNFLklRX0VCSVREQS45OTguMzEvMTIvMjAxOS4uRi5FVVIuQwEAAAA9grAQAgAAAAc3ODQuNTc5AQgAAAAFAAAAATEBAAAACjE5NDc0NDQxODQDAAAAAjUwAgAAAAQ0MDUxBAAAAAExBwAAAAoxMi8zMS8yMDE5CAAAAAk4LzE2</t>
  </si>
  <si>
    <t>LzIwMjAJAAAAATAeIhh48kHYCM5E7njyQdgILUNJUS5OWVNFOlJBQ0UuSVFfUFJJQ0VfVk9MX0hJU1RfWVIuMzEvMTIvMjAxOQEAAAA9grAQAgAAAAcyMi43MzE2AOvf3XTyQdgIILFHdvJB2AgnQ0lRLiRBRURVWlMuSVFfTEFTVFNBTEVQUklDRS4zMS8xMi8yMDE5AQAAACXrWgACAAAACzAuMDAwMzg2MTQ0AP4DQnXyQdgIsN1MdvJB2AgmQ0lRLk5BU0RBUUdTOlRTTEEuSVFfVk9MVU1FLjA5LzAzLzIwMTgBAAAAEMaiAQIAAAAINS41MDY3NjQAKCtCdfJB2AgIm1Z28kHYCCdDSVEuTllTRTpLTy5JUV9MQVNUU0FMRVBSSUNFLjMxLzAzLzIwMTYBAAAAEmgAAAIAAAAFNDYuMzkAwap+U/JB2AjD4iNx8kHYCDpDSVEuTFNFOlNGT1IuSVFfVE9UQUxfREVCVF9DVVJSRU5ULjk5OS4zMC8wNC8yMDIwLi5GLkdCUC5DAQAAAMtT5CEDAAAAAADZCgdL8kHYCBCQllnyQdgILENJUS5MU0U6VFNDTy5JUV9FQklULjk5Ny4zMS8xMi8yMDE5Li5GLkdCUC5DAQAAADBQBgACAAAAAzgwNgEIAAAABQAAAAExAQAAAAoxODQ3ODI1MTQ4AwAAAAI1NQIAAAADNDAwBAAAAAExBwAAAAoxMi8zMS8yMDE5CAAAAAk4LzE2LzIwMjAJAAAAATAeIhh48kHYCHPV63jyQdgIKENJUS5MU0U6U0ZPUi5JUV9MQVNUU0FMRVBSSUNFLjI1LzEwLzIwMTkBAAAAy1PkIQIAAAAFMS42NTUABV1+U/JB2AjJZixx8kHYCCFDSVEuTFNFOlRTQ08u</t>
  </si>
  <si>
    <t>SVFfVk9MVU1FLjIzLzAyLzIwMTgBAAAAMFAGAAIAAAAIMTguNjc2NjMAKCtCdfJB2Ahz+Fd28kHYCDZDSVEuR0JQLklRX0ZVTExfQ1VSVkVfQU5OVUFMLkFMTENPUlAuSUcuMjBZLjMxLzEyLzIwMTkBAAAAAAAAAAIAAAAJMC4wMjM0NjAzANgt3nTyQdgIfzVJdvJB2AgxQ0lRLk5BU0RBUUdTOkNBS0UuSVFfUEVSSU9EREFURS45OTUuMzAvMDQvMjAyMC4uRgEAAAAI4AQABQAAAAozMC8xMi8yMDE0ALGvJFXyQdgINx2AWfJB2AgsQ0lRLk5BU0RBUUdTOkNBS0UuSVFfRVBTX0VTVC42MDAwLjMwLzA0LzIwMjABAAAACOAEAAIAAAAILTIuMDMzMDgBDgAAAAUAAAACMTEBAAAABzI1OTk2OTUCAAAACjEwMDIyMjQyMjIDAAAABjEwMDE3MwQAAAABMgYAAAABMAcAAAADMTYwCAAAAAEwCQAAAAExCgAAAAEwCwAAAAsxMTg4NjUwODMxNAwAAAACMTINAAAACDUvMS8yMDIwEAAAAAk0LzMwLzIwMjCxryRV8kHYCESKg1nyQdgIKENJUS5MU0U6U0ZPUi5JUV9MQVNUU0FMRVBSSUNFLjIwLzAzLzIwMjABAAAAy1PkIQIAAAAFMS4yOTUAAeh9U/JB2Ai6LV5Z8kHYCCFDSVEuTFNFOlRTQ08uSVFfVk9MVU1FLjAxLzAzLzIwMTkBAAAAMFAGAAIAAAAIMjYuMzY0ODEApLx/U/JB2AiP8b1y8kHYCDtDSVEuTFNFOlRTQ08uSVFfVE9UQUxfREVCVF9DVVJSRU5ULjEwMDAuMzEvMTIvMjAxOS4uRi5HQlAuQwEAAAAwUAYAAgAA</t>
  </si>
  <si>
    <t>AAQxNTk5AQgAAAAFAAAAATEBAAAACjE5Njg3MzY1NjMDAAAAAjU1AgAAAAUyNTIyMwQAAAABMQcAAAAKMTIvMzEvMjAxOQgAAAAJOC8xNi8yMDIwCQAAAAEwO4YXePJB2AhDUvl48kHYCDFDSVEuTFNFOlNGT1IuSVFfVE9UQUxfQ0EuMjAwMC4zMS8xMi8yMDE5Li5GLkdCUC5DAQAAAMtT5CECAAAABzEwNi4xMjYBCAAAAAUAAAABMQEAAAAKMTk2MTExNzQwMQMAAAACNTUCAAAABDEwMDgEAAAAATEHAAAACjEyLzMxLzIwMTkIAAAACTgvMTYvMjAyMAkAAAABMDuGF3jyQdgICoP8ePJB2Ag4Q0lRLk5ZU0U6TUFOVS5JUV9FU1RfRVBTX0dST1dUSF81WVJfSElHSC42MDAwLjMxLzEyLzIwMTkBAAAA3WsNAAIAAAAHMC4yMjc1NQEOAAAABQAAAAE3AQAAAAkyMTUwNTUzODUCAAAABjcwMjcyOAMAAAAGMTAwMTY5BAAAAAEzBgAAAAEwBwAAAAEwCAAAAAEwCQAAAAExCgAAAAEwCwAAAAsxMTY5MjcyMzE5MwwAAAABOA0AAAAIMS8xLzIwMjAQAAAACjEyLzMxLzIwMTkoK0J18kHYCJFiTnbyQdgILENJUS5MU0U6U0ZPUi5JUV9FQlQuMjAwMC4zMS8xMi8yMDE5Li5GLkdCUC5DAQAAAMtT5CECAAAACi0xNS42MzYwMDMBCAAAAAUAAAABMQEAAAAKMTk2MTExNzQwMQMAAAACNTUCAAAAAzEzOQQAAAABMQcAAAAKMTIvMzEvMjAxOQgAAAAJOC8xNi8yMDIwCQAAAAEw3O2Vd/JB2Aix6+p48kHYCCFDSVEuTFNFOlNGT1Iu</t>
  </si>
  <si>
    <t>SVFfVk9MVU1FLjAyLzA4LzIwMTkBAAAAy1PkIQIAAAAHMC4wNTA4NgDZObVT8kHYCLcuvXLyQdgINENJUS5OQVNEQVFHUzpDQUtFLklRX0lOQ19UQVguOTk5LjMxLzEyLzIwMTkuLkYuVVNELkMBAAAACOAEAAIAAAAHLTEwLjkyNgEIAAAABQAAAAExAQAAAAoxOTQ4MTc2NjgwAwAAAAMxNjACAAAAAjc1BAAAAAExBwAAAAoxMi8zMS8yMDE5CAAAAAk4LzE2LzIwMjAJAAAAATDc7ZV38kHYCGjb6XjyQdgINkNJUS5HQlAuSVFfRlVMTF9DVVJWRV9BTk5VQUwuQUxMQ09SUC5JRy4yMFkuMzAvMDQvMjAyMAEAAAAAAAAAAgAAAAkwLjAyNDgyMDkAqiQlVfJB2AhTCodZ8kHYCDVDSVEuTkFTREFRR1M6Q0FLRS5JUV9DT1NUX1JFVi45OTkuMzAvMDQvMjAyMC4uRi5VU0QuQwEAAAAI4AQAAgAAAAgxMzY3LjAxNAEIAAAABQAAAAExAQAAAAoyMDIxNTgxNDIwAwAAAAMxNjACAAAAATEEAAAAATEHAAAACTQvMzAvMjAyMAgAAAAJOC8xNi8yMDIwCQAAAAEw/2/KTPJB2Ai17p5Z8kHYCBlDSVEuLklRX1ZPTFVNRS4xNy8wMS8yMDIwBQAAAAAAAAAIAAAAFChJbnZhbGlkIElkZW50aWZpZXIp2Tm1U/JB2AhyAnVZ8kHYCC1DSVEuTFNFOlNGT1IuSVFfUEVSSU9EREFURS4yMDAwLjMwLzA0LzIwMjAuLkYBAAAAy1PkIQUAAAAKMzEvMTIvMjAxOQCxryRV8kHYCLoXglnyQdgIRENJUS5OQVNEQVFHUzpDQUtFLklRX01JTk9S</t>
  </si>
  <si>
    <t>SVRZX0lOVEVSRVNUX1RPVEFMLjk5Ni4zMC8wNC8yMDIwLi5GLlVTRC5DAQAAAAjgBAADAAAAAAD/b8pM8kHYCC3pmVnyQdgILENJUS5MU0U6U0ZPUi5JUV9QRVJJT0REQVRFLjk5NS4zMC8wNC8yMDIwLi5GAQAAAMtT5CEDAAAAAACxryRV8kHYCDcdgFnyQdgINUNJUS5MU0U6U0ZPUi5JUV9FUVVJVFlfTUVUSE9ELjk5OC4zMC8wNC8yMDIwLi5GLkdCUC5DAQAAAMtT5CEDAAAAAADZCgdL8kHYCNErkFnyQdgIMENJUS5MU0U6U0ZPUi5JUV9UT1RBTF9DQS45OTcuMzAvMDQvMjAyMC4uRi5HQlAuQwEAAADLU+QhAwAAAAAA2QoHS/JB2AgD+5NZ8kHYCC1DSVEuTkFTREFRR1M6VFNMQS5JUV9MQVNUU0FMRVBSSUNFLjEzLzA3LzIwMTgBAAAAEMaiAQIAAAAGMzE4Ljg3ADq/hVLyQdgIbZUNcfJB2AgiQ0lRLk5ZU0U6UkFDRS5JUV9WT0xVTUUuMjIvMDMvMjAxOQEAAAA9grAQAgAAAAgwLjQxMTg4MgC5lH9T8kHYCC2Cu3LyQdgIMUNJUS5OQVNEQVFHUzpDQUtFLklRX1NHQS4yMDAwLjMxLzEyLzIwMTkuLkYuVVNELkMBAAAACOAEAAIAAAAHMzU1LjI4NwEIAAAABQAAAAExAQAAAAoxOTkxMzI3MDQwAwAAAAMxNjACAAAAAjIzBAAAAAExBwAAAAoxMi8zMS8yMDE5CAAAAAk4LzE2LzIwMjAJAAAAATAeIhh48kHYCHwZ8HjyQdgIJkNJUS5OQVNEQVFHUzpUU0xBLklRX1ZPTFVNRS4wNy8wNi8yMDE5AQAAABDGogEC</t>
  </si>
  <si>
    <t>AAAACDE2LjAwMzUzAKPWJFXyQdgIg7/BcvJB2Ag6Q0lRLk5BU0RBUUdTOkNBS0UuSVFfRVFVSVRZX01FVEhPRC45OTcuMzAvMDQvMjAyMC4uRi5VU0QuQwEAAAAI4AQAAgAAAAI0MgEIAAAABQAAAAExAQAAAAoxOTQ4MTc2NjYyAwAAAAMxNjACAAAABDMwNjMEAAAAATEHAAAACTQvMzAvMjAyMAgAAAAJOC8xNi8yMDIwCQAAAAEwA0nKTPJB2AjKUpBZ8kHYCC1DSVEuTFNFOlNGT1IuSVFfREFfQ0YuOTk2LjMwLzA0LzIwMjAuLkYuR0JQLkMBAAAAy1PkIQMAAAAAANkKB0vyQdgImH+qWfJB2AgoQ0lRLkxTRTpTRk9SLklRX0xBU1RTQUxFUFJJQ0UuMDUvMDcvMjAxOQEAAADLU+QhAgAAAAQxLjYzANGDflPyQdgI5iMocfJB2AgqQ0lRLkxTRTpUU0NPLklRX0ZJU0NBTF9RLjUwMC4zMC8wNC8yMDIwLi5GAQAAADBQBgADAAAAAlE0APw6JFXyQdgIviuJWfJB2AgpQ0lRLk5ZU0U6TUFOVS5JUV9MQVNUU0FMRVBSSUNFLjMwLzA2LzIwMTUBAAAA3WsNAAIAAAAFMTcuODYApLx/U/JB2AhusCBx8kHYCCRDSVEuXkFTWC5JUV9MQVNUU0FMRVBSSUNFLjMxLzEwLzIwMTgBAAAAH1PrAQIAAAALMzkwNC4yMzM1OTkACZY3UvJB2Aj7EAtz8kHYCCRDSVEuXkFTWC5JUV9MQVNUU0FMRVBSSUNFLjA3LzA5LzIwMTgBAAAAH1PrAQIAAAALNDAyMS45OTcyMjkAisU3UfJB2AiegBtz8kHYCD9DSVEuTkFTREFRR1M6VFNMQS5J</t>
  </si>
  <si>
    <t>UV9FQklUREFfTUVESUFOX0VTVC4xMDAxLjMwLzA0LzIwMjAuLkYuVVNELkMBAAAAEMaiAQIAAAAENDE2MgEOAAAABQAAAAEzAQAAAAEwAgAAAAoxMDAwODcyOTYzAwAAAAYxMDAxODgEAAAAATIGAAAAATAHAAAAAzE2MAgAAAABMQkAAAABMQoAAAABMAsAAAALMTE4OTg5MTIwMzYMAAAAATENAAAACDUvMS8yMDIwEAAAAAk4LzE2LzIwMjCkfwdL8kHYCOxHolnyQdgIPENJUS5OWVNFOk1BTlUuSVFfVE9UQUxfREVCVF9DVVJSRU5ULjEwMDAuMzEvMTIvMjAxOS4uRi5HQlAuQwEAAADdaw0AAgAAAAU1LjQ1MwEIAAAABQAAAAExAQAAAAoxOTg1ODQ1MDYzAwAAAAI1NQIAAAAFMjUyMjMEAAAAATEHAAAACjEyLzMxLzIwMTkIAAAACTgvMTYvMjAyMAkAAAABMDuGF3jyQdgI23f5ePJB2AgzQ0lRLkxTRTpTRk9SLklRX1BSRUZfRVFVSVRZLjk5Ni4zMS8xMi8yMDE5Li5GLkdCUC5DAQAAAMtT5CEDAAAAAAAe+xd48kHYCBmC9HjyQdgIKkNJUS5MU0U6VFNDTy5JUV9DT1NUX0JPUlJPV0lORy4uMzEvMTIvMjAxOQEAAAAwUAYAAgAAAAUxLjkzNwEIAAAABQAAAAExAQAAAAoxOTg2NzkzMjQwAwAAAAI1NQIAAAAFMjE2ODEEAAAAATAHAAAACjEyLzMxLzIwMTkIAAAACTgvMjQvMjAxOQkAAAABMP4DQnXyQdgIQ01PdvJB2AgtQ0lRLk5ZU0U6S08uSVFfRUJJVERBLjk5OC4zMC8wNC8yMDIwLi5GLlVTRC5DAQAAABJo</t>
  </si>
  <si>
    <t>AAACAAAABTEwNjAwAQgAAAAFAAAAATEBAAAACjIwMTY3OTEyNTADAAAAAzE2MAIAAAAENDA1MQQAAAABMQcAAAAJNC8zMC8yMDIwCAAAAAk4LzE2LzIwMjAJAAAAATADScpM8kHYCK4Ko1nyQdgIJkNJUS5OQVNEQVFHUzpUU0xBLklRX1ZPTFVNRS4xMC8wMS8yMDIwAQAAABDGogECAAAACDEyLjk3NjgzAKPWJFXyQdgIw2Z7WfJB2AgpQ0lRLk5ZU0U6UkFDRS5JUV9MQVNUU0FMRVBSSUNFLjMxLzAzLzIwMTcBAAAAPYKwEAIAAAAFNzQuMzYA0YN+U/JB2AgPUiZx8kHYCDVDSVEuTllTRTpNQU5VLklRX1BSRUZfRVFVSVRZLjEwMDAuMzAvMDQvMjAyMC4uRi5HQlAuQwEAAADdaw0AAwAAAAAA/2/KTPJB2AjTIJtZ8kHYCDFDSVEuTllTRTpLTy5JUV9UT1RBTF9MSUFCLjk5Ni4zMC8wNC8yMDIwLi5GLlVTRC5DAQAAABJoAAACAAAABTY0MjMyAQgAAAAFAAAAATEBAAAACjE4NzU3OTc4MDkDAAAAAzE2MAIAAAAEMTI3NgQAAAABMQcAAAAJNC8zMC8yMDIwCAAAAAk4LzE2LzIwMjAJAAAAATADScpM8kHYCPCrmlnyQdgIKUNJUS5OWVNFOlJBQ0UuSVFfTEFTVFNBTEVQUklDRS4yMC8xMi8yMDE5AQAAAD2CsBACAAAABjE2Ny4wMQDoNX5T8kHYCFY6LnHyQdgILkNJUS5OWVNFOk1BTlUuSVFfREFfQ0YuOTk3LjMwLzA0LzIwMjAuLkYuR0JQLkMBAAAA3WsNAAIAAAAGOTguMDg4AQgAAAAFAAAAATEBAAAACjE5MTAy</t>
  </si>
  <si>
    <t>NDc0MDMDAAAAAjU1AgAAAAQyMTYwBAAAAAExBwAAAAk0LzMwLzIwMjAIAAAACTgvMTYvMjAyMAkAAAABMP9vykzyQdgIoFiqWfJB2Ag1Q0lRLkxTRTpTRk9SLklRX0VRVUlUWV9NRVRIT0QuOTk3LjMxLzEyLzIwMTkuLkYuR0JQLkMBAAAAy1PkIQMAAAAAAEdgF3jyQdgI1I7/ePJB2AgpQ0lRLk5ZU0U6UkFDRS5JUV9MQVNUU0FMRVBSSUNFLjI5LzA2LzIwMTgBAAAAPYKwEAIAAAAGMTM1LjAxADq/hVLyQdgI2w8McfJB2AgkQ0lRLl5BU1guSVFfTEFTVFNBTEVQUklDRS4xNy8wOC8yMDE4AQAAAB9T6wECAAAACzQxNTMuODE5NDE0AIrFN1HyQdgInoAbc/JB2Ag5Q0lRLk5BU0RBUUdTOkNBS0UuSVFfUFJFRl9FUVVJVFkuMTAwMC4zMS8xMi8yMDE5Li5GLlVTRC5DAQAAAAjgBAADAAAAAACE1Bd48kHYCPr29HjyQdgIM0NJUS5OWVNFOk1BTlUuSVFfTFRfSU5WRVNULjIwMDAuMzAvMDQvMjAyMC4uRi5HQlAuQwEAAADdaw0AAwAAAAAAvFgHS/JB2AiiMpVZ8kHYCC9DSVEuTllTRTpLTy5JUV9DT1NUX1JFVi45OTguMzAvMDQvMjAyMC4uRi5VU0QuQwEAAAASaAAAAgAAAAUxMzcyMQEIAAAABQAAAAExAQAAAAoyMDE2NzkxMjUwAwAAAAMxNjACAAAAATEEAAAAATEHAAAACTQvMzAvMjAyMAgAAAAJOC8xNi8yMDIwCQAAAAEwA0nKTPJB2Ai17p5Z8kHYCC1DSVEuTkFTREFRR1M6Q0FLRS5JUV9MQVNUU0FMRVBS</t>
  </si>
  <si>
    <t>SUNFLjE5LzAxLzIwMTgBAAAACOAEAAIAAAAFNDguMzQAKCtCdfJB2AijA1t28kHYCClDSVEuTllTRTpSQUNFLklRX0xBU1RTQUxFUFJJQ0UuMDUvMDcvMjAxOQEAAAA9grAQAgAAAAYxNjUuNjEA0YN+U/JB2AjmIyhx8kHYCClDSVEuTllTRTpLTy5JUV9HUC45OTYuMzAvMDQvMjAyMC4uRi5VU0QuQwEAAAASaAAAAgAAAAUyNjgxMgEIAAAABQAAAAExAQAAAAoxODc1Nzk3ODA5AwAAAAMxNjACAAAAAjEwBAAAAAExBwAAAAk0LzMwLzIwMjAIAAAACTgvMTYvMjAyMAkAAAABMANJykzyQdgIcyagWfJB2AgpQ0lRLk5ZU0U6UkFDRS5JUV9MQVNUU0FMRVBSSUNFLjE3LzA4LzIwMTgBAAAAPYKwEAIAAAAFMTIwLjgAOr+FUvJB2AimoBBx8kHYCCFDSVEuTFNFOlNGT1IuSVFfVk9MVU1FLjI0LzA1LzIwMTkBAAAAy1PkIQIAAAAIMC4yMzcwOTgA2Tm1U/JB2AjIB71y8kHYCDRDSVEuTFNFOlNGT1IuSVFfVE9UQUxfQVNTRVRTLjk5Ny4zMS8xMi8yMDE5Li5GLkdCUC5DAQAAAMtT5CEDAAAAAAA7hhd48kHYCHn9+njyQdgIK0NJUS5OWVNFOk1BTlUuSVFfR1AuOTk2LjMwLzA0LzIwMjAuLkYuR0JQLkMBAAAA3WsNAAIAAAAHMzQ3LjIzMQEIAAAABQAAAAExAQAAAAoxODYxNzM2ODY5AwAAAAI1NQIAAAACMTAEAAAAATEHAAAACTQvMzAvMjAyMAgAAAAJOC8xNi8yMDIwCQAAAAEw/2/KTPJB2AhzJqBZ8kHYCDtDSVEu</t>
  </si>
  <si>
    <t>TFNFOlNGT1IuSVFfUkVWRU5VRV9NRURJQU5fRVNULjYwMDEuMzAvMDQvMjAyMC4uRi5HQlAuQwEAAADLU+QhAwAAAAAApH8HS/JB2AhM9JxZ8kHYCEFDSVEuTllTRTpSQUNFLklRX01JTk9SSVRZX0lOVEVSRVNUX1RPVEFMLjIwMDAuMzEvMTIvMjAxOS4uRi5FVVIuQwEAAAA9grAQAgAAAAU3LjQ5NAEIAAAABQAAAAExAQAAAAoxOTkwNDIzNjg3AwAAAAI1MAIAAAAEMTMxMgQAAAABMQcAAAAKMTIvMzEvMjAxOQgAAAAJOC8xNi8yMDIwCQAAAAEwhNQXePJB2Ajz4fZ48kHYCCpDSVEuTFNFOlNGT1IuSVFfR1AuOTk5LjMxLzEyLzIwMTkuLkYuR0JQLkMBAAAAy1PkIQMAAAAAAB4iGHjyQdgImo7wePJB2AgpQ0lRLk5ZU0U6UkFDRS5JUV9MQVNUU0FMRVBSSUNFLjA2LzA5LzIwMTkBAAAAPYKwEAIAAAAGMTYzLjExANGDflPyQdgIWJMqcfJB2Ag9Q0lRLk5ZU0U6S08uSVFfVE9UQUxfREVCVF9OT05fQ1VSUkVOVC45OTguMzAvMDQvMjAyMC4uRi5VU0QuQwEAAAASaAAAAgAAAAUzMTIyMQEIAAAABQAAAAExAQAAAAoyMDE2NzkxMjUwAwAAAAMxNjACAAAABTI1MjI0BAAAAAExBwAAAAk0LzMwLzIwMjAIAAAACTgvMTYvMjAyMAkAAAABMANJykzyQdgIjmOYWfJB2AgzQ0lRLk5BU0RBUUdTOlRTTEEuSVFfRUJJVERBLjk5OC4zMC8wNC8yMDIwLi5GLlVTRC5DAQAAABDGogECAAAAATQBCAAAAAUAAAABMQEAAAAK</t>
  </si>
  <si>
    <t>MjAxMzkwNzQ3MAMAAAADMTYwAgAAAAQ0MDUxBAAAAAExBwAAAAk0LzMwLzIwMjAIAAAACTgvMTYvMjAyMAkAAAABMMkxB0vyQdgIrgqjWfJB2AgkQ0lRLklRMjY2ODY0MS5JUV9MQVNUU0FMRVBSSUNFLjQzNTg1AQAAAGG4KAACAAAABDQuMDUAo9YkVfJB2AhvlYZZ8kHYCDZDSVEuVVNELklRX0ZVTExfQ1VSVkVfQU5OVUFMLkFMTENPUlAuSUcuMjBZLjMwLzA0LzIwMjABAAAAAAAAAAIAAAAJMC4wMjczODMyAKokJVXyQdgIZbyGWfJB2AglQ0lRLl5DT01QLklRX0xBU1RTQUxFUFJJQ0UuMzEvMDUvMjAxNgEAAACJuCgAAgAAAAc0OTQ4LjA1AHyrhVHyQdgIXScKc/JB2AgyQ0lRLk5BU0RBUUdTOkNBS0UuSVFfUEVSSU9EREFURS4yMDAwLjMwLzA0LzIwMjAuLkYBAAAACOAEAAUAAAAKMzEvMTIvMjAxOQCxryRV8kHYCOtlglnyQdgILUNJUS5OQVNEQVFHUzpDQUtFLklRX0xBU1RTQUxFUFJJQ0UuMTcvMDgvMjAxOAEAAAAI4AQAAgAAAAU1MS4zMgA6v4VS8kHYCPDIEHHyQdgIIkNJUS5OWVNFOk1BTlUuSVFfVk9MVU1FLjAzLzA0LzIwMjABAAAA3WsNAAIAAAAIMC4wODQzMDMAlf0kVfJB2AinknlZ8kHYCDdDSVEuTkFTREFRR1M6Q0FLRS5JUV9UT1RBTF9MSUFCLjk5Ni4zMS8xMi8yMDE5Li5GLlVTRC5DAQAAAAjgBAACAAAABzYwNC44NjYBCAAAAAUAAAABMQEAAAAKMTgzMDM4Njk4NgMAAAADMTYwAgAA</t>
  </si>
  <si>
    <t>AAQxMjc2BAAAAAExBwAAAAoxMi8zMS8yMDE5CAAAAAk4LzE2LzIwMjAJAAAAATCE1Bd48kHYCBFt9XjyQdgIKUNJUS5OWVNFOk1BTlUuSVFfTEFTVFNBTEVQUklDRS4zMC8wOC8yMDE5AQAAAN1rDQACAAAABDE3LjEA0YN+U/JB2AhTRSpx8kHYCC5DSVEuTFNFOlRTQ08uSVFfTEFTVFNBTEVQUklDRS4yOS8wMi8yMDIwLkdCUC5DAQAAADBQBgACAAAABTIuMjg1ABUiykzyQdgI3l2MWfJB2AgyQ0lRLk5BU0RBUUdTOlRTTEEuSVFfQ0FQRVguOTk4LjMxLzEyLzIwMTkuLkYuVVNELkMBAAAAEMaiAQIAAAAJLTE0NDAuNDcxAQgAAAAFAAAAATEBAAAACjE5NDU4NzM1NTEDAAAAAzE2MAIAAAAEMjAyMQQAAAABMQcAAAAKMTIvMzEvMjAxOQgAAAAJOC8xNi8yMDIwCQAAAAEw2hSWd/JB2AggmOV48kHYCDdDSVEuVVNELklRX0ZVTExfQ1VSVkVfQU5OVUFMLkFMTENPUlAuQ0NDLjIwWS4zMS8xMi8yMDE5AQAAAAAAAAACAAAABzAuMTQzOTIA2C3edPJB2Ahog0l28kHYCCtDSVEuTllTRTpLTy5JUV9FQklULjk5OS4zMS8xMi8yMDE5Li5GLlVTRC5DAQAAABJoAAACAAAABDkwNzgBCAAAAAUAAAABMQEAAAAKMTk0NjQzMDc3OQMAAAADMTYwAgAAAAM0MDAEAAAAATEHAAAACjEyLzMxLzIwMTkIAAAACTgvMTYvMjAyMAkAAAABMB4iGHjyQdgITErsePJB2AgpQ0lRLk5ZU0U6TUFOVS5JUV9MQVNUU0FMRVBSSUNFLjE2</t>
  </si>
  <si>
    <t>LzExLzIwMTgBAAAA3WsNAAIAAAAFMjAuODYAx+J/U/JB2Air8R1x8kHYCEVDSVEuTkFTREFRR1M6VFNMQS5JUV9NSU5PUklUWV9JTlRFUkVTVF9UT1RBTC4xMDAwLjMxLzEyLzIwMTkuLkYuVVNELkMBAAAAEMaiAQIAAAAIMTM5MC4zNjEBCAAAAAUAAAABMQEAAAAKMTk0NTg3MzU0NgMAAAADMTYwAgAAAAQxMzEyBAAAAAExBwAAAAoxMi8zMS8yMDE5CAAAAAk4LzE2LzIwMjAJAAAAATCE1Bd48kHYCO3L9njyQdgILkNJUS5OWVNFOlJBQ0UuSVFfQ0FQRVguOTk3LjMxLzEyLzIwMTkuLkYuRVVSLkMBAAAAPYKwEAIAAAAHLTE4NC45MQEIAAAABQAAAAExAQAAAAoxODc2MDQzMzEzAwAAAAI1MAIAAAAEMjAyMQQAAAABMQcAAAAKMTIvMzEvMjAxOQgAAAAJOC8xNi8yMDIwCQAAAAEw2hSWd/JB2AgqceV48kHYCCdDSVEuJEFFREhLRC5JUV9MQVNUU0FMRVBSSUNFLjMwLzA0LzIwMjABAAAAJetaAAIAAAALMC40NzM4MjE3NjcAqiQlVfJB2AjPNoVZ8kHYCChDSVEuTFNFOlNGT1IuSVFfTEFTVFNBTEVQUklDRS4zMC8wNi8yMDE4AQAAAMtT5CEDAAAAAADoNX5T8kHYCHf3KXHyQdgIJUNJUS5eQ09NUC5JUV9MQVNUU0FMRVBSSUNFLjMwLzA5LzIwMTgBAAAAibgoAAIAAAAHODA0Ni4zNQAJljdS8kHYCICLCXPyQdgIKENJUS5MU0U6VFNDTy5JUV9MQVNUU0FMRVBSSUNFLjMxLzAxLzIwMTkBAAAAMFAGAAIAAAAF</t>
  </si>
  <si>
    <t>Mi4yMzEACA9+U/JB2AgT8ytx8kHYCC1DSVEuTFNFOlNGT1IuSVFfUFJJQ0VfVk9MX0hJU1RfMllSLjMwLzA0LzIwMjABAAAAy1PkIQMAAAAAAPw6JFXyQdgI27aIWfJB2Ag6Q0lRLk5BU0RBUUdTOkNBS0UuSVFfVE9UQUxfQVNTRVRTLjIwMDAuMzAvMDQvMjAyMC4uRi5VU0QuQwEAAAAI4AQAAgAAAAgyODQwLjU5MwEIAAAABQAAAAExAQAAAAoyMDIxNTgyNzA0AwAAAAMxNjACAAAABDEwMDcEAAAAATEHAAAACTQvMzAvMjAyMAgAAAAJOC8xNi8yMDIwCQAAAAEwA0nKTPJB2AjbSJRZ8kHYCBlDSVEuLklRX1ZPTFVNRS4yNy8xMi8yMDE5BQAAAAAAAAAIAAAAFChJbnZhbGlkIElkZW50aWZpZXIp2Tm1U/JB2Ag6W7ty8kHYCCdDSVEuJEFFRFBMTi5JUV9MQVNUU0FMRVBSSUNFLjMwLzA0LzIwMjABAAAAJetaAAIAAAALMC44ODM1Njk4ODIAqiQlVfJB2AgPTYRZ8kHYCC1DSVEuTkFTREFRR1M6VFNMQS5JUV9MQVNUU0FMRVBSSUNFLjMwLzA0LzIwMTgBAAAAEMaiAQIAAAAFMjkzLjkA6DV+U/JB2AiWgilx8kHYCClDSVEuTllTRTpSQUNFLklRX0xBU1RTQUxFUFJJQ0UuMDEvMTEvMjAxOQEAAAA9grAQAgAAAAYxNjEuMzgABV1+U/JB2Ai+jSxx8kHYCDNDSVEuTFNFOlRTQ08uSVFfVE9UQUxfTElBQi4xMDAwLjMwLzA0LzIwMjAuLkYuR0JQLkMBAAAAMFAGAAIAAAAFMzkwNDkBCAAAAAUAAAABMQEAAAAKMjAy</t>
  </si>
  <si>
    <t>NjUwNzMwOQMAAAACNTUCAAAABDEyNzYEAAAAATEHAAAACTQvMzAvMjAyMAgAAAAJOC8xNi8yMDIwCQAAAAEwyTEHS/JB2AgPN5pZ8kHYCCJDSVEuTllTRTpSQUNFLklRX1ZPTFVNRS4wNy8xMi8yMDE4AQAAAD2CsBACAAAACDAuMzk1MzY3AMfif1PyQdgIte0fcfJB2AgtQ0lRLk5BU0RBUUdTOlRTTEEuSVFfTEFTVFNBTEVQUklDRS4yNC8wNC8yMDIwAQAAABDGogECAAAABjcyNS4xNQAB6H1T8kHYCJY3YVnyQdgINUNJUS5OWVNFOktPLklRX05JX01FRElBTl9FU1QuMTAwMy4zMS8xMi8yMDE5Li5GLlVTRC5DAQAAABJoAAACAAAACzEwMzg3LjY0MzE5AQ4AAAAFAAAAATMBAAAAATACAAAACjEwMDE2NTYyNzgDAAAABjEwMDI1MQQAAAABMgYAAAABMAcAAAADMTYwCAAAAAExCQAAAAExCgAAAAEwCwAAAAsxMTcyMTcwNjQxNQwAAAABMQ0AAAAIMS8xLzIwMjAQAAAACTgvMTYvMjAyMNoUlnfyQdgICo3pePJB2AgtQ0lRLkxTRTpTRk9SLklRX1BFUklPRERBVEUuMjAwMC4zMS8xMi8yMDE5Li5GAQAAAMtT5CEFAAAACjMxLzEyLzIwMTgA/gNCdfJB2AjDUk128kHYCCZDSVEuTkFTREFRR1M6Q0FLRS5JUV9WT0xVTUUuMjUvMDUvMjAxOAEAAAAI4AQAAgAAAAgwLjc2MDYzOQAp5oVS8kHYCKkrCXHyQdgIM0NJUS5OWVNFOk1BTlUuSVFfVE9UQUxfTElBQi45OTcuMzAvMDQvMjAyMC4uRi5HQlAuQwEAAADdaw0A</t>
  </si>
  <si>
    <t>AgAAAAc5OTMuNjIxAQgAAAAFAAAAATEBAAAACjE5MTAyNDc0MDMDAAAAAjU1AgAAAAQxMjc2BAAAAAExBwAAAAk0LzMwLzIwMjAIAAAACTgvMTYvMjAyMAkAAAABMLxYB0vyQdgI+4SaWfJB2AgnQ0lRLk5ZU0U6S08uSVFfTEFTVFNBTEVQUklDRS4xNi8xMS8yMDE4AQAAABJoAAACAAAABTUwLjE3AMfif1PyQdgIoBgecfJB2Ag5Q0lRLk5BU0RBUUdTOlRTTEEuSVFfVE9UQUxfQVNTRVRTLjk5OC4zMS8xMi8yMDE5Li5GLlVTRC5DAQAAABDGogECAAAACTIyNjY0LjA3NgEIAAAABQAAAAExAQAAAAoxOTQ1ODczNTUxAwAAAAMxNjACAAAABDEwMDcEAAAAATEHAAAACjEyLzMxLzIwMTkIAAAACTgvMTYvMjAyMAkAAAABMDuGF3jyQdgIef36ePJB2AgZQ0lRLi5JUV9WT0xVTUUuMjUvMTAvMjAxOQUAAAAAAAAACAAAABQoSW52YWxpZCBJZGVudGlmaWVyKdk5tVPyQdgITA27cvJB2AgrQ0lRLkxTRTpTRk9SLklRX1NHQS45OTkuMzEvMTIvMjAxOS4uRi5HQlAuQwEAAADLU+QhAwAAAAAAHiIYePJB2Ahly+948kHYCCRDSVEuXlNQWC5JUV9MQVNUU0FMRVBSSUNFLjEyLzA0LzIwMTkBAAAAm7goAAIAAAAPMjkwNy40MTQzODMwNzY4AKCeN1HyQdgI6voSc/JB2AgsQ0lRLkxTRTpUU0NPLklRX0VCSVQuOTk2LjMwLzA0LzIwMjAuLkYuR0JQLkMBAAAAMFAGAAIAAAADODA2AQgAAAAFAAAAATEBAAAACjE4NDc4MjUx</t>
  </si>
  <si>
    <t>NDgDAAAAAjU1AgAAAAM0MDAEAAAAATEHAAAACTQvMzAvMjAyMAgAAAAJOC8xNi8yMDIwCQAAAAEwyTEHS/JB2AgOBaVZ8kHYCD1DSVEuTllTRTpLTy5JUV9UT1RBTF9ERUJUX05PTl9DVVJSRU5ULjk5OC4zMS8xMi8yMDE5Li5GLlVTRC5DAQAAABJoAAACAAAABTI5NzMyAQgAAAAFAAAAATEBAAAACjE5NDY0MzA3ODIDAAAAAzE2MAIAAAAFMjUyMjQEAAAAATEHAAAACjEyLzMxLzIwMTkIAAAACTgvMTYvMjAyMAkAAAABMBytF3jyQdgIUn/3ePJB2Ag6Q0lRLkxTRTpTRk9SLklRX0VCSVREQV9NRURJQU5fRVNULjYwMDEuMzAvMDQvMjAyMC4uRi5HQlAuQwEAAADLU+QhAwAAAAAApH8HS/JB2AggXqFZ8kHYCDdDSVEuTllTRTpLTy5JUV9MT1dfVEFSR0VUX1BSSUNFLjYwMDAuMzAvMDQvMjAyMC4uLlVTRC5DAQAAABJoAAACAAAAAjQ2AQ4AAAAFAAAAATcBAAAABzI2MDEyMDECAAAABTIyMjA4AwAAAAYxMDAxNjQEAAAAAzI1NQYAAAABMAcAAAADMTYwCAAAAAExCQAAAAExCgAAAAEwCwAAAAsxMTg4NTI1NjMwNwwAAAABOA0AAAAINS8xLzIwMjAQAAAACTgvMTYvMjAyMP9vykzyQdgIDUKPWfJB2Ag1Q0lRLk5BU0RBUUdTOlRTTEEuSVFfVE9UQUxfQ0wuOTk5LjMwLzA0LzIwMjAuLkYuVVNELkMBAAAAEMaiAQIAAAAEOTk5MwEIAAAABQAAAAExAQAAAAoyMDEzOTA3NDYzAwAAAAMxNjACAAAABDEwMDkEAAAA</t>
  </si>
  <si>
    <t>ATEHAAAACTQvMzAvMjAyMAgAAAAJOC8xNi8yMDIwCQAAAAEwvFgHS/JB2AjYUpdZ8kHYCC9DSVEuTllTRTpSQUNFLklRX0RBX0NGLjEwMDAuMzEvMTIvMjAxOS4uRi5FVVIuQwEAAAA9grAQAgAAAAcxNzMuNTU3AQgAAAAFAAAAATEBAAAACjE5NDc0NDQxODMDAAAAAjUwAgAAAAQyMTYwBAAAAAExBwAAAAoxMi8zMS8yMDE5CAAAAAk4LzE2LzIwMjAJAAAAATDaFJZ38kHYCKxE53jyQdgIMUNJUS5MU0U6VFNDTy5JUV9UT1RBTF9SRVYuOTk1LjMxLzEyLzIwMTkuLkYuR0JQLkMBAAAAMFAGAAIAAAAFNjM1NTcBCAAAAAUAAAABMQEAAAAKMTczOTExNTgxOAMAAAACNTUCAAAAAjI4BAAAAAExBwAAAAoxMi8zMS8yMDE5CAAAAAk4LzE2LzIwMjAJAAAAATAe+xd48kHYCGPH8XjyQdgILENJUS5OWVNFOk1BTlUuSVFfU0dBLjk5OC4zMC8wNC8yMDIwLi5GLkdCUC5DAQAAAN1rDQACAAAABzI2My4wNDEBCAAAAAUAAAABMQEAAAAKMTk4NTg0NTA0NQMAAAACNTUCAAAAAjIzBAAAAAExBwAAAAk0LzMwLzIwMjAIAAAACTgvMTYvMjAyMAkAAAABMLxYB0vyQdgIUcOgWfJB2AggQ0lRLi5JUV9MQVNUU0FMRVBSSUNFLjI3LzA5LzIwMTkFAAAAAAAAAAgAAAAUKEludmFsaWQgSWRlbnRpZmllcikJljdS8kHYCBOXL3PyQdgIIENJUS4uSVFfTEFTVFNBTEVQUklDRS4yOC8wMi8yMDE5BQAAAAAAAAAIAAAAFChJbnZhbGlk</t>
  </si>
  <si>
    <t>IElkZW50aWZpZXIpAN4yUvJB2AgA8Ctz8kHYCCxDSVEuTkFTREFRR1M6VFNMQS5JUV9FUFNfRVNULjYwMDAuMzAvMDQvMjAyMAEAAAAQxqIBAgAAAAY2LjI2MTEBDgAAAAUAAAACMTEBAAAACTEwODgwMzkxNQIAAAAIMTUzNTc2ODYDAAAABjEwMDE3MwQAAAABMgYAAAABMAcAAAADMTYwCAAAAAEwCQAAAAExCgAAAAEwCwAAAAsxMTg5OTAwMDI5NwwAAAACMTINAAAACDUvMS8yMDIwEAAAAAk0LzMwLzIwMjCxryRV8kHYCDqxg1nyQdgILENJUS5OWVNFOktPLklRX0RBX0NGLjk5OS4zMS8xMi8yMDE5Li5GLlVTRC5DAQAAABJoAAACAAAABDEyNjABCAAAAAUAAAABMQEAAAAKMTk0NjQzMDc3OQMAAAADMTYwAgAAAAQyMTYwBAAAAAExBwAAAAoxMi8zMS8yMDE5CAAAAAk4LzE2LzIwMjAJAAAAATDaFJZ38kHYCKxE53jyQdgIJENJUS5OWVNFOk1BTlUuSVFfQkVUQV8yWVIuMzEvMTIvMjAxOQEAAADdaw0AAgAAABEwLjQ1ODk3MzM3ODE0NjE3OQDfBt508kHYCGgVR3byQdgIJENJUS5eQVNYLklRX0xBU1RTQUxFUFJJQ0UuMjgvMTIvMjAxOAEAAAAfU+sBAgAAAAszNjc1LjI2NzIyNwCKxTdR8kHYCKALG3PyQdgIJkNJUS5OQVNEQVFHUzpDQUtFLklRX1ZPTFVNRS4xOS8wMS8yMDE4AQAAAAjgBAACAAAACDAuODI0OTE4ACgrQnXyQdgIowNbdvJB2AgyQ0lRLk5ZU0U6UkFDRS5JUV9SVUFfR1JPU1MuMjAwMC4z</t>
  </si>
  <si>
    <t>MC8wNC8yMDIwLi4uTE9DQUwBAAAAPYKwEAMAAAAAALGvJFXyQdgIHRrSWvJB2AgnQ0lRLiRBRUROWkQuSVFfTEFTVFNBTEVQUklDRS4zMC8wNC8yMDE5AQAAACXrWgACAAAACzIuNDQ4NjY2NjY3AKokJVXyQdgIxV2FWfJB2Ag3Q0lRLk5ZU0U6TUFOVS5JUV9EQV9NRURJQU5fRVNULjEwMDEuMzAvMDQvMjAyMC4uRi5HQlAuQwEAAADdaw0AAwAAAAAA6pbKTPJB2AjXlalZ8kHYCDpDSVEuTFNFOlRTQ08uSVFfRUJJVERBX01FRElBTl9FU1QuMTAwMS4zMC8wNC8yMDIwLi5GLkdCUC5DAQAAADBQBgACAAAABzQ1NDkuMDIBDgAAAAUAAAABMwEAAAABMAIAAAAKMTAwMDI2NDQ5OQMAAAAGMTAwMTg4BAAAAAEzBgAAAAEwBwAAAAI1NQgAAAABMQkAAAABMQoAAAABMAsAAAALMTE4OTIzNTg0OTkMAAAAATENAAAACDUvMS8yMDIwEAAAAAk4LzE2LzIwMjCkfwdL8kHYCOxHolnyQdgIJENJUS5eQVNYLklRX0xBU1RTQUxFUFJJQ0UuMzAvMTEvMjAxOQEAAAAfU+sBAgAAAAs0MDY2LjczMjQxNwBJBTNS8kHYCCfDCnPyQdgIIUNJUS5MU0U6VFNDTy5JUV9WT0xVTUUuMzEvMDEvMjAyMAEAAAAwUAYAAgAAAAgxNy4yNzYyMwCV/SRV8kHYCALmd1nyQdgILUNJUS5OQVNEQVFHUzpDQUtFLklRX0xBU1RTQUxFUFJJQ0UuMzEvMTAvMjAxNwEAAAAI4AQAAgAAAAU0NC43NAAFXX5T8kHYCNf+J3HyQdgINUNJUS5OWVNFOktP</t>
  </si>
  <si>
    <t>LklRX05JX01FRElBTl9FU1QuMTAwMS4zMS8xMi8yMDE5Li5GLlVTRC5DAQAAABJoAAACAAAACjkwNzYuMzY0MzQBDgAAAAUAAAABMwEAAAABMAIAAAAKMTAwMTQxNjQxNQMAAAAGMTAwMjUxBAAAAAEyBgAAAAEwBwAAAAMxNjAIAAAAATEJAAAAATEKAAAAATALAAAACzExNzIxNzA2NjMzDAAAAAExDQAAAAgxLzEvMjAyMBAAAAAJOC8xNi8yMDIw2hSWd/JB2AgkP+l48kHYCClDSVEuTllTRTpNQU5VLklRX0xBU1RTQUxFUFJJQ0UuMjcvMDcvMjAxOAEAAADdaw0AAgAAAAQyMC43ADq/hVLyQdgIPPUOcfJB2AgkQ0lRLl5TUFguSVFfTEFTVFNBTEVQUklDRS4zMC8wNi8yMDE2AQAAAJu4KAACAAAAEDIwOTguODU1MjI2NTA1NjEAfKuFUfJB2Agpoghz8kHYCENDSVEuTkFTREFRR1M6Q0FLRS5JUV9UT1RBTF9ERUJUX05PTl9DVVJSRU5ULjk5OC4zMS8xMi8yMDE5Li5GLlVTRC5DAQAAAAjgBAACAAAABzEwMC41NzYBCAAAAAUAAAABMQEAAAAKMTk0ODE3NjY2MgMAAAADMTYwAgAAAAUyNTIyNAQAAAABMQcAAAAKMTIvMzEvMjAxOQgAAAAJOC8xNi8yMDIwCQAAAAEwHK0XePJB2AhoVvd48kHYCCBDSVEuLklRX0xBU1RTQUxFUFJJQ0UuMzEvMDgvMjAxNgUAAAAAAAAACAAAABQoSW52YWxpZCBJZGVudGlmaWVyKYZdhVHyQdgI+OpQc/JB2AgmQ0lRLk5BU0RBUUdTOkNBS0UuSVFfVk9MVU1FLjA3LzAyLzIwMjAB</t>
  </si>
  <si>
    <t>AAAACOAEAAIAAAAIMC40NTE0NTIAlf0kVfJB2AjCe3pZ8kHYCDNDSVEuTllTRTpNQU5VLklRX1RPVEFMX0xJQUIuOTk5LjMxLzEyLzIwMTkuLkYuR0JQLkMBAAAA3WsNAAIAAAAHMTExOC42NAEIAAAABQAAAAExAQAAAAoxOTg1ODQ1MDI5AwAAAAI1NQIAAAAEMTI3NgQAAAABMQcAAAAKMTIvMzEvMjAxOQgAAAAJOC8xNi8yMDIwCQAAAAEwhNQXePJB2AgQu/V48kHYCCVDSVEuTkFTREFRR1M6Q0FLRS5JUV9QUklNQVJZX0lORFVTVFJZAQAAAAjgBAADAAAAC1Jlc3RhdXJhbnRzAOISJFXyQdgIm6CJWfJB2AgnQ0lRLkxTRTpUU0NPLklRX0VQU19FU1QuNjAwMC4zMS8xMi8yMDE5AQAAADBQBgACAAAABjAuMTcyMwEOAAAABQAAAAIxMQEAAAAIMjAxNTc4NzkCAAAABzg0MTY3OTIDAAAABjEwMDE3MwQAAAABMwYAAAABMAcAAAACNTUIAAAAATAJAAAAATEKAAAAATALAAAACzExNzI0MDIzNzUzDAAAAAIxMg0AAAAIMS8xLzIwMjAQAAAACjEyLzMxLzIwMTkoK0J18kHYCO4aTHbyQdgIH0NJUS5OQVNEQVFHUzpDQUtFLklRX0NPTVBBTllfSUQBAAAACOAEAAMAAAAISVEzMTk0OTYA/DokVfJB2AiboIlZ8kHYCClDSVEuTllTRTpLTy5JUV9HUC45OTguMzEvMTIvMjAxOS4uRi5VU0QuQwEAAAASaAAAAgAAAAUyNTM5OAEIAAAABQAAAAExAQAAAAoxOTQ2NDMwNzgyAwAAAAMxNjACAAAAAjEwBAAAAAExBwAAAAox</t>
  </si>
  <si>
    <t>Mi8zMS8yMDE5CAAAAAk4LzE2LzIwMjAJAAAAATAeIhh48kHYCJqO8HjyQdgIJ0NJUS5OWVNFOktPLklRX0xBU1RTQUxFUFJJQ0UuMTAvMDEvMjAyMAEAAAASaAAAAgAAAAU1NS41MwAID35T8kHYCCUMXFnyQdgIHUNJUS5OWVNFOk1BTlUuSVFfQ09NUEFOWV9OQU1FAQAAAN1rDQADAAAAFU1hbmNoZXN0ZXIgVW5pdGVkIHBsYwD8OiRV8kHYCKd5iVnyQdgIJENJUS5eU1BYLklRX0xBU1RTQUxFUFJJQ0UuMjMvMDMvMjAxOAEAAACbuCgAAgAAABAyNTg4LjI2Mjc5MjA1MTMzANgt3nTyQdgIgFJGdvJB2AggQ0lRLi5JUV9MQVNUU0FMRVBSSUNFLjIwLzA0LzIwMTgFAAAAAAAAAAgAAAAUKEludmFsaWQgSWRlbnRpZmllcilfM9x08kHYCO9cQnbyQdgIIUNJUS5MU0U6U0ZPUi5JUV9WT0xVTUUuMjAvMTIvMjAxOQEAAADLU+QhAgAAAAgwLjM1NjMwNgCV/SRV8kHYCKGjvXLyQdgIJENJUS5eQVNYLklRX0xBU1RTQUxFUFJJQ0UuMjQvMDgvMjAxOAEAAAAfU+sBAgAAAAs0MTcwLjg2ODc3NwCKxTdR8kHYCJ6AG3PyQdgILkNJUS5OWVNFOk1BTlUuSVFfQ0FQRVguOTk2LjMwLzA0LzIwMjAuLkYuR0JQLkMBAAAA3WsNAAIAAAAGLTUuNDY2AQgAAAAFAAAAATEBAAAACjE4NjE3MzY4NjkDAAAAAjU1AgAAAAQyMDIxBAAAAAExBwAAAAk0LzMwLzIwMjAIAAAACTgvMTYvMjAyMAkAAAABMLxYB0vyQdgIfgasWfJB2AgZ</t>
  </si>
  <si>
    <t>Q0lRLi5JUV9WT0xVTUUuMTQvMDIvMjAyMAUAAAAAAAAACAAAABQoSW52YWxpZCBJZGVudGlmaWVyKdk5tVPyQdgISSh1WfJB2Ag7Q0lRLk5BU0RBUUdTOlRTTEEuSVFfREFfTUVESUFOX0VTVC4xMDAzLjMwLzA0LzIwMjAuLkYuVVNELkMBAAAAEMaiAQIAAAAEMjkwMAEOAAAABQAAAAEzAQAAAAEwAgAAAAoxMDAxODY4OTE3AwAAAAYxMTQxOTAEAAAAATIGAAAAATAHAAAAAzE2MAgAAAABMQkAAAABMQoAAAABMAsAAAALMTE4OTgwNDMzOTcMAAAAATENAAAACDUvMS8yMDIwEAAAAAk4LzE2LzIwMjCkfwdL8kHYCP35qFnyQdgIIUNJUS5MU0U6U0ZPUi5JUV9WT0xVTUUuMTAvMDUvMjAxOQEAAADLU+QhAgAAAAgwLjQ4Nzg0OADZObVT8kHYCOLgvHLyQdgIKUNJUS5OWVNFOlJBQ0UuSVFfTEFTVFNBTEVQUklDRS4zMC8xMS8yMDE5AQAAAD2CsBACAAAABjE2OC4yNwAB6H1T8kHYCFY6LnHyQdgIMENJUS5OQVNEQVFHUzpDQUtFLklRX1NHQS45OTcuMzAvMDQvMjAyMC4uRi5VU0QuQwEAAAAI4AQAAgAAAAcyOTguNzk4AQgAAAAFAAAAATEBAAAACjE5NDgxNzY2NjIDAAAAAzE2MAIAAAACMjMEAAAAATEHAAAACTQvMzAvMjAyMAgAAAAJOC8xNi8yMDIwCQAAAAEw/2/KTPJB2AhA6aBZ8kHYCDJDSVEuTllTRTpLTy5JUV9UT1RBTF9MSUFCLjEwMDAuMzEvMTIvMjAxOS4uRi5VU0QuQwEAAAASaAAAAgAAAAU2NDE1</t>
  </si>
  <si>
    <t>OAEIAAAABQAAAAExAQAAAAoxOTQ2NDMwNzgxAwAAAAMxNjACAAAABDEyNzYEAAAAATEHAAAACjEyLzMxLzIwMTkIAAAACTgvMTYvMjAyMAkAAAABMITUF3jyQdgI8eH1ePJB2Ag3Q0lRLk5BU0RBUUdTOkNBS0UuSVFfSU5WRU5UT1JZLjIwMDAuMzAvMDQvMjAyMC4uRi5VU0QuQwEAAAAI4AQAAgAAAAY0Ny4yMjUBCAAAAAUAAAABMQEAAAAKMjAyMTU4MjcwNAMAAAADMTYwAgAAAAQxMDQzBAAAAAExBwAAAAk0LzMwLzIwMjAIAAAACTgvMTYvMjAyMAkAAAABMP9vykzyQdgIPSysWfJB2AgoQ0lRLkxTRTpTRk9SLklRX0xBU1RTQUxFUFJJQ0UuMzEvMDgvMjAxNwEAAADLU+QhAwAAAAAABV1+U/JB2AjNiSdx8kHYCCRDSVEuXkFTWC5JUV9MQVNUU0FMRVBSSUNFLjMxLzAxLzIwMjABAAAAH1PrAQIAAAALNDA1Ny40NzAxMjcASQUzUvJB2Ag+M79Z8kHYCChDSVEuTFNFOlRTQ08uSVFfTEFTVFNBTEVQUklDRS4zMC8wOC8yMDE5AQAAADBQBgACAAAABTIuMTkyANGDflPyQdgIU0UqcfJB2Ag6Q0lRLk5ZU0U6S08uSVFfVE9UQUxfQ09NTU9OX0VRVUlUWS45OTcuMzAvMDQvMjAyMC4uRi5VU0QuQwEAAAASaAAAAgAAAAUyMzA2MgEIAAAABQAAAAExAQAAAAoxOTQ2NDMwNzgyAwAAAAMxNjACAAAABDEwMDYEAAAAATEHAAAACTQvMzAvMjAyMAgAAAAJOC8xNi8yMDIwCQAAAAEwA0nKTPJB2AiCWJxZ8kHYCDFDSVEu</t>
  </si>
  <si>
    <t>TllTRTpNQU5VLklRX1RPVEFMX0NMLjk5Ny4zMC8wNC8yMDIwLi5GLkdCUC5DAQAAAN1rDQACAAAABzQwMy43NDMBCAAAAAUAAAABMQEAAAAKMTkxMDI0NzQwMwMAAAACNTUCAAAABDEwMDkEAAAAATEHAAAACTQvMzAvMjAyMAgAAAAJOC8xNi8yMDIwCQAAAAEw/2/KTPJB2AjCoJdZ8kHYCChDSVEuTFNFOlRTQ08uSVFfTEFTVFNBTEVQUklDRS4zMS8xMC8yMDE4AQAAADBQBgACAAAABTIuMTMzAOg1flPyQdgIGS8rcfJB2AgkQ0lRLl5BU1guSVFfTEFTVFNBTEVQUklDRS4xOC8wMS8yMDE5AQAAAB9T6wECAAAACjM4MjYuMTE3NzUAisU3UfJB2Aiv5Bpz8kHYCCRDSVEuXkFTWC5JUV9MQVNUU0FMRVBSSUNFLjA2LzA0LzIwMTgBAAAAH1PrAQIAAAALMzk1My40NzA0ODUA2C3edPJB2Aht3EV28kHYCChDSVEuTFNFOlRTQ08uSVFfTEFTVFNBTEVQUklDRS4xNC8wMi8yMDIwAQAAADBQBgACAAAABTIuNTU4AAgPflPyQdgIJh1dWfJB2Ag2Q0lRLkxTRTpTRk9SLklRX0VRVUlUWV9NRVRIT0QuMjAwMC4zMS8xMi8yMDE5Li5GLkdCUC5DAQAAAMtT5CEDAAAAAABHYBd48kHYCDMrAHnyQdgILUNJUS5OQVNEQVFHUzpDQUtFLklRX0xBU1RTQUxFUFJJQ0UuMjQvMDgvMjAxOAEAAAAI4AQAAgAAAAU1Mi44NAA6v4VS8kHYCOJkEXHyQdgIIUNJUS5MU0U6U0ZPUi5JUV9WT0xVTUUuMjEvMDkvMjAxOAEAAADLU+QhAwAA</t>
  </si>
  <si>
    <t>AAAAQ5iFUvJB2AharBNx8kHYCCBDSVEuTllTRTpLTy5JUV9WT0xVTUUuMzAvMDMvMjAxOAEAAAASaAAAAwAAAAAAKCtCdfJB2AizWFJ28kHYCC1DSVEuTkFTREFRR1M6VFNMQS5JUV9MQVNUU0FMRVBSSUNFLjI3LzEyLzIwMTkBAAAAEMaiAQIAAAAGNDMwLjM4AAgPflPyQdgINIgucfJB2AgkQ0lRLl5BU1guSVFfTEFTVFNBTEVQUklDRS4zMC8wNC8yMDE2AQAAAB9T6wECAAAABjM0MjEuNwB8q4VR8kHYCNHTC3PyQdgIJ0NJUS5OWVNFOktPLklRX0xBU1RTQUxFUFJJQ0UuMDEvMTEvMjAxOQEAAAASaAAAAgAAAAQ1My45AAVdflPyQdgIuLQscfJB2Ag7Q0lRLk5BU0RBUUdTOkNBS0UuSVFfQ0FTSF9TVF9JTlZFU1QuOTk3LjMwLzA0LzIwMjAuLkYuVVNELkMBAAAACOAEAAIAAAAGNTMuODM5AQgAAAAFAAAAATEBAAAACjE5NDgxNzY2NjIDAAAAAzE2MAIAAAAEMTAwMgQAAAABMQcAAAAJNC8zMC8yMDIwCAAAAAk4LzE2LzIwMjAJAAAAATADScpM8kHYCDwRk1nyQdgIIUNJUS5MU0U6VFNDTy5JUV9WT0xVTUUuMjIvMDYvMjAxOAEAAAAwUAYAAgAAAAgyOS42NDI1OAAp5oVS8kHYCP2aC3HyQdgIL0NJUS5OQVNEQVFHUzpUU0xBLklRX0dQLjk5Ny4zMS8xMi8yMDE5Li5GLlVTRC5DAQAAABDGogECAAAABzkyMy41MDMBCAAAAAUAAAABMQEAAAAKMTg3NTc2OTA4MgMAAAADMTYwAgAAAAIxMAQAAAABMQcAAAAK</t>
  </si>
  <si>
    <t>MTIvMzEvMjAxOQgAAAAJOC8xNi8yMDIwCQAAAAEwHiIYePJB2AhzQPB48kHYCDlDSVEuTkFTREFRR1M6Q0FLRS5JUV9UT1RBTF9BU1NFVFMuOTk5LjMwLzA0LzIwMjAuLkYuVVNELkMBAAAACOAEAAIAAAAIMTMxNC4xMzMBCAAAAAUAAAABMQEAAAAKMjAyMTU4MTQyMAMAAAADMTYwAgAAAAQxMDA3BAAAAAExBwAAAAk0LzMwLzIwMjAIAAAACTgvMTYvMjAyMAkAAAABMANJykzyQdgI0paUWfJB2AgkQ0lRLl5TUFguSVFfTEFTVFNBTEVQUklDRS4zMS8xMC8yMDE4AQAAAJu4KAACAAAAEDI3MTEuNzQ0NDA4MTA0NzMACZY3UvJB2Aj03wdz8kHYCD9DSVEuTllTRTpNQU5VLklRX1RPVEFMX0RFQlRfTk9OX0NVUlJFTlQuOTk5LjMwLzA0LzIwMjAuLkYuR0JQLkMBAAAA3WsNAAIAAAAHNDg2LjY5NAEIAAAABQAAAAExAQAAAAoxOTg1ODQ1MDI5AwAAAAI1NQIAAAAFMjUyMjQEAAAAATEHAAAACTQvMzAvMjAyMAgAAAAJOC8xNi8yMDIwCQAAAAEw/2/KTPJB2AiOY5hZ8kHYCCZDSVEuTkFTREFRR1M6VFNMQS5JUV9WT0xVTUUuMTEvMDUvMjAxOAEAAAAQxqIBAgAAAAg0LjY3OTY0OQAp5oVS8kHYCJuFBnHyQdgILkNJUS5OWVNFOktPLklRX0VCSVREQS4yMDAwLjMxLzEyLzIwMTkuLkYuVVNELkMBAAAAEmgAAAIAAAAFMTA2NzABCAAAAAUAAAABMQEAAAAKMTk4ODgwMTUyNgMAAAADMTYwAgAAAAQ0MDUxBAAAAAEx</t>
  </si>
  <si>
    <t>BwAAAAoxMi8zMS8yMDE5CAAAAAk4LzE2LzIwMjAJAAAAATAeIhh48kHYCK257njyQdgIIUNJUS5MU0U6VFNDTy5JUV9WT0xVTUUuMTcvMDUvMjAxOQEAAAAwUAYAAgAAAAgxMi4wNTMzMgCV/SRV8kHYCG0/vnLyQdgIO0NJUS5MU0U6VFNDTy5JUV9UT1RBTF9DT01NT05fRVFVSVRZLjk5Ny4zMS8xMi8yMDE5Li5GLkdCUC5DAQAAADBQBgACAAAABDg2MjYBCAAAAAUAAAABMQEAAAAKMTg0NzgyNTE0OAMAAAACNTUCAAAABDEwMDYEAAAAATEHAAAACjEyLzMxLzIwMTkIAAAACTgvMTYvMjAyMAkAAAABMB77F3jyQdgIr8DzePJB2AglQ0lRLl5DT01QLklRX0xBU1RTQUxFUFJJQ0UuMjgvMDIvMjAxOQEAAACJuCgAAgAAAAc3NTMyLjUzAEkFM1LyQdgIjWQJc/JB2Ag/Q0lRLk5ZU0U6UkFDRS5JUV9UT1RBTF9ERUJUX05PTl9DVVJSRU5ULjk5Ni4zMS8xMi8yMDE5Li5GLkVVUi5DAQAAAD2CsBACAAAABDE4LjkBCAAAAAUAAAABMQEAAAAKMTgzMDQ3NDA5NAMAAAACNTACAAAABTI1MjI0BAAAAAExBwAAAAoxMi8zMS8yMDE5CAAAAAk4LzE2LzIwMjAJAAAAATCE1Bd48kHYCAUK93jyQdgIJENJUS5eU1BYLklRX0xBU1RTQUxFUFJJQ0UuMjIvMDYvMjAxOAEAAACbuCgAAgAAABAyNzU0Ljg3Njk5NTEwOTU2AIrFN1HyQdgIlTIUc/JB2Ag1Q0lRLk5BU0RBUUdTOkNBS0UuSVFfVE9UQUxfQ0wuOTk2LjMxLzEyLzIw</t>
  </si>
  <si>
    <t>MTkuLkYuVVNELkMBAAAACOAEAAIAAAAHMzIyLjAxMQEIAAAABQAAAAExAQAAAAoxODMwMzg2OTg2AwAAAAMxNjACAAAABDEwMDkEAAAAATEHAAAACjEyLzMxLzIwMTkIAAAACTgvMTYvMjAyMAkAAAABMBytF3jyQdgIZBv4ePJB2AgnQ0lRLk5ZU0U6S08uSVFfTEFTVFNBTEVQUklDRS4zMS8wOC8yMDE3AQAAABJoAAACAAAABTQ1LjU1AAVdflPyQdgIzYkncfJB2AgqQ0lRLkxTRTpTRk9SLklRX0ZJU0NBTF9RLjUwMC4zMC8wNC8yMDIwLi5GAQAAAMtT5CEDAAAAAlE0APw6JFXyQdgIz92IWfJB2AgtQ0lRLkxTRTpTRk9SLklRX0RBX0NGLjk5OC4zMC8wNC8yMDIwLi5GLkdCUC5DAQAAAMtT5CEDAAAAAADZCgdL8kHYCKkxqlnyQdgIIkNJUS5OWVNFOk1BTlUuSVFfQ09NUEFOWV9OQU1FX0xPTkcBAAAA3WsNAAMAAAAhTWFuY2hlc3RlciBVbml0ZWQgcGxjIChOWVNFOk1BTlUpAAHofVPyQdgIi15hWfJB2AghQ0lRLkxTRTpUU0NPLklRX1ZPTFVNRS4zMC8wMy8yMDE4AQAAADBQBgADAAAAAAAoK0J18kHYCLNYUnbyQdgIGUNJUS4uSVFfVk9MVU1FLjIxLzEyLzIwMTgFAAAAAAAAAAgAAAAUKEludmFsaWQgSWRlbnRpZmllcim6bX9T8kHYCF5zIXHyQdgIIUNJUS5MU0U6U0ZPUi5JUV9WT0xVTUUuMTMvMDMvMjAyMAEAAADLU+QhAgAAAAgwLjY0NTM2NACV/SRV8kHYCP8jd1nyQdgIQENJUS5OWVNFOk1BTlUu</t>
  </si>
  <si>
    <t>SVFfTUlOT1JJVFlfSU5URVJFU1RfVE9UQUwuOTk2LjMxLzEyLzIwMTkuLkYuR0JQLkMBAAAA3WsNAAMAAAAAAITUF3jyQdgIoi72ePJB2AgwQ0lRLkxTRTpUU0NPLklRX1RPVEFMX0NMLjk5Ni4zMS8xMi8yMDE5Li5GLkdCUC5DAQAAADBQBgACAAAABTE5ODEwAQgAAAAFAAAAATEBAAAACjE3OTE0NjgxNDYDAAAAAjU1AgAAAAQxMDA5BAAAAAExBwAAAAoxMi8zMS8yMDE5CAAAAAk4LzE2LzIwMjAJAAAAATAcrRd48kHYCGQb+HjyQdgIJENJUS5eU1BYLklRX0xBU1RTQUxFUFJJQ0UuMTAvMDQvMjAyMAEAAACbuCgAAgAAABAyNzg5LjgxNzMzMzE4MTU4AADeMlLyQdgIO1O6WfJB2AgzQ0lRQVZHLklRNDM5NDM4MDYuSVFfTEFTVFNBTEVQUklDRS40MDI5OC4zMC8wNC8yMDIwAQAAAH6HngICAAAAEi0wLjE3NjA3NTYxMjQyMTM4NACqJCVV8kHYCCbz0VryQdgIJkNJUS5OQVNEQVFHUzpUU0xBLklRX1ZPTFVNRS4xNy8wNC8yMDIwAQAAABDGogECAAAACDEzLjEyODIzAKPWJFXyQdgIZ7N7WfJB2Ag1Q0lRLk5ZU0U6S08uSVFfRVFVSVRZX01FVEhPRC4yMDAwLjMwLzA0LzIwMjAuLkYuVVNELkMBAAAAEmgAAAIAAAAFMTgwMjABCAAAAAUAAAABMQEAAAAKMjAzMDM3Njg5NwMAAAADMTYwAgAAAAQzMDYzBAAAAAExBwAAAAk0LzMwLzIwMjAIAAAACTgvMTYvMjAyMAkAAAABMANJykzyQdgI87aPWfJB2AgiQ0lR</t>
  </si>
  <si>
    <t>Lk5ZU0U6TUFOVS5JUV9WT0xVTUUuMDEvMDIvMjAxOQEAAADdaw0AAgAAAAgwLjA4MjU0MQCkvH9T8kHYCDwCv3LyQdgIOENJUS5OWVNFOktPLklRX0NBUEVYX01FRElBTl9FU1QuMTAwMS4zMC8wNC8yMDIwLi5GLlVTRC5DAQAAABJoAAACAAAACy0xNDEyLjM3MzY2AQ4AAAAFAAAAATMBAAAAATACAAAACjEwMDE0MTY0MjADAAAABjEwNDA5MQQAAAABMgYAAAABMAcAAAADMTYwCAAAAAExCQAAAAExCgAAAAEwCwAAAAsxMTg4MzYwMzE1MwwAAAABMQ0AAAAINS8xLzIwMjAQAAAACTgvMTYvMjAyMP9vykzyQdgIcRurWfJB2AgoQ0lRLkxTRTpTRk9SLklRX0xBU1RTQUxFUFJJQ0UuMzEvMDMvMjAxNgEAAADLU+QhAwAAAAAAwap+U/JB2AgZuiNx8kHYCCBDSVEuLklRX0xBU1RTQUxFUFJJQ0UuMjcvMTIvMjAxOQUAAAAAAAAACAAAABQoSW52YWxpZCBJZGVudGlmaWVyKef5NlLyQdgIVBIgc/JB2AguQ0lRLkxTRTpTRk9SLklRX0xBU1RTQUxFUFJJQ0UuMzEvMTIvMjAxOC5HQlAuQwEAAADLU+QhAgAAAAQxLjE5ABUiykzyQdgILldgdvJB2Ag0Q0lRLk5ZU0U6S08uSVFfRVFVSVRZX01FVEhPRC45OTkuMzAvMDQvMjAyMC4uRi5VU0QuQwEAAAASaAAAAgAAAAUxOTQxMgEIAAAABQAAAAExAQAAAAoyMDE2NzkxMjUxAwAAAAMxNjACAAAABDMwNjMEAAAAATEHAAAACTQvMzAvMjAyMAgAAAAJOC8xNi8yMDIwCQAA</t>
  </si>
  <si>
    <t>AAEwA0nKTPJB2AjdBJBZ8kHYCChDSVEuTFNFOlRTQ08uSVFfTEFTVFNBTEVQUklDRS4zMC8wNi8yMDE1AQAAADBQBgACAAAABjIuMTI1NQCkvH9T8kHYCG6wIHHyQdgILUNJUS5OQVNEQVFHUzpDQUtFLklRX0xBU1RTQUxFUFJJQ0UuMjAvMDMvMjAyMAEAAAAI4AQAAgAAAAUxNS44NAAB6H1T8kHYCGhTXlnyQdgIL0NJUS5OWVNFOk1BTlUuSVFfQ0FQRVguMTAwMC4zMS8xMi8yMDE5Li5GLkdCUC5DAQAAAN1rDQACAAAABy0xMy43MzcBCAAAAAUAAAABMQEAAAAKMTk4NTg0NTA2MwMAAAACNTUCAAAABDIwMjEEAAAAATEHAAAACjEyLzMxLzIwMTkIAAAACTgvMTYvMjAyMAkAAAABMNoUlnfyQdgIEOblePJB2AgxQ0lRLkxTRTpUU0NPLklRX1RPVEFMX0NMLjIwMDAuMzAvMDQvMjAyMC4uRi5HQlAuQwEAAAAwUAYAAgAAAAUxNzkyNwEIAAAABQAAAAExAQAAAAoyMDI2NTA3Mzg4AwAAAAI1NQIAAAAEMTAwOQQAAAABMQcAAAAJNC8zMC8yMDIwCAAAAAk4LzE2LzIwMjAJAAAAATDJMQdL8kHYCO8El1nyQdgIJkNJUS5OQVNEQVFHUzpUU0xBLklRX1ZPTFVNRS4yNy8wNC8yMDE4AQAAABDGogECAAAACDQuMzY0NjI2ACnmhVLyQdgI7E0FcfJB2Ag2Q0lRLkxTRTpTRk9SLklRX05JX01FRElBTl9FU1QuMTAwMi4zMS8xMi8yMDE5Li5GLkdCUC5DAQAAAMtT5CECAAAAEDM5LjkzOTQzNzIzNDE4MDUBDgAAAAUAAAAB</t>
  </si>
  <si>
    <t>MwEAAAABMAIAAAAKMTAwNDMxNjA1MQMAAAAGMTAwMjUxBAAAAAEzBgAAAAEwBwAAAAI1NQgAAAABMQkAAAABMQoAAAABMAsAAAALMTE2OTgxODU4MzUMAAAAATENAAAACDEvMS8yMDIwEAAAAAk4LzE2LzIwMjDaFJZ38kHYCCQ/6XjyQdgIIENJUS4uSVFfTEFTVFNBTEVQUklDRS4zMS8xMi8yMDE5BQAAAAAAAAAIAAAAFChJbnZhbGlkIElkZW50aWZpZXIp3KsvUvJB2Ah8OSBz8kHYCCtDSVEuTllTRTpLTy5JUV9QRVJJT0REQVRFLjk5OC4zMS8xMi8yMDE5Li5GAQAAABJoAAAFAAAACjMxLzEyLzIwMTYA/gNCdfJB2AjMeU128kHYCCxDSVEuTFNFOlNGT1IuSVFfRUJULjEwMDIuMzEvMTIvMjAxOS4uRi5HQlAuQwEAAADLU+QhAwAAAAAA3O2Vd/JB2AidYOt48kHYCBhDSVEuTFNFOlNGT1IuSVFfRVhDSEFOR0UBAAAAy1PkIQMAAAADTFNFAPw6JFXyQdgIz92IWfJB2AgxQ0lRLk5ZU0U6TUFOVS5JUV9UT1RBTF9DTC45OTguMzEvMTIvMjAxOS4uRi5HQlAuQwEAAADdaw0AAgAAAAc0MTAuNTA5AQgAAAAFAAAAATEBAAAACjE5ODU4NDUwNDUDAAAAAjU1AgAAAAQxMDA5BAAAAAExBwAAAAoxMi8zMS8yMDE5CAAAAAk4LzE2LzIwMjAJAAAAATAcrRd48kHYCC1n+HjyQdgIOkNJUS5OQVNEQVFHUzpUU0xBLklRX1RPVEFMX1JFQ0VJVi4yMDAwLjMwLzA0LzIwMjAuLkYuVVNELkMBAAAAEMaiAQIAAAAEMTI3NAEI</t>
  </si>
  <si>
    <t>AAAABQAAAAExAQAAAAoyMDMyMDQ1MzM0AwAAAAMxNjACAAAABDEwMDEEAAAAATEHAAAACTQvMzAvMjAyMAgAAAAJOC8xNi8yMDIwCQAAAAEwyTEHS/JB2Aj+x6xZ8kHYCD9DSVEuTkFTREFRR1M6Q0FLRS5JUV9FQklUREFfTUVESUFOX0VTVC42MDAwLjMxLzEyLzIwMTkuLkYuVVNELkMBAAAACOAEAAIAAAAIMjQ2LjQ3OTYBDgAAAAUAAAACMTEBAAAAATACAAAACTY1MjU3Mzk0MgMAAAAGMTAwMTg4BAAAAAEyBgAAAAEwBwAAAAMxNjAIAAAAATEJAAAAATEKAAAAATALAAAACzExNzk4MzA2MjYyDAAAAAIxMg0AAAAIMS8xLzIwMjAQAAAACTgvMTYvMjAyMPNIGHjyQdgIpODuePJB2AgkQ0lRLl5TUFguSVFfTEFTVFNBTEVQUklDRS4zMS8wNy8yMDE2AQAAAJu4KAACAAAAEDIxNzMuNjAzODU5ODg4MzUAfKuFUfJB2Agpoghz8kHYCC1DSVEuTkFTREFRR1M6Q0FLRS5JUV9MQVNUU0FMRVBSSUNFLjIyLzAyLzIwMTkBAAAACOAEAAIAAAAFNDcuNTMApLx/U/JB2AjVCSRx8kHYCCBDSVEuLklRX0xBU1RTQUxFUFJJQ0UuMjQvMDQvMjAyMAUAAAAAAAAACAAAABQoSW52YWxpZCBJZGVudGlmaWVyKfhdL1LyQdgIKdrCWfJB2AgzQ0lRLk5BU0RBUUdTOlRTTEEuSVFfRUJJVERBLjk5Ni4zMC8wNC8yMDIwLi5GLlVTRC5DAQAAABDGogECAAAACC0yOTQuMDM5AQgAAAAFAAAAATEBAAAACjE4NzU3NjkwODIDAAAAAzE2</t>
  </si>
  <si>
    <t>MAIAAAAENDA1MQQAAAABMQcAAAAJNC8zMC8yMDIwCAAAAAk4LzE2LzIwMjAJAAAAATDJMQdL8kHYCJVYo1nyQdgIJ0NJUS4kQUVEQkdOLklRX0xBU1RTQUxFUFJJQ0UuMzEvMTIvMjAxOAEAAAAl61oAAgAAAAsyLjE0OTk2NDg3OQD+A0J18kHYCArNS3byQdgIOUNJUS5MU0U6U0ZPUi5JUV9DQVBFWF9NRURJQU5fRVNULjEwMDEuMzEvMTIvMjAxOS4uRi5HQlAuQwEAAADLU+QhAgAAABEtNi44MjQ2NTM3MDczNzU1MQEOAAAABQAAAAEzAQAAAAEwAgAAAAoxMDA0MzE2MDUwAwAAAAYxMDQwOTEEAAAAATMGAAAAATAHAAAAAjU1CAAAAAExCQAAAAExCgAAAAEwCwAAAAsxMTY5ODE4NTUwNQwAAAABMQ0AAAAIMS8xLzIwMjAQAAAACTgvMTYvMjAyMDs8lnfyQdgI+TPmePJB2AgoQ0lRLkxTRTpTRk9SLklRX0xBU1RTQUxFUFJJQ0UuMjQvMDUvMjAxOQEAAADLU+QhAgAAAAQxLjY1AMGqflPyQdgISscmcfJB2Ag8Q0lRLk5ZU0U6TUFOVS5JUV9UT1RBTF9DT01NT05fRVFVSVRZLjk5OC4zMC8wNC8yMDIwLi5GLkdCUC5DAQAAAN1rDQACAAAABzQ4MC4wODcBCAAAAAUAAAABMQEAAAAKMTk4NTg0NTA0NQMAAAACNTUCAAAABDEwMDYEAAAAATEHAAAACTQvMzAvMjAyMAgAAAAJOC8xNi8yMDIwCQAAAAEw/2/KTPJB2AiCWJxZ8kHYCDhDSVEuTllTRTpNQU5VLklRX0NBU0hfU1RfSU5WRVNULjIwMDAuMzAvMDQvMjAy</t>
  </si>
  <si>
    <t>MC4uRi5HQlAuQwEAAADdaw0AAgAAAAcxMDAuODU2AQgAAAAFAAAAATEBAAAACjIwMTg2MzIwMDMDAAAAAjU1AgAAAAQxMDAyBAAAAAExBwAAAAk0LzMwLzIwMjAIAAAACTgvMTYvMjAyMAkAAAABMLxYB0vyQdgIuKCQWfJB2AgpQ0lRLk5ZU0U6UkFDRS5JUV9MQVNUU0FMRVBSSUNFLjMxLzA1LzIwMTYBAAAAPYKwEAIAAAAFNDIuNDMAwap+U/JB2AjVCSRx8kHYCCVDSVEuXkNPTVAuSVFfTEFTVFNBTEVQUklDRS4zMS8xMi8yMDE4AQAAAIm4KAACAAAABzY2MzUuMjgACZY3UvJB2AiNZAlz8kHYCChDSVEuTFNFOlRTQ08uSVFfTEFTVFNBTEVQUklDRS4yOS8wMi8yMDIwAQAAADBQBgACAAAABTIuMjg1AAHofVPyQdgIh/BeWfJB2AgiQ0lRLk5ZU0U6TUFOVS5JUV9WT0xVTUUuMjgvMDIvMjAyMAEAAADdaw0AAgAAAAgwLjExMzQ2NwCV/SRV8kHYCAxreVnyQdgIKUNJUS5OWVNFOk1BTlUuSVFfTEFTVFNBTEVQUklDRS4wOS8xMS8yMDE4AQAAAN1rDQACAAAABTIxLjgyAMfif1PyQdgI4C4dcfJB2AguQ0lRLk5ZU0U6UkFDRS5JUV9QRVJJT0REQVRFLjIwMDAuMzAvMDQvMjAyMC4uRgEAAAA9grAQBQAAAAozMS8xMi8yMDE5ALGvJFXyQdgIxj6CWfJB2AguQ0lRLk5ZU0U6S08uSVFfSU5DX1RBWC45OTkuMzAvMDQvMjAyMC4uRi5VU0QuQwEAAAASaAAAAgAAAAQxNzQ5AQgAAAAFAAAAATEBAAAACjIwMTY3OTEy</t>
  </si>
  <si>
    <t>NTEDAAAAAzE2MAIAAAACNzUEAAAAATEHAAAACTQvMzAvMjAyMAgAAAAJOC8xNi8yMDIwCQAAAAEwA0nKTPJB2AiB/6ZZ8kHYCDpDSVEuTllTRTpLTy5JUV9SRVZFTlVFX01FRElBTl9FU1QuMTAwMy4zMC8wNC8yMDIwLi5GLlVTRC5DAQAAABJoAAACAAAABzM4NzQwLjcBDgAAAAUAAAABMwEAAAABMAIAAAAKMTAwMTc5Njg1NgMAAAAGMTAwMTgxBAAAAAEyBgAAAAEwBwAAAAMxNjAIAAAAATEJAAAAATEKAAAAATALAAAACzExODg1MDExNzM0DAAAAAExDQAAAAg1LzEvMjAyMBAAAAAJOC8xNi8yMDIw/2/KTPJB2AhnppxZ8kHYCChDSVEuTFNFOlRTQ08uSVFfTEFTVFNBTEVQUklDRS4xOS8wNC8yMDE5AQAAADBQBgACAAAABTIuNTAxALmUf1PyQdgIE7YlcfJB2AgiQ0lRLk5ZU0U6TUFOVS5JUV9WT0xVTUUuMTkvMDQvMjAxOQEAAADdaw0AAwAAAAAAuZR/U/JB2AgmUL9y8kHYCCZDSVEuTkFTREFRR1M6Q0FLRS5JUV9WT0xVTUUuMTkvMDcvMjAxOQEAAAAI4AQAAgAAAAgwLjM5MzAyMgCV/SRV8kHYCNOuwHLyQdgIGUNJUS4uSVFfVk9MVU1FLjAyLzExLzIwMTgFAAAAAAAAAAgAAAAUKEludmFsaWQgSWRlbnRpZmllcim5lH9T8kHYCMIrF3HyQdgIM0NJUS5OWVNFOlJBQ0UuSVFfVE9UQUxfTElBQi45OTYuMzEvMTIvMjAxOS4uRi5FVVIuQwEAAAA9grAQAgAAAAgyMTYzLjExNAEIAAAABQAAAAExAQAAAAox</t>
  </si>
  <si>
    <t>ODMwNDc0MDk0AwAAAAI1MAIAAAAEMTI3NgQAAAABMQcAAAAKMTIvMzEvMjAxOQgAAAAJOC8xNi8yMDIwCQAAAAEwhNQXePJB2AgRbfV48kHYCCpDSVEuTFNFOlNGT1IuSVFfR1AuOTk4LjMwLzA0LzIwMjAuLkYuR0JQLkMBAAAAy1PkIQMAAAAAANkKB0vyQdgIhv+fWfJB2AgwQ0lRLk5BU0RBUUdTOlRTTEEuSVFfRUJULjk5OS4zMS8xMi8yMDE5Li5GLlVTRC5DAQAAABDGogECAAAACS0yMjA5LjAzMgEIAAAABQAAAAExAQAAAAoxOTQ1ODczNTUwAwAAAAMxNjACAAAAAzEzOQQAAAABMQcAAAAKMTIvMzEvMjAxOQgAAAAJOC8xNi8yMDIwCQAAAAEw3O2Vd/JB2Ai7xOp48kHYCC1DSVEuTkFTREFRR1M6VFNMQS5JUV9MQVNUU0FMRVBSSUNFLjA2LzAzLzIwMjABAAAAEMaiAQIAAAAGNzAzLjQ4AAHofVPyQdgI899dWfJB2AgzQ0lRLk5ZU0U6S08uSVFfVE9UQUxfQVNTRVRTLjk5OS4zMS8xMi8yMDE5Li5GLlVTRC5DAQAAABJoAAACAAAABTg3ODk2AQgAAAAFAAAAATEBAAAACjE5NDY0MzA3NzkDAAAAAzE2MAIAAAAEMTAwNwQAAAABMQcAAAAKMTIvMzEvMjAxOQgAAAAJOC8xNi8yMDIwCQAAAAEwO4YXePJB2AhcS/t48kHYCC9DSVEuTllTRTpLTy5JUV9DT1NUX1JFVi45OTcuMzEvMTIvMjAxOS4uRi5VU0QuQwEAAAASaAAAAgAAAAUxNzQ4MgEIAAAABQAAAAExAQAAAAoxODc1Nzk3ODA5AwAAAAMxNjACAAAA</t>
  </si>
  <si>
    <t>ATEEAAAAATEHAAAACjEyLzMxLzIwMTkIAAAACTgvMTYvMjAyMAkAAAABMB77F3jyQdgIfirxePJB2AgyQ0lRLk5ZU0U6S08uSVFfUFJFRl9FUVVJVFkuOTk3LjMxLzEyLzIwMTkuLkYuVVNELkMBAAAAEmgAAAMAAAAAAB77F3jyQdgIEKn0ePJB2AgtQ0lRLk5BU0RBUUdTOkNBS0UuSVFfTEFTVFNBTEVQUklDRS4zMS8xMi8yMDE2AQAAAAjgBAACAAAABTU5Ljg4ANGDflPyQdgIGt0lcfJB2AhEQ0lRLk5BU0RBUUdTOlRTTEEuSVFfVE9UQUxfREVCVF9OT05fQ1VSUkVOVC4xMDAwLjMxLzEyLzIwMTkuLkYuVVNELkMBAAAAEMaiAQIAAAAJMTExMTYuMDcyAQgAAAAFAAAAATEBAAAACjE5NDU4NzM1NDYDAAAAAzE2MAIAAAAFMjUyMjQEAAAAATEHAAAACjEyLzMxLzIwMTkIAAAACTgvMTYvMjAyMAkAAAABMBytF3jyQdgIaKT3ePJB2AgxQ0lRLk5BU0RBUUdTOlRTTEEuSVFfUEVSSU9EREFURS45OTQuMzEvMTIvMjAxOS4uRgEAAAAQxqIBBQAAAAozMS8xMi8yMDEyAP4DQnXyQdgIX+5NdvJB2AghQ0lRLkxTRTpUU0NPLklRX1ZPTFVNRS4xMi8wNC8yMDE5AQAAADBQBgACAAAACDI0LjkyNTUyALmUf1PyQdgIhxi+cvJB2AguQ0lRLk5ZU0U6TUFOVS5JUV9FQklULjIwMDAuMzEvMTIvMjAxOS4uRi5HQlAuQwEAAADdaw0AAgAAAAY1Mi4zMzcBCAAAAAUAAAABMQEAAAAKMTk5MzYyMTMyMgMAAAACNTUCAAAAAzQw</t>
  </si>
  <si>
    <t>MAQAAAABMQcAAAAKMTIvMzEvMjAxOQgAAAAJOC8xNi8yMDIwCQAAAAEwHiIYePJB2AhBcex48kHYCDRDSVEuTllTRTpSQUNFLklRX0VBUk5JTkdfQ08uMjAwMC4zMC8wNC8yMDIwLi5GLkVVUi5DAQAAAD2CsBACAAAABzY5OC43MDgBCAAAAAUAAAABMQEAAAAKMjAxNTY0Mjk1NAMAAAACNTACAAAAATcEAAAAATEHAAAACTQvMzAvMjAyMAgAAAAJOC8xNi8yMDIwCQAAAAEw2QoHS/JB2AjaPK1Z8kHYCClDSVEuTllTRTpSQUNFLklRX0xBU1RTQUxFUFJJQ0UuMzEvMTIvMjAxOAEAAAA9grAQAgAAAAU5OS40NAAID35T8kHYCD+lK3HyQdgINkNJUS5OQVNEQVFHUzpDQUtFLklRX0NPU1RfUkVWLjEwMDAuMzAvMDQvMjAyMC4uRi5VU0QuQwEAAAAI4AQAAgAAAAcxNDYxLjQ1AQgAAAAFAAAAATEBAAAACjIwMjE1ODE0MTEDAAAAAzE2MAIAAAABMQQAAAABMQcAAAAJNC8zMC8yMDIwCAAAAAk4LzE2LzIwMjAJAAAAATD/b8pM8kHYCMHHnlnyQdgIM0NJUS5OWVNFOk1BTlUuSVFfVE9UQUxfTElBQi45OTkuMzAvMDQvMjAyMC4uRi5HQlAuQwEAAADdaw0AAgAAAAcxMTE4LjY0AQgAAAAFAAAAATEBAAAACjE5ODU4NDUwMjkDAAAAAjU1AgAAAAQxMjc2BAAAAAExBwAAAAk0LzMwLzIwMjAIAAAACTgvMTYvMjAyMAkAAAABMLxYB0vyQdgIDzeaWfJB2AghQ0lRLkxTRTpUU0NPLklRX1ZPTFVNRS4yNi8wNC8yMDE5AQAA</t>
  </si>
  <si>
    <t>ADBQBgACAAAABzIxLjU3NzMAuZR/U/JB2AiHGL5y8kHYCBlDSVEuLklRX1ZPTFVNRS4yMi8wNi8yMDE4BQAAAAAAAAAIAAAAFChJbnZhbGlkIElkZW50aWZpZXIpQ3GFUvJB2AgGdAtx8kHYCCdDSVEuTllTRTpLTy5JUV9MQVNUU0FMRVBSSUNFLjE5LzA0LzIwMTkBAAAAEmgAAAIAAAAFNDcuNDgAuZR/U/JB2Aga3SVx8kHYCDdDSVEuTllTRTpSQUNFLklRX0VTVF9FUFNfR1JPV1RIXzVZUl9MT1cuNjAwMC4zMS8xMi8yMDE5AQAAAD2CsBACAAAAAjEyAQ4AAAAFAAAAATcBAAAACTMxMzk3NDk4MQIAAAAKMTAwMzIyNTEyNQMAAAAGMTAwMTcwBAAAAAEzBgAAAAEwBwAAAAEwCAAAAAEwCQAAAAExCgAAAAEwCwAAAAsxMTY4NjY4ODIwMQwAAAABOA0AAAAIMS8xLzIwMjAQAAAACjEyLzMxLzIwMTn+A0J18kHYCA+JTnbyQdgINUNJUS5MU0U6VFNDTy5JUV9FUVVJVFlfTUVUSE9ELjk5OC4zMC8wNC8yMDIwLi5GLkdCUC5DAQAAADBQBgACAAAAAzU5OQEIAAAABQAAAAExAQAAAAoxOTY4NzM2NTU5AwAAAAI1NQIAAAAEMzA2MwQAAAABMQcAAAAJNC8zMC8yMDIwCAAAAAk4LzE2LzIwMjAJAAAAATDJMQdL8kHYCNErkFnyQdgIM0NJUS5MU0U6VFNDTy5JUV9QUkVGX0VRVUlUWS45OTYuMzAvMDQvMjAyMC4uRi5HQlAuQwEAAAAwUAYAAwAAAAAAyTEHS/JB2AinvJtZ8kHYCClDSVEuTllTRTpNQU5VLklRX0xBU1RT</t>
  </si>
  <si>
    <t>QUxFUFJJQ0UuMzAvMDQvMjAxNwEAAADdaw0AAgAAAAQxNi41ANGDflPyQdgISscmcfJB2AgwQ0lRLk5BU0RBUUdTOlRTTEEuSVFfR1AuMTAwMC4zMC8wNC8yMDIwLi5GLlVTRC5DAQAAABDGogECAAAABDQwNjkBCAAAAAUAAAABMQEAAAAKMjAxMzkwNzQ2MAMAAAADMTYwAgAAAAIxMAQAAAABMQcAAAAJNC8zMC8yMDIwCAAAAAk4LzE2LzIwMjAJAAAAATC8WAdL8kHYCJ+Kn1nyQdgIGUNJUS4uSVFfVk9MVU1FLjA1LzAxLzIwMTgFAAAAAAAAAAgAAAAUKEludmFsaWQgSWRlbnRpZmllcikJtkF18kHYCKrYXHbyQdgIIUNJUS5MU0U6VFNDTy5JUV9WT0xVTUUuMjEvMDIvMjAyMAEAAAAwUAYAAgAAAAgxMy41MTAxMgCV/SRV8kHYCG4MeFnyQdgIJkNJUS5OQVNEQVFHUzpDQUtFLklRX1ZPTFVNRS4xNy8wNC8yMDIwAQAAAAjgBAACAAAACDMuMzQ2Mjk5AJX9JFXyQdgIRsp6WfJB2AgtQ0lRLk5BU0RBUUdTOlRTTEEuSVFfTEFTVFNBTEVQUklDRS4zMC8wNC8yMDIwAQAAABDGogECAAAABjc4MS44OAAB6H1T8kHYCN4QYVnyQdgILUNJUS5OQVNEQVFHUzpDQUtFLklRX0xBU1RTQUxFUFJJQ0UuMzEvMDgvMjAxOAEAAAAI4AQAAgAAAAU1My4xNwDoNX5T8kHYCFm6KnHyQdgIMkNJUS5MU0U6U0ZPUi5JUV9FU1RfRVBTX0dST1dUSF81WVIuNjAwMC4zMS8xMi8yMDE5AQAAAMtT5CEDAAAAAAAoK0J18kHYCDQUTnby</t>
  </si>
  <si>
    <t>QdgII0NJUS5OWVNFOlJBQ0UuSVFfVEVWX09VVC4zMS8xMi8yMDE5AQAAAD2CsBACAAAADDMyMDIzLjEyMTc1OQEGAAAABQAAAAExAQAAAAoxOTkwNDIzMzQ3AwAAAAMxNjACAAAABTQ2MjE0BAAAAAEwBwAAAAoxMi8zMS8yMDE5QVJCdfJB2AhQ/0528kHYCDNDSVEuTllTRTpNQU5VLklRX1RPVEFMX1JFVi4xMDAwLjMxLzEyLzIwMTkuLkYuR0JQLkMBAAAA3WsNAAIAAAAHNjI3LjEyMgEIAAAABQAAAAExAQAAAAoxOTg1ODQ1MDYzAwAAAAI1NQIAAAACMjgEAAAAATEHAAAACjEyLzMxLzIwMTkIAAAACTgvMTYvMjAyMAkAAAABMB77F3jyQdgIyYfyePJB2Ag9Q0lRLk5BU0RBUUdTOkNBS0UuSVFfRUJJVF9NRURJQU5fRVNULjEwMDIuMzAvMDQvMjAyMC4uRi5VU0QuQwEAAAAI4AQAAgAAAAY5Mi4wNjcBDgAAAAUAAAABMwEAAAABMAIAAAAKMTAwMjIyNDIyMwMAAAAGMTAwMjE2BAAAAAEyBgAAAAEwBwAAAAMxNjAIAAAAATEJAAAAATEKAAAAATALAAAACzExODg1MTYxODU1DAAAAAExDQAAAAg1LzEvMjAyMBAAAAAJOC8xNi8yMDIw/2/KTPJB2Ah5zaNZ8kHYCCdDSVEuTllTRTpLTy5JUV9MQVNUU0FMRVBSSUNFLjI5LzAzLzIwMTkBAAAAEmgAAAIAAAAFNDYuODYAuZR/U/JB2Ai7GCVx8kHYCC1DSVEuTkFTREFRR1M6VFNMQS5JUV9MQVNUU0FMRVBSSUNFLjIwLzA0LzIwMTgBAAAAEMaiAQIAAAAGMjkwLjI0</t>
  </si>
  <si>
    <t>AEFSQnXyQdgI9qtQdvJB2AgsQ0lRLk5ZU0U6S08uSVFfQ0FQRVguOTk5LjMxLzEyLzIwMTkuLkYuVVNELkMBAAAAEmgAAAIAAAAFLTE2NzUBCAAAAAUAAAABMQEAAAAKMTk0NjQzMDc3OQMAAAADMTYwAgAAAAQyMDIxBAAAAAExBwAAAAoxMi8zMS8yMDE5CAAAAAk4LzE2LzIwMjAJAAAAATDaFJZ38kHYCBW/5XjyQdgIGUNJUS4uSVFfVk9MVU1FLjEwLzA4LzIwMTgFAAAAAAAAAAgAAAAUKEludmFsaWQgSWRlbnRpZmllcilRSoVS8kHYCH8FEHHyQdgILUNJUS5MU0U6U0ZPUi5JUV9FQklULjEwMDAuMzEvMTIvMjAxOS4uRi5HQlAuQwEAAADLU+QhAgAAAAktNS45NDAwMDEBCAAAAAUAAAABMQEAAAAKMTk2MTExNjI3MQMAAAACNTUCAAAAAzQwMAQAAAABMQcAAAAKMTIvMzEvMjAxOQgAAAAJOC8xNi8yMDIwCQAAAAEwHiIYePJB2AhMSux48kHYCCZDSVEuTkFTREFRR1M6VFNMQS5JUV9WT0xVTUUuMjQvMDQvMjAyMAEAAAAQxqIBAgAAAAgxMy4yMzc2MQCj1iRV8kHYCKuNe1nyQdgIOUNJUS5OQVNEQVFHUzpUU0xBLklRX1RPVEFMX0FTU0VUUy45OTcuMzEvMTIvMjAxOS4uRi5VU0QuQwEAAAAQxqIBAgAAAAg4MDY3LjkzOQEIAAAABQAAAAExAQAAAAoxODc1NzY5MDgyAwAAAAMxNjACAAAABDEwMDcEAAAAATEHAAAACjEyLzMxLzIwMTkIAAAACTgvMTYvMjAyMAkAAAABMDuGF3jyQdgIef36ePJB2AgoQ0lR</t>
  </si>
  <si>
    <t>LkxTRTpUU0NPLklRX0xBU1RTQUxFUFJJQ0UuMjEvMDIvMjAyMAEAAAAwUAYAAgAAAAUyLjU1NwAID35T8kHYCAREXVnyQdgIIkNJUS5OWVNFOlJBQ0UuSVFfVk9MVU1FLjI4LzEyLzIwMTgBAAAAPYKwEAIAAAAIMC4zOTc5MDcAx+J/U/JB2AibDSJx8kHYCC1DSVEuTFNFOlRTQ08uSVFfREFfQ0YuOTk2LjMwLzA0LzIwMjAuLkYuR0JQLkMBAAAAMFAGAAIAAAAEMTIzMQEIAAAABQAAAAExAQAAAAoxODQ3ODI1MTQ4AwAAAAI1NQIAAAAEMjE2MAQAAAABMQcAAAAJNC8zMC8yMDIwCAAAAAk4LzE2LzIwMjAJAAAAATDJMQdL8kHYCJh/qlnyQdgIMENJUS5MU0U6U0ZPUi5JUV9UT1RBTF9DQS45OTguMzAvMDQvMjAyMC4uRi5HQlAuQwEAAADLU+QhAwAAAAAA2QoHS/JB2Ajn0pNZ8kHYCCBDSVEuLklRX0xBU1RTQUxFUFJJQ0UuMjcvMDQvMjAxOAUAAAAAAAAACAAAABQoSW52YWxpZCBJZGVudGlmaWVyKYrFN1HyQdgIkE96c/JB2AgkQ0lRLl5BU1guSVFfTEFTVFNBTEVQUklDRS4xMi8xMC8yMDE4AQAAAB9T6wECAAAACzM4NTAuMTYwNjY4AIrFN1HyQdgIxFobc/JB2Ag2Q0lRLk5ZU0U6TUFOVS5JUV9FUVVJVFlfTUVUSE9ELjk5OS4zMS8xMi8yMDE5Li5GLkdCUC5DAQAAAN1rDQADAAAAAABHYBd48kHYCELd/3jyQdgIKENJUS5MU0U6U0ZPUi5JUV9MQVNUU0FMRVBSSUNFLjMxLzEwLzIwMTYBAAAAy1PkIQMA</t>
  </si>
  <si>
    <t>AAAAANGDflPyQdgINkElcfJB2AguQ0lRLk5BU0RBUUdTOlRTTEEuSVFfRElWSURFTkRfWUlFTEQuMzAvMDQvMjAyMAEAAAAQxqIBAwAAAAAA4hIkVfJB2AiZvn5Z8kHYCCdDSVEuJEFFREFSUy5JUV9MQVNUU0FMRVBSSUNFLjMxLzEyLzIwMTkBAAAAJetaAAIAAAALMC4wNjEzNDU0OTIA/gNCdfJB2AgKzUt28kHYCC1DSVEuTkFTREFRR1M6VFNMQS5JUV9MQVNUU0FMRVBSSUNFLjE4LzA1LzIwMTgBAAAAEMaiAQIAAAAGMjc2LjgyACnmhVLyQdgI0Y8IcfJB2AgkQ0lRLl5BU1guSVFfTEFTVFNBTEVQUklDRS4yNi8xMC8yMDE4AQAAAB9T6wECAAAACzM4MDAuNDExODc5AIrFN1HyQdgIxFobc/JB2AgjQ0lRLiVUQ01TTTAxLklRX0xBU1RTQUxFUFJJQ0UuNDM1ODUBAAAABR8oAgIAAAAEMi40MwCj1iRV8kHYCM82hVnyQdgIIENJUS4uSVFfTEFTVFNBTEVQUklDRS4xNy8wNC8yMDIwBQAAAAAAAAAIAAAAFChJbnZhbGlkIElkZW50aWZpZXIpcYUvUvJB2AiVEMRZ8kHYCDpDSVEuTFNFOlRTQ08uSVFfVE9UQUxfREVCVF9DVVJSRU5ULjk5OS4zMS8xMi8yMDE5Li5GLkdCUC5DAQAAADBQBgACAAAABDE0NzkBCAAAAAUAAAABMQEAAAAKMTk2ODczNjU1OQMAAAACNTUCAAAABTI1MjIzBAAAAAExBwAAAAoxMi8zMS8yMDE5CAAAAAk4LzE2LzIwMjAJAAAAATAcrRd48kHYCENS+XjyQdgIMUNJUS5OWVNFOlJBQ0Uu</t>
  </si>
  <si>
    <t>SVFfVE9UQUxfQ0wuOTk2LjMwLzA0LzIwMjAuLkYuRVVSLkMBAAAAPYKwEAIAAAAIMTg3My41MDEBCAAAAAUAAAABMQEAAAAKMTg3NjA0MzMxMwMAAAACNTACAAAABDEwMDkEAAAAATEHAAAACTQvMzAvMjAyMAgAAAAJOC8xNi8yMDIwCQAAAAEw4OMGS/JB2Ag/0ZdZ8kHYCCVDSVEuXkNPTVAuSVFfTEFTVFNBTEVQUklDRS4zMC8wNi8yMDE5AQAAAIm4KAACAAAABzgwMDYuMjQASQUzUvJB2AibPQlz8kHYCDJDSVEuTllTRTpSQUNFLklRX1RPVEFMX0NMLjIwMDAuMzEvMTIvMjAxOS4uRi5FVVIuQwEAAAA9grAQAgAAAAc5NTEuMzkzAQgAAAAFAAAAATEBAAAACjE5OTA0MjM2ODcDAAAAAjUwAgAAAAQxMDA5BAAAAAExBwAAAAoxMi8zMS8yMDE5CAAAAAk4LzE2LzIwMjAJAAAAATAcrRd48kHYCKS2+HjyQdgIKkNJUS5JUTQzOTQzODI3LklRX0xBU1RTQUxFUFJJQ0UuMzAvMDQvMjAyMAEAAACTh54CAgAAAAktMC4wODI4MjkAo9YkVfJB2AithIVZ8kHYCClDSVEuTllTRTpNQU5VLklRX0xBU1RTQUxFUFJJQ0UuMjgvMDIvMjAxOQEAAADdaw0AAgAAAAUyMC4xNAAID35T8kHYCN8YLHHyQdgIMUNJUS5OQVNEQVFHUzpUU0xBLklRX1BFUklPRERBVEUuOTk3LjMxLzEyLzIwMTkuLkYBAAAAEMaiAQUAAAAKMzEvMTIvMjAxNQD+A0J18kHYCKWgTXbyQdgILUNJUS5OQVNEQVFHUzpDQUtFLklRX0xBU1RTQUxFUFJJ</t>
  </si>
  <si>
    <t>Q0UuMjEvMDIvMjAyMAEAAAAI4AQAAgAAAAU0Mi4xMwAID35T8kHYCJNpXVnyQdgIK0NJUS5OWVNFOk1BTlUuSVFfTkkuOTk5LjMwLzA0LzIwMjAuLkYuR0JQLkMBAAAA3WsNAAIAAAAHLTM3LjYyOQEIAAAABQAAAAExAQAAAAoxOTg1ODQ1MDI5AwAAAAI1NQIAAAACMTUEAAAAATEHAAAACTQvMzAvMjAyMAgAAAAJOC8xNi8yMDIwCQAAAAEw/2/KTPJB2AgmXqhZ8kHYCC9DSVEuTkFTREFRR1M6Q0FLRS5JUV9HUC45OTguMzAvMDQvMjAyMC4uRi5VU0QuQwEAAAAI4AQAAgAAAAc5NjMuNTE5AQgAAAAFAAAAATEBAAAACjIwMjE1ODE0MDkDAAAAAzE2MAIAAAACMTAEAAAAATEHAAAACTQvMzAvMjAyMAgAAAAJOC8xNi8yMDIwCQAAAAEw/2/KTPJB2Ah92J9Z8kHYCCBDSVEuLklRX0xBU1RTQUxFUFJJQ0UuMzAvMDQvMjAxOAUAAAAAAAAACAAAABQoSW52YWxpZCBJZGVudGlmaWVyKcJHN1LyQdgI9lo3c/JB2Ag7Q0lRLk5BU0RBUUdTOlRTTEEuSVFfRVNUX0VQU19HUk9XVEhfNVlSX0xPVy42MDAwLjMxLzEyLzIwMTkBAAAAEMaiAQIAAAADMTA1AQ4AAAAFAAAAATcBAAAACTEwODgwMzkxNQIAAAAKMTAwMDg3MjkyMwMAAAAGMTAwMTcwBAAAAAEyBgAAAAEwBwAAAAEwCAAAAAEwCQAAAAExCgAAAAEwCwAAAAsxMTY2OTczMDI4NAwAAAABOA0AAAAIMS8xLzIwMjAQAAAACjEyLzMxLzIwMTkoK0J18kHYCA+JTnby</t>
  </si>
  <si>
    <t>QdgILUNJUS5OQVNEQVFHUzpDQUtFLklRX0xBU1RTQUxFUFJJQ0UuMTUvMDYvMjAxOAEAAAAI4AQAAgAAAAU1Ny44NgAp5oVS8kHYCCn/CnHyQdgIN0NJUS5OWVNFOk1BTlUuSVFfQ0FTSF9TVF9JTlZFU1QuOTk4LjMxLzEyLzIwMTkuLkYuR0JQLkMBAAAA3WsNAAIAAAAHMjkwLjI2NwEIAAAABQAAAAExAQAAAAoxOTg1ODQ1MDQ1AwAAAAI1NQIAAAAEMTAwMgQAAAABMQcAAAAKMTIvMzEvMjAxOQgAAAAJOC8xNi8yMDIwCQAAAAEwO4YXePJB2AhXIP148kHYCCVDSVEuXkNPTVAuSVFfTEFTVFNBTEVQUklDRS4wNS8wNC8yMDE5AQAAAIm4KAACAAAABzc5MzguNjkAoJ43UfJB2AjhoRZz8kHYCCBDSVEuLklRX0xBU1RTQUxFUFJJQ0UuMzAvMDMvMjAxOAUAAAAAAAAACAAAABQoSW52YWxpZCBJZGVudGlmaWVyKVRa3HTyQdgItv1AdvJB2AgZQ0lRLi5JUV9WT0xVTUUuMTIvMDQvMjAxOQUAAAAAAAAACAAAABQoSW52YWxpZCBJZGVudGlmaWVyKa/4flPyQdgIfnG6cvJB2Ag0Q0lRLk5ZU0U6TUFOVS5JUV9UT1RBTF9MSUFCLjEwMDAuMzEvMTIvMjAxOS4uRi5HQlAuQwEAAADdaw0AAgAAAAgxMDgxLjMyMwEIAAAABQAAAAExAQAAAAoxOTg1ODQ1MDYzAwAAAAI1NQIAAAAEMTI3NgQAAAABMQcAAAAKMTIvMzEvMjAxOQgAAAAJOC8xNi8yMDIwCQAAAAEwhNQXePJB2Ajx4fV48kHYCEFDSVEuTkFTREFRR1M6VFNM</t>
  </si>
  <si>
    <t>QS5JUV9UT1RBTF9DT01NT05fRVFVSVRZLjEwMDAuMzAvMDQvMjAyMC4uRi5VU0QuQwEAAAAQxqIBAgAAAAQ2NjE4AQgAAAAFAAAAATEBAAAACjIwMTM5MDc0NjADAAAAAzE2MAIAAAAEMTAwNgQAAAABMQcAAAAJNC8zMC8yMDIwCAAAAAk4LzE2LzIwMjAJAAAAATC8WAdL8kHYCJ3jm1nyQdgIJUNJUS5JUTQzOTQzODI0LklRX0xBU1RTQUxFUFJJQ0UuNDM1ODUBAAAAkIeeAgIAAAAIMC41NzczNTEAo9YkVfJB2AithIVZ8kHYCDhDSVEuTllTRTpNQU5VLklRX0NBU0hfU1RfSU5WRVNULjEwMDAuMzEvMTIvMjAxOS4uRi5HQlAuQwEAAADdaw0AAgAAAAczMDcuNjM3AQgAAAAFAAAAATEBAAAACjE5ODU4NDUwNjMDAAAAAjU1AgAAAAQxMDAyBAAAAAExBwAAAAoxMi8zMS8yMDE5CAAAAAk4LzE2LzIwMjAJAAAAATA7hhd48kHYCFXy/njyQdgIJENJUS5eQVNYLklRX0xBU1RTQUxFUFJJQ0UuMDYvMDkvMjAxOQEAAAAfU+sBAgAAAAszOTk4LjE3OTQ0OABHhYVR8kHYCPH6GXPyQdgILUNJUS5OWVNFOktPLklRX0VCSVREQS45OTcuMzEvMTIvMjAxOS4uRi5VU0QuQwEAAAASaAAAAgAAAAUxMjIxMAEIAAAABQAAAAExAQAAAAoxODc1Nzk3ODA5AwAAAAMxNjACAAAABDQwNTEEAAAAATEHAAAACjEyLzMxLzIwMTkIAAAACTgvMTYvMjAyMAkAAAABMB4iGHjyQdgIzkTuePJB2Ag1Q0lRLk5ZU0U6UkFDRS5JUV9QUkVG</t>
  </si>
  <si>
    <t>X0VRVUlUWS4xMDAwLjMwLzA0LzIwMjAuLkYuRVVSLkMBAAAAPYKwEAMAAAAAANkKB0vyQdgIyUebWfJB2AgpQ0lRLk5ZU0U6UkFDRS5JUV9MQVNUU0FMRVBSSUNFLjExLzAxLzIwMTkBAAAAPYKwEAIAAAAGMTEwLjg0AKS8f1PyQdgI/6oicfJB2Ag7Q0lRLk5ZU0U6TUFOVS5JUV9FQklUREFfTUVESUFOX0VTVC4xMDAzLjMxLzEyLzIwMTkuLkYuR0JQLkMBAAAA3WsNAAIAAAADMTgzAQ4AAAAFAAAAATMBAAAAATACAAAACjEwMDM3MjgyMDEDAAAABjEwMDE4OAQAAAABMwYAAAABMAcAAAACNTUIAAAAATEJAAAAATEKAAAAATALAAAACzExNjkyNTM4ODM1DAAAAAExDQAAAAgxLzEvMjAyMBAAAAAJOC8xNi8yMDIw80gYePJB2AiLVu948kHYCCtDSVEuSVExMDA4ODk5NDMuSVFfTEFTVFNBTEVQUklDRS4zMS8xMi8yMDE5AQAAAFd1AwYCAAAABTAuNTQzAN8G3nTyQdgIaINJdvJB2AgwQ0lRLk5ZU0U6TUFOVS5JUV9FQklUREEuMTAwMC4zMS8xMi8yMDE5Li5GLkdCUC5DAQAAAN1rDQACAAAABzE4NS43MTMBCAAAAAUAAAABMQEAAAAKMTk4NTg0NTA2MwMAAAACNTUCAAAABDQwNTEEAAAAATEHAAAACjEyLzMxLzIwMTkIAAAACTgvMTYvMjAyMAkAAAABMB4iGHjyQdgIu5LuePJB2AgmQ0lRLk5BU0RBUUdTOlRTTEEuSVFfVk9MVU1FLjIwLzA0LzIwMTgBAAAAEMaiAQIAAAAINS42Mjc5MjgAQVJCdfJB2AjdhFB2</t>
  </si>
  <si>
    <t>8kHYCDdDSVEuTllTRTpLTy5JUV9FQklUX01FRElBTl9FU1QuMTAwMi4zMC8wNC8yMDIwLi5GLlVTRC5DAQAAABJoAAACAAAABTEwNTcyAQ4AAAAFAAAAATMBAAAAATACAAAACjEwMDE2NTYyNzgDAAAABjEwMDIxNgQAAAABMgYAAAABMAcAAAADMTYwCAAAAAExCQAAAAExCgAAAAEwCwAAAAsxMTg4NTI5MjQ3NQwAAAABMQ0AAAAINS8xLzIwMjAQAAAACTgvMTYvMjAyMP9vykzyQdgIec2jWfJB2AgkQ0lRLl5BU1guSVFfTEFTVFNBTEVQUklDRS4zMS8xMC8yMDE1AQAAAB9T6wECAAAABjM0ODQuNgCgnjdR8kHYCOn6C3PyQdgIKkNJUS5MU0U6VFNDTy5JUV9OSS45OTguMzAvMDQvMjAyMC4uRi5HQlAuQwEAAAAwUAYAAgAAAAQxMjA4AQgAAAAFAAAAATEBAAAACjE5Njg3MzY1NTkDAAAAAjU1AgAAAAIxNQQAAAABMQcAAAAJNC8zMC8yMDIwCAAAAAk4LzE2LzIwMjAJAAAAATDJMQdL8kHYCB2FqFnyQdgIJENJUS5eU1BYLklRX0xBU1RTQUxFUFJJQ0UuMDYvMDMvMjAyMAEAAACbuCgAAgAAABAyOTcyLjM3MTkwNzEyMTY2AEkFM1LyQdgIMnq6WfJB2AgpQ0lRLk5ZU0U6UkFDRS5JUV9MQVNUU0FMRVBSSUNFLjI4LzAyLzIwMTgBAAAAPYKwEAIAAAAGMTI0LjIxAAVdflPyQdgIh8AocfJB2Ag0Q0lRLk5ZU0U6TUFOVS5JUV9QUkVGX0VRVUlUWS45OTkuMzEvMTIvMjAxOS4uRi5HQlAuQwEAAADdaw0AAwAAAAAA</t>
  </si>
  <si>
    <t>HvsXePJB2AgE0PR48kHYCChDSVEuTFNFOlRTQ08uSVFfTEFTVFNBTEVQUklDRS4wMi8wOC8yMDE5AQAAADBQBgACAAAABTIuMjA3ANGDflPyQdgIMjYpcfJB2AgrQ0lRLkxTRTpUU0NPLklRX1NHQS45OTguMzAvMDQvMjAyMC4uRi5HQlAuQwEAAAAwUAYAAgAAAAQxMDg1AQgAAAAFAAAAATEBAAAACjE5Njg3MzY1NTkDAAAAAjU1AgAAAAIyMwQAAAABMQcAAAAJNC8zMC8yMDIwCAAAAAk4LzE2LzIwMjAJAAAAATDJMQdL8kHYCFHDoFnyQdgILENJUS5MU0U6VFNDTy5JUV9QRVJJT0REQVRFLjk5Ny4zMS8xMi8yMDE5Li5GAQAAADBQBgAFAAAACjI3LzAyLzIwMTYA/gNCdfJB2AiloE128kHYCDRDSVEuTFNFOlRTQ08uSVFfVE9UQUxfQVNTRVRTLjk5Ni4zMS8xMi8yMDE5Li5GLkdCUC5DAQAAADBQBgACAAAABTQ0MjE0AQgAAAAFAAAAATEBAAAACjE3OTE0NjgxNDYDAAAAAjU1AgAAAAQxMDA3BAAAAAExBwAAAAoxMi8zMS8yMDE5CAAAAAk4LzE2LzIwMjAJAAAAATA7hhd48kHYCMLX+njyQdgINUNJUS5OQVNEQVFHUzpUU0xBLklRX1RPVEFMX0NBLjk5Ni4zMS8xMi8yMDE5Li5GLlVTRC5DAQAAABDGogECAAAACDMxODAuMDczAQgAAAAFAAAAATEBAAAACjE4MzAxNDMzMDADAAAAAzE2MAIAAAAEMTAwOAQAAAABMQcAAAAKMTIvMzEvMjAxOQgAAAAJOC8xNi8yMDIwCQAAAAEwO4YXePJB2Aidwft48kHYCClD</t>
  </si>
  <si>
    <t>SVEuTllTRTpNQU5VLklRX0xBU1RTQUxFUFJJQ0UuMTUvMTEvMjAxOQEAAADdaw0AAgAAAAUxNi4yNADoNX5T8kHYCJ8CLXHyQdgIKUNJUS5OWVNFOktPLklRX0dQLjk5OC4zMC8wNC8yMDIwLi5GLlVTRC5DAQAAABJoAAACAAAABTIyNDkxAQgAAAAFAAAAATEBAAAACjIwMTY3OTEyNTADAAAAAzE2MAIAAAACMTAEAAAAATEHAAAACTQvMzAvMjAyMAgAAAAJOC8xNi8yMDIwCQAAAAEwA0nKTPJB2Ah92J9Z8kHYCCdDSVEuJEFFRFVHWC5JUV9MQVNUU0FMRVBSSUNFLjMwLzA0LzIwMjABAAAAJetaAAIAAAALMC4wMDA5NjUyNTgAqiQlVfJB2AiNs4JZ8kHYCCZDSVEuTkFTREFRR1M6Q0FLRS5JUV9WT0xVTUUuMTYvMDIvMjAxOAEAAAAI4AQAAgAAAAgwLjkyNTQ3MgAoK0J18kHYCDy7WHbyQdgIOkNJUS5MU0U6U0ZPUi5JUV9FQklUREFfTUVESUFOX0VTVC42MDAxLjMxLzEyLzIwMTkuLkYuR0JQLkMBAAAAy1PkIQMAAAAAAPNIGHjyQdgIlC/vePJB2AgvQ0lRLkxTRTpUU0NPLklRX0lOQ19UQVguOTk2LjMxLzEyLzIwMTkuLkYuR0JQLkMBAAAAMFAGAAIAAAAELTY3MAEIAAAABQAAAAExAQAAAAoxNzkxNDY4MTQ2AwAAAAI1NQIAAAACNzUEAAAAATEHAAAACjEyLzMxLzIwMTkIAAAACTgvMTYvMjAyMAkAAAABMNztlXfyQdgICo3pePJB2AgoQ0lRLkxTRTpTRk9SLklRX0xBU1RTQUxFUFJJQ0UuMjEvMDYvMjAx</t>
  </si>
  <si>
    <t>OQEAAADLU+QhAgAAAAUxLjY3NQDBqn5T8kHYCIqwJ3HyQdgILkNJUS5MU0U6VFNDTy5JUV9DQVBFWC4yMDAwLjMxLzEyLzIwMTkuLkYuR0JQLkMBAAAAMFAGAAIAAAAFLTEwOTQBCAAAAAUAAAABMQEAAAAKMTk4Njc5MzI0MAMAAAACNTUCAAAABDIwMjEEAAAAATEHAAAACjEyLzMxLzIwMTkIAAAACTgvMTYvMjAyMAkAAAABMNoUlnfyQdgIFg3mePJB2Ag8Q0lRLk5BU0RBUUdTOkNBS0UuSVFfQ0FTSF9TVF9JTlZFU1QuMTAwMC4zMC8wNC8yMDIwLi5GLlVTRC5DAQAAAAjgBAACAAAABjU4LjQxNgEIAAAABQAAAAExAQAAAAoyMDIxNTgxNDExAwAAAAMxNjACAAAABDEwMDIEAAAAATEHAAAACTQvMzAvMjAyMAgAAAAJOC8xNi8yMDIwCQAAAAEwA0nKTPJB2Airx5BZ8kHYCC1DSVEuTllTRTpNQU5VLklRX0VCVC4xMDAzLjMxLzEyLzIwMTkuLkYuR0JQLkMBAAAA3WsNAAMAAAAAAB4iGHjyQdgIh4frePJB2AglQ0lRLklRNDM5NDM4MDYuSVFfTEFTVFNBTEVQUklDRS40MzQ2NQEAAAB+h54CAgAAAAktMC43NDg5ODYA3wbedPJB2Ag5Rkp28kHYCCFDSVEuTFNFOlRTQ08uSVFfVk9MVU1FLjEzLzA5LzIwMTkBAAAAMFAGAAIAAAAIMTcuNTc4NzUAlf0kVfJB2AhhZr5y8kHYCCZDSVEuTkFTREFRR1M6VFNMQS5JUV9WT0xVTUUuMjcvMDkvMjAxOQEAAAAQxqIBAgAAAAgxMS4xMjMxOACj1iRV8kHYCG0NwnLyQdgI</t>
  </si>
  <si>
    <t>LENJUS5OWVNFOk1BTlUuSVFfTkkuMjAwMC4zMC8wNC8yMDIwLi5GLkdCUC5DAQAAAN1rDQACAAAABDIxLjYBCAAAAAUAAAABMQEAAAAKMjAxODYzMjAwMwMAAAACNTUCAAAAAjE1BAAAAAExBwAAAAk0LzMwLzIwMjAIAAAACTgvMTYvMjAyMAkAAAABMLxYB0vyQdgIYxCoWfJB2Ag7Q0lRLk5BU0RBUUdTOkNBS0UuSVFfTklfTUVESUFOX0VTVC4xMDAzLjMxLzEyLzIwMTkuLkYuVVNELkMBAAAACOAEAAIAAAAFMTI4LjgBDgAAAAUAAAABMwEAAAABMAIAAAAKMTAwMjIyNDIyMwMAAAAGMTAwMjUxBAAAAAEyBgAAAAEwBwAAAAMxNjAIAAAAATEJAAAAATEKAAAAATALAAAACzExNzI0MTEwNDAyDAAAAAExDQAAAAgxLzEvMjAyMBAAAAAJOC8xNi8yMDIw2hSWd/JB2AgbZul48kHYCClDSVEuTllTRTpSQUNFLklRX0xBU1RTQUxFUFJJQ0UuMDIvMTEvMjAxOAEAAAA9grAQAgAAAAYxMTkuNTMAx+J/U/JB2AjCKxdx8kHYCChDSVEuTFNFOlNGT1IuSVFfTEFTVFNBTEVQUklDRS4wMS8wNi8yMDE4AQAAAMtT5CEDAAAAAAAp5oVS8kHYCI2gCXHyQdgIOENJUS5OWVNFOktPLklRX0NBUEVYX01FRElBTl9FU1QuNjAwMS4zMC8wNC8yMDIwLi5GLlVTRC5DAQAAABJoAAADAAAAAAD/b8pM8kHYCJKmqlnyQdgIKENJUS5OWVNFOlJBQ0UuSVFfRVBTX0VTVC42MDAwLjMxLzEyLzIwMTkBAAAAPYKwEAIAAAAGNC4xMzE2AQ4A</t>
  </si>
  <si>
    <t>AAAFAAAAAjExAQAAAAkzMTM5NzQ5ODECAAAABzI3NjQ3MzQDAAAABjEwMDE3MwQAAAABMwYAAAABMAcAAAACNTAIAAAAATAJAAAAATEKAAAAATALAAAACzExNjg2Njk0NjU3DAAAAAIxMg0AAAAIMS8xLzIwMjAQAAAACjEyLzMxLzIwMTkoK0J18kHYCAFCTHbyQdgII0NJUS5OWVNFOk1BTlUuSVFfVEVWX09VVC4zMC8wNC8yMDIwAQAAAN1rDQACAAAACzMyOTQuNzA4NzA4AQYAAAAFAAAAATEBAAAACjIwMTg2Mjc5NzUDAAAAAzE2MAIAAAAFNDYyMTQEAAAAATAHAAAACTQvMzAvMjAyMKPWJFXyQdgI6g1/WfJB2AgrQ0lRLkxTRTpTRk9SLklRX0VCVC45OTYuMzEvMTIvMjAxOS4uRi5HQlAuQwEAAADLU+QhAwAAAAAA3O2Vd/JB2AjfKOp48kHYCClDSVEuTllTRTpLTy5JUV9OSS45OTkuMzEvMTIvMjAxOS4uRi5VU0QuQwEAAAASaAAAAgAAAAQxMjQ4AQgAAAAFAAAAATEBAAAACjE5NDY0MzA3NzkDAAAAAzE2MAIAAAACMTUEAAAAATEHAAAACjEyLzMxLzIwMTkIAAAACTgvMTYvMjAyMAkAAAABMNztlXfyQdgIP8roePJB2AgwQ0lRLk5ZU0U6TUFOVS5JUV9SVUFfTkVULjIwMDAuMzAvMDQvMjAyMC4uLkxPQ0FMAQAAAN1rDQADAAAAAACxryRV8kHYCA3WfVnyQdgIKkNJUS5MU0U6U0ZPUi5JUV9HUC45OTYuMzAvMDQvMjAyMC4uRi5HQlAuQwEAAADLU+QhAwAAAAAA2QoHS/JB2AhmTaBZ8kHYCCdDSVEuTllT</t>
  </si>
  <si>
    <t>RTpLTy5JUV9MQVNUU0FMRVBSSUNFLjIyLzAzLzIwMTkBAAAAEmgAAAIAAAAFNDUuOTMAuZR/U/JB2AjG8yRx8kHYCC1DSVEuTllTRTpNQU5VLklRX1NHQS4yMDAwLjMxLzEyLzIwMTkuLkYuR0JQLkMBAAAA3WsNAAIAAAAGMzI3LjA0AQgAAAAFAAAAATEBAAAACjE5OTM2MjEzMjIDAAAAAjU1AgAAAAIyMwQAAAABMQcAAAAKMTIvMzEvMjAxOQgAAAAJOC8xNi8yMDIwCQAAAAEwHiIYePJB2Ah8GfB48kHYCBlDSVEuLklRX1ZPTFVNRS4yNi8xMC8yMDE4BQAAAAAAAAAIAAAAFChJbnZhbGlkIElkZW50aWZpZXIpcvyEUvJB2AjtjxZx8kHYCCdDSVEuTllTRTpLTy5JUV9MQVNUU0FMRVBSSUNFLjA1LzAxLzIwMTgBAAAAEmgAAAIAAAAFNDYuMDcAKCtCdfJB2AjMFVx28kHYCCtDSVEuTllTRTpLTy5JUV9FQlQuMTAwMS4zMC8wNC8yMDIwLi5GLlVTRC5DAQAAABJoAAADAAAAAAADScpM8kHYCAx6pVnyQdgIKENJUS5MU0U6VFNDTy5JUV9MQVNUU0FMRVBSSUNFLjIyLzAyLzIwMTkBAAAAMFAGAAIAAAAFMi4yMjgApLx/U/JB2AjD4iNx8kHYCCFDSVEuTFNFOlNGT1IuSVFfVk9MVU1FLjE1LzA2LzIwMTgBAAAAy1PkIQMAAAAAACnmhVLyQdgIKf8KcfJB2AgxQ0lRLk5BU0RBUUdTOkNBS0UuSVFfRUJULjEwMDEuMzAvMDQvMjAyMC4uRi5VU0QuQwEAAAAI4AQAAwAAAAAA/2/KTPJB2AgMeqVZ8kHYCBxDSVEuTFNF</t>
  </si>
  <si>
    <t>OlNGT1IuSVFfQ09NUEFOWV9OQU1FAQAAAMtT5CEDAAAADlM0IENhcGl0YWwgcGxjAPw6JFXyQdgIzgSJWfJB2Ag2Q0lRLk5ZU0U6UkFDRS5JUV9FUVVJVFlfTUVUSE9ELjk5Ny4zMS8xMi8yMDE5Li5GLkVVUi5DAQAAAD2CsBADAAAAAABHYBd48kHYCNSO/3jyQdgIKUNJUS5OWVNFOk1BTlUuSVFfTEFTVFNBTEVQUklDRS4yMC8wNC8yMDE4AQAAAN1rDQACAAAABDE4LjUAQVJCdfJB2AjdhFB28kHYCCdDSVEuTllTRTpLTy5JUV9MQVNUU0FMRVBSSUNFLjIxLzA2LzIwMTkBAAAAEmgAAAIAAAAFNTEuNTUAwap+U/JB2AiN1ydx8kHYCCVDSVEuXkNPTVAuSVFfTEFTVFNBTEVQUklDRS4zMC8wOS8yMDE1AQAAAIm4KAACAAAABzQ2MjAuMTYAoJ43UfJB2AhXdQpz8kHYCDBDSVEuTllTRTpLTy5JUV9UT1RBTF9SRVYuOTk5LjMwLzA0LzIwMjAuLkYuVVNELkMBAAAAEmgAAAIAAAAFMzQzMDABCAAAAAUAAAABMQEAAAAKMjAxNjc5MTI1MQMAAAADMTYwAgAAAAIyOAQAAAABMQcAAAAJNC8zMC8yMDIwCAAAAAk4LzE2LzIwMjAJAAAAATADScpM8kHYCCO3nVnyQdgIQENJUS5OWVNFOk1BTlUuSVFfTUlOT1JJVFlfSU5URVJFU1RfVE9UQUwuOTk2LjMwLzA0LzIwMjAuLkYuR0JQLkMBAAAA3WsNAAMAAAAAALxYB0vyQdgILemZWfJB2Ag6Q0lRLk5BU0RBUUdTOlRTTEEuSVFfVE9UQUxfQVNTRVRTLjIwMDAuMzAvMDQv</t>
  </si>
  <si>
    <t>MjAyMC4uRi5VU0QuQwEAAAAQxqIBAgAAAAUzNzI1MAEIAAAABQAAAAExAQAAAAoyMDMyMDQ1MzM0AwAAAAMxNjACAAAABDEwMDcEAAAAATEHAAAACTQvMzAvMjAyMAgAAAAJOC8xNi8yMDIwCQAAAAEwvFgHS/JB2AjbSJRZ8kHYCCVDSVEuXkNPTVAuSVFfTEFTVFNBTEVQUklDRS4yMS8xMi8yMDE4AQAAAIm4KAACAAAABDYzMzMAisU3UfJB2AjWFhdz8kHYCCZDSVEuTkFTREFRR1M6Q0FLRS5JUV9WT0xVTUUuMjAvMDkvMjAxOQEAAAAI4AQAAgAAAAgwLjk1OTEzOACV/SRV8kHYCMXVwHLyQdgILUNJUS5OQVNEQVFHUzpUU0xBLklRX0xBU1RTQUxFUFJJQ0UuMzAvMDQvMjAxNwEAAAAQxqIBAgAAAAYzMTQuMDcA0YN+U/JB2AhKxyZx8kHYCCdDSVEuJEFFRERaRC5JUV9MQVNUU0FMRVBSSUNFLjMwLzA0LzIwMTkBAAAAJetaAAIAAAALMC4wMzA1NjMyNTMAqiQlVfJB2Agk/4NZ8kHYCDZDSVEuTFNFOlNGT1IuSVFfQ0FTSF9TVF9JTlZFU1QuOTk2LjMxLzEyLzIwMTkuLkYuR0JQLkMBAAAAy1PkIQMAAAAAADuGF3jyQdgI+an8ePJB2AgtQ0lRLk5ZU0U6UkFDRS5JUV9QRVJJT0REQVRFLjk5OS4zMS8xMi8yMDE5Li5GAQAAAD2CsBAFAAAACjMxLzEyLzIwMTcA/gNCdfJB2AjMeU128kHYCC5DSVEuTllTRTpSQUNFLklRX0RBX0NGLjk5Ny4zMS8xMi8yMDE5Li5GLkVVUi5DAQAAAD2CsBACAAAABzE1OS45MDEB</t>
  </si>
  <si>
    <t>CAAAAAUAAAABMQEAAAAKMTg3NjA0MzMxMwMAAAACNTACAAAABDIxNjAEAAAAATEHAAAACjEyLzMxLzIwMTkIAAAACTgvMTYvMjAyMAkAAAABMNoUlnfyQdgIv/bmePJB2AgyQ0lRLkxTRTpUU0NPLklRX1RPVEFMX1JFVi4xMDAwLjMxLzEyLzIwMTkuLkYuR0JQLkMBAAAAMFAGAAIAAAAFNjM5MTEBCAAAAAUAAAABMQEAAAAKMTk2ODczNjU2MwMAAAACNTUCAAAAAjI4BAAAAAExBwAAAAoxMi8zMS8yMDE5CAAAAAk4LzE2LzIwMjAJAAAAATAe+xd48kHYCMmH8njyQdgIP0NJUS5OWVNFOk1BTlUuSVFfVE9UQUxfREVCVF9OT05fQ1VSUkVOVC45OTYuMzEvMTIvMjAxOS4uRi5HQlAuQwEAAADdaw0AAgAAAAc0MTAuNTkzAQgAAAAFAAAAATEBAAAACjE4NjE3MzY4NjkDAAAAAjU1AgAAAAUyNTIyNAQAAAABMQcAAAAKMTIvMzEvMjAxOQgAAAAJOC8xNi8yMDIwCQAAAAEwhNQXePJB2AgFCvd48kHYCDBDSVEuTkFTREFRR1M6VFNMQS5JUV9TR0EuOTk3LjMwLzA0LzIwMjAuLkYuVVNELkMBAAAAEMaiAQIAAAAIMTQxMC40ODkBCAAAAAUAAAABMQEAAAAKMTk0NTg3MzU1MQMAAAADMTYwAgAAAAIyMwQAAAABMQcAAAAJNC8zMC8yMDIwCAAAAAk4LzE2LzIwMjAJAAAAATC8WAdL8kHYCEDpoFnyQdgIJkNJUS5OQVNEQVFHUzpDQUtFLklRX1ZPTFVNRS4xOC8wMS8yMDE5AQAAAAjgBAACAAAACDAuNzg5MzkzAKS8f1Py</t>
  </si>
  <si>
    <t>QdgI/RPAcvJB2AgkQ0lRLl5BU1guSVFfTEFTVFNBTEVQUklDRS4yOC8wMi8yMDE4AQAAAB9T6wECAAAACzM5ODEuNjA3NDk3ALW8N1LyQdgIAjgLc/JB2AgoQ0lRLkxTRTpTRk9SLklRX0xBU1RTQUxFUFJJQ0UuMDUvMTAvMjAxOAEAAADLU+QhAgAAAAQxLjM1AEOYhVLyQdgIc+MUcfJB2AgtQ0lRLk5ZU0U6UkFDRS5JUV9FQlQuMTAwMS4zMC8wNC8yMDIwLi5GLkVVUi5DAQAAAD2CsBADAAAAAADZCgdL8kHYCPGgpVnyQdgIKENJUS4lVENNU00wNi5JUV9MQVNUU0FMRVBSSUNFLjMxLzEyLzIwMTkBAAAACx8oAgIAAAADMS42AN8G3nTyQdgIBglLdvJB2AgkQ0lRLl5BU1guSVFfTEFTVFNBTEVQUklDRS4yMi8xMS8yMDE5AQAAAB9T6wECAAAACzQwNDUuNzQyNDQxALW8N1LyQdgIDK0Zc/JB2AgaQ0lRLkxTRTpTRk9SLklRX0NPTVBBTllfSUQBAAAAy1PkIQMAAAALSVE1Njg2MTE3ODcA/DokVfJB2AjP3YhZ8kHYCClDSVEuTllTRTpNQU5VLklRX0xBU1RTQUxFUFJJQ0UuMjYvMDcvMjAxOQEAAADdaw0AAgAAAAUxOC4wMwDRg35T8kHYCK8NKXHyQdgIMUNJUS5OQVNEQVFHUzpUU0xBLklRX0VCVC4xMDAxLjMwLzA0LzIwMjAuLkYuVVNELkMBAAAAEMaiAQMAAAAAAMkxB0vyQdgIDHqlWfJB2AgpQ0lRLk5ZU0U6UkFDRS5JUV9MQVNUU0FMRVBSSUNFLjIxLzEyLzIwMTgBAAAAPYKwEAIAAAAFOTguMTYAx+J/</t>
  </si>
  <si>
    <t>U/JB2AhecyFx8kHYCChDSVEuTFNFOlRTQ08uSVFfTEFTVFNBTEVQUklDRS4yNC8wNC8yMDIwAQAAADBQBgACAAAABTIuMzYxAAHofVPyQdgI3hBhWfJB2AgxQ0lRLkxTRTpTRk9SLklRX1RPVEFMX1JFVi45OTcuMzEvMTIvMjAxOS4uRi5HQlAuQwEAAADLU+QhAwAAAAAAHvsXePJB2AiO7fF48kHYCDVDSVEuTllTRTpLTy5JUV9DQVNIX1NUX0lOVkVTVC45OTcuMzEvMTIvMjAxOS4uRi5VU0QuQwEAAAASaAAAAgAAAAUxOTkyMAEIAAAABQAAAAExAQAAAAoxODc1Nzk3ODA5AwAAAAMxNjACAAAABDEwMDIEAAAAATEHAAAACjEyLzMxLzIwMTkIAAAACTgvMTYvMjAyMAkAAAABMDuGF3jyQdgIR/n8ePJB2Ag3Q0lRLkxTRTpUU0NPLklRX0NBU0hfU1RfSU5WRVNULjEwMDAuMzEvMTIvMjAxOS4uRi5HQlAuQwEAAAAwUAYAAgAAAAQyMjYzAQgAAAAFAAAAATEBAAAACjE5Njg3MzY1NjMDAAAAAjU1AgAAAAQxMDAyBAAAAAExBwAAAAoxMi8zMS8yMDE5CAAAAAk4LzE2LzIwMjAJAAAAATA7hhd48kHYCFXy/njyQdgIQ0NJUS5OQVNEQVFHUzpDQUtFLklRX1RPVEFMX0RFQlRfTk9OX0NVUlJFTlQuOTk2LjMwLzA0LzIwMjAuLkYuVVNELkMBAAAACOAEAAIAAAAGODcuODQxAQgAAAAFAAAAATEBAAAACjE4NzcxNDQ0MzgDAAAAAzE2MAIAAAAFMjUyMjQEAAAAATEHAAAACTQvMzAvMjAyMAgAAAAJOC8xNi8yMDIwCQAA</t>
  </si>
  <si>
    <t>AAEw/2/KTPJB2Aif2ZhZ8kHYCCVDSVEuXkNPTVAuSVFfTEFTVFNBTEVQUklDRS4wNi8wOS8yMDE5AQAAAIm4KAACAAAABzgxMDMuMDcAR4WFUfJB2AgP3xVz8kHYCChDSVEuTFNFOlRTQ08uSVFfTEFTVFNBTEVQUklDRS4zMC8wMy8yMDE4AQAAADBQBgACAAAABTIuMDU5ACgrQnXyQdgIgX9SdvJB2Ag1Q0lRLk5ZU0U6S08uSVFfQ0FTSF9TVF9JTlZFU1QuOTk4LjMwLzA0LzIwMjAuLkYuVVNELkMBAAAAEmgAAAIAAAAFMjA2NzUBCAAAAAUAAAABMQEAAAAKMjAxNjc5MTI1MAMAAAADMTYwAgAAAAQxMDAyBAAAAAExBwAAAAk0LzMwLzIwMjAIAAAACTgvMTYvMjAyMAkAAAABMANJykzyQdgIU+qSWfJB2Ag1Q0lRLkxTRTpTRk9SLklRX0VRVUlUWV9NRVRIT0QuOTk5LjMwLzA0LzIwMjAuLkYuR0JQLkMBAAAAy1PkIQMAAAAAANkKB0vyQdgI3QSQWfJB2Ag6Q0lRLkxTRTpUU0NPLklRX0VCSVREQV9NRURJQU5fRVNULjEwMDIuMzEvMTIvMjAxOS4uRi5HQlAuQwEAAAAwUAYAAgAAAAg1MTI0LjgxNAEOAAAABQAAAAEzAQAAAAEwAgAAAAoxMDAwMjY0NDk5AwAAAAYxMDAxODgEAAAAATMGAAAAATAHAAAAAjU1CAAAAAExCQAAAAExCgAAAAEwCwAAAAsxMTcyMjEwNjM1NwwAAAABMQ0AAAAIMS8xLzIwMjAQAAAACTgvMTYvMjAyMPNIGHjyQdgI0QjvePJB2AgwQ0lRLkxTRTpTRk9SLklRX1RPVEFMX0NMLjk5Ni4z</t>
  </si>
  <si>
    <t>MC8wNC8yMDIwLi5GLkdCUC5DAQAAAMtT5CEDAAAAAADZCgdL8kHYCKvHl1nyQdgILUNJUS5OQVNEQVFHUzpDQUtFLklRX0xBU1RTQUxFUFJJQ0UuMjkvMDYvMjAxOAEAAAAI4AQAAgAAAAU1NS4wNgA6v4VS8kHYCNU2DHHyQdgIIkNJUS5OWVNFOlJBQ0UuSVFfVk9MVU1FLjIxLzEyLzIwMTgBAAAAPYKwEAIAAAAIMC40Mjc1MzIAx+J/U/JB2AhecyFx8kHYCDZDSVEuVVNELklRX0ZVTExfQ1VSVkVfQU5OVUFMLkFMTENPUlAuQUEuMjBZLjMwLzA0LzIwMjABAAAAAAAAAAIAAAAJMC4wMzE3Njk1AKokJVXyQdgIWuOGWfJB2AgmQ0lRLk5BU0RBUUdTOkNBS0UuSVFfVk9MVU1FLjI5LzExLzIwMTkBAAAACOAEAAIAAAAIMC4yNDE2ODQAlf0kVfJB2AixI8Fy8kHYCCFDSVEuTFNFOlRTQ08uSVFfVk9MVU1FLjIwLzAzLzIwMjABAAAAMFAGAAIAAAAINTYuNDg5ODUAlf0kVfJB2AhqM3hZ8kHYCCpDSVEuSVE0Mzk0MzgyMS5JUV9MQVNUU0FMRVBSSUNFLjMwLzA0LzIwMjABAAAAjYeeAgIAAAAJLTAuMjgwMzYzAKPWJFXyQdgIsKuFWfJB2AgnQ0lRLiRBRURUV0QuSVFfTEFTVFNBTEVQUklDRS4zMC8wNC8yMDIwAQAAACXrWgACAAAACzAuMTIzNTIwMzEyAKokJVXyQdgID02EWfJB2AgtQ0lRLkxTRTpTRk9SLklRX0RBX0NGLjk5Ny4zMC8wNC8yMDIwLi5GLkdCUC5DAQAAAMtT5CEDAAAAAADZCgdL8kHYCKBYqlny</t>
  </si>
  <si>
    <t>QdgIJENJUS5eU1BYLklRX0xBU1RTQUxFUFJJQ0UuMzAvMDYvMjAxOQEAAACbuCgAAgAAABAyOTQxLjc2MDYzNzQ1NzkzAEkFM1LyQdgI/bcHc/JB2Ag+Q0lRLk5ZU0U6S08uSVFfTUlOT1JJVFlfSU5URVJFU1RfVE9UQUwuOTk4LjMwLzA0LzIwMjAuLkYuVVNELkMBAAAAEmgAAAIAAAAEMTkwNQEIAAAABQAAAAExAQAAAAoyMDE2NzkxMjUwAwAAAAMxNjACAAAABDEzMTIEAAAAATEHAAAACTQvMzAvMjAyMAgAAAAJOC8xNi8yMDIwCQAAAAEwA0nKTPJB2Ag7m5lZ8kHYCCJDSVEuTllTRTpNQU5VLklRX1ZPTFVNRS4xNS8xMS8yMDE5AQAAAN1rDQACAAAACDAuMDk5OTUxAJX9JFXyQdgI7eu/cvJB2AgmQ0lRLklRMTAwODg5OTQ3LklRX0xBU1RTQUxFUFJJQ0UuNDM1ODUBAAAAW3UDBgIAAAAFMS40OTEAo9YkVfJB2AiVIIZZ8kHYCCBDSVEuLklRX0xBU1RTQUxFUFJJQ0UuMzEvMDcvMjAxNgUAAAAAAAAACAAAABQoSW52YWxpZCBJZGVudGlmaWVyKUeFhVHyQdgIpCNSc/JB2AgrQ0lRLk5ZU0U6TUFOVS5JUV9DT1NUX0JPUlJPV0lORy4uMzEvMTIvMjAxOQEAAADdaw0AAgAAAAY0LjAzMjgBCAAAAAUAAAABMQEAAAAKMjAxODYzMjAwMwMAAAACNTUCAAAABTIxNjgxBAAAAAEwBwAAAAoxMi8zMS8yMDE5CAAAAAoxMi8zMS8yMDE5CQAAAAEw/gNCdfJB2AhDTU928kHYCClDSVEuSVEyNjY4NjQwLklRX0xBU1RT</t>
  </si>
  <si>
    <t>QUxFUFJJQ0UuMzAvMDQvMjAyMAEAAABguCgAAgAAAAQyLjU3AKPWJFXyQdgIWuOGWfJB2AgnQ0lRLk5ZU0U6S08uSVFfTEFTVFNBTEVQUklDRS4wMi8xMS8yMDE4AQAAABJoAAACAAAAAjQ4AMfif1PyQdgIao0XcfJB2AgkQ0lRLl5TUFguSVFfTEFTVFNBTEVQUklDRS4zMS8xMi8yMDE3AQAAAJu4KAACAAAAEDI2NzMuNjEwNTIzMTUxNzQAtbw3UvJB2AjULAhz8kHYCCJDSVEuTllTRTpSQUNFLklRX1ZPTFVNRS4yOS8wMy8yMDE5AQAAAD2CsBACAAAACDAuMzQ0MjAxALmUf1PyQdgIKqm7cvJB2AggQ0lRLi5JUV9MQVNUU0FMRVBSSUNFLjA3LzA2LzIwMTkFAAAAAAAAAAgAAAAUKEludmFsaWQgSWRlbnRpZmllcilHhYVR8kHYCJ2HQ3PyQdgILkNJUS5OWVNFOk1BTlUuSVFfREFfQ0YuOTk2LjMwLzA0LzIwMjAuLkYuR0JQLkMBAAAA3WsNAAIAAAAHMTEwLjAxMQEIAAAABQAAAAExAQAAAAoxODYxNzM2ODY5AwAAAAI1NQIAAAAEMjE2MAQAAAABMQcAAAAJNC8zMC8yMDIwCAAAAAk4LzE2LzIwMjAJAAAAATC8WAdL8kHYCJh/qlnyQdgIOkNJUS5OWVNFOk1BTlUuSVFfSElHSF9UQVJHRVRfUFJJQ0UuNjAwMC4zMC8wNC8yMDIwLi4uR0JQLkMBAAAA3WsNAAIAAAAGMTUuNDYyAQ4AAAAFAAAAATcBAAAACTIxNTA1NTM4NQIAAAAGNzAyNzI4AwAAAAYxMDAxNjMEAAAAAzI1NQYAAAABMAcAAAACNTUIAAAAATEJ</t>
  </si>
  <si>
    <t>AAAAATEKAAAAATALAAAACzExODY4NjI0ODEwDAAAAAE4DQAAAAg1LzEvMjAyMBAAAAAJOC8xNi8yMDIwpH8HS/JB2AgNQo9Z8kHYCClDSVEuTllTRTpSQUNFLklRX0xBU1RTQUxFUFJJQ0UuMzAvMTEvMjAxNgEAAAA9grAQAgAAAAU1NC4xMgDRg35T8kHYCKtmJXHyQdgIMENJUS5OQVNEQVFHUzpDQUtFLklRX0dQLjEwMDAuMzEvMTIvMjAxOS4uRi5VU0QuQwEAAAAI4AQAAgAAAAc5NjUuMzE3AQgAAAAFAAAAATEBAAAACjE5NDgxNzY2NzUDAAAAAzE2MAIAAAACMTAEAAAAATEHAAAACjEyLzMxLzIwMTkIAAAACTgvMTYvMjAyMAkAAAABMB4iGHjyQdgIl7XwePJB2AgrQ0lRLk5ZU0U6TUFOVS5JUV9GSVNDQUxfUS41MDAuMzAvMDQvMjAyMC4uRgEAAADdaw0AAwAAAAJRMgD8OiRV8kHYCKd5iVnyQdgIJ0NJUS4kQUVEQ0hGLklRX0xBU1RTQUxFUFJJQ0UuMzAvMDQvMjAyMAEAAAAl61oAAgAAAAszLjgwMDU0NjMzNQCV/SRV8kHYCLCrhVnyQdgIKENJUS5MU0U6VFNDTy5JUV9MQVNUU0FMRVBSSUNFLjMxLzEwLzIwMTcBAAAAMFAGAAIAAAAFMS44MTQABV1+U/JB2AjX/idx8kHYCChDSVEuTFNFOlNGT1IuSVFfTEFTVFNBTEVQUklDRS4zMS8wNS8yMDE5AQAAAMtT5CECAAAABTEuNjU1AMGqflPyQdgIuLQscfJB2AgrQ0lRLk5ZU0U6TUFOVS5JUV9HUC45OTcuMzAvMDQvMjAyMC4uRi5HQlAuQwEAAADdaw0A</t>
  </si>
  <si>
    <t>AgAAAAc0NDkuNTQ0AQgAAAAFAAAAATEBAAAACjE5MTAyNDc0MDMDAAAAAjU1AgAAAAIxMAQAAAABMQcAAAAJNC8zMC8yMDIwCAAAAAk4LzE2LzIwMjAJAAAAATC8WAdL8kHYCIb/n1nyQdgIOkNJUS5OWVNFOlJBQ0UuSVFfSElHSF9UQVJHRVRfUFJJQ0UuNjAwMC4zMC8wNC8yMDIwLi4uRVVSLkMBAAAAPYKwEAIAAAAHMjE2Ljk3NgEOAAAABQAAAAE3AQAAAAkzMTM5NzQ5ODECAAAACjEwMDMyMjUxMjUDAAAABjEwMDE2MwQAAAADMjU1BgAAAAEwBwAAAAI1MAgAAAABMQkAAAABMQoAAAABMAsAAAALMTE4OTMwNzU2MzMMAAAAATgNAAAACDUvMS8yMDIwEAAAAAk4LzE2LzIwMjCkfwdL8kHYCA1Cj1nyQdgIIkNJUS5OWVNFOk1BTlUuSVFfVk9MVU1FLjEwLzA4LzIwMTgBAAAA3WsNAAIAAAAIMC4wMTA2NTMAOr+FUvJB2AgzLRBx8kHYCClDSVEuTllTRTpNQU5VLklRX0xBU1RTQUxFUFJJQ0UuMzEvMDEvMjAxNgEAAADdaw0AAgAAAAUxNS42NwDe0n5T8kHYCAdHI3HyQdgIMUNJUS5OQVNEQVFHUzpDQUtFLklRX0VCSVQuOTk3LjMwLzA0LzIwMjAuLkYuVVNELkMBAAAACOAEAAIAAAAHMjAxLjEwNwEIAAAABQAAAAExAQAAAAoxOTQ4MTc2NjYyAwAAAAMxNjACAAAAAzQwMAQAAAABMQcAAAAJNC8zMC8yMDIwCAAAAAk4LzE2LzIwMjAJAAAAATD/b8pM8kHYCBzepFnyQdgIO0NJUS5OWVNFOk1BTlUuSVFfVE9U</t>
  </si>
  <si>
    <t>QUxfREVCVF9DVVJSRU5ULjk5OS4zMS8xMi8yMDE5Li5GLkdCUC5DAQAAAN1rDQACAAAABTkuMDc0AQgAAAAFAAAAATEBAAAACjE5ODU4NDUwMjkDAAAAAjU1AgAAAAUyNTIyMwQAAAABMQcAAAAKMTIvMzEvMjAxOQgAAAAJOC8xNi8yMDIwCQAAAAEwHK0XePJB2AhVK/l48kHYCDBDSVEuTllTRTpLTy5JUV9MVF9JTlZFU1QuOTk4LjMxLzEyLzIwMTkuLkYuVVNELkMBAAAAEmgAAAIAAAAFMTg1NjkBCAAAAAUAAAABMQEAAAAKMTk0NjQzMDc4MgMAAAADMTYwAgAAAAQxMDU0BAAAAAExBwAAAAoxMi8zMS8yMDE5CAAAAAk4LzE2LzIwMjAJAAAAATA7hhd48kHYCLET+njyQdgIJ0NJUS4kQUVEVVNELklRX0xBU1RTQUxFUFJJQ0UuMzEvMTIvMjAxOQEAAAAl61oAAgAAAAUzLjY3MwAVIspM8kHYCBBeXnbyQdgILUNJUS5OQVNEQVFHUzpUU0xBLklRX0xBU1RTQUxFUFJJQ0UuMDcvMTIvMjAxOAEAAAAQxqIBAgAAAAczNTcuOTY1AMfif1PyQdgIyDsgcfJB2AgzQ0lRLk5ZU0U6TUFOVS5JUV9UT1RBTF9SRVYuMTAwMC4zMC8wNC8yMDIwLi5GLkdCUC5DAQAAAN1rDQACAAAABzYyNy4xMjIBCAAAAAUAAAABMQEAAAAKMTk4NTg0NTA2MwMAAAACNTUCAAAAAjI4BAAAAAExBwAAAAk0LzMwLzIwMjAIAAAACTgvMTYvMjAyMAkAAAABMLxYB0vyQdgII7edWfJB2AgkQ0lRLl5BU1guSVFfTEFTVFNBTEVQUklDRS4xNy8w</t>
  </si>
  <si>
    <t>NC8yMDIwAQAAAB9T6wECAAAACzMxOTAuMjAwMTUzAADeMlLyQdgIROW+WfJB2AggQ0lRLk5ZU0U6S08uSVFfVk9MVU1FLjIyLzA2LzIwMTgBAAAAEmgAAAIAAAAIMTYuMDMxMTUAOr+FUvJB2Aj9mgtx8kHYCDFDSVEuTllTRTpNQU5VLklRX1RBUkdFVF9QUklDRV9OVU0uNjAwMC4zMS8xMi8yMDE5AQAAAN1rDQABAAAAATMA/gNCdfJB2AgF10528kHYCCZDSVEuTkFTREFRR1M6Q0FLRS5JUV9WT0xVTUUuMjAvMTIvMjAxOQEAAAAI4AQAAgAAAAgxLjM5NjIwMgCV/SRV8kHYCKNKwXLyQdgIN0NJUS5OWVNFOk1BTlUuSVFfRVNUX0VQU19HUk9XVEhfNVlSX0xPVy42MDAwLjMxLzEyLzIwMTkBAAAA3WsNAAIAAAAHMC4yMjc1NQEOAAAABQAAAAE3AQAAAAkyMTUwNTUzODUCAAAABjcwMjcyOAMAAAAGMTAwMTcwBAAAAAEzBgAAAAEwBwAAAAEwCAAAAAEwCQAAAAExCgAAAAEwCwAAAAsxMTY5MjcyMzE5NAwAAAABOA0AAAAIMS8xLzIwMjAQAAAACjEyLzMxLzIwMTkoK0J18kHYCA+JTnbyQdgIJkNJUS5OQVNEQVFHUzpDQUtFLklRX1ZPTFVNRS4yNi8wNC8yMDE5AQAAAAjgBAACAAAACDAuNjYzNDIyALmUf1PyQdgI52HAcvJB2AgzQ0lRLk5ZU0U6S08uSVFfU0hBUkVTT1VUU1RBTkRJTkdfT1VULjMxLzEyLzIwMTQuVVNEAQAAABJoAAACAAAACzQ0NzIuNTgwODc2AEdgF3jyQdgI1MUAefJB2AgrQ0lRLk5ZU0U6</t>
  </si>
  <si>
    <t>UkFDRS5JUV9OSS45OTkuMzAvMDQvMjAyMC4uRi5FVVIuQwEAAAA9grAQAgAAAAc3ODQuNjc4AQgAAAAFAAAAATEBAAAACjIwMTU2Mzk4MTgDAAAAAjUwAgAAAAIxNQQAAAABMQcAAAAJNC8zMC8yMDIwCAAAAAk4LzE2LzIwMjAJAAAAATDZCgdL8kHYCCZeqFnyQdgIOkNJUS5MU0U6VFNDTy5JUV9FQklUREFfTUVESUFOX0VTVC4xMDAxLjMxLzEyLzIwMTkuLkYuR0JQLkMBAAAAMFAGAAIAAAAINDk5NC42MzQBDgAAAAUAAAABMwEAAAABMAIAAAAKMTAwMDI2NDQ5OAMAAAAGMTAwMTg4BAAAAAEzBgAAAAEwBwAAAAI1NQgAAAABMQkAAAABMQoAAAABMAsAAAALMTE3MjIxMDY1NzMMAAAAATENAAAACDEvMS8yMDIwEAAAAAk4LzE2LzIwMjDzSBh48kHYCK257njyQdgIL0NJUS5MU0U6U0ZPUi5JUV9JTkNfVEFYLjk5Ny4zMS8xMi8yMDE5Li5GLkdCUC5DAQAAAMtT5CEDAAAAAADc7ZV38kHYCP+z6XjyQdgIKkNJUS5MU0U6VFNDTy5JUV9OSS45OTYuMzAvMDQvMjAyMC4uRi5HQlAuQwEAAAAwUAYAAgAAAAMxMzgBCAAAAAUAAAABMQEAAAAKMTg0NzgyNTE0OAMAAAACNTUCAAAAAjE1BAAAAAExBwAAAAk0LzMwLzIwMjAIAAAACTgvMTYvMjAyMAkAAAABMMkxB0vyQdgIAtOoWfJB2AgnQ0lRLk5ZU0U6S08uSVFfTEFTVFNBTEVQUklDRS4zMS8wNS8yMDE5AQAAABJoAAACAAAABTQ5LjEzAMGqflPyQdgIqNsscfJB</t>
  </si>
  <si>
    <t>2AgkQ0lRLl5TUFguSVFfTEFTVFNBTEVQUklDRS4xMS8wNS8yMDE4AQAAAJu4KAACAAAAEDI3MjcuNzE1OTI3NTU1ODEAisU3UfJB2AjygBRz8kHYCCdDSVEuJEFFRExLUi5JUV9MQVNUU0FMRVBSSUNFLjMwLzA0LzIwMTkBAAAAJetaAAIAAAAKMC4wMjA4NDU2MwCqJCVV8kHYCH7aglnyQdgIOENJUS5OQVNEQVFHUzpUU0xBLklRX1RPVEFMX0xJQUIuMTAwMC4zMC8wNC8yMDIwLi5GLlVTRC5DAQAAABDGogECAAAABTI2MTk5AQgAAAAFAAAAATEBAAAACjIwMTM5MDc0NjADAAAAAzE2MAIAAAAEMTI3NgQAAAABMQcAAAAJNC8zMC8yMDIwCAAAAAk4LzE2LzIwMjAJAAAAATC8WAdL8kHYCBkQmlnyQdgIMENJUS5OWVNFOlJBQ0UuSVFfRUJJVERBLjEwMDAuMzAvMDQvMjAyMC4uRi5FVVIuQwEAAAA9grAQAgAAAAgxMTEyLjYzNQEIAAAABQAAAAExAQAAAAoyMDE1NjM5ODIyAwAAAAI1MAIAAAAENDA1MQQAAAABMQcAAAAJNC8zMC8yMDIwCAAAAAk4LzE2LzIwMjAJAAAAATDZCgdL8kHYCKTjolnyQdgIIENJUS5OWVNFOktPLklRX1ZPTFVNRS4xMi8wNy8yMDE5AQAAABJoAAACAAAACDcuMzQ3NzI4AKPWJFXyQdgIJx7DcvJB2Ag1Q0lRLk5BU0RBUUdTOkNBS0UuSVFfQ09TVF9SRVYuOTk3LjMxLzEyLzIwMTkuLkYuVVNELkMBAAAACOAEAAIAAAAIMTE4OC44NDkBCAAAAAUAAAABMQEAAAAKMTg3NzE0NDQzOAMA</t>
  </si>
  <si>
    <t>AAADMTYwAgAAAAExBAAAAAExBwAAAAoxMi8zMS8yMDE5CAAAAAk4LzE2LzIwMjAJAAAAATAe+xd48kHYCHkD8XjyQdgILUNJUS5OWVNFOktPLklRX0xBU1RTQUxFUFJJQ0UuMzEvMTIvMjAxNS5VU0QuQwEAAAASaAAAAgAAAAU0Mi45NgADScpM8kHYCJR/YHbyQdgIQENJUS5OQVNEQVFHUzpDQUtFLklRX1RPVEFMX0NPTU1PTl9FUVVJVFkuOTk4LjMxLzEyLzIwMTkuLkYuVVNELkMBAAAACOAEAAIAAAAHNjAzLjIwNwEIAAAABQAAAAExAQAAAAoxOTQ4MTc2NjYyAwAAAAMxNjACAAAABDEwMDYEAAAAATEHAAAACjEyLzMxLzIwMTkIAAAACTgvMTYvMjAyMAkAAAABMB77F3jyQdgISQ30ePJB2AgvQ0lRLk5ZU0U6S08uSVFfSU5DX1RBWC4yMDAwLjMxLzEyLzIwMTkuLkYuVVNELkMBAAAAEmgAAAIAAAAEMTM1OAEIAAAABQAAAAExAQAAAAoxOTg4ODAxNTI2AwAAAAMxNjACAAAAAjc1BAAAAAExBwAAAAoxMi8zMS8yMDE5CAAAAAk4LzE2LzIwMjAJAAAAATDaFJZ38kHYCNVP6njyQdgILUNJUS5OQVNEQVFHUzpDQUtFLklRX0xBU1RTQUxFUFJJQ0UuMzEvMDEvMjAxOQEAAAAI4AQAAgAAAAU0NC44OAAID35T8kHYCBPzK3HyQdgIJENJUS5eQVNYLklRX0xBU1RTQUxFUFJJQ0UuMDIvMDIvMjAxOAEAAAAfU+sBAgAAAAs0MDg2LjcyMjkyNgDYLd508kHYCKa2RXbyQdgIKUNJUS5OWVNFOk1BTlUuSVFfTEFTVFNB</t>
  </si>
  <si>
    <t>TEVQUklDRS4wNS8wNC8yMDE5AQAAAN1rDQACAAAABTE5LjgyALmUf1PyQdgIq2YlcfJB2AgoQ0lRLkxTRTpTRk9SLklRX0xBU1RTQUxFUFJJQ0UuMjUvMDUvMjAxOAEAAADLU+QhAwAAAAAAKeaFUvJB2AiyBAlx8kHYCChDSVEuTFNFOlNGT1IuSVFfTEFTVFNBTEVQUklDRS4wMi8wMy8yMDE4AQAAAMtT5CEDAAAAAAAoK0J18kHYCNFdV3byQdgIRENJUS5OQVNEQVFHUzpUU0xBLklRX1RPVEFMX0RFQlRfTk9OX0NVUlJFTlQuMjAwMC4zMC8wNC8yMDIwLi5GLlVTRC5DAQAAABDGogECAAAABTExNzAxAQgAAAAFAAAAATEBAAAACjIwMzIwNDUzMzQDAAAAAzE2MAIAAAAFMjUyMjQEAAAAATEHAAAACTQvMzAvMjAyMAgAAAAJOC8xNi8yMDIwCQAAAAEwvFgHS/JB2Aie7pdZ8kHYCC1DSVEuTkFTREFRR1M6VFNMQS5JUV9MQVNUU0FMRVBSSUNFLjI0LzA4LzIwMTgBAAAAEMaiAQIAAAAGMzIyLjgyADq/hVLyQdgI4mQRcfJB2AghQ0lRLkxTRTpUU0NPLklRX1ZPTFVNRS4wNi8wMy8yMDIwAQAAADBQBgACAAAACDU5LjEwODIyAJX9JFXyQdgIbgx4WfJB2AgZQ0lRLi5JUV9WT0xVTUUuMDUvMTAvMjAxOAUAAAAAAAAACAAAABQoSW52YWxpZCBJZGVudGlmaWVyKXL8hFLyQdgIc+MUcfJB2AgZQ0lRLi5JUV9WT0xVTUUuMDEvMTEvMjAxOQUAAAAAAAAACAAAABQoSW52YWxpZCBJZGVudGlmaWVyKdk5tVPyQdgIRjS7</t>
  </si>
  <si>
    <t>cvJB2AghQ0lRLkxTRTpUU0NPLklRX1ZPTFVNRS4xOS8wNy8yMDE5AQAAADBQBgACAAAACDEyLjcxNTAzAJX9JFXyQdgIYWa+cvJB2AgzQ0lRQVZHLiRBRURHQlAuSVFfTEFTVFNBTEVQUklDRS4wMDowMDowMC4zMS8xMi8yMDE4BQAAAAAAAAAIAAAAEihJbnZhbGlkIEVuZCBEYXRlKRUiykzyQdgIZZRfdvJB2AgmQ0lRLk5BU0RBUUdTOlRTTEEuSVFfVk9MVU1FLjIwLzA5LzIwMTkBAAAAEMaiAQIAAAAINi41MDYyNjQAo9YkVfJB2AhtDcJy8kHYCCdDSVEuTllTRTpLTy5JUV9MQVNUU0FMRVBSSUNFLjI3LzA0LzIwMTgBAAAAEmgAAAIAAAAFNDMuMzEAKeaFUvJB2AjsTQVx8kHYCChDSVEuTFNFOlRTQ08uSVFfTEFTVFNBTEVQUklDRS4xNy8wNC8yMDIwAQAAADBQBgACAAAABTIuMzgxAAHofVPyQdgIG8NgWfJB2AguQ0lRLkxTRTpUU0NPLklRX0RBX0NGLjEwMDAuMzAvMDQvMjAyMC4uRi5HQlAuQwEAAAAwUAYAAgAAAAQxODc2AQgAAAAFAAAAATEBAAAACjIwMjY1MDczMDkDAAAAAjU1AgAAAAQyMTYwBAAAAAExBwAAAAk0LzMwLzIwMjAIAAAACTgvMTYvMjAyMAkAAAABMMkxB0vyQdgIvuOpWfJB2AgsQ0lRLk5ZU0U6TUFOVS5JUV9TR0EuOTk5LjMwLzA0LzIwMjAuLkYuR0JQLkMBAAAA3WsNAAIAAAAFMjkyLjQBCAAAAAUAAAABMQEAAAAKMTk4NTg0NTAyOQMAAAACNTUCAAAAAjIzBAAAAAExBwAAAAk0</t>
  </si>
  <si>
    <t>LzMwLzIwMjAIAAAACTgvMTYvMjAyMAkAAAABMP9vykzyQdgIVpugWfJB2AglQ0lRLl5DT01QLklRX0xBU1RTQUxFUFJJQ0UuMTkvMDEvMjAxOAEAAACJuCgAAgAAAAc3MzM2LjM4ANgt3nTyQdgIuARGdvJB2AgtQ0lRLk5BU0RBUUdTOkNBS0UuSVFfTEFTVFNBTEVQUklDRS4yMy8xMS8yMDE4AQAAAAjgBAACAAAABTUwLjE4AMfif1PyQdgIfLQecfJB2AggQ0lRLi5JUV9MQVNUU0FMRVBSSUNFLjA4LzAzLzIwMTkFAAAAAAAAAAgAAAAUKEludmFsaWQgSWRlbnRpZmllcinMKTdR8kHYCE0zU3PyQdgIIkNJUS5OWVNFOk1BTlUuSVFfVk9MVU1FLjE2LzAzLzIwMTgBAAAA3WsNAAIAAAAIMC4wMTE1MjgAKCtCdfJB2AiK/lV28kHYCDFDSVEuTllTRTpNQU5VLklRX1NIQVJFU09VVFNUQU5ESU5HLjMwLzA2LzIwMTkuR0JQAQAAAN1rDQACAAAACTE2NC41MjYzOQADScpM8kHYCLLNYHbyQdgIO0NJUS5OWVNFOlJBQ0UuSVFfVE9UQUxfREVCVF9DVVJSRU5ULjk5OC4zMC8wNC8yMDIwLi5GLkVVUi5DAQAAAD2CsBACAAAABjMxMi4xOQEIAAAABQAAAAExAQAAAAoyMDE1NjM5ODA1AwAAAAI1MAIAAAAFMjUyMjMEAAAAATEHAAAACTQvMzAvMjAyMAgAAAAJOC8xNi8yMDIwCQAAAAEw4OMGS/JB2AgHt5ZZ8kHYCClDSVEuTllTRTpNQU5VLklRX0xBU1RTQUxFUFJJQ0UuMjkvMTEvMjAxOQEAAADdaw0AAgAAAAUxOC40</t>
  </si>
  <si>
    <t>OADoNX5T8kHYCHeeLXHyQdgIPUNJUS5OQVNEQVFHUzpDQUtFLklRX0VCSVRfTUVESUFOX0VTVC42MDAxLjMxLzEyLzIwMTkuLkYuVVNELkMBAAAACOAEAAMAAAAAAPNIGHjyQdgInNDtePJB2AgiQ0lRLk5ZU0U6TUFOVS5JUV9WT0xVTUUuMjYvMTAvMjAxOAEAAADdaw0AAgAAAAcwLjAyOTgxAEOYhVLyQdgI7Y8WcfJB2AgoQ0lRLkxTRTpTRk9SLklRX0xBU1RTQUxFUFJJQ0UuMzAvMDgvMjAxOQEAAADLU+QhAgAAAAUxLjQxNQDRg35T8kHYCFNFKnHyQdgIOUNJUS5OWVNFOk1BTlUuSVFfRUJJVF9NRURJQU5fRVNULjEwMDEuMzEvMTIvMjAxOS4uRi5HQlAuQwEAAADdaw0AAgAAAAgzOC4wNjQ1MgEOAAAABQAAAAEzAQAAAAEwAgAAAAoxMDAzMDkyNDIzAwAAAAYxMDAyMTYEAAAAATMGAAAAATAHAAAAAjU1CAAAAAExCQAAAAExCgAAAAEwCwAAAAsxMTgxNzQ4MjkzNAwAAAABMQ0AAAAIMS8xLzIwMjAQAAAACTgvMTYvMjAyMPNIGHjyQdgINZjsePJB2AgrQ0lRLk5ZU0U6UkFDRS5JUV9OSS45OTYuMzEvMTIvMjAxOS4uRi5FVVIuQwEAAAA9grAQAgAAAAcyNjEuMzcxAQgAAAAFAAAAATEBAAAACjE4MzA0NzQwOTQDAAAAAjUwAgAAAAIxNQQAAAABMQcAAAAKMTIvMzEvMjAxOQgAAAAJOC8xNi8yMDIwCQAAAAEw2hSWd/JB2AhfVeh48kHYCCxDSVEuTllTRTpSQUNFLklRX0VCVC45OTkuMzAvMDQvMjAyMC4u</t>
  </si>
  <si>
    <t>Ri5FVVIuQwEAAAA9grAQAgAAAAc4MDIuOTQ0AQgAAAAFAAAAATEBAAAACjIwMTU2Mzk4MTgDAAAAAjUwAgAAAAMxMzkEAAAAATEHAAAACTQvMzAvMjAyMAgAAAAJOC8xNi8yMDIwCQAAAAEw2QoHS/JB2AjGFaZZ8kHYCC1DSVEuTkFTREFRR1M6Q0FLRS5JUV9MQVNUU0FMRVBSSUNFLjMwLzA5LzIwMTgBAAAACOAEAAIAAAAFNTMuNTQA6DV+U/JB2AijCCtx8kHYCCdDSVEuTllTRTpLTy5JUV9MQVNUU0FMRVBSSUNFLjMxLzAxLzIwMTYBAAAAEmgAAAIAAAAFNDIuOTIA3tJ+U/JB2Aj2bSNx8kHYCDdDSVEuR0JQLklRX0ZVTExfQ1VSVkVfQU5OVUFMLkFMTENPUlAuQkJCLjIwWS4zMS8xMi8yMDE5AQAAAAAAAAACAAAACTAuMDI2NDc3MQDYLd508kHYCH81SXbyQdgIJENJUS5eU1BYLklRX0xBU1RTQUxFUFJJQ0UuMjUvMDUvMjAxOAEAAACbuCgAAgAAAA8yNzIxLjMyNzk1NjI3MjYAisU3UfJB2AjBWRRz8kHYCBlDSVEuLklRX1ZPTFVNRS4xMC8wMS8yMDIwBQAAAAAAAAAIAAAAFChJbnZhbGlkIElkZW50aWZpZXIp2Tm1U/JB2AhyAnVZ8kHYCChDSVEuTFNFOlRTQ08uSVFfTEFTVFNBTEVQUklDRS4yNy8xMi8yMDE5AQAAADBQBgACAAAABDIuNTYACA9+U/JB2Ag0iC5x8kHYCCVDSVEuXkNPTVAuSVFfTEFTVFNBTEVQUklDRS4wOS8xMS8yMDE4AQAAAIm4KAACAAAABjc0MDYuOQCKxTdR8kHYCLE9F3PyQdgI</t>
  </si>
  <si>
    <t>LkNJUS5OWVNFOlJBQ0UuSVFfQ0FQRVguOTk5LjMxLzEyLzIwMTkuLkYuRVVSLkMBAAAAPYKwEAIAAAAILTE4OC45MDQBCAAAAAUAAAABMQEAAAAKMTk0NzQ0NDE5MAMAAAACNTACAAAABDIwMjEEAAAAATEHAAAACjEyLzMxLzIwMTkIAAAACTgvMTYvMjAyMAkAAAABMNoUlnfyQdgIFb/lePJB2Ag6Q0lRLk5ZU0U6TUFOVS5JUV9DQVBFWF9NRURJQU5fRVNULjYwMDAuMzEvMTIvMjAxOS4uRi5HQlAuQwEAAADdaw0AAgAAAAQtMTc1AQ4AAAAFAAAAAjExAQAAAAEwAgAAAAczNjE3ODg0AwAAAAYxMDQwOTEEAAAAATMGAAAAATAHAAAAAjU1CAAAAAExCQAAAAExCgAAAAEwCwAAAAsxMTY5MTI4NzIzNgwAAAACMTINAAAACDEvMS8yMDIwEAAAAAk4LzE2LzIwMjA7PJZ38kHYCO9a5njyQdgIMENJUS5OWVNFOk1BTlUuSVFfRUJJVERBLjEwMDAuMzAvMDQvMjAyMC4uRi5HQlAuQwEAAADdaw0AAgAAAAcxODUuNzEzAQgAAAAFAAAAATEBAAAACjE5ODU4NDUwNjMDAAAAAjU1AgAAAAQ0MDUxBAAAAAExBwAAAAk0LzMwLzIwMjAIAAAACTgvMTYvMjAyMAkAAAABMLxYB0vyQdgIsLyiWfJB2AgzQ0lRLk5BU0RBUUdTOlRTTEEuSVFfTEFTVFNBTEVQUklDRS4zMS8xMi8yMDE0LlVTRC5DAQAAABDGogECAAAABjIyMi40MQBHYBd48kHYCAvuAHnyQdgIRUNJUS5OQVNEQVFHUzpDQUtFLklRX01JTk9SSVRZX0lOVEVSRVNU</t>
  </si>
  <si>
    <t>X1RPVEFMLjEwMDAuMzEvMTIvMjAxOS4uRi5VU0QuQwEAAAAI4AQAAwAAAAAAhNQXePJB2AjupPZ48kHYCCVDSVEuXkNPTVAuSVFfTEFTVFNBTEVQUklDRS4xNS8wMi8yMDE5AQAAAIm4KAACAAAABzc0NzIuNDEAisU3UfJB2AjSyBZz8kHYCD5DSVEuTFNFOlNGT1IuSVFfVE9UQUxfREVCVF9OT05fQ1VSUkVOVC45OTguMzEvMTIvMjAxOS4uRi5HQlAuQwEAAADLU+QhAwAAAAAAHK0XePJB2AhoVvd48kHYCC9DSVEuTllTRTpNQU5VLklRX0VCSVREQS45OTguMzEvMTIvMjAxOS4uRi5HQlAuQwEAAADdaw0AAgAAAAcyMDIuNTM3AQgAAAAFAAAAATEBAAAACjE5ODU4NDUwNDUDAAAAAjU1AgAAAAQ0MDUxBAAAAAExBwAAAAoxMi8zMS8yMDE5CAAAAAk4LzE2LzIwMjAJAAAAATAeIhh48kHYCM5E7njyQdgIPENJUS5OWVNFOk1BTlUuSVFfVE9UQUxfQ09NTU9OX0VRVUlUWS45OTguMzEvMTIvMjAxOS4uRi5HQlAuQwEAAADdaw0AAgAAAAc0ODAuMDg3AQgAAAAFAAAAATEBAAAACjE5ODU4NDUwNDUDAAAAAjU1AgAAAAQxMDA2BAAAAAExBwAAAAoxMi8zMS8yMDE5CAAAAAk4LzE2LzIwMjAJAAAAATAe+xd48kHYCEkN9HjyQdgIKENJUS5MU0U6U0ZPUi5JUV9MQVNUU0FMRVBSSUNFLjMwLzExLzIwMTcBAAAAy1PkIQMAAAAAAAVdflPyQdgI5iMocfJB2AgrQ0lRLkxTRTpUU0NPLklRX05JLjIwMDAuMzAvMDQvMjAy</t>
  </si>
  <si>
    <t>MC4uRi5HQlAuQwEAAAAwUAYAAgAAAAM5NzEBCAAAAAUAAAABMQEAAAAKMjAyNjUwNzM4OAMAAAACNTUCAAAAAjE1BAAAAAExBwAAAAk0LzMwLzIwMjAIAAAACTgvMTYvMjAyMAkAAAABMMkxB0vyQdgIYxCoWfJB2AgmQ0lRLk5BU0RBUUdTOkNBS0UuSVFfVk9MVU1FLjE3LzA1LzIwMTkBAAAACOAEAAIAAAAIMC42NzU2MDMAlf0kVfJB2AjnYcBy8kHYCDdDSVEuTkFTREFRR1M6Q0FLRS5JUV9MVF9JTlZFU1QuMjAwMC4zMS8xMi8yMDE5Li5GLlVTRC5DAQAAAAjgBAACAAAABjY5LjMyOAEIAAAABQAAAAExAQAAAAoxOTkxMzI3MDQwAwAAAAMxNjACAAAABDEwNTQEAAAAATEHAAAACjEyLzMxLzIwMTkIAAAACTgvMTYvMjAyMAkAAAABMDuGF3jyQdgIz7D6ePJB2AgpQ0lRLk5ZU0U6TUFOVS5JUV9MQVNUU0FMRVBSSUNFLjMwLzA0LzIwMTgBAAAA3WsNAAIAAAAEMTguNgDoNX5T8kHYCJaCKXHyQdgIL0NJUS5OWVNFOktPLklRX1RPVEFMX0NBLjk5OS4zMS8xMi8yMDE5Li5GLlVTRC5DAQAAABJoAAACAAAABTM2NTQ1AQgAAAAFAAAAATEBAAAACjE5NDY0MzA3NzkDAAAAAzE2MAIAAAAEMTAwOAQAAAABMQcAAAAKMTIvMzEvMjAxOQgAAAAJOC8xNi8yMDIwCQAAAAEwO4YXePJB2AiJNvx48kHYCDdDSVEuTllTRTpNQU5VLklRX0NBU0hfU1RfSU5WRVNULjk5Ni4zMS8xMi8yMDE5Li5GLkdCUC5DAQAAAN1rDQAC</t>
  </si>
  <si>
    <t>AAAABzE1NS43NTIBCAAAAAUAAAABMQEAAAAKMTg2MTczNjg2OQMAAAACNTUCAAAABDEwMDIEAAAAATEHAAAACjEyLzMxLzIwMTkIAAAACTgvMTYvMjAyMAkAAAABMDuGF3jyQdgI+an8ePJB2AgnQ0lRLiRBRURCRFQuSVFfTEFTVFNBTEVQUklDRS4zMC8wNC8yMDIwAQAAACXrWgACAAAACzAuMDQzMjM3MTk4AKokJVXyQdgIJP+DWfJB2AgpQ0lRLk5ZU0U6TUFOVS5JUV9MQVNUU0FMRVBSSUNFLjI3LzA0LzIwMTgBAAAA3WsNAAIAAAAEMTguNwAp5oVS8kHYCOxNBXHyQdgIJ0NJUS5OWVNFOktPLklRX0xBU1RTQUxFUFJJQ0UuMDgvMTEvMjAxOQEAAAASaAAAAgAAAAU1Mi4yMQDoNX5T8kHYCJ8CLXHyQdgINkNJUS5VU0QuSVFfRlVMTF9DVVJWRV9BTk5VQUwuQUxMQ09SUC5IWS4yMFkuMzAvMDQvMjAyMAEAAAAAAAAAAgAAAAkwLjA4NTA0NzcAqiQlVfJB2AhlvIZZ8kHYCChDSVEuTFNFOlNGT1IuSVFfTEFTVFNBTEVQUklDRS4yMi8wMy8yMDE5AQAAAMtT5CECAAAABDEuMjgAuZR/U/JB2AiEzCRx8kHYCDZDSVEuTllTRTpSQUNFLklRX1RPVEFMX0FTU0VUUy4yMDAwLjMwLzA0LzIwMjAuLkYuRVVSLkMBAAAAPYKwEAIAAAAINTQ0Ni4zNzIBCAAAAAUAAAABMQEAAAAKMjAxNTY0Mjk1NAMAAAACNTACAAAABDEwMDcEAAAAATEHAAAACTQvMzAvMjAyMAgAAAAJOC8xNi8yMDIwCQAAAAEw4OMGS/JB2AjbSJRZ</t>
  </si>
  <si>
    <t>8kHYCCRDSVEuXkFTWC5JUV9MQVNUU0FMRVBSSUNFLjI0LzA0LzIwMjABAAAAH1PrAQIAAAALMzE2OC44ODQ1NjEAAN4yUvJB2AhE5b5Z8kHYCD5DSVEuTkFTREFRR1M6Q0FLRS5JUV9DQVBFWF9NRURJQU5fRVNULjYwMDAuMzAvMDQvMjAyMC4uRi5VU0QuQwEAAAAI4AQAAgAAAAUtNDMuMQEOAAAABQAAAAIxMQEAAAABMAIAAAAKMTAwMjIyNDIyMgMAAAAGMTA0MDkxBAAAAAEyBgAAAAEwBwAAAAMxNjAIAAAAATEJAAAAATEKAAAAATALAAAACzExODg3NTI4ODA3DAAAAAIxMg0AAAAINS8xLzIwMjAQAAAACTgvMTYvMjAyMP9vykzyQdgIfvSqWfJB2AgoQ0lRLkxTRTpUU0NPLklRX0xBU1RTQUxFUFJJQ0UuMzEvMDcvMjAxNgEAAAAwUAYAAgAAAAQxLjU2AMGqflPyQdgIcqUkcfJB2AgjQ0lRLk5ZU0U6TUFOVS5JUV9URVZfT1VULjMxLzEyLzIwMTkBAAAA3WsNAAIAAAALMzc2NC4zNjk4NDEBBgAAAAUAAAABMQEAAAAKMTk5MzYyMDU1MQMAAAADMTYwAgAAAAU0NjIxNAQAAAABMAcAAAAKMTIvMzEvMjAxOUFSQnXyQdgIUP9OdvJB2AgoQ0lRLkxTRTpTRk9SLklRX0xBU1RTQUxFUFJJQ0UuMTQvMTIvMjAxOAEAAADLU+QhAgAAAAQxLjI1AMfif1PyQdgICIggcfJB2AgnQ0lRLiRBRURHQlAuSVFfTEFTVFNBTEVQUklDRS4yNy8wMi8yMDE2AQAAACXrWgACAAAACzUuMDkzOTYwMTk3ABUiykzyQdgICvpedvJB</t>
  </si>
  <si>
    <t>2AggQ0lRLk5ZU0U6S08uSVFfVk9MVU1FLjE0LzAyLzIwMjABAAAAEmgAAAIAAAAIOS45NjU4MTEAo9YkVfJB2AiDd3xZ8kHYCDFDSVEuTkFTREFRR1M6Q0FLRS5JUV9QRVJJT0REQVRFLjk5Ny4zMC8wNC8yMDIwLi5GAQAAAAjgBAAFAAAACjAzLzAxLzIwMTcAsa8kVfJB2AjqVIFZ8kHYCClDSVEuTllTRTpNQU5VLklRX0xBU1RTQUxFUFJJQ0UuMjAvMDMvMjAyMAEAAADdaw0AAgAAAAUxMy4yOQAB6H1T8kHYCLotXlnyQdgIKUNJUS5OWVNFOk1BTlUuSVFfTEFTVFNBTEVQUklDRS4yOC8wOS8yMDE4AQAAAN1rDQACAAAABDIyLjUAQ5iFUvJB2AipRxRx8kHYCERDSVEuTkFTREFRR1M6VFNMQS5JUV9NSU5PUklUWV9JTlRFUkVTVF9UT1RBTC45OTcuMzEvMTIvMjAxOS4uRi5VU0QuQwEAAAAQxqIBAwAAAAAAhNQXePJB2AjLVvZ48kHYCDVDSVFBVkcuJEFFREdCUC5JUV9MQVNUU0FMRVBSSUNFLjI3LzAyLzIwMTYuMjUvMDIvMjAxNwEAAAAl61oAAgAAAAg0Ljg2NTI0NQDqlspM8kHYCCe9X3byQdgILUNJUS5OWVNFOlJBQ0UuSVFfRUJULjIwMDAuMzEvMTIvMjAxOS4uRi5FVVIuQwEAAAA9grAQAgAAAAc4NTIuNDkyAQgAAAAFAAAAATEBAAAACjE5OTA0MjM2ODcDAAAAAjUwAgAAAAMxMzkEAAAAATEHAAAACjEyLzMxLzIwMTkIAAAACTgvMTYvMjAyMAkAAAABMNztlXfyQdgIsevqePJB2AggQ0lRLi5JUV9M</t>
  </si>
  <si>
    <t>QVNUU0FMRVBSSUNFLjMxLzAzLzIwMjAFAAAAAAAAAAgAAAAUKEludmFsaWQgSWRlbnRpZmllcilxhS9S8kHYCJUQxFnyQdgIJ0NJUS4kQUVESURSLklRX0xBU1RTQUxFUFJJQ0UuMzAvMDQvMjAyMAEAAAAl61oAAgAAAAswLjAwMDI0NDU3MwCqJCVV8kHYCFBjg1nyQdgILUNJUS5MU0U6VFNDTy5JUV9DQVBFWC45OTguMzEvMTIvMjAxOS4uRi5HQlAuQwEAAAAwUAYAAgAAAAUtMTIwNQEIAAAABQAAAAExAQAAAAoxODg4NTI1MDc0AwAAAAI1NQIAAAAEMjAyMQQAAAABMQcAAAAKMTIvMzEvMjAxOQgAAAAJOC8xNi8yMDIwCQAAAAEw2hSWd/JB2AggmOV48kHYCDRDSVEuTFNFOlRTQ08uSVFfVE9UQUxfQVNTRVRTLjk5Ni4zMC8wNC8yMDIwLi5GLkdCUC5DAQAAADBQBgACAAAABTQzOTA0AQgAAAAFAAAAATEBAAAACjE4NDc4MjUxNDgDAAAAAjU1AgAAAAQxMDA3BAAAAAExBwAAAAk0LzMwLzIwMjAIAAAACTgvMTYvMjAyMAkAAAABMMkxB0vyQdgIqguVWfJB2AgkQ0lRLl5BU1guSVFfTEFTVFNBTEVQUklDRS4yOC8wMi8yMDIwAQAAAB9T6wECAAAACzM2NzMuNjEyMjk1AEkFM1LyQdgIAQu/WfJB2AgtQ0lRLk5BU0RBUUdTOlRTTEEuSVFfTEFTVFNBTEVQUklDRS4zMC8wOC8yMDE5AQAAABDGogECAAAABjIyNS42MQDRg35T8kHYCFhsKnHyQdgINkNJUS5OQVNEQVFHUzpDQUtFLklRX0NPU1RfUkVWLjEwMDAu</t>
  </si>
  <si>
    <t>MzEvMTIvMjAxOS4uRi5VU0QuQwEAAAAI4AQAAgAAAAgxMzY3LjAxNAEIAAAABQAAAAExAQAAAAoxOTQ4MTc2Njc1AwAAAAMxNjACAAAAATEEAAAAATEHAAAACjEyLzMxLzIwMTkIAAAACTgvMTYvMjAyMAkAAAABMB77F3jyQdgIfHjxePJB2AgvQ0lRLk5ZU0U6TUFOVS5JUV9FQklUREEuOTk3LjMwLzA0LzIwMjAuLkYuR0JQLkMBAAAA3WsNAAIAAAAHMTg0LjIyNQEIAAAABQAAAAExAQAAAAoxOTEwMjQ3NDAzAwAAAAI1NQIAAAAENDA1MQQAAAABMQcAAAAJNC8zMC8yMDIwCAAAAAk4LzE2LzIwMjAJAAAAATD/b8pM8kHYCJVYo1nyQdgIOUNJUS5MU0U6VFNDTy5JUV9DQVBFWF9NRURJQU5fRVNULjYwMDAuMzAvMDQvMjAyMC4uRi5HQlAuQwEAAAAwUAYAAgAAAAUtMTE2MQEOAAAABQAAAAIxMQEAAAABMAIAAAAKMTAwMDI2NDQ5OQMAAAAGMTA0MDkxBAAAAAEzBgAAAAEwBwAAAAI1NQgAAAABMQkAAAABMQoAAAABMAsAAAALMTE4OTIzNTcxMTgMAAAAAjEyDQAAAAg1LzEvMjAyMBAAAAAJOC8xNi8yMDIwpH8HS/JB2Ah+9KpZ8kHYCChDSVEuTllTRTpSQUNFLklRX0JFVEFfMllSX1JTUS4zMC8wNC8yMDIwAQAAAD2CsBACAAAAEDAuMzExNjU0OTQwNjMxMDQAo9YkVfJB2AjwaIhZ8kHYCCVDSVEuXkNPTVAuSVFfTEFTVFNBTEVQUklDRS4yMS8wOS8yMDE4AQAAAIm4KAACAAAABzc5ODYuOTYAisU3UfJB2AjC</t>
  </si>
  <si>
    <t>ixdz8kHYCB9DSVEuTllTRTpLTy5JUV9GSVJTVFBSSUNJTkdEQVRFAQAAABJoAAAFAAAACjAyLzAxLzE5NjgA/DokVfJB2Agur31Z8kHYCChDSVEuTFNFOlRTQ08uSVFfTEFTVFNBTEVQUklDRS4xOC8wNS8yMDE4AQAAADBQBgACAAAABTIuNDU4ACnmhVLyQdgI32gIcfJB2Ag8Q0lRLk5BU0RBUUdTOkNBS0UuSVFfUkVUVVJOX0lOVkVTVEVEX0NBUElUQUwuMjAwMC4zMS8xMi8yMDE5AQAAAAjgBAACAAAABjQuNjMyOAD+A0J18kHYCCfCT3byQdgIK0NJUS5MU0U6VFNDTy5JUV9TR0EuOTk2LjMxLzEyLzIwMTkuLkYuR0JQLkMBAAAAMFAGAAIAAAAEMTk0OQEIAAAABQAAAAExAQAAAAoxNzkxNDY4MTQ2AwAAAAI1NQIAAAACMjMEAAAAATEHAAAACjEyLzMxLzIwMTkIAAAACTgvMTYvMjAyMAkAAAABMB4iGHjyQdgIi1bvePJB2Ag3Q0lRLk5BU0RBUUdTOkNBS0UuSVFfVE9UQUxfTElBQi45OTYuMzAvMDQvMjAyMC4uRi5VU0QuQwEAAAAI4AQAAgAAAAc2NDQuODA3AQgAAAAFAAAAATEBAAAACjE4NzcxNDQ0MzgDAAAAAzE2MAIAAAAEMTI3NgQAAAABMQcAAAAJNC8zMC8yMDIwCAAAAAk4LzE2LzIwMjAJAAAAATD/b8pM8kHYCPCrmlnyQdgIPUNJUS5OQVNEQVFHUzpDQUtFLklRX0VCSVRfTUVESUFOX0VTVC4xMDAxLjMxLzEyLzIwMTkuLkYuVVNELkMBAAAACOAEAAIAAAAFMTMwLjIBDgAAAAUAAAABMwEAAAAB</t>
  </si>
  <si>
    <t>MAIAAAAKMTAwMjIyNDIyMQMAAAAGMTAwMjE2BAAAAAEyBgAAAAEwBwAAAAMxNjAIAAAAATEJAAAAATEKAAAAATALAAAACzExNzI0MTEwNTc2DAAAAAExDQAAAAgxLzEvMjAyMBAAAAAJOC8xNi8yMDIw80gYePJB2AhBcex48kHYCCJDSVEuTllTRTpNQU5VLklRX1ZPTFVNRS4xOC8wNS8yMDE4AQAAAN1rDQACAAAACDAuMDIxMzA4ACnmhVLyQdgI0Y8IcfJB2Ag1Q0lRLk5BU0RBUUdTOkNBS0UuSVFfU0hBUkVTT1VUU1RBTkRJTkcuMzAvMDQvMjAyMC5VU0QBAAAACOAEAAIAAAAJNDUuNDYxMzM2ALNDw1ryQdgIUlfRWvJB2AgtQ0lRLk5BU0RBUUdTOkNBS0UuSVFfTEFTVFNBTEVQUklDRS4wMy8wMS8yMDIwAQAAAAjgBAACAAAABTM4Ljc1AAgPflPyQdgIa75bWfJB2AgmQ0lRLk5BU0RBUUdTOkNBS0UuSVFfVk9MVU1FLjE1LzExLzIwMTkBAAAACOAEAAIAAAAIMC44MDA4ODQAlf0kVfJB2AixI8Fy8kHYCCZDSVEuTkFTREFRR1M6VFNMQS5JUV9WT0xVTUUuMDgvMTEvMjAxOQEAAAAQxqIBAgAAAAg2LjA3NDIyMQCj1iRV8kHYCEs0wnLyQdgILkNJUS5OWVNFOktPLklRX0VCSVREQS4yMDAwLjMwLzA0LzIwMjAuLkYuVVNELkMBAAAAEmgAAAIAAAAFMTIxMjABCAAAAAUAAAABMQEAAAAKMjAzMDM3Njg5NwMAAAADMTYwAgAAAAQ0MDUxBAAAAAExBwAAAAk0LzMwLzIwMjAIAAAACTgvMTYvMjAyMAkAAAABMANJ</t>
  </si>
  <si>
    <t>ykzyQdgIEnCiWfJB2AgrQ0lRLkxTRTpTRk9SLklRX05JLjEwMDAuMzAvMDQvMjAyMC4uRi5HQlAuQwEAAADLU+QhAgAAAAYtMTAuMDQBCAAAAAUAAAABMQEAAAAKMjAyMjU5OTc5OQMAAAACNTUCAAAAAjE1BAAAAAExBwAAAAk0LzMwLzIwMjAIAAAACTgvMTYvMjAyMAkAAAABMMkxB0vyQdgIMzeoWfJB2AhAQ0lRLk5BU0RBUUdTOkNBS0UuSVFfUkVWRU5VRV9NRURJQU5fRVNULjYwMDEuMzEvMTIvMjAxOS4uRi5VU0QuQwEAAAAI4AQAAwAAAAAA80gYePJB2AhkcfN48kHYCDJDSVEuTkFTREFRR1M6Q0FLRS5JUV9EQV9DRi45OTguMzEvMTIvMjAxOS4uRi5VU0QuQwEAAAAI4AQAAgAAAAU4OC42MQEIAAAABQAAAAExAQAAAAoxOTQ4MTc2NjYyAwAAAAMxNjACAAAABDIxNjAEAAAAATEHAAAACjEyLzMxLzIwMTkIAAAACTgvMTYvMjAyMAkAAAABMNoUlnfyQdgIcB7nePJB2AgpQ0lRLk5ZU0U6UkFDRS5JUV9MQVNUU0FMRVBSSUNFLjEyLzAxLzIwMTgBAAAAPYKwEAIAAAAGMTE3Ljg0ACgrQnXyQdgIycdbdvJB2Ag4Q0lRLkxTRTpTRk9SLklRX0xPV19UQVJHRVRfUFJJQ0UuNjAwMC4zMC8wNC8yMDIwLi4uR0JQLkMBAAAAy1PkIQIAAAAQMS42MjQyMjk2NjI1OTY3MQEOAAAABQAAAAE3AQAAAAk1ODIwMjExNTYCAAAACjEwMDQzMTYwNDgDAAAABjEwMDE2NAQAAAADMjU1BgAAAAEwBwAAAAI1NQgAAAABMQkA</t>
  </si>
  <si>
    <t>AAABMQoAAAABMAsAAAALMTE5MDI4MDg5NzIMAAAAATgNAAAACDUvMS8yMDIwEAAAAAk4LzE2LzIwMjCkfwdL8kHYCAVpj1nyQdgIKkNJUS5OWVNFOktPLklRX0VCVC45OTkuMzEvMTIvMjAxOS4uRi5VU0QuQwEAAAASaAAAAgAAAAQ2NzQyAQgAAAAFAAAAATEBAAAACjE5NDY0MzA3NzkDAAAAAzE2MAIAAAADMTM5BAAAAAExBwAAAAoxMi8zMS8yMDE5CAAAAAk4LzE2LzIwMjAJAAAAATDc7ZV38kHYCLvE6njyQdgILUNJUS5OQVNEQVFHUzpUU0xBLklRX0xBU1RTQUxFUFJJQ0UuMDkvMDMvMjAxOAEAAAAQxqIBAgAAAAYzMjcuMTcAKCtCdfJB2AgIm1Z28kHYCCdDSVEuTkFTREFRR1M6VFNMQS5JUV9URVZfT1VULjMxLzEyLzIwMTkBAAAAEMaiAQIAAAAMODY2MTguNDQyMzQ2AQYAAAAFAAAAATEBAAAACjE5ODk0NTIwMTcDAAAAAzE2MAIAAAAFNDYyMTQEAAAAATAHAAAACjEyLzMxLzIwMTlBUkJ18kHYCFD/TnbyQdgIOUNJUS5OWVNFOktPLklRX1RPVEFMX0RFQlRfQ1VSUkVOVC45OTcuMzAvMDQvMjAyMC4uRi5VU0QuQwEAAAASaAAAAgAAAAUxNjAyNQEIAAAABQAAAAExAQAAAAoxOTQ2NDMwNzgyAwAAAAMxNjACAAAABTI1MjIzBAAAAAExBwAAAAk0LzMwLzIwMjAIAAAACTgvMTYvMjAyMAkAAAABMANJykzyQdgIB7eWWfJB2AgnQ0lRLiRBRURNWE4uSVFfTEFTVFNBTEVQUklDRS4zMC8wNC8yMDE5AQAA</t>
  </si>
  <si>
    <t>ACXrWgACAAAACzAuMTkzMTUzMTM0AKokJVXyQdgIzzaFWfJB2AglQ0lRLl5DT01QLklRX0xBU1RTQUxFUFJJQ0UuMDEvMDYvMjAxOAEAAACJuCgAAgAAAAc3NTU0LjMzAIrFN1HyQdgIdScYc/JB2AgyQ0lRLk5BU0RBUUdTOkNBS0UuSVFfQ0FQRVguOTk2LjMxLzEyLzIwMTkuLkYuVVNELkMBAAAACOAEAAIAAAAILTExMy45ODIBCAAAAAUAAAABMQEAAAAKMTgzMDM4Njk4NgMAAAADMTYwAgAAAAQyMDIxBAAAAAExBwAAAAoxMi8zMS8yMDE5CAAAAAk4LzE2LzIwMjAJAAAAATDaFJZ38kHYCDdK5XjyQdgIOkNJUS5MU0U6U0ZPUi5JUV9UT1RBTF9ERUJUX0NVUlJFTlQuOTk4LjMxLzEyLzIwMTkuLkYuR0JQLkMBAAAAy1PkIQMAAAAAABytF3jyQdgIcQT5ePJB2Ag8Q0lRLk5ZU0U6TUFOVS5JUV9UT1RBTF9DT01NT05fRVFVSVRZLjk5OS4zMC8wNC8yMDIwLi5GLkdCUC5DAQAAAN1rDQACAAAABzQyNy4xMDQBCAAAAAUAAAABMQEAAAAKMTk4NTg0NTAyOQMAAAACNTUCAAAABDEwMDYEAAAAATEHAAAACTQvMzAvMjAyMAgAAAAJOC8xNi8yMDIwCQAAAAEwvFgHS/JB2AiLMZxZ8kHYCChDSVEuTFNFOlRTQ08uSVFfTEFTVFNBTEVQUklDRS4zMS8wMy8yMDE2AQAAADBQBgACAAAABTEuOTE4AMGqflPyQdgIGbojcfJB2AgtQ0lRLk5ZU0U6TUFOVS5JUV9QUklDRV9WT0xfSElTVF9ZUi4zMS8xMi8yMDE5AQAAAN1r</t>
  </si>
  <si>
    <t>DQACAAAABjIwLjc2OADr39108kHYCD88R3byQdgILUNJUS5OQVNEQVFHUzpUU0xBLklRX0xBU1RTQUxFUFJJQ0UuMzAvMDYvMjAxNQEAAAAQxqIBAgAAAAYyNjguMjYApLx/U/JB2Ahr1yBx8kHYCDtDSVEuTkFTREFRR1M6VFNMQS5JUV9DQVNIX1NUX0lOVkVTVC45OTguMzAvMDQvMjAyMC4uRi5VU0QuQwEAAAAQxqIBAgAAAAgzMzY3LjkxNAEIAAAABQAAAAExAQAAAAoyMDEzOTA3NDcwAwAAAAMxNjACAAAABDEwMDIEAAAAATEHAAAACTQvMzAvMjAyMAgAAAAJOC8xNi8yMDIwCQAAAAEwvFgHS/JB2AhT6pJZ8kHYCCBDSVEuLklRX0xBU1RTQUxFUFJJQ0UuMDEvMDYvMjAxOAUAAAAAAAAACAAAABQoSW52YWxpZCBJZGVudGlmaWVyKaCeN1HyQdgIR5J3c/JB2AgwQ0lRLk5ZU0U6S08uSVFfTFRfSU5WRVNULjk5OC4zMC8wNC8yMDIwLi5GLlVTRC5DAQAAABJoAAACAAAABTIzMjgxAQgAAAAFAAAAATEBAAAACjIwMTY3OTEyNTADAAAAAzE2MAIAAAAEMTA1NAQAAAABMQcAAAAJNC8zMC8yMDIwCAAAAAk4LzE2LzIwMjAJAAAAATADScpM8kHYCIOnlVnyQdgILkNJUS5OWVNFOlJBQ0UuSVFfUFJJQ0VfVk9MX0hJU1RfNVlSLjMxLzEyLzIwMTkBAAAAPYKwEAMAAAAAAOvf3XTyQdgIILFHdvJB2AgtQ0lRLk5BU0RBUUdTOkNBS0UuSVFfTEFTVFNBTEVQUklDRS4wOC8xMS8yMDE5AQAAAAjgBAACAAAABTQzLjA2</t>
  </si>
  <si>
    <t>AOg1flPyQdgIqNsscfJB2AgpQ0lRLk5ZU0U6TUFOVS5JUV9MQVNUU0FMRVBSSUNFLjEzLzA3LzIwMTgBAAAA3WsNAAIAAAAEMjEuNQA6v4VS8kHYCG2VDXHyQdgIM0NJUUFWRy5JUTQzOTQzODI0LklRX0xBU1RTQUxFUFJJQ0UuNDAxNzguMzEvMTIvMjAxOQEAAACQh54CAgAAABAxLjk2MTcwMzQ3MzE2NDk2ANgt3nTyQdgIJpRKdvJB2AgmQ0lRLk5BU0RBUUdTOlRTTEEuSVFfVk9MVU1FLjA1LzAxLzIwMTgBAAAAEMaiAQIAAAAHNC41OTExOAAoK0J18kHYCEo7XHbyQdgIKENJUS5MU0U6U0ZPUi5JUV9MQVNUU0FMRVBSSUNFLjI5LzExLzIwMTkBAAAAy1PkIQIAAAAEMS43OQDoNX5T8kHYCH53LXHyQdgIIkNJUS5OWVNFOk1BTlUuSVFfVk9MVU1FLjEwLzA1LzIwMTkBAAAA3WsNAAIAAAAIMC4wNDgyMTkAlf0kVfJB2AgmUL9y8kHYCCFDSVEuTFNFOlRTQ08uSVFfVk9MVU1FLjI1LzA1LzIwMTgBAAAAMFAGAAIAAAAINjYuMzg2NTUAKeaFUvJB2AiyBAlx8kHYCC1DSVEuTkFTREFRR1M6VFNMQS5JUV9MQVNUU0FMRVBSSUNFLjAyLzA4LzIwMTkBAAAAEMaiAQIAAAAGMjM0LjM0ANGDflPyQdgIl1spcfJB2AhAQ0lRLk5BU0RBUUdTOkNBS0UuSVFfUkVWRU5VRV9NRURJQU5fRVNULjEwMDIuMzAvMDQvMjAyMC4uRi5VU0QuQwEAAAAI4AQAAgAAAAoyNzI4LjM4MzE1AQ4AAAAFAAAAATMBAAAAATACAAAACjEw</t>
  </si>
  <si>
    <t>MDIyMjQyMjMDAAAABjEwMDE4MQQAAAABMgYAAAABMAcAAAADMTYwCAAAAAExCQAAAAExCgAAAAEwCwAAAAsxMTg4NTE2MjA0NQwAAAABMQ0AAAAINS8xLzIwMjAQAAAACTgvMTYvMjAyMP9vykzyQdgITPScWfJB2AgsQ0lRLkxTRTpTRk9SLklRX1NHQS4xMDAwLjMwLzA0LzIwMjAuLkYuR0JQLkMBAAAAy1PkIQIAAAAHMTExLjU3MgEIAAAABQAAAAExAQAAAAoyMDIyNTk5Nzk5AwAAAAI1NQIAAAACMjMEAAAAATEHAAAACTQvMzAvMjAyMAgAAAAJOC8xNi8yMDIwCQAAAAEw2QoHS/JB2AhfdKBZ8kHYCDlDSVEuTkFTREFRR1M6Q0FLRS5JUV9TSEFSRVNPVVRTVEFORElOR19PVVQuMDEvMDEvMjAxOS5VU0QBAAAACOAEAAIAAAAJNDUuMzM1Mjg3AFuT4k3yQdgIXWlhdvJB2AggQ0lRLi5JUV9MQVNUU0FMRVBSSUNFLjMxLzEwLzIwMTcFAAAAAAAAAAgAAAAUKEludmFsaWQgSWRlbnRpZmllcikJljdS8kHYCHRUQHPyQdgIJ0NJUS4kQUVEVVpTLklRX0xBU1RTQUxFUFJJQ0UuMzAvMDQvMjAxOQEAAAAl61oAAgAAAAswLjAwMDQzNDkzMgCqJCVV8kHYCI2zglnyQdgIKENJUS5MU0U6VFNDTy5JUV9MQVNUU0FMRVBSSUNFLjA5LzExLzIwMTgBAAAAMFAGAAIAAAAFMi4xODcAx+J/U/JB2AjgLh1x8kHYCC9DSVEuTFNFOlRTQ08uSVFfSU5DX1RBWC45OTkuMzAvMDQvMjAyMC4uRi5HQlAuQwEAAAAwUAYAAgAAAAMz</t>
  </si>
  <si>
    <t>NTQBCAAAAAUAAAABMQEAAAAKMTk2ODczNjU2MwMAAAACNTUCAAAAAjc1BAAAAAExBwAAAAk0LzMwLzIwMjAIAAAACTgvMTYvMjAyMAkAAAABMMkxB0vyQdgIgf+mWfJB2AgiQ0lRLk5ZU0U6UkFDRS5JUV9WT0xVTUUuMTQvMTIvMjAxOAEAAAA9grAQAgAAAAgwLjYyMjc4OADH4n9T8kHYCAiIIHHyQdgIJ0NJUS5OWVNFOktPLklRX0xBU1RTQUxFUFJJQ0UuMzEvMTIvMjAxNQEAAAASaAAAAgAAAAU0Mi45NgDe0n5T8kHYCDggI3HyQdgIJ0NJUS4kQUVEUlVCLklRX0xBU1RTQUxFUFJJQ0UuMzAvMDQvMjAxOQEAAAAl61oAAgAAAAkwLjA1Njg4MTgAqiQlVfJB2Ajl6IRZ8kHYCCdDSVEuJEFFRFpBUi5JUV9MQVNUU0FMRVBSSUNFLjMwLzA0LzIwMTkBAAAAJetaAAIAAAALMC4yNTYyMzEzODMAqiQlVfJB2AgRdIRZ8kHYCDdDSVEuVVNELklRX0ZVTExfQ1VSVkVfQU5OVUFMLkFMTENPUlAuQUFBLjIwWS4zMC8wNC8yMDIwAQAAAAAAAAACAAAACTAuMDI1NDM0OQCqJCVV8kHYCFrjhlnyQdgIJ0NJUS4kQUVEQ0hGLklRX0xBU1RTQUxFUFJJQ0UuMzEvMTIvMjAxOQEAAAAl61oAAgAAAAszLjc5MjUwMTcyOQDfBt508kHYCDFtSnbyQdgIJkNJUS5OQVNEQVFHUzpDQUtFLklRX1ZPTFVNRS4xNC8wOS8yMDE4AQAAAAjgBAACAAAACDAuNzMyNjUyAEOYhVLyQdgI7DYTcfJB2AgtQ0lRLk5BU0RBUUdTOlRTTEEuSVFf</t>
  </si>
  <si>
    <t>TEFTVFNBTEVQUklDRS4xOS8wNC8yMDE5AQAAABDGogECAAAABjI3My4yNgC5lH9T8kHYCBrdJXHyQdgIJ0NJUS5OWVNFOktPLklRX0xBU1RTQUxFUFJJQ0UuMjYvMDcvMjAxOQEAAAASaAAAAgAAAAU1NC4xNwDRg35T8kHYCK8NKXHyQdgIQENJUS5OQVNEQVFHUzpDQUtFLklRX1JFVkVOVUVfTUVESUFOX0VTVC42MDAxLjMwLzA0LzIwMjAuLkYuVVNELkMBAAAACOAEAAMAAAAAAP9vykzyQdgIXc2cWfJB2Ag8Q0lRLk5BU0RBUUdTOlRTTEEuSVFfQ0FTSF9TVF9JTlZFU1QuMjAwMC4zMC8wNC8yMDIwLi5GLlVTRC5DAQAAABDGogECAAAABDgwODABCAAAAAUAAAABMQEAAAAKMjAzMjA0NTMzNAMAAAADMTYwAgAAAAQxMDAyBAAAAAExBwAAAAk0LzMwLzIwMjAIAAAACTgvMTYvMjAyMAkAAAABMLxYB0vyQdgIuKCQWfJB2AgoQ0lRLkxTRTpUU0NPLklRX0xBU1RTQUxFUFJJQ0UuMzEvMDgvMjAxOAEAAAAwUAYAAgAAAAUyLjQ2NQDoNX5T8kHYCFiTKnHyQdgIPENJUS5OWVNFOlJBQ0UuSVFfVE9UQUxfREVCVF9DVVJSRU5ULjIwMDAuMzAvMDQvMjAyMC4uRi5FVVIuQwEAAAA9grAQAgAAAAc0MjEuMzIzAQgAAAAFAAAAATEBAAAACjIwMTU2NDI5NTQDAAAAAjUwAgAAAAUyNTIyMwQAAAABMQcAAAAJNC8zMC8yMDIwCAAAAAk4LzE2LzIwMjAJAAAAATDg4wZL8kHYCC1CllnyQdgIKENJUS5MU0U6VFNDTy5JUV9M</t>
  </si>
  <si>
    <t>QVNUU0FMRVBSSUNFLjMwLzExLzIwMTUBAAAAMFAGAAIAAAAFMS42NzIAuZR/U/JB2Ajm0SJx8kHYCCRDSVEuXlNQWC5JUV9MQVNUU0FMRVBSSUNFLjMwLzA0LzIwMTYBAAAAm7goAAIAAAAQMjA2NS4yOTYzMDEwMDUxNgB8q4VR8kHYCCmiCHPyQdgIIkNJUS5OWVNFOk1BTlUuSVFfVk9MVU1FLjEzLzA0LzIwMTgBAAAA3WsNAAIAAAAIMC4wMjI1OTkAQVJCdfJB2AirR1F28kHYCCdDSVEuJEFFRFVZVS5JUV9MQVNUU0FMRVBSSUNFLjMxLzEyLzIwMTkBAAAAJetaAAIAAAALMC4wOTczNTIxNjkA/gNCdfJB2Aiw3Ux28kHYCCZDSVEuTllTRTpLTy5JUV9CRVRBXzJZUl9SU1EuMzEvMTIvMjAxOQEAAAASaAAAAgAAABEwLjI2OTM1OTM4MTYyNzEyNQDfBt508kHYCGXHRnbyQdgIKUNJUS5OWVNFOlJBQ0UuSVFfTEFTVFNBTEVQUklDRS4zMS8xMC8yMDE3AQAAAD2CsBACAAAABjExOS42OAAFXX5T8kHYCNf+J3HyQdgIP0NJUS5OQVNEQVFHUzpUU0xBLklRX1RPVEFMX0RFQlRfQ1VSUkVOVC45OTguMzEvMTIvMjAxOS4uRi5VU0QuQwEAAAAQxqIBAgAAAAgxMjEwLjk2MgEIAAAABQAAAAExAQAAAAoxOTQ1ODczNTUxAwAAAAMxNjACAAAABTI1MjIzBAAAAAExBwAAAAoxMi8zMS8yMDE5CAAAAAk4LzE2LzIwMjAJAAAAATAcrRd48kHYCFUr+XjyQdgIM0NJUS5OWVNFOktPLklRX1RPVEFMX0FTU0VUUy45OTcuMzAv</t>
  </si>
  <si>
    <t>MDQvMjAyMC4uRi5VU0QuQwEAAAASaAAAAgAAAAU4NzI3MAEIAAAABQAAAAExAQAAAAoxOTQ2NDMwNzgyAwAAAAMxNjACAAAABDEwMDcEAAAAATEHAAAACTQvMzAvMjAyMAgAAAAJOC8xNi8yMDIwCQAAAAEwA0nKTPJB2Ai8vZRZ8kHYCCRDSVEuXkFTWC5JUV9MQVNUU0FMRVBSSUNFLjI3LzEyLzIwMTkBAAAAH1PrAQIAAAAKNDI0Ny41ODU5OQAJljdS8kHYCBCGGXPyQdgIKENJUS5MU0U6U0ZPUi5JUV9MQVNUU0FMRVBSSUNFLjMxLzEyLzIwMTYBAAAAy1PkIQMAAAAAANGDflPyQdgIE7YlcfJB2AgpQ0lRLk5ZU0U6TUFOVS5JUV9MQVNUU0FMRVBSSUNFLjMxLzA3LzIwMTkBAAAA3WsNAAIAAAAFMTcuOTYACA9+U/JB2AiIUC1x8kHYCDRDSVEuTllTRTpLTy5JUV9JTlRFUkVTVF9FWFAuMjAwMC4zMC8wNC8yMDIwLi5GLlVTRC5DAQAAABJoAAACAAAABC04OTQBCAAAAAUAAAABMQEAAAAKMjAzMDM3Njg5NwMAAAADMTYwAgAAAAI4MgQAAAABMQcAAAAJNC8zMC8yMDIwCAAAAAk4LzE2LzIwMjAJAAAAATADScpM8kHYCB16rFnyQdgIJ0NJUS5OWVNFOktPLklRX0xBU1RTQUxFUFJJQ0UuMjcvMDkvMjAxOQEAAAASaAAAAgAAAAU1NC4zMQAFXX5T8kHYCD+lK3HyQdgIOkNJUS5OWVNFOlJBQ0UuSVFfQ0FQRVhfTUVESUFOX0VTVC4xMDAzLjMwLzA0LzIwMjAuLkYuRVVSLkMBAAAAPYKwEAIAAAAKLTYzNi40MDY1</t>
  </si>
  <si>
    <t>NQEOAAAABQAAAAEzAQAAAAEwAgAAAAoxMDAzMjI2ODU5AwAAAAYxMDQwOTEEAAAAATMGAAAAATAHAAAAAjUwCAAAAAExCQAAAAExCgAAAAEwCwAAAAsxMTg5NTUzNDc4MgwAAAABMQ0AAAAINS8xLzIwMjAQAAAACTgvMTYvMjAyMKR/B0vyQdgIkqaqWfJB2Ag3Q0lRLk5ZU0U6S08uSVFfRUJJVF9NRURJQU5fRVNULjEwMDEuMzAvMDQvMjAyMC4uRi5VU0QuQwEAAAASaAAAAgAAAAQ5NDYyAQ4AAAAFAAAAATMBAAAAATACAAAACjEwMDE0MTY0MjADAAAABjEwMDIxNgQAAAABMgYAAAABMAcAAAADMTYwCAAAAAExCQAAAAExCgAAAAEwCwAAAAsxMTg4NTI4MzExMgwAAAABMQ0AAAAINS8xLzIwMjAQAAAACTgvMTYvMjAyMP9vykzyQdgIXRukWfJB2Ag1Q0lRQVZHLiRBRURVU0QuSVFfTEFTVFNBTEVQUklDRS4yOS8xMi8yMDE1LjAzLzAxLzIwMTcBAAAAJetaAAIAAAAIMy42NzI4ODMAW5PiTfJB2AgnvV928kHYCCVDSVEuXkNPTVAuSVFfTEFTVFNBTEVQUklDRS4xMC8wNS8yMDE5AQAAAIm4KAACAAAABzc5MTYuOTQAoJ43UfJB2AgMexZz8kHYCDdDSVEuTllTRTpSQUNFLklRX0RBX01FRElBTl9FU1QuMTAwMy4zMC8wNC8yMDIwLi5GLkVVUi5DAQAAAD2CsBACAAAABTU5Ny41AQ4AAAAFAAAAATMBAAAAATACAAAACjEwMDMyMjY4NTkDAAAABjExNDE5MAQAAAABMwYAAAABMAcAAAACNTAIAAAAATEJAAAAATEK</t>
  </si>
  <si>
    <t>AAAAATALAAAACzExODk1NTM0NjQ1DAAAAAExDQAAAAg1LzEvMjAyMBAAAAAJOC8xNi8yMDIwpH8HS/JB2Aj9+ahZ8kHYCBlDSVEuLklRX1ZPTFVNRS4xOC8wMS8yMDE5BQAAAAAAAAAIAAAAFChJbnZhbGlkIElkZW50aWZpZXIpnUZ/U/JB2AhwSrpy8kHYCCJDSVEuTllTRTpSQUNFLklRX1ZPTFVNRS4yMi8wMi8yMDE5AQAAAD2CsBACAAAACDAuMzI1NjI3AKS8f1PyQdgILYK7cvJB2AgxQ0lRLkxTRTpUU0NPLklRX1RPVEFMX1JFVi45OTkuMzEvMTIvMjAxOS4uRi5HQlAuQwEAAAAwUAYAAgAAAAU1NzQ5MwEIAAAABQAAAAExAQAAAAoxOTY4NzM2NTU5AwAAAAI1NQIAAAACMjgEAAAAATEHAAAACjEyLzMxLzIwMTkIAAAACTgvMTYvMjAyMAkAAAABMB77F3jyQdgIvznyePJB2Ag0Q0lRLk5ZU0U6UkFDRS5JUV9QUkVGX0VRVUlUWS45OTkuMzEvMTIvMjAxOS4uRi5FVVIuQwEAAAA9grAQAwAAAAAAHvsXePJB2AgE0PR48kHYCDNDSVEuTllTRTpLTy5JUV9UT1RBTF9BU1NFVFMuOTk3LjMxLzEyLzIwMTkuLkYuVVNELkMBAAAAEmgAAAIAAAAFODk5OTYBCAAAAAUAAAABMQEAAAAKMTg3NTc5NzgwOQMAAAADMTYwAgAAAAQxMDA3BAAAAAExBwAAAAoxMi8zMS8yMDE5CAAAAAk4LzE2LzIwMjAJAAAAATA7hhd48kHYCHn9+njyQdgILENJUS5OWVNFOk1BTlUuSVFfTkkuMjAwMC4zMS8xMi8yMDE5Li5GLkdCUC5D</t>
  </si>
  <si>
    <t>AQAAAN1rDQACAAAABjEzLjM2MwEIAAAABQAAAAExAQAAAAoxOTkzNjIxMzIyAwAAAAI1NQIAAAACMTUEAAAAATEHAAAACjEyLzMxLzIwMTkIAAAACTgvMTYvMjAyMAkAAAABMNztlXfyQdgIOfHoePJB2AgdQ0lRLk5BU0RBUUdTOlRTTEEuSVFfRVhDSEFOR0UBAAAAEMaiAQMAAAAITmFzZGFxR1MA/DokVfJB2AiG7olZ8kHYCDFDSVEuTFNFOlRTQ08uSVFfTFRfSU5WRVNULjk5OS4zMC8wNC8yMDIwLi5GLkdCUC5DAQAAADBQBgACAAAAAzYyMQEIAAAABQAAAAExAQAAAAoxOTY4NzM2NTYzAwAAAAI1NQIAAAAEMTA1NAQAAAABMQcAAAAJNC8zMC8yMDIwCAAAAAk4LzE2LzIwMjAJAAAAATDJMQdL8kHYCIuAlVnyQdgIJ0NJUS4kQUVESk9ELklRX0xBU1RTQUxFUFJJQ0UuMzAvMDQvMjAyMAEAAAAl61oAAgAAAAs1LjE4MzQ2MDM0NACqJCVV8kHYCFo8g1nyQdgIMUNJUS5OWVNFOlJBQ0UuSVFfVE9UQUxfQ0wuOTk2LjMxLzEyLzIwMTkuLkYuRVVSLkMBAAAAPYKwEAIAAAAIMTUxNy4zNDYBCAAAAAUAAAABMQEAAAAKMTgzMDQ3NDA5NAMAAAACNTACAAAABDEwMDkEAAAAATEHAAAACjEyLzMxLzIwMTkIAAAACTgvMTYvMjAyMAkAAAABMBytF3jyQdgI1PL3ePJB2AgpQ0lRLk5ZU0U6UkFDRS5JUV9MQVNUU0FMRVBSSUNFLjE0LzA2LzIwMTkBAAAAPYKwEAIAAAAGMTUyLjg2AMGqflPyQdgIzYkncfJB2Ag6Q0lR</t>
  </si>
  <si>
    <t>Lk5ZU0U6UkFDRS5JUV9DQVBFWF9NRURJQU5fRVNULjYwMDAuMzEvMTIvMjAxOS4uRi5FVVIuQwEAAAA9grAQAgAAAAktNzU0LjkwODMBDgAAAAUAAAACMTEBAAAAATACAAAABzI3NjQ3MzQDAAAABjEwNDA5MQQAAAABMwYAAAABMAcAAAACNTAIAAAAATEJAAAAATEKAAAAATALAAAACzExNzE5MjY5NDc1DAAAAAIxMg0AAAAIMS8xLzIwMjAQAAAACTgvMTYvMjAyMDs8lnfyQdgI71rmePJB2AghQ0lRLkxTRTpTRk9SLklRX1ZPTFVNRS4yNi8wNC8yMDE5AQAAAMtT5CECAAAACDAuNTAxMDAyALmUf1PyQdgI4uC8cvJB2AgnQ0lRLiRBRURLUFcuSVFfTEFTVFNBTEVQUklDRS4zMS8xMi8yMDE5AQAAACXrWgACAAAACzAuMDA0MDgxMTExAP4DQnXyQdgI02hMdvJB2AgiQ0lRLk5ZU0U6UkFDRS5JUV9WT0xVTUUuMzEvMDUvMjAxOQEAAAA9grAQAgAAAAcwLjYzNTc5ACVhtVPyQdgIGtC7cvJB2Ag7Q0lRLk5BU0RBUUdTOkNBS0UuSVFfRVFVSVRZX01FVEhPRC4yMDAwLjMxLzEyLzIwMTkuLkYuVVNELkMBAAAACOAEAAIAAAAGNjkuMzI4AQgAAAAFAAAAATEBAAAACjE5OTEzMjcwNDADAAAAAzE2MAIAAAAEMzA2MwQAAAABMQcAAAAKMTIvMzEvMjAxOQgAAAAJOC8xNi8yMDIwCQAAAAEwR2AXePJB2Ag4UgB58kHYCCRDSVEuTFNFOlNGT1IuSVFfU1BfTENfTFQuLjMwLzA0LzIwMjABAAAAy1PkIQMAAAAAAPw6JFXy</t>
  </si>
  <si>
    <t>QdgIUGODWfJB2AgoQ0lRLkxTRTpTRk9SLklRX0xBU1RTQUxFUFJJQ0UuMDQvMTAvMjAxOQEAAADLU+QhAgAAAAUxLjM5NQAFXX5T8kHYCD+lK3HyQdgIKUNJUS5OWVNFOlJBQ0UuSVFfTEFTVFNBTEVQUklDRS4zMC8wOS8yMDE3AQAAAD2CsBACAAAABjExMC40OAAFXX5T8kHYCIqwJ3HyQdgIK0NJUS5OWVNFOktPLklRX1NHQS4yMDAwLjMwLzA0LzIwMjAuLkYuVVNELkMBAAAAEmgAAAIAAAAFMTE4NzQBCAAAAAUAAAABMQEAAAAKMjAzMDM3Njg5NwMAAAADMTYwAgAAAAIyMwQAAAABMQcAAAAJNC8zMC8yMDIwCAAAAAk4LzE2LzIwMjAJAAAAATADScpM8kHYCGZNoFnyQdgIKENJUS4lVENNU1kwMS5JUV9MQVNUU0FMRVBSSUNFLjMxLzEyLzIwMTkBAAAADh8oAgIAAAAEMS41OQDfBt508kHYCAYJS3byQdgIJkNJUS5OQVNEQVFHUzpDQUtFLklRX1ZPTFVNRS4wNy8xMi8yMDE4AQAAAAjgBAACAAAACDAuNjcxODM3AMfif1PyQdgIvRQgcfJB2AgkQ0lRLl5BU1guSVFfTEFTVFNBTEVQUklDRS4yMy8xMS8yMDE4AQAAAB9T6wECAAAACzM4MTIuMzE3ODk0AIrFN1HyQdgIqjIbc/JB2AgtQ0lRLk5ZU0U6TUFOVS5JUV9TR0EuMjAwMC4zMC8wNC8yMDIwLi5GLkdCUC5DAQAAAN1rDQACAAAABzMyMC4wMzYBCAAAAAUAAAABMQEAAAAKMjAxODYzMjAwMwMAAAACNTUCAAAAAjIzBAAAAAExBwAAAAk0LzMwLzIwMjAI</t>
  </si>
  <si>
    <t>AAAACTgvMTYvMjAyMAkAAAABMP9vykzyQdgIZk2gWfJB2AgkQ0lRLl5TUFguSVFfTEFTVFNBTEVQUklDRS4zMS8wMS8yMDE1AQAAAJu4KAACAAAAEDE5OTQuOTkwNDEyMDU0NjgA2C3edPJB2Ah9oEZ28kHYCDtDSVEuTkFTREFRR1M6Q0FLRS5JUV9FU1RfRVBTX0dST1dUSF81WVJfTE9XLjYwMDAuMzAvMDQvMjAyMAEAAAAI4AQAAgAAAAIxMgEOAAAABQAAAAE3AQAAAAcyNTk5Njk1AgAAAAYyNzM4ODgDAAAABjEwMDE3MAQAAAABMgYAAAABMAcAAAABMAgAAAABMAkAAAABMQoAAAABMAsAAAALMTE4ODU0NjkyNjAMAAAAATgNAAAACDUvMS8yMDIwEAAAAAk0LzMwLzIwMjCxryRV8kHYCKJbf1nyQdgINkNJUS5OQVNEQVFHUzpUU0xBLklRX0xUX0lOVkVTVC45OTcuMzEvMTIvMjAxOS4uRi5VU0QuQwEAAAAQxqIBAwAAAAAAO4YXePJB2AixE/p48kHYCCVDSVEuXkNPTVAuSVFfTEFTVFNBTEVQUklDRS4xOC8xMC8yMDE5AQAAAIm4KAACAAAABzgwODkuNTQAtbw3UvJB2AgluBVz8kHYCCxDSVEuTllTRTpLTy5JUV9FQklULjEwMDAuMzAvMDQvMjAyMC4uRi5VU0QuQwEAAAASaAAAAgAAAAUxMDYyNQEIAAAABQAAAAExAQAAAAoyMDE2NzkxMjQ1AwAAAAMxNjACAAAAAzQwMAQAAAABMQcAAAAJNC8zMC8yMDIwCAAAAAk4LzE2LzIwMjAJAAAAATADScpM8kHYCFlqpFnyQdgIMUNJUS5OQVNEQVFHUzpUU0xBLklR</t>
  </si>
  <si>
    <t>X0VCSVQuOTk5LjMwLzA0LzIwMjAuLkYuVVNELkMBAAAAEMaiAQIAAAAELTI1MwEIAAAABQAAAAExAQAAAAoyMDEzOTA3NDYzAwAAAAMxNjACAAAAAzQwMAQAAAABMQcAAAAJNC8zMC8yMDIwCAAAAAk4LzE2LzIwMjAJAAAAATDJMQdL8kHYCEmQpFnyQdgIJENJUS5eQVNYLklRX0xBU1RTQUxFUFJJQ0UuMjgvMDIvMjAxNwEAAAAfU+sBAgAAAAszOTUzLjQyNDI5OAB8q4VR8kHYCNiFC3PyQdgIOUNJUS5OQVNEQVFHUzpUU0xBLklRX1BSRVBBSURfRVhQLjIwMDAuMzEvMTIvMjAxOS4uRi5VU0QuQwEAAAAQxqIBAgAAAAM2NjABCAAAAAUAAAABMQEAAAAKMTk4OTQ1MzEzMAMAAAADMTYwAgAAAAQxMjEyBAAAAAExBwAAAAoxMi8zMS8yMDE5CAAAAAk4LzE2LzIwMjAJAAAAATDaFJZ38kHYCD8j5XjyQdgIKUNJUS5OWVNFOk1BTlUuSVFfTEFTVFNBTEVQUklDRS4wOC8wNi8yMDE4AQAAAN1rDQACAAAABDIxLjUAKeaFUvJB2AhGYwpx8kHYCChDSVEuTkFTREFRR1M6VFNMQS5JUV9CRVRBXzVZUi4zMC8wNC8yMDIwAQAAABDGogECAAAAEDEuMTU3MDg2NjIyMDUzMTIAsa8kVfJB2AiRx4lZ8kHYCDRDSVEuTllTRTpSQUNFLklRX1BSRUZfRVFVSVRZLjk5OC4zMS8xMi8yMDE5Li5GLkVVUi5DAQAAAD2CsBADAAAAAAAe+xd48kHYCBCp9HjyQdgIMUNJUS5OWVNFOk1BTlUuSVFfU0hBUkVTT1VUU1RBTkRJTkcuMzAv</t>
  </si>
  <si>
    <t>MDYvMjAxNy5HQlABAAAA3WsNAAIAAAAKMTY0LjAyNTI3OAADScpM8kHYCEAaYXbyQdgIKENJUS5MU0U6U0ZPUi5JUV9MQVNUU0FMRVBSSUNFLjMxLzAxLzIwMTYBAAAAy1PkIQMAAAAAAN7SflPyQdgIB0cjcfJB2Ag4Q0lRLkxTRTpTRk9SLklRX0VCSVRfTUVESUFOX0VTVC42MDAwLjMwLzA0LzIwMjAuLkYuR0JQLkMBAAAAy1PkIQIAAAAQNTQuNTQ5Mzc4NTM0OTgwOQEOAAAABQAAAAIxMQEAAAABMAIAAAAKMTAwNDMxNjA1MQMAAAAGMTAwMjE2BAAAAAEzBgAAAAEwBwAAAAI1NQgAAAABMQkAAAABMQoAAAABMAsAAAALMTE4OTkzMzAwODYMAAAAAjEyDQAAAAg1LzEvMjAyMBAAAAAJOC8xNi8yMDIwpH8HS/JB2Aht9KNZ8kHYCDRDSVEuTFNFOlNGT1IuSVFfUFJFUEFJRF9FWFAuMjAwMC4zMC8wNC8yMDIwLi5GLkdCUC5DAQAAAMtT5CEDAAAAAADZCgdL8kHYCB16rFnyQdgIJENJUS5eU1BYLklRX0xBU1RTQUxFUFJJQ0UuMDMvMDQvMjAyMAEAAACbuCgAAgAAAA8yNDg4LjY0ODQ0ODQ2MzkAAN4yUvJB2Ag7U7pZ8kHYCD5DSVEuTllTRTpLTy5JUV9NSU5PUklUWV9JTlRFUkVTVF9UT1RBTC45OTYuMzAvMDQvMjAyMC4uRi5VU0QuQwEAAAASaAAAAgAAAAMyMTABCAAAAAUAAAABMQEAAAAKMTg3NTc5NzgwOQMAAAADMTYwAgAAAAQxMzEyBAAAAAExBwAAAAk0LzMwLzIwMjAIAAAACTgvMTYvMjAyMAkAAAAB</t>
  </si>
  <si>
    <t>MANJykzyQdgIMMKZWfJB2AgpQ0lRLk5ZU0U6TUFOVS5JUV9MQVNUU0FMRVBSSUNFLjMwLzA5LzIwMTkBAAAA3WsNAAIAAAAFMTYuNDMAAeh9U/JB2AinxS1x8kHYCENDSVEuTkFTREFRR1M6Q0FLRS5JUV9UT1RBTF9ERUJUX05PTl9DVVJSRU5ULjk5Ni4zMS8xMi8yMDE5Li5GLlVTRC5DAQAAAAjgBAACAAAABjc3LjE2NQEIAAAABQAAAAExAQAAAAoxODMwMzg2OTg2AwAAAAMxNjACAAAABTI1MjI0BAAAAAExBwAAAAoxMi8zMS8yMDE5CAAAAAk4LzE2LzIwMjAJAAAAATAcrRd48kHYCAUK93jyQdgINkNJUS5OQVNEQVFHUzpUU0xBLklRX0xUX0lOVkVTVC45OTkuMzAvMDQvMjAyMC4uRi5VU0QuQwEAAAAQxqIBAgAAAAIxMgEIAAAABQAAAAExAQAAAAoyMDEzOTA3NDYzAwAAAAMxNjACAAAABDEwNTQEAAAAATEHAAAACTQvMzAvMjAyMAgAAAAJOC8xNi8yMDIwCQAAAAEwvFgHS/JB2AiLgJVZ8kHYCCJDSVEuTllTRTpNQU5VLklRX1ZPTFVNRS4wMi8wMi8yMDE4AQAAAN1rDQACAAAACDAuMDMzOTM3ACgrQnXyQdgI5fJZdvJB2Ag1Q0lRLk5BU0RBUUdTOkNBS0UuSVFfVE9UQUxfQ0wuOTk3LjMxLzEyLzIwMTkuLkYuVVNELkMBAAAACOAEAAIAAAAHMzUwLjIyNgEIAAAABQAAAAExAQAAAAoxODc3MTQ0NDM4AwAAAAMxNjACAAAABDEwMDkEAAAAATEHAAAACjEyLzMxLzIwMTkIAAAACTgvMTYvMjAyMAkAAAAB</t>
  </si>
  <si>
    <t>MBytF3jyQdgIpEH4ePJB2AgtQ0lRLk5ZU0U6UkFDRS5JUV9FQlQuMTAwMC4zMC8wNC8yMDIwLi5GLkVVUi5DAQAAAD2CsBACAAAABzg3NS4zNjQBCAAAAAUAAAABMQEAAAAKMjAxNTYzOTgyMgMAAAACNTACAAAAAzEzOQQAAAABMQcAAAAJNC8zMC8yMDIwCAAAAAk4LzE2LzIwMjAJAAAAATDZCgdL8kHYCOTupVnyQdgIKENJUS5MU0U6U0ZPUi5JUV9MQVNUU0FMRVBSSUNFLjE4LzEwLzIwMTkBAAAAy1PkIQIAAAAFMS40NzUABV1+U/JB2AjfGCxx8kHYCBlDSVEuLklRX1ZPTFVNRS4xNi8wMi8yMDE4BQAAAAAAAAAIAAAAFChJbnZhbGlkIElkZW50aWZpZXIpGN1BdfJB2AgaMFl28kHYCClDSVEuTllTRTpSQUNFLklRX0xBU1RTQUxFUFJJQ0UuMzEvMDcvMjAxOQEAAAA9grAQAgAAAAYxNjEuMDgACA9+U/JB2AiIUC1x8kHYCDtDSVEuTFNFOlNGT1IuSVFfVE9UQUxfREVCVF9DVVJSRU5ULjIwMDAuMzAvMDQvMjAyMC4uRi5HQlAuQwEAAADLU+QhAgAAAAU3Ljk3NQEIAAAABQAAAAExAQAAAAoyMDIyNTk5ODg3AwAAAAI1NQIAAAAFMjUyMjMEAAAAATEHAAAACTQvMzAvMjAyMAgAAAAJOC8xNi8yMDIwCQAAAAEw2QoHS/JB2AgtQpZZ8kHYCClDSVEuTllTRTpSQUNFLklRX0xBU1RTQUxFUFJJQ0UuMjYvMDQvMjAxOQEAAAA9grAQAgAAAAUxMzUuNAC5lH9T8kHYCBrdJXHyQdgIKENJUS5MU0U6VFNDTy5JUV9M</t>
  </si>
  <si>
    <t>QVNUU0FMRVBSSUNFLjEzLzEyLzIwMTkBAAAAMFAGAAIAAAAFMi41MTMA6DV+U/JB2AhYEy5x8kHYCDNDSVFBVkcuSVE1MDAyNzU4Mi5JUV9MQVNUU0FMRVBSSUNFLjQwMTc4LjMxLzEyLzIwMTkBAAAAPlz7AgIAAAAQMi44NDM1NzgwNTA0OTA4OADYLd508kHYCDlGSnbyQdgIOUNJUS5OQVNEQVFHUzpUU0xBLklRX1RPVEFMX0FTU0VUUy45OTkuMzAvMDQvMjAyMC4uRi5VU0QuQwEAAAAQxqIBAgAAAAUyOTc0MAEIAAAABQAAAAExAQAAAAoyMDEzOTA3NDYzAwAAAAMxNjACAAAABDEwMDcEAAAAATEHAAAACTQvMzAvMjAyMAgAAAAJOC8xNi8yMDIwCQAAAAEwvFgHS/JB2AjSlpRZ8kHYCDlDSVEuTFNFOlRTQ08uSVFfQ0FQRVhfTUVESUFOX0VTVC4xMDAxLjMxLzEyLzIwMTkuLkYuR0JQLkMBAAAAMFAGAAIAAAAFLTExMTUBDgAAAAUAAAABMwEAAAABMAIAAAAKMTAwMDI2NDQ5OAMAAAAGMTA0MDkxBAAAAAEzBgAAAAEwBwAAAAI1NQgAAAABMQkAAAABMQoAAAABMAsAAAALMTE3MTI0MTA3NzAMAAAAATENAAAACDEvMS8yMDIwEAAAAAk4LzE2LzIwMjA7PJZ38kHYCBYN5njyQdgIKENJUS5MU0U6VFNDTy5JUV9MQVNUU0FMRVBSSUNFLjIzLzAzLzIwMTgBAAAAMFAGAAIAAAAFMi4wMjkAKCtCdfJB2Ah29FJ28kHYCDBDSVEuTkFTREFRR1M6VFNMQS5JUV9FQlQuOTk5LjMwLzA0LzIwMjAuLkYuVVNELkMBAAAA</t>
  </si>
  <si>
    <t>EMaiAQIAAAAFLTEwMDUBCAAAAAUAAAABMQEAAAAKMjAxMzkwNzQ2MwMAAAADMTYwAgAAAAMxMzkEAAAAATEHAAAACTQvMzAvMjAyMAgAAAAJOC8xNi8yMDIwCQAAAAEwyTEHS/JB2AjGFaZZ8kHYCDJDSVEuTllTRTpNQU5VLklRX0NPU1RfUkVWLjIwMDAuMzAvMDQvMjAyMC4uRi5HQlAuQwEAAADdaw0AAgAAAAY2NS44NjUBCAAAAAUAAAABMQEAAAAKMjAxODYzMjAwMwMAAAACNTUCAAAAATEEAAAAATEHAAAACTQvMzAvMjAyMAgAAAAJOC8xNi8yMDIwCQAAAAEwvFgHS/JB2AjKoJ5Z8kHYCCdDSVEuTllTRTpLTy5JUV9MQVNUU0FMRVBSSUNFLjE2LzA4LzIwMTkBAAAAEmgAAAIAAAAFNTQuNDEA0YN+U/JB2Ah39ylx8kHYCCNDSVEuTFNFOlRTQ08uSVFfQkVUQV81WVIuMzEvMTIvMjAxOQEAAAAwUAYAAgAAABEwLjQ1OTU1Njg5MzAxNDY0MgDfBt508kHYCFZjR3byQdgIL0NJUS5OWVNFOk1BTlUuSVFfREFfQ0YuMjAwMC4zMC8wNC8yMDIwLi5GLkdCUC5DAQAAAN1rDQACAAAABzEzNy4yNDIBCAAAAAUAAAABMQEAAAAKMjAxODYzMjAwMwMAAAACNTUCAAAABDIxNjAEAAAAATEHAAAACTQvMzAvMjAyMAgAAAAJOC8xNi8yMDIwCQAAAAEwvFgHS/JB2AjGvKlZ8kHYCDVDSVEuTFNFOlRTQ08uSVFfVE9UQUxfQVNTRVRTLjIwMDAuMzEvMTIvMjAxOS4uRi5HQlAuQwEAAAAwUAYAAgAAAAU1NzE2NAEIAAAABQAA</t>
  </si>
  <si>
    <t>AAExAQAAAAoxOTg2NzkzMjQwAwAAAAI1NQIAAAAEMTAwNwQAAAABMQcAAAAKMTIvMzEvMjAxOQgAAAAJOC8xNi8yMDIwCQAAAAEwO4YXePJB2AhQcvt48kHYCDFDSVEuTFNFOlNGT1IuSVFfVE9UQUxfUkVWLjk5OS4zMC8wNC8yMDIwLi5GLkdCUC5DAQAAAMtT5CECAAAACTk0LjAyMDAxNgEIAAAABQAAAAExAQAAAAoxOTYxMTE2MjcxAwAAAAI1NQIAAAACMjgEAAAAATEHAAAACTQvMzAvMjAyMAgAAAAJOC8xNi8yMDIwCQAAAAEw2QoHS/JB2AgZ3p1Z8kHYCCJDSVEuTllTRTpSQUNFLklRX1ZPTFVNRS4yOS8xMi8yMDE3AQAAAD2CsBACAAAACDAuMjU0OTU5ACgrQnXyQdgIcv9cdvJB2AgkQ0lRLl5BU1guSVFfTEFTVFNBTEVQUklDRS4zMS8wNy8yMDE4AQAAAB9T6wECAAAACzQyNTMuMzEyNDM5ALW8N1LyQdgI+xALc/JB2AgnQ0lRLiRBRURES0suSVFfTEFTVFNBTEVQUklDRS4zMS8xMi8yMDE4AQAAACXrWgACAAAACzAuNTYzMzU3MzgzAP4DQnXyQdgI71ZLdvJB2Ag5Q0lRLk5BU0RBUUdTOlRTTEEuSVFfUFJFUEFJRF9FWFAuMjAwMC4zMC8wNC8yMDIwLi5GLlVTRC5DAQAAABDGogECAAAAAzg1MgEIAAAABQAAAAExAQAAAAoyMDMyMDQ1MzM0AwAAAAMxNjACAAAABDEyMTIEAAAAATEHAAAACTQvMzAvMjAyMAgAAAAJOC8xNi8yMDIwCQAAAAEwyTEHS/JB2AgpVKxZ8kHYCCRDSVEuXkFTWC5JUV9MQVNU</t>
  </si>
  <si>
    <t>U0FMRVBSSUNFLjIyLzAyLzIwMTkBAAAAH1PrAQIAAAALMzkzOC4wOTUwNDQAoJ43UfJB2AjPvRpz8kHYCDtDSVEuTFNFOlRTQ08uSVFfUkVWRU5VRV9NRURJQU5fRVNULjYwMDEuMzEvMTIvMjAxOS4uRi5HQlAuQwEAAAAwUAYAAwAAAAAA80gYePJB2Ah2SvN48kHYCCtDSVEuTllTRTpLTy5JUV9QRVJJT0REQVRFLjk5Ni4zMS8xMi8yMDE5Li5GAQAAABJoAAAFAAAACjMxLzEyLzIwMTQA/gNCdfJB2Aijx0128kHYCCFDSVEuTFNFOlRTQ08uSVFfVk9MVU1FLjA1LzA0LzIwMTkBAAAAMFAGAAIAAAAIMjkuNzQwNzIAuZR/U/JB2AiHGL5y8kHYCCtDSVEuTllTRTpSQUNFLklRX0dQLjk5OS4zMC8wNC8yMDIwLi5GLkVVUi5DAQAAAD2CsBACAAAACDE3OTUuOTY1AQgAAAAFAAAAATEBAAAACjIwMTU2Mzk4MTgDAAAAAjUwAgAAAAIxMAQAAAABMQcAAAAJNC8zMC8yMDIwCAAAAAk4LzE2LzIwMjAJAAAAATDZCgdL8kHYCH3Yn1nyQdgILUNJUS5OQVNEQVFHUzpUU0xBLklRX0xBU1RTQUxFUFJJQ0UuMjEvMDkvMjAxOAEAAAAQxqIBAgAAAAUyOTkuMQBDmIVS8kHYCMHSE3HyQdgIJ0NJUS4kQUVETk9LLklRX0xBU1RTQUxFUFJJQ0UuMzEvMTIvMjAxOAEAAAAl61oAAgAAAAswLjQyMzgwNDU5NQDfBt508kHYCAYJS3byQdgIIkNJUS5OWVNFOlJBQ0UuSVFfVk9MVU1FLjE5LzEwLzIwMTgBAAAAPYKwEAIAAAAIMC43</t>
  </si>
  <si>
    <t>MTQxNTkAQ5iFUvJB2AgY9BVx8kHYCCBDSVEuTllTRTpLTy5JUV9WT0xVTUUuMTAvMDUvMjAxOQEAAAASaAAAAgAAAAg5LjY1MzgwMwCj1iRV8kHYCDjQwnLyQdgILUNJUS5OQVNEQVFHUzpUU0xBLklRX0xBU1RTQUxFUFJJQ0UuMTgvMTAvMjAxOQEAAAAQxqIBAgAAAAYyNTYuOTUABV1+U/JB2AjTPyxx8kHYCChDSVEuJVRDTVNZMDMuSVFfTEFTVFNBTEVQUklDRS4zMS8xMi8yMDE5AQAAABQfKAICAAAABDEuNjIAQVJCdfJB2Aj7L0t28kHYCC9DSVEuTkFTREFRR1M6VFNMQS5JUV9HUC45OTkuMzEvMTIvMjAxOS4uRi5VU0QuQwEAAAAQxqIBAgAAAAgyMjIyLjQ4NwEIAAAABQAAAAExAQAAAAoxOTQ1ODczNTUwAwAAAAMxNjACAAAAAjEwBAAAAAExBwAAAAoxMi8zMS8yMDE5CAAAAAk4LzE2LzIwMjAJAAAAATAeIhh48kHYCJqO8HjyQdgIIENJUS4uSVFfTEFTVFNBTEVQUklDRS4xMC8wMS8yMDIwBQAAAAAAAAAIAAAAFChJbnZhbGlkIElkZW50aWZpZXIpMtM2UvJB2Aj4dNFZ8kHYCDlDSVEuTFNFOlRTQ08uSVFfRVNUX0VQU19HUk9XVEhfNVlSX01FRElBTi42MDAwLjMwLzA0LzIwMjABAAAAMFAGAAIAAAAHNi42OTU2OAEOAAAABQAAAAE3AQAAAAgyMDE1Nzg3OQIAAAAGNDExNjgwAwAAAAYxMDAxNjgEAAAAATMGAAAAATAHAAAAATAIAAAAATAJAAAAATEKAAAAATALAAAACzExODY3NzQ0NzE2DAAAAAE4</t>
  </si>
  <si>
    <t>DQAAAAg1LzEvMjAyMBAAAAAJNC8zMC8yMDIwsa8kVfJB2Aiign9Z8kHYCDdDSVEuTllTRTpNQU5VLklRX0NBU0hfU1RfSU5WRVNULjk5Ny4zMC8wNC8yMDIwLi5GLkdCUC5DAQAAAN1rDQACAAAABzIyOS4xOTQBCAAAAAUAAAABMQEAAAAKMTkxMDI0NzQwMwMAAAACNTUCAAAABDEwMDIEAAAAATEHAAAACTQvMzAvMjAyMAgAAAAJOC8xNi8yMDIwCQAAAAEw/2/KTPJB2Ag8EZNZ8kHYCDVDSVFBVkcuJEFFREdCUC5JUV9MQVNUU0FMRVBSSUNFLjMwLzA2LzIwMTYuMzAvMDYvMjAxNwEAAAAl61oAAgAAAAg0LjY1OTIzMwDqlspM8kHYCCe9X3byQdgIJ0NJUS4kQUVEVVNELklRX0xBU1RTQUxFUFJJQ0UuMzEvMTIvMjAxNgEAAAAl61oAAgAAAAYzLjY3MjYAFSLKTPJB2AgD01528kHYCCZDSVEuTkFTREFRR1M6VFNMQS5JUV9WT0xVTUUuMjAvMDcvMjAxOAEAAAAQxqIBAgAAAAg1LjE2NjU0NwA6v4VS8kHYCIpZDnHyQdgIOENJUS5OWVNFOktPLklRX0VTVF9FUFNfR1JPV1RIXzVZUl9NRURJQU4uNjAwMC4zMC8wNC8yMDIwAQAAABJoAAACAAAABDEuNTEBDgAAAAUAAAABNwEAAAAHMjYwMTIwMQIAAAAFMjIyMDgDAAAABjEwMDE2OAQAAAABMgYAAAABMAcAAAABMAgAAAABMAkAAAABMQoAAAABMAsAAAALMTE4OTE1MTY3MTEMAAAAATgNAAAACDUvMS8yMDIwEAAAAAk0LzMwLzIwMjCxryRV8kHYCLOpf1nyQdgI</t>
  </si>
  <si>
    <t>P0NJUS5MU0U6VFNDTy5JUV9NSU5PUklUWV9JTlRFUkVTVF9UT1RBTC45OTcuMzAvMDQvMjAyMC4uRi5HQlAuQwEAAAAwUAYAAgAAAAMtMjQBCAAAAAUAAAABMQEAAAAKMTg4ODUyNTA3NAMAAAACNTUCAAAABDEzMTIEAAAAATEHAAAACTQvMzAvMjAyMAgAAAAJOC8xNi8yMDIwCQAAAAEwyTEHS/JB2AgwwplZ8kHYCCxDSVEuTllTRTpLTy5JUV9QRVJJT0REQVRFLjEwMDAuMzAvMDQvMjAyMC4uRgEAAAASaAAABQAAAAozMS8xMi8yMDE5ALGvJFXyQdgInYyCWfJB2Ag7Q0lRLkxTRTpTRk9SLklRX1RPVEFMX0RFQlRfQ1VSUkVOVC4xMDAwLjMwLzA0LzIwMjAuLkYuR0JQLkMBAAAAy1PkIQIAAAAFNy45NzUBCAAAAAUAAAABMQEAAAAKMjAyMjU5OTc5OQMAAAACNTUCAAAABTI1MjIzBAAAAAExBwAAAAk0LzMwLzIwMjAIAAAACTgvMTYvMjAyMAkAAAABMNkKB0vyQdgIHWmWWfJB2Ag2Q0lRLk5ZU0U6UkFDRS5JUV9UT1RBTF9BU1NFVFMuMTAwMC4zMS8xMi8yMDE5Li5GLkVVUi5DAQAAAD2CsBACAAAACDQ4NTEuNzMzAQgAAAAFAAAAATEBAAAACjE5NDc0NDQxODMDAAAAAjUwAgAAAAQxMDA3BAAAAAExBwAAAAoxMi8zMS8yMDE5CAAAAAk4LzE2LzIwMjAJAAAAATA7hhd48kHYCKkl+3jyQdgIJUNJUS5eQ09NUC5JUV9MQVNUU0FMRVBSSUNFLjEzLzA3LzIwMTgBAAAAibgoAAIAAAAHNzgyNS45OACKxTdR8kHY</t>
  </si>
  <si>
    <t>CJHZF3PyQdgIM0NJUS5OQVNEQVFHUzpDQUtFLklRX0xBU1RTQUxFUFJJQ0UuMDIvMDEvMjAxOC5VU0QuQwEAAAAI4AQAAgAAAAU0OS4zMQBbk+JN8kHYCC5XYHbyQdgIM0NJUUFWRy5JUTQzOTQzODEyLklRX0xBU1RTQUxFUFJJQ0UuNDAxNzguMzEvMTIvMjAxOQEAAACEh54CAgAAABEwLjUzMTQzODc4Njg5ODE4NQDYLd508kHYCDlGSnbyQdgILENJUS5OWVNFOlJBQ0UuSVFfU0dBLjk5Ni4zMC8wNC8yMDIwLi5GLkVVUi5DAQAAAD2CsBACAAAABzMwMy43MzEBCAAAAAUAAAABMQEAAAAKMTg3NjA0MzMxMwMAAAACNTACAAAAAjIzBAAAAAExBwAAAAk0LzMwLzIwMjAIAAAACTgvMTYvMjAyMAkAAAABMNkKB0vyQdgIMRChWfJB2AhAQ0lRLkxTRTpTRk9SLklRX01JTk9SSVRZX0lOVEVSRVNUX1RPVEFMLjIwMDAuMzEvMTIvMjAxOS4uRi5HQlAuQwEAAADLU+QhAgAAAAMwLjEBCAAAAAUAAAABMQEAAAAKMTk2MTExNzQwMQMAAAACNTUCAAAABDEzMTIEAAAAATEHAAAACjEyLzMxLzIwMTkIAAAACTgvMTYvMjAyMAkAAAABMITUF3jyQdgI8+H2ePJB2AgpQ0lRLk5ZU0U6TUFOVS5JUV9MQVNUU0FMRVBSSUNFLjMwLzA2LzIwMTcBAAAA3WsNAAIAAAAFMTYuMjUA0YN+U/JB2AjFFCdx8kHYCD5DSVEuTkFTREFRR1M6Q0FLRS5JUV9DQVBFWF9NRURJQU5fRVNULjEwMDEuMzEvMTIvMjAxOS4uRi5VU0QuQwEAAAAI</t>
  </si>
  <si>
    <t>4AQAAgAAAAktOTAuMzQyMjYBDgAAAAUAAAABMwEAAAABMAIAAAAKMTAwMjIyNDIyMQMAAAAGMTA0MDkxBAAAAAEyBgAAAAEwBwAAAAMxNjAIAAAAATEJAAAAATEKAAAAATALAAAACzExNjU5MDkyNTAzDAAAAAExDQAAAAgxLzEvMjAyMBAAAAAJOC8xNi8yMDIwOzyWd/JB2Aj5M+Z48kHYCCJDSVEuTllTRTpSQUNFLklRX1ZPTFVNRS4xNS8xMS8yMDE5AQAAAD2CsBACAAAACDAuMjEzNTQyACVhtVPyQdgI82u8cvJB2Ag1Q0lRQVZHLiRBRURHQlAuSVFfTEFTVFNBTEVQUklDRS4yNC8wMi8yMDE4LjIzLzAyLzIwMTkBAAAAJetaAAIAAAAINC44NTExMTMA6pbKTPJB2AhllF928kHYCC5DSVEuTllTRTpLTy5JUV9JTkNfVEFYLjk5OC4zMS8xMi8yMDE5Li5GLlVTRC5DAQAAABJoAAACAAAABDE1ODYBCAAAAAUAAAABMQEAAAAKMTk0NjQzMDc4MgMAAAADMTYwAgAAAAI3NQQAAAABMQcAAAAKMTIvMzEvMjAxOQgAAAAJOC8xNi8yMDIwCQAAAAEw3O2Vd/JB2Aho2+l48kHYCEVDSVEuTkFTREFRR1M6VFNMQS5JUV9NSU5PUklUWV9JTlRFUkVTVF9UT1RBTC4xMDAwLjMwLzA0LzIwMjAuLkYuVVNELkMBAAAAEMaiAQIAAAAEMTQ5MgEIAAAABQAAAAExAQAAAAoyMDEzOTA3NDYwAwAAAAMxNjACAAAABDEzMTIEAAAAATEHAAAACTQvMzAvMjAyMAgAAAAJOC8xNi8yMDIwCQAAAAEwvFgHS/JB2AjKTplZ8kHYCDRDSVEu</t>
  </si>
  <si>
    <t>TllTRTpSQUNFLklRX1BSRUZfRVFVSVRZLjk5Ny4zMC8wNC8yMDIwLi5GLkVVUi5DAQAAAD2CsBADAAAAAADZCgdL8kHYCLKVm1nyQdgIKENJUS5MU0U6VFNDTy5JUV9MQVNUU0FMRVBSSUNFLjA5LzA4LzIwMTkBAAAAMFAGAAIAAAAFMi4xODIA0YN+U/JB2AiXWylx8kHYCCxDSVEuTllTRTpLTy5JUV9DQVBFWC45OTcuMzEvMTIvMjAxOS4uRi5VU0QuQwEAAAASaAAAAgAAAAUtMjU1MwEIAAAABQAAAAExAQAAAAoxODc1Nzk3ODA5AwAAAAMxNjACAAAABDIwMjEEAAAAATEHAAAACjEyLzMxLzIwMTkIAAAACTgvMTYvMjAyMAkAAAABMNoUlnfyQdgIKnHlePJB2AgxQ0lRLk5ZU0U6UkFDRS5JUV9TSEFSRVNPVVRTVEFORElORy4zMS8xMi8yMDE4LkVVUgEAAAA9grAQAgAAAAoxODcuOTIwNjU2ABUiykzyQdgIss1gdvJB2AgpQ0lRLk5ZU0U6TUFOVS5JUV9MQVNUU0FMRVBSSUNFLjMxLzEyLzIwMTkBAAAA3WsNAAIAAAAFMTkuOTMAAeh9U/JB2Ag0iC5x8kHYCC1DSVEuTllTRTpNQU5VLklRX0VCVC4xMDAwLjMwLzA0LzIwMjAuLkYuR0JQLkMBAAAA3WsNAAIAAAAGMjcuNDc2AQgAAAAFAAAAATEBAAAACjE5ODU4NDUwNjMDAAAAAjU1AgAAAAMxMzkEAAAAATEHAAAACTQvMzAvMjAyMAgAAAAJOC8xNi8yMDIwCQAAAAEw/2/KTPJB2Ajk7qVZ8kHYCDFDSVEuTFNFOlNGT1IuSVFfVE9UQUxfUkVWLjk5Ni4zMS8x</t>
  </si>
  <si>
    <t>Mi8yMDE5Li5GLkdCUC5DAQAAAMtT5CEDAAAAAAAe+xd48kHYCI7t8XjyQdgIGUNJUS4uSVFfVk9MVU1FLjE0LzEyLzIwMTgFAAAAAAAAAAgAAAAUKEludmFsaWQgSWRlbnRpZmllcim6bX9T8kHYCAiIIHHyQdgIJENJUS5eQVNYLklRX0xBU1RTQUxFUFJJQ0UuMjEvMDIvMjAyMAEAAAAfU+sBAgAAAAs0MTMyLjcwNjk2NQBJBTNS8kHYCAELv1nyQdgIJENJUS5eU1BYLklRX0xBU1RTQUxFUFJJQ0UuMTQvMDIvMjAyMAEAAACbuCgAAgAAABAzMzgwLjE1NzM3NTUzMjEzAEkFM1LyQdgIMnq6WfJB2Ag8Q0lRLk5ZU0U6TUFOVS5JUV9SRVZFTlVFX01FRElBTl9FU1QuNjAwMC4zMS8xMi8yMDE5Li5GLkdCUC5DAQAAAN1rDQACAAAACDU4NS45OTYxAQ4AAAAFAAAAAjExAQAAAAEwAgAAAAczNjE3ODg0AwAAAAYxMDAxODEEAAAAATMGAAAAATAHAAAAAjU1CAAAAAExCQAAAAExCgAAAAEwCwAAAAsxMTY5MjcyNDY0NwwAAAACMTINAAAACDEvMS8yMDIwEAAAAAk4LzE2LzIwMjDzSBh48kHYCIP88njyQdgILENJUS5MU0U6VFNDTy5JUV9QRVJJT0REQVRFLjk5Ny4zMC8wNC8yMDIwLi5GAQAAADBQBgAFAAAACjI1LzAyLzIwMTcAsa8kVfJB2Aj0LYFZ8kHYCDRDSVFBVkcuSVExMDA4ODk5NDMuSVFfTEFTVFNBTEVQUklDRS40MDI5OC4zMC8wNC8yMDIwAQAAAFd1AwYCAAAADzAuNzM3MTYzMjk0Mjg0NwCqJCVV8kHY</t>
  </si>
  <si>
    <t>CGW8hlnyQdgIJkNJUS5OQVNEQVFHUzpUU0xBLklRX1ZPTFVNRS4wNS8wNy8yMDE5AQAAABDGogECAAAACDcuMDY1NzM4AKPWJFXyQdgIg7/BcvJB2AgiQ0lRLk5ZU0U6UkFDRS5JUV9WT0xVTUUuMTAvMDEvMjAyMAEAAAA9grAQAgAAAAgwLjYwMjE4OQDZObVT8kHYCAESdlnyQdgIFkNJUS4uSVFfTEFTVFNBTEVQUklDRS4FAAAAAAAAAAgAAAAUKEludmFsaWQgSWRlbnRpZmllcillHMNa8kHYCNp38HDyQdgIJENJUS5eQVNYLklRX0xBU1RTQUxFUFJJQ0UuMTcvMDUvMjAxOQEAAAAfU+sBAgAAAAk0MDI1LjI3MjQAfKuFUfJB2Ajdbxpz8kHYCDBDSVEuTFNFOlRTQ08uSVFfQ09TVF9SRVYuOTk4LjMwLzA0LzIwMjAuLkYuR0JQLkMBAAAAMFAGAAIAAAAFNTQ3NzIBCAAAAAUAAAABMQEAAAAKMTk2ODczNjU1OQMAAAACNTUCAAAAATEEAAAAATEHAAAACTQvMzAvMjAyMAgAAAAJOC8xNi8yMDIwCQAAAAEwyTEHS/JB2AjCFZ9Z8kHYCChDSVEuTFNFOlRTQ08uSVFfTEFTVFNBTEVQUklDRS4zMC8wOS8yMDE5AQAAADBQBgACAAAABDIuNDEAAeh9U/JB2AinxS1x8kHYCCBDSVEuLklRX0xBU1RTQUxFUFJJQ0UuMDkvMDMvMjAxOAUAAAAAAAAACAAAABQoSW52YWxpZCBJZGVudGlmaWVyKVRa3HTyQdgIFsY/dvJB2Ag0Q0lRLk5ZU0U6UkFDRS5JUV9UT1RBTF9MSUFCLjIwMDAuMzEvMTIvMjAxOS4uRi5FVVIuQwEA</t>
  </si>
  <si>
    <t>AAA9grAQAgAAAAczOTQ1Ljc0AQgAAAAFAAAAATEBAAAACjE5OTA0MjM2ODcDAAAAAjUwAgAAAAQxMjc2BAAAAAExBwAAAAoxMi8zMS8yMDE5CAAAAAk4LzE2LzIwMjAJAAAAATCE1Bd48kHYCPHh9XjyQdgIIENJUS4uSVFfTEFTVFNBTEVQUklDRS4wNi8wNy8yMDE4BQAAAAAAAAAIAAAAFChJbnZhbGlkIElkZW50aWZpZXIpvVA3UfJB2AhaEnRz8kHYCC5DSVEuTFNFOlRTQ08uSVFfRUJJVERBLjk5OC4zMS8xMi8yMDE5Li5GLkdCUC5DAQAAADBQBgACAAAABDI0NzEBCAAAAAUAAAABMQEAAAAKMTg4ODUyNTA3NAMAAAACNTUCAAAABDQwNTEEAAAAATEHAAAACjEyLzMxLzIwMTkIAAAACTgvMTYvMjAyMAkAAAABMB4iGHjyQdgIzkTuePJB2AgpQ0lRLk5ZU0U6TUFOVS5JUV9MQVNUU0FMRVBSSUNFLjAyLzAyLzIwMTgBAAAA3WsNAAIAAAAEMjAuMQAoK0J18kHYCOXyWXbyQdgIIkNJUS5OWVNFOlJBQ0UuSVFfVk9MVU1FLjI4LzA2LzIwMTkBAAAAPYKwEAIAAAAIMC4xOTEyMDIAJWG1U/JB2AgR97ty8kHYCDtDSVEuTkFTREFRR1M6VFNMQS5JUV9OSV9NRURJQU5fRVNULjEwMDIuMzAvMDQvMjAyMC4uRi5VU0QuQwEAAAAQxqIBAgAAAAYyNDE4LjQBDgAAAAUAAAABMwEAAAABMAIAAAAKMTAwMTU1NjY0MQMAAAAGMTAwMjUxBAAAAAEyBgAAAAEwBwAAAAMxNjAIAAAAATEJAAAAATEKAAAAATALAAAACzExOTAw</t>
  </si>
  <si>
    <t>ODIyMjAyDAAAAAExDQAAAAg1LzEvMjAyMBAAAAAJOC8xNi8yMDIwpH8HS/JB2AhWm6dZ8kHYCCRDSVEuXlNQWC5JUV9MQVNUU0FMRVBSSUNFLjEwLzA1LzIwMTkBAAAAm7goAAIAAAAQMjg4MS40MDA1MTAzMjc2NwCgnjdR8kHYCObTEnPyQdgIJ0NJUS4kQUVER0JQLklRX0xBU1RTQUxFUFJJQ0UuMjQvMDIvMjAxOAEAAAAl61oAAgAAAAs1LjEzNDQxMzQ4NwAVIspM8kHYCAPTXnbyQdgIJUNJUS5eQ09NUC5JUV9MQVNUU0FMRVBSSUNFLjI2LzAxLzIwMTgBAAAAibgoAAIAAAAHNzUwNS43NwDYLd508kHYCLgERnbyQdgIKUNJUS5OWVNFOlJBQ0UuSVFfTEFTVFNBTEVQUklDRS4xNy8wNS8yMDE5AQAAAD2CsBACAAAABjE0Mi4zOADBqn5T8kHYCFOeJnHyQdgIOUNJUS5OQVNEQVFHUzpDQUtFLklRX1BSSUNFX1RBUkdFVC42MDAwLjMxLzEyLzIwMTkuLi5VU0QuQwEAAAAI4AQAAgAAAAg0Ni4xNjY2NwEOAAAABQAAAAE3AQAAAAcyNTk5Njk1AgAAAAYyNzM4ODgDAAAABjEwMDE2MQQAAAADMjU1BgAAAAEwBwAAAAMxNjAIAAAAATEJAAAAATEKAAAAATALAAAACzExNzI0MTEwMjUxDAAAAAE4DQAAAAgxLzEvMjAyMBAAAAAJOC8xNi8yMDIwHiIYePJB2AjUxQB58kHYCC9DSVEuTkFTREFRR1M6VFNMQS5JUV9GSVNDQUxfWS41MDAuMzEvMTIvMjAxOS4uRgEAAAAQxqIBAQAAAAQyMDE5AN8G3nTyQdgIZcdGdvJB</t>
  </si>
  <si>
    <t>2AgnQ0lRLiRBRURLUFcuSVFfTEFTVFNBTEVQUklDRS4zMC8wNC8yMDE5AQAAACXrWgACAAAACzAuMDA0MDgxMTExAKokJVXyQdgISRiDWfJB2Ag2Q0lRLkxTRTpUU0NPLklRX0RBX01FRElBTl9FU1QuNjAwMS4zMS8xMi8yMDE5Li5GLkdCUC5DAQAAADBQBgADAAAAAADaFJZ38kHYCHsH6HjyQdgIJ0NJUS4kQUVERVVSLklRX0xBU1RTQUxFUFJJQ0UuMzAvMDkvMjAxOQEAAAAl61oAAgAAAAs0LjAwNTAxNTgxMQBHYBd48kHYCNdiAXnyQdgILUNJUS5OQVNEQVFHUzpUU0xBLklRX0xBU1RTQUxFUFJJQ0UuMjAvMTIvMjAxOQEAAAAQxqIBAgAAAAY0MDUuNTkACA9+U/JB2AhEYS5x8kHYCCdDSVEuTllTRTpLTy5JUV9MQVNUU0FMRVBSSUNFLjMwLzA0LzIwMTkBAAAAEmgAAAIAAAAFNDkuMDYACA9+U/JB2Ai4tCxx8kHYCCZDSVEuTkFTREFRR1M6Q0FLRS5JUV9WT0xVTUUuMDMvMDUvMjAxOQEAAAAI4AQAAgAAAAgwLjg1ODA0MQCV/SRV8kHYCN6HwHLyQdgIIkNJUS5OWVNFOk1BTlUuSVFfVk9MVU1FLjEzLzA5LzIwMTkBAAAA3WsNAAIAAAAIMC4xNDUzMjkAlf0kVfJB2AhKxr9y8kHYCDpDSVEuTllTRTpLTy5JUV9SRVZFTlVFX01FRElBTl9FU1QuNjAwMC4zMC8wNC8yMDIwLi5GLlVTRC5DAQAAABJoAAACAAAACjMzNjQzLjU2NjcBDgAAAAUAAAACMTEBAAAAATACAAAACDc4ODg3NDk0AwAAAAYxMDAxODEE</t>
  </si>
  <si>
    <t>AAAAATIGAAAAATAHAAAAAzE2MAgAAAABMQkAAAABMQoAAAABMAsAAAALMTE4OTE1MTcxMTQMAAAAAjEyDQAAAAg1LzEvMjAyMBAAAAAJOC8xNi8yMDIw/2/KTPJB2AiBHJ1Z8kHYCCBDSVEuLklRX0xBU1RTQUxFUFJJQ0UuMjMvMDMvMjAxOAUAAAAAAAAACAAAABQoSW52YWxpZCBJZGVudGlmaWVyKVRa3HTyQdgIzK9AdvJB2AgvQ0lRLk5ZU0U6S08uSVFfQ09TVF9SRVYuOTk5LjMxLzEyLzIwMTkuLkYuVVNELkMBAAAAEmgAAAIAAAAFMTMyNTUBCAAAAAUAAAABMQEAAAAKMTk0NjQzMDc3OQMAAAADMTYwAgAAAAExBAAAAAExBwAAAAoxMi8zMS8yMDE5CAAAAAk4LzE2LzIwMjAJAAAAATAe+xd48kHYCFlR8XjyQdgILUNJUS5OQVNEQVFHUzpDQUtFLklRX0xBU1RTQUxFUFJJQ0UuMzAvMDkvMjAxNQEAAAAI4AQAAgAAAAU1My45NgC5lH9T8kHYCPuDInHyQdgIIENJUS4uSVFfTEFTVFNBTEVQUklDRS4zMC8wNi8yMDE3BQAAAAAAAAAIAAAAFChJbnZhbGlkIElkZW50aWZpZXIpnA+FUfJB2AhGvkRz8kHYCC1DSVEuTFNFOlNGT1IuSVFfQ0FQRVguOTk4LjMwLzA0LzIwMjAuLkYuR0JQLkMBAAAAy1PkIQMAAAAAAMkxB0vyQdgITberWfJB2AgiQ0lRLk5ZU0U6TUFOVS5JUV9WT0xVTUUuMDEvMDMvMjAxOQEAAADdaw0AAgAAAAgwLjAzODEzMgCkvH9T8kHYCDwCv3LyQdgIIENJUS4uSVFfTEFTVFNBTEVQUklD</t>
  </si>
  <si>
    <t>RS4xNi8wOC8yMDE5BQAAAAAAAAAIAAAAFChJbnZhbGlkIElkZW50aWZpZXIpnA+FUfJB2AgvIjZz8kHYCCRDSVEuXkFTWC5JUV9MQVNUU0FMRVBSSUNFLjMwLzA5LzIwMTYBAAAAH1PrAQIAAAALMzc1NS4zMzU1NDIAfKuFUfJB2AgDrgtz8kHYCDJDSVEuTllTRTpSQUNFLklRX1RPVEFMX1JFVi45OTUuMzEvMTIvMjAxOS4uRi5FVVIuQwEAAAA9grAQAgAAAAcyMzM1LjI3AQgAAAAFAAAAATEBAAAACjE3Nzc5NzIxODkDAAAAAjUwAgAAAAIyOAQAAAABMQcAAAAKMTIvMzEvMjAxOQgAAAAJOC8xNi8yMDIwCQAAAAEwHvsXePJB2AiHn/F48kHYCDFDSVEuTkFTREFRR1M6VFNMQS5JUV9QUklDRV9WT0xfSElTVF9ZUi4zMC8wNC8yMDIwAQAAABDGogECAAAABzgwLjEwNTMA4hIkVfJB2AiRx4lZ8kHYCDtDSVEuTllTRTpNQU5VLklRX1RPVEFMX0RFQlRfQ1VSUkVOVC45OTguMzEvMTIvMjAxOS4uRi5HQlAuQwEAAADdaw0AAgAAAAU1LjcyNAEIAAAABQAAAAExAQAAAAoxOTg1ODQ1MDQ1AwAAAAI1NQIAAAAFMjUyMjMEAAAAATEHAAAACjEyLzMxLzIwMTkIAAAACTgvMTYvMjAyMAkAAAABMBytF3jyQdgIVSv5ePJB2AgpQ0lRLk5ZU0U6UkFDRS5JUV9MQVNUU0FMRVBSSUNFLjA5LzA4LzIwMTkBAAAAPYKwEAIAAAAGMTU4Ljg3ANGDflPyQdgIl1spcfJB2AgyQ0lRLk5BU0RBUUdTOlRTTEEuSVFfQ0FQRVguOTk5</t>
  </si>
  <si>
    <t>LjMxLzEyLzIwMTkuLkYuVVNELkMBAAAAEMaiAQIAAAAJLTQwODEuMzU0AQgAAAAFAAAAATEBAAAACjE5NDU4NzM1NTADAAAAAzE2MAIAAAAEMjAyMQQAAAABMQcAAAAKMTIvMzEvMjAxOQgAAAAJOC8xNi8yMDIwCQAAAAEw2hSWd/JB2AgVv+V48kHYCBlDSVEuLklRX1ZPTFVNRS4wMy8wNC8yMDIwBQAAAAAAAAAIAAAAFChJbnZhbGlkIElkZW50aWZpZXIp2Tm1U/JB2AhJKHVZ8kHYCDFDSVFBVkcuJVRDTVNZMTAuSVFfTEFTVFNBTEVQUklDRS40MDE3OC4zMS8xMi8yMDE5AQAAAB0fKAICAAAAEDIuNDA1NDgxODA3Mjc3MDkAQVJCdfJB2AjYfUt28kHYCCFDSVEuTFNFOlNGT1IuSVFfVk9MVU1FLjIyLzAzLzIwMTkBAAAAy1PkIQIAAAAIMC4wODQwNzEAuZR/U/JB2Ajaubxy8kHYCCxDSVEuTllTRTpNQU5VLklRX0ZJTElOR19DVVJSRU5DWS4uMzEvMTIvMjAxOQEAAADdaw0AAwAAAANHQlAA/gNCdfJB2Aj0wF128kHYCCVDSVEuXkNPTVAuSVFfTEFTVFNBTEVQUklDRS4wOC8wMi8yMDE5AQAAAIm4KAACAAAABjcyOTguMgCKxTdR8kHYCNLIFnPyQdgIJENJUS5eU1BYLklRX0xBU1RTQUxFUFJJQ0UuMjEvMDIvMjAyMAEAAACbuCgAAgAAABAzMzM3Ljc0NzAxNzg3NzQ3AEkFM1LyQdgIMnq6WfJB2AglQ0lRLl5DT01QLklRX0xBU1RTQUxFUFJJQ0UuMzEvMDEvMjAxNQEAAACJuCgAAgAAAAc0NjM1LjI0ANgt</t>
  </si>
  <si>
    <t>3nTyQdgIkHlGdvJB2AghQ0lRLkxTRTpTRk9SLklRX1ZPTFVNRS4wNS8wMS8yMDE4AQAAAMtT5CEDAAAAAAAoK0J18kHYCJpjXHbyQdgIKUNJUS5OWVNFOk1BTlUuSVFfTEFTVFNBTEVQUklDRS4wNC8wNS8yMDE4AQAAAN1rDQACAAAABTE5LjU1ACnmhVLyQdgIyMIFcfJB2AgpQ0lRLk5BU0RBUUdTOlRTTEEuSVFfQlVTSU5FU1NfREVTQ1JJUFRJT04BAAAAEMaiAQMAAACaClRlc2xhLCBJbmMuIGRlc2lnbnMsIGRldmVsb3BzLCBtYW51ZmFjdHVyZXMsIGxlYXNlcywgYW5kIHNlbGxzIGVsZWN0cmljIHZlaGljbGVzLCBhbmQgZW5lcmd5IGdlbmVyYXRpb24gYW5kIHN0b3JhZ2Ugc3lzdGVtcyBpbiB0aGUgVW5pdGVkIFN0YXRlcywgQ2hpbmEsIE5ldGhlcmxhbmRzLCBOb3J3YXksIGFuZCBpbnRlcm5hdGlvbmFsbHkuIFRoZSBjb21wYW55IG9wZXJhdGVzIGluIHR3byBzZWdtZW50cywgQXV0b21vdGl2ZTsgYW5kIEVuZXJneSBHZW5lcmF0aW9uIGFuZCBTdG9yYWdlLiBUaGUgQXV0b21vdGl2ZSBzZWdtZW50IG9mZmVycyBzZWRhbnMgYW5kIHNwb3J0IHV0aWxpdHkgdmVoaWNsZXMuIEl0IGFsc28gcHJvdmlkZXMgZWxlY3RyaWMgcG93ZXJ0cmFpbiBjb21wb25lbnRzIGFuZCBzeXN0ZW1zOyBhbmQgc2VydmljZXMgZm9yIGVsZWN0cmljIHZlaGljbGVzIHRocm91Z2ggaXRzIGNvbXBhbnktb3duZWQgc2Vy</t>
  </si>
  <si>
    <t>dmljZSBsb2NhdGlvbnMsIGFuZCBUZXNsYSBtb2JpbGUgc2VydmljZSB0ZWNobmljaWFucywgYXMgd2VsbCBhcyBzZWxscyB1c2VkIHZlaGljbGVzLiBUaGlzIHNlZ21lbnQgbWFya2V0cyBhbmQgc2VsbHMgaXRzIHByb2R1Y3RzIHRocm91Z2ggYSBuZXR3b3JrIG9mIGNvbXBhbnktb3duZWQgc3RvcmVzIGFuZCBnYWxsZXJpZXMsIGFzIHdlbGwgYXMgdGhyb3VnaCBpdHMgb3duIFdlYnNpdGUuIFRoZSBFbmVyZ3kgR2VuZXJhdGlvbiBhbmQgU3RvcmFnZSBzZWdtZW50IG9mZmVycyBlbmVyZ3kgc3RvcmFnZSBwcm9kdWN0cywgc3VjaCBhcyByZWNoYXJnZWFibGUgbGl0aGl1bS1pb24gYmF0dGVyeSBzeXN0ZW1zIGZvciB1c2UgaW4gaG9tZXMsIGluZHVzdHJpYWwsIGNvbW1lcmNpYWwgZmFjaWxpdGllcywgYW5kIHV0aWxpdHkgZ3JpZHM7IGFuZCBkZXNpZ25zLCBtYW51ZmFjdHVyZXMsIGluc3RhbGxzLCBtYWludGFpbnMsIGxlYXNlcywgYW5kIHNlbGxzIHNvbGFyIGVuZXJneSBnZW5lcmF0aW9uIGFuZCBlbmVyZ3kgc3RvcmFnZSBwcm9kdWN0cyB0byByZXNpZGVudGlhbCBhbmQgY29tbWVyY2lhbCBjdXN0b21lcnMuIEl0IGFsc28gcHJvdmlkZXMgdmVoaWNsZSBpbnN1cmFuY2Ugc2VydmljZXMsIGFzIHdlbGwgYXMgcmVuZXdhYmxlIGVuZXJneS4gVGhlIGNvbXBhbnkgd2FzIGZvcm1lcmx5IGtub3du</t>
  </si>
  <si>
    <t>IGFzIFRlc2xhIE1vdG9ycywgSW5jLiBhbmQgY2hhbmdlZCBpdHMgbmFtZSB0byBUZXNsYSwgSW5jLiBpbiBGZWJydWFyeSAyMDE3LiBUZXNsYSwgSW5jLiB3YXMgZm91bmRlZCBpbiAyMDAzIGFuZCBpcyBoZWFkcXVhcnRlcmVkIGluIFBhbG8gQWx0bywgQ2FsaWZvcm5pYS4A/DokVfJB2AiRx4lZ8kHYCCxDSVEuTFNFOlRTQ08uSVFfU0dBLjIwMDAuMzEvMTIvMjAxOS4uRi5HQlAuQwEAAAAwUAYAAgAAAAQxMzIyAQgAAAAFAAAAATEBAAAACjE5ODY3OTMyNDADAAAAAjU1AgAAAAIyMwQAAAABMQcAAAAKMTIvMzEvMjAxOQgAAAAJOC8xNi8yMDIwCQAAAAEwHiIYePJB2Ah8GfB48kHYCCRDSVEuTFNFOlRTQ08uSVFfU1BfTENfTFQuLjMwLzA0LzIwMjABAAAAMFAGAAMAAAAEQkJCLQD8OiRV8kHYCFBjg1nyQdgIKUNJUS5OWVNFOlJBQ0UuSVFfTEFTVFNBTEVQUklDRS4yNy8wOS8yMDE5AQAAAD2CsBACAAAABjE1Mi4xMgAFXX5T8kHYCHCHK3HyQdgIIENJUS4uSVFfTEFTVFNBTEVQUklDRS4yOC8wMi8yMDE3BQAAAAAAAAAIAAAAFChJbnZhbGlkIElkZW50aWZpZXIpkjaFUfJB2AjQ6klz8kHYCB1DSVEuTllTRTpLTy5JUV9URVYuMzEvMTIvMjAxOQEAAAASaAAAAgAAAA0yNjk5MzMuNTk3NzE2AQYAAAAFAAAAATEBAAAACjE5ODg4MDEwNDEDAAAAAzE2MAIAAAAGMTAwMDYwBAAAAAEwBwAAAAoxMi8zMS8y</t>
  </si>
  <si>
    <t>MDE5QVJCdfJB2AhQ/0528kHYCCdDSVEuJEFFRFBIUC5JUV9MQVNUU0FMRVBSSUNFLjMxLzEyLzIwMTkBAAAAJetaAAIAAAALMC4wNzI0MTcxOTIA/gNCdfJB2AjIj0x28kHYCChDSVEuTFNFOlRTQ08uSVFfTEFTVFNBTEVQUklDRS4zMS8wNy8yMDE5AQAAADBQBgACAAAABTIuMjMzAAgPflPyQdgIiFAtcfJB2AgpQ0lRLk5ZU0U6TUFOVS5JUV9MQVNUU0FMRVBSSUNFLjIzLzExLzIwMTgBAAAA3WsNAAIAAAAFMTguNjUAx+J/U/JB2Ah8tB5x8kHYCC1DSVEuTllTRTpLTy5JUV9FQklUREEuOTk2LjMwLzA0LzIwMjAuLkYuVVNELkMBAAAAEmgAAAIAAAAFMTIyMTABCAAAAAUAAAABMQEAAAAKMTg3NTc5NzgwOQMAAAADMTYwAgAAAAQ0MDUxBAAAAAExBwAAAAk0LzMwLzIwMjAIAAAACTgvMTYvMjAyMAkAAAABMANJykzyQdgIlVijWfJB2Ag9Q0lRLk5BU0RBUUdTOkNBS0UuSVFfTE9XX1RBUkdFVF9QUklDRS42MDAwLjMwLzA0LzIwMjAuLi5VU0QuQwEAAAAI4AQAAgAAAAIxMwEOAAAABQAAAAE3AQAAAAcyNTk5Njk1AgAAAAYyNzM4ODgDAAAABjEwMDE2NAQAAAADMjU1BgAAAAEwBwAAAAMxNjAIAAAAATEJAAAAATEKAAAAATALAAAACzExOTAyMzkzMjIzDAAAAAE4DQAAAAg1LzEvMjAyMBAAAAAJOC8xNi8yMDIw/2/KTPJB2AgFaY9Z8kHYCCRDSVEuXkFTWC5JUV9MQVNUU0FMRVBSSUNFLjMwLzExLzIwMTcB</t>
  </si>
  <si>
    <t>AAAAH1PrAQIAAAAKNDAzMy44Mzg3MQC1vDdS8kHYCAFgC3PyQdgIOENJUS5MU0U6VFNDTy5JUV9MT1dfVEFSR0VUX1BSSUNFLjYwMDAuMzEvMTIvMjAxOS4uLkdCUC5DAQAAADBQBgACAAAAAzIuMgEOAAAABQAAAAE3AQAAAAgyMDE1Nzg3OQIAAAAGNDExNjgwAwAAAAYxMDAxNjQEAAAAAzI1NQYAAAABMAcAAAACNTUIAAAAATEJAAAAATEKAAAAATALAAAACzExNzEyMjM0OTA0DAAAAAE4DQAAAAgxLzEvMjAyMBAAAAAJOC8xNi8yMDIwHiIYePJB2Ag4UgB58kHYCCZDSVEuTkFTREFRR1M6Q0FLRS5JUV9WT0xVTUUuMTYvMTEvMjAxOAEAAAAI4AQAAgAAAAgxLjIxODg4NwDH4n9T8kHYCKvxHXHyQdgIGUNJUS4uSVFfVk9MVU1FLjA5LzAyLzIwMTgFAAAAAAAAAAgAAAAUKEludmFsaWQgSWRlbnRpZmllcikY3UF18kHYCPDLWXbyQdgIPUNJUS5OQVNEQVFHUzpDQUtFLklRX0VCSVRfTUVESUFOX0VTVC4xMDAyLjMxLzEyLzIwMTkuLkYuVVNELkMBAAAACOAEAAIAAAAJMTQzLjUyNzQ2AQ4AAAAFAAAAATMBAAAAATACAAAACjEwMDIyMjQyMjIDAAAABjEwMDIxNgQAAAABMgYAAAABMAcAAAADMTYwCAAAAAExCQAAAAExCgAAAAEwCwAAAAsxMTc5OTM4MTM1MgwAAAABMQ0AAAAIMS8xLzIwMjAQAAAACTgvMTYvMjAyMPNIGHjyQdgI/KjtePJB2AgpQ0lRLk5ZU0U6UkFDRS5JUV9MQVNUU0FMRVBSSUNFLjE2LzAz</t>
  </si>
  <si>
    <t>LzIwMTgBAAAAPYKwEAIAAAAGMTIxLjk0ACgrQnXyQdgI9yRWdvJB2AgpQ0lRLklRMjY2ODY0Mi5JUV9MQVNUU0FMRVBSSUNFLjMxLzEyLzIwMTkBAAAAYrgoAAIAAAADMy45AN8G3nTyQdgIn9JJdvJB2AgnQ0lRLkxTRTpUU0NPLklRX0JFVEFfMllSX1JTUS4zMS8xMi8yMDE5AQAAADBQBgACAAAAETAuMTk5MTgzOTMwMDQ1MjU2AN8G3nTyQdgIVmNHdvJB2AgtQ0lRLk5BU0RBUUdTOkNBS0UuSVFfTEFTVFNBTEVQUklDRS4zMS8xMC8yMDE1AQAAAAjgBAACAAAABDQ4LjIAuZR/U/JB2Aj/qiJx8kHYCDlDSVEuTkFTREFRR1M6VFNMQS5JUV9UT1RBTF9BU1NFVFMuOTk5LjMxLzEyLzIwMTkuLkYuVVNELkMBAAAAEMaiAQIAAAAJMjg2NTUuMzcyAQgAAAAFAAAAATEBAAAACjE5NDU4NzM1NTADAAAAAzE2MAIAAAAEMTAwNwQAAAABMQcAAAAKMTIvMzEvMjAxOQgAAAAJOC8xNi8yMDIwCQAAAAEwO4YXePJB2AhcS/t48kHYCC1DSVEuTkFTREFRR1M6VFNMQS5JUV9MQVNUU0FMRVBSSUNFLjMxLzAzLzIwMTgBAAAAEMaiAQIAAAAGMjY2LjEzAAVdflPyQdgIMjYpcfJB2AghQ0lRLkxTRTpTRk9SLklRX1ZPTFVNRS4yMS8xMi8yMDE4AQAAAMtT5CECAAAACDAuMDM5MzA0AMfif1PyQdgIXnMhcfJB2AgtQ0lRLk5BU0RBUUdTOlRTTEEuSVFfTEFTVFNBTEVQUklDRS4yOS8xMS8yMDE5AQAAABDGogECAAAABjMyOS45</t>
  </si>
  <si>
    <t>NADoNX5T8kHYCHeeLXHyQdgIKENJUS5MU0U6VFNDTy5JUV9MQVNUU0FMRVBSSUNFLjA2LzAzLzIwMjABAAAAMFAGAAIAAAAFMi40MDYAAeh9U/JB2AjruF1Z8kHYCClDSVEuSVEyNjY4NjQxLklRX0xBU1RTQUxFUFJJQ0UuMzAvMDQvMjAyMAEAAABhuCgAAgAAAAQyLjk2AKPWJFXyQdgIZbyGWfJB2AgoQ0lRLkxTRTpTRk9SLklRX0xBU1RTQUxFUFJJQ0UuMjYvMDQvMjAxOQEAAADLU+QhAgAAAAUxLjM3NQC5lH9T8kHYCA4EJnHyQdgIJ0NJUS4kQUVETk9LLklRX0xBU1RTQUxFUFJJQ0UuMzAvMDQvMjAxOQEAAAAl61oAAgAAAAswLjQyNDc4MTQyMgCqJCVV8kHYCNsPhVnyQdgIM0NJUS5OQVNEQVFHUzpDQUtFLklRX0RBX0NGLjIwMDAuMzAvMDQvMjAyMC4uRi5VU0QuQwEAAAAI4AQAAgAAAAY4Ny4yMzMBCAAAAAUAAAABMQEAAAAKMjAyMTU4MjcwNAMAAAADMTYwAgAAAAQyMTYwBAAAAAExBwAAAAk0LzMwLzIwMjAIAAAACTgvMTYvMjAyMAkAAAABMP9vykzyQdgIxrypWfJB2Ag7Q0lRLkxTRTpUU0NPLklRX1RPVEFMX0RFQlRfQ1VSUkVOVC4xMDAwLjMwLzA0LzIwMjAuLkYuR0JQLkMBAAAAMFAGAAIAAAAEMjA4OAEIAAAABQAAAAExAQAAAAoyMDI2NTA3MzA5AwAAAAI1NQIAAAAFMjUyMjMEAAAAATEHAAAACTQvMzAvMjAyMAgAAAAJOC8xNi8yMDIwCQAAAAEwyTEHS/JB2AgdaZZZ8kHYCCBDSVEuTllT</t>
  </si>
  <si>
    <t>RTpLTy5JUV9WT0xVTUUuMTIvMTAvMjAxOAEAAAASaAAAAgAAAAgxMi40MjAwOABDmIVS8kHYCC+mFXHyQdgIJUNJUS5OWVNFOk1BTlUuSVFfQlVTSU5FU1NfREVTQ1JJUFRJT04BAAAA3WsNAAMAAACNC01hbmNoZXN0ZXIgVW5pdGVkIHBsYywgdG9nZXRoZXIgd2l0aCBpdHMgc3Vic2lkaWFyaWVzLCBvd25zIGFuZCBvcGVyYXRlcyBhIHByb2Zlc3Npb25hbCBzcG9ydHMgdGVhbSBpbiB0aGUgVW5pdGVkIEtpbmdkb20uIFRoZSBjb21wYW55IG9wZXJhdGVzIE1hbmNoZXN0ZXIgVW5pdGVkIEZvb3RiYWxsIENsdWIsIGEgcHJvZmVzc2lvbmFsIGZvb3RiYWxsIGNsdWIuIEl0IGRldmVsb3BzIG1hcmtldGluZyBhbmQgc3BvbnNvcnNoaXAgcmVsYXRpb25zaGlwcyB3aXRoIGludGVybmF0aW9uYWwgYW5kIHJlZ2lvbmFsIGNvbXBhbmllcyB0byBsZXZlcmFnZSBpdHMgYnJhbmQuIFRoZSBjb21wYW55IGFsc28gbWFya2V0cyBhbmQgc2VsbHMgc3BvcnRzIGFwcGFyZWwsIHRyYWluaW5nIGFuZCBsZWlzdXJlIHdlYXIsIGFuZCBvdGhlciBjbG90aGluZyBmZWF0dXJpbmcgdGhlIE1hbmNoZXN0ZXIgVW5pdGVkIGJyYW5kOyBhbmQgc2VsbHMgb3RoZXIgbGljZW5zZWQgcHJvZHVjdHMsIHN1Y2ggYXMgY29mZmVlIG11Z3MgYW5kIGJlZCBzcHJlYWRzIGZlYXR1cmluZyB0aGUgTWFuY2hlc3RlciBVbml0ZWQgYnJh</t>
  </si>
  <si>
    <t>bmQgYW5kIHRyYWRlbWFya3MsIGFzIHdlbGwgYXMgZGlzdHJpYnV0ZXMgdGhlc2UgcHJvZHVjdHMgdGhyb3VnaCBNYW5jaGVzdGVyIFVuaXRlZCBicmFuZGVkIHJldGFpbCBjZW50ZXJzIGFuZCBlLWNvbW1lcmNlIHBsYXRmb3JtcywgYW5kIHRocm91Z2ggdGhlIGNvbXBhbnnigJlzIHBhcnRuZXJz4oCZIHdob2xlc2FsZSBkaXN0cmlidXRpb24gY2hhbm5lbHMuIEluIGFkZGl0aW9uLCBpdCBkaXN0cmlidXRlcyBsaXZlIGZvb3RiYWxsIGNvbnRlbnQgZGlyZWN0bHksIGFzIHdlbGwgYXMgdGhyb3VnaCBjb21tZXJjaWFsIHBhcnRuZXJzOyBicm9hZGNhc3RzIHRlbGV2aXNpb24gcmlnaHRzIHJlbGF0aW5nIHRvIHRoZSBQcmVtaWVyIExlYWd1ZSwgVW5pb24gb2YgRXVyb3BlYW4gRm9vdGJhbGwgQXNzb2NpYXRpb25zIGNvbXBldGl0aW9ucywgYW5kIG90aGVyIGNvbXBldGl0aW9uczsgYW5kIGRlbGl2ZXJzIE1hbmNoZXN0ZXIgVW5pdGVkIHByb2dyYW1taW5nIHRocm91Z2ggTVVUViB0ZWxldmlzaW9uIGNoYW5uZWwgdG8gdGVycml0b3JpZXMgd29ybGR3aWRlLiBGdXJ0aGVyLCB0aGUgY29tcGFueSBvZmZlcnMgYSBkaXJlY3QgdG8gY29uc3VtZXIgc3Vic2NyaXB0aW9uIG1vYmlsZSBhcHBsaWNhdGlvbiBpbiAxNjcgdGVycml0b3JpZXM7IGFuZCBvcGVyYXRlcyBPbGQgVHJhZmZvcmQsIGEgc3BvcnRz</t>
  </si>
  <si>
    <t>IHZlbnVlIHdpdGggNzQsOTg5IHNlYXRzLiBNYW5jaGVzdGVyIFVuaXRlZCBwbGMgd2FzIGZvdW5kZWQgaW4gMTg3OCBhbmQgaXMgYmFzZWQgaW4gTWFuY2hlc3RlciwgdGhlIFVuaXRlZCBLaW5nZG9tLiBNYW5jaGVzdGVyIFVuaXRlZCBwbGMgaXMgYSBzdWJzaWRpYXJ5IG9mIFJlZCBGb290YmFsbCBMTEMuAPw6JFXyQdgIsVKJWfJB2AgtQ0lRLk5ZU0U6S08uSVFfRUJJVERBLjk5Ni4zMS8xMi8yMDE5Li5GLlVTRC5DAQAAABJoAAACAAAABTEyODQzAQgAAAAFAAAAATEBAAAACjE4MjkyMzA5NTYDAAAAAzE2MAIAAAAENDA1MQQAAAABMQcAAAAKMTIvMzEvMjAxOQgAAAAJOC8xNi8yMDIwCQAAAAEwHiIYePJB2Aj9Hu548kHYCD1DSVEuTllTRTpSQUNFLklRX1RPVEFMX0NPTU1PTl9FUVVJVFkuMTAwMC4zMC8wNC8yMDIwLi5GLkVVUi5DAQAAAD2CsBACAAAABzE0ODEuMjkBCAAAAAUAAAABMQEAAAAKMjAxNTYzOTgyMgMAAAACNTACAAAABDEwMDYEAAAAATEHAAAACTQvMzAvMjAyMAgAAAAJOC8xNi8yMDIwCQAAAAEw2QoHS/JB2AiQCpxZ8kHYCCdDSVEuJEFFREVVUi5JUV9MQVNUU0FMRVBSSUNFLjMxLzEyLzIwMTkBAAAAJetaAAIAAAALNC4xMjE4NzE4NDQAFSLKTPJB2AgQXl528kHYCDlDSVEuTllTRTpSQUNFLklRX0VCSVRfTUVESUFOX0VTVC42MDAwLjMxLzEyLzIwMTkuLkYuRVVSLkMBAAAAPYKw</t>
  </si>
  <si>
    <t>EAIAAAAJMTA0Mi43MzU2AQ4AAAAFAAAAAjExAQAAAAEwAgAAAAcyNzY0NzM0AwAAAAYxMDAyMTYEAAAAATMGAAAAATAHAAAAAjUwCAAAAAExCQAAAAExCgAAAAEwCwAAAAsxMTY4NjY5MzAxMAwAAAACMTINAAAACDEvMS8yMDIwEAAAAAk4LzE2LzIwMjDzSBh48kHYCDWY7HjyQdgIMENJUS5OQVNEQVFHUzpUU0xBLklRX05JLjEwMDAuMzEvMTIvMjAxOS4uRi5VU0QuQwEAAAAQxqIBAgAAAAgtOTc2LjA5MQEIAAAABQAAAAExAQAAAAoxOTQ1ODczNTQ2AwAAAAMxNjACAAAAAjE1BAAAAAExBwAAAAoxMi8zMS8yMDE5CAAAAAk4LzE2LzIwMjAJAAAAATDc7ZV38kHYCD/K6HjyQdgIMkNJUS5MU0U6U0ZPUi5JUV9UT1RBTF9SRVYuMjAwMC4zMS8xMi8yMDE5Li5GLkdCUC5DAQAAAMtT5CECAAAACTk0LjAyMDAxNgEIAAAABQAAAAExAQAAAAoxOTYxMTE3NDAxAwAAAAI1NQIAAAACMjgEAAAAATEHAAAACjEyLzMxLzIwMTkIAAAACTgvMTYvMjAyMAkAAAABMB77F3jyQdgI3bDyePJB2AghQ0lRLkxTRTpTRk9SLklRX1ZPTFVNRS4yOS8wMy8yMDE5AQAAAMtT5CECAAAACDAuMDM2NjA2ALmUf1PyQdgI2rm8cvJB2AgjQ0lRLkxTRTpTRk9SLklRX0JFVEFfNVlSLjMwLzA0LzIwMjABAAAAy1PkIQMAAAAAAKPWJFXyQdgIz92IWfJB2AghQ0lRLkxTRTpTRk9SLklRX1ZPTFVNRS4wMy8wMS8yMDIwAQAAAMtT5CECAAAA</t>
  </si>
  <si>
    <t>CDAuMjk3NjkzAJX9JFXyQdgIvvt2WfJB2AgkQ0lRLl5BU1guSVFfTEFTVFNBTEVQUklDRS4yNC8wNS8yMDE5AQAAAB9T6wECAAAACzM5ODEuNjA3MjM0AHyrhVHyQdgI3W8ac/JB2AgpQ0lRLk5ZU0U6S08uSVFfTkkuOTk3LjMxLzEyLzIwMTkuLkYuVVNELkMBAAAAEmgAAAIAAAAENzM1MQEIAAAABQAAAAExAQAAAAoxODc1Nzk3ODA5AwAAAAMxNjACAAAAAjE1BAAAAAExBwAAAAoxMi8zMS8yMDE5CAAAAAk4LzE2LzIwMjAJAAAAATDaFJZ38kHYCFV86HjyQdgIM0NJUS5OQVNEQVFHUzpDQUtFLklRX0xBU1RTQUxFUFJJQ0UuMzAvMTIvMjAxNC5VU0QuQwEAAAAI4AQAAgAAAAU1MC41NQBHYBd48kHYCAvuAHnyQdgIMUNJUS5MU0U6U0ZPUi5JUV9UT1RBTF9SRVYuOTk3LjMwLzA0LzIwMjAuLkYuR0JQLkMBAAAAy1PkIQMAAAAAANkKB0vyQdgI7CueWfJB2AgnQ0lRLk5ZU0U6S08uSVFfTEFTVFNBTEVQUklDRS4xMS8xMC8yMDE5AQAAABJoAAACAAAABDUzLjMABV1+U/JB2AjfGCxx8kHYCENDSVEuTkFTREFRR1M6Q0FLRS5JUV9UT1RBTF9ERUJUX05PTl9DVVJSRU5ULjk5OS4zMS8xMi8yMDE5Li5GLlVTRC5DAQAAAAjgBAACAAAABzExOC42MjcBCAAAAAUAAAABMQEAAAAKMTk0ODE3NjY4MAMAAAADMTYwAgAAAAUyNTIyNAQAAAABMQcAAAAKMTIvMzEvMjAxOQgAAAAJOC8xNi8yMDIwCQAAAAEwHK0XePJB</t>
  </si>
  <si>
    <t>2AhSf/d48kHYCCtDSVEuTFNFOlNGT1IuSVFfR1AuMjAwMC4zMS8xMi8yMDE5Li5GLkdCUC5DAQAAAMtT5CECAAAACTYzLjcwOTcyNQEIAAAABQAAAAExAQAAAAoxOTYxMTE3NDAxAwAAAAI1NQIAAAACMTAEAAAAATEHAAAACjEyLzMxLzIwMTkIAAAACTgvMTYvMjAyMAkAAAABMB77F3jyQdgIl7XwePJB2AgiQ0lRLk5ZU0U6UkFDRS5JUV9WT0xVTUUuMDYvMDcvMjAxOAEAAAA9grAQAgAAAAgwLjIzOTUyOQA6v4VS8kHYCLmrDHHyQdgIJENJUS5eU1BYLklRX0xBU1RTQUxFUFJJQ0UuMTUvMDMvMjAxOQEAAACbuCgAAgAAABAyODIyLjQ3NjY0OTIzOTQ4AKCeN1HyQdgI6voSc/JB2AglQ0lRLl5DT01QLklRX0xBU1RTQUxFUFJJQ0UuMzEvMDgvMjAxNgEAAACJuCgAAgAAAAc1MjEzLjIyAHyrhVHyQdgIXScKc/JB2AggQ0lRLk5ZU0U6S08uSVFfVk9MVU1FLjE3LzA1LzIwMTkBAAAAEmgAAAIAAAAIMTEuMjU3MDIAo9YkVfJB2Ag40MJy8kHYCD5DSVEuTllTRTpLTy5JUV9UT1RBTF9ERUJUX05PTl9DVVJSRU5ULjIwMDAuMzEvMTIvMjAxOS4uRi5VU0QuQwEAAAASaAAAAgAAAAUzMjA4OAEIAAAABQAAAAExAQAAAAoxOTg4ODAxNTI2AwAAAAMxNjACAAAABTI1MjI0BAAAAAExBwAAAAoxMi8zMS8yMDE5CAAAAAk4LzE2LzIwMjAJAAAAATAcrRd48kHYCNTy93jyQdgII0NJUS4lVENNU00wMS5JUV9MQVNUU0FM</t>
  </si>
  <si>
    <t>RVBSSUNFLjQzNDY1AQAAAAUfKAICAAAABDIuNDQA3wbedPJB2AgV4kp28kHYCCZDSVEuTkFTREFRR1M6VFNMQS5JUV9DT01QQU5ZX05BTUVfTE9ORwEAAAAQxqIBAwAAABtUZXNsYSwgSW5jLiAoTmFzZGFxR1M6VFNMQSkAAeh9U/JB2AiWN2FZ8kHYCClDSVEuTllTRTpSQUNFLklRX0xBU1RTQUxFUFJJQ0UuMTQvMDkvMjAxOAEAAAA9grAQAgAAAAYxMzIuMTQAQ5iFUvJB2AhjEBNx8kHYCERDSVEuTkFTREFRR1M6VFNMQS5JUV9NSU5PUklUWV9JTlRFUkVTVF9UT1RBTC45OTkuMzAvMDQvMjAyMC4uRi5VU0QuQwEAAAAQxqIBAgAAAAQxMzkwAQgAAAAFAAAAATEBAAAACjIwMTM5MDc0NjMDAAAAAzE2MAIAAAAEMTMxMgQAAAABMQcAAAAJNC8zMC8yMDIwCAAAAAk4LzE2LzIwMjAJAAAAATC8WAdL8kHYCEp0mVnyQdgIMENJUS5MU0U6VFNDTy5JUV9UT1RBTF9DQS45OTcuMzAvMDQvMjAyMC4uRi5HQlAuQwEAAAAwUAYAAgAAAAUxNTQxNwEIAAAABQAAAAExAQAAAAoxODg4NTI1MDc0AwAAAAI1NQIAAAAEMTAwOAQAAAABMQcAAAAJNC8zMC8yMDIwCAAAAAk4LzE2LzIwMjAJAAAAATDJMQdL8kHYCAP7k1nyQdgIMENJUS5OQVNEQVFHUzpUU0xBLklRX0dQLjIwMDAuMzEvMTIvMjAxOS4uRi5VU0QuQwEAAAAQxqIBAgAAAAg0MTIxLjAyMQEIAAAABQAAAAExAQAAAAoxOTg5NDUzMTMwAwAAAAMxNjACAAAAAjEw</t>
  </si>
  <si>
    <t>BAAAAAExBwAAAAoxMi8zMS8yMDE5CAAAAAk4LzE2LzIwMjAJAAAAATAe+xd48kHYCKDc8HjyQdgILUNJUS5OQVNEQVFHUzpUU0xBLklRX0xBU1RTQUxFUFJJQ0UuMzEvMDUvMjAxNwEAAAAQxqIBAgAAAAYzNDEuMDEA0YN+U/JB2AgS7iZx8kHYCCRDSVEuXlNQWC5JUV9MQVNUU0FMRVBSSUNFLjI2LzA0LzIwMTkBAAAAm7goAAIAAAAQMjkzOS44ODE2NjkyNTM3NQCgnjdR8kHYCObTEnPyQdgINENJUUFWRy5JUTEwMDg4OTk1MS5JUV9MQVNUU0FMRVBSSUNFLjQwMTc4LjMxLzEyLzIwMTkBAAAAX3UDBgIAAAARMC40ODU4MjYxMDUyNjMxNTgAQVJCdfJB2AhRm1128kHYCCZDSVEuTkFTREFRR1M6VFNMQS5JUV9WT0xVTUUuMDQvMDEvMjAxOQEAAAAQxqIBAgAAAAg3LjM5NDExNgCkvH9T8kHYCLEjwXLyQdgIJENJUS5eU1BYLklRX0xBU1RTQUxFUFJJQ0UuMTcvMDEvMjAyMAEAAACbuCgAAgAAABAzMzI5LjYyMjY1ODIwMjE1AEkFM1LyQdgIK6G6WfJB2AgiQ0lRLk5ZU0U6TUFOVS5JUV9WT0xVTUUuMTMvMDMvMjAyMAEAAADdaw0AAgAAAAgwLjExMTkwMgCV/SRV8kHYCKeSeVnyQdgIKENJUS5MU0U6VFNDTy5JUV9MQVNUU0FMRVBSSUNFLjMxLzAxLzIwMjABAAAAMFAGAAIAAAAFMi40NjkACA9+U/JB2Ai7ol5Z8kHYCCFDSVEuTFNFOlRTQ08uSVFfVk9MVU1FLjI0LzA1LzIwMTkBAAAAMFAGAAIAAAAIMTUu</t>
  </si>
  <si>
    <t>OTE3MjQAlf0kVfJB2AiHGL5y8kHYCC9DSVEuTllTRTpSQUNFLklRX0NBUEVYLjIwMDAuMzEvMTIvMjAxOS4uRi5FVVIuQwEAAAA9grAQAgAAAAgtMzM1LjA0NAEIAAAABQAAAAExAQAAAAoxOTkwNDIzNjg3AwAAAAI1MAIAAAAEMjAyMQQAAAABMQcAAAAKMTIvMzEvMjAxOQgAAAAJOC8xNi8yMDIwCQAAAAEw2hSWd/JB2AgQ5uV48kHYCDtDSVEuTFNFOlNGT1IuSVFfVE9UQUxfREVCVF9DVVJSRU5ULjEwMDAuMzEvMTIvMjAxOS4uRi5HQlAuQwEAAADLU+QhAwAAAAAAO4YXePJB2AhDUvl48kHYCC1DSVEuTkFTREFRR1M6VFNMQS5JUV9MQVNUU0FMRVBSSUNFLjMwLzExLzIwMTkBAAAAEMaiAQIAAAAGMzI5Ljk0AAHofVPyQdgIRGEucfJB2AgkQ0lRLl5TUFguSVFfTEFTVFNBTEVQUklDRS4zMS8wMy8yMDE3AQAAAJu4KAACAAAADzIzNjIuNzE4MjIwMzk3MwB8q4VR8kHYCNJTCHPyQdgIK0NJUS5OWVNFOktPLklRX0VCSVQuOTk3LjMwLzA0LzIwMjAuLkYuVVNELkMBAAAAEmgAAAIAAAAEOTcyMwEIAAAABQAAAAExAQAAAAoxOTQ2NDMwNzgyAwAAAAMxNjACAAAAAzQwMAQAAAABMQcAAAAJNC8zMC8yMDIwCAAAAAk4LzE2LzIwMjAJAAAAATADScpM8kHYCBzepFnyQdgIKUNJUS5OWVNFOlJBQ0UuSVFfTEFTVFNBTEVQUklDRS4wMi8wMi8yMDE4AQAAAD2CsBACAAAABjEyNy4xNAAoK0J18kHYCCsbWnbyQdgI</t>
  </si>
  <si>
    <t>PENJUS5OQVNEQVFHUzpDQUtFLklRX0NBU0hfU1RfSU5WRVNULjIwMDAuMzAvMDQvMjAyMC4uRi5VU0QuQwEAAAAI4AQAAgAAAAY1OC40MTYBCAAAAAUAAAABMQEAAAAKMjAyMTU4MjcwNAMAAAADMTYwAgAAAAQxMDAyBAAAAAExBwAAAAk0LzMwLzIwMjAIAAAACTgvMTYvMjAyMAkAAAABMANJykzyQdgIuKCQWfJB2AgpQ0lRLk5ZU0U6S08uSVFfTkkuOTk4LjMxLzEyLzIwMTkuLkYuVVNELkMBAAAAEmgAAAIAAAAENjUyNwEIAAAABQAAAAExAQAAAAoxOTQ2NDMwNzgyAwAAAAMxNjACAAAAAjE1BAAAAAExBwAAAAoxMi8zMS8yMDE5CAAAAAk4LzE2LzIwMjAJAAAAATDc7ZV38kHYCEqj6HjyQdgIJ0NJUS4kQUVERUdQLklRX0xBU1RTQUxFUFJJQ0UuMzEvMTIvMjAxOAEAAAAl61oAAgAAAAswLjIwNTA5Njk5MwD+A0J18kHYCAX0S3byQdgIJ0NJUS5OWVNFOktPLklRX0xBU1RTQUxFUFJJQ0UuMjYvMTAvMjAxOAEAAAASaAAAAgAAAAU0NS45MgBDmIVS8kHYCCq3FnHyQdgIL0NJUS5OWVNFOktPLklRX1NIQVJFU09VVFNUQU5ESU5HLjMxLzEyLzIwMTguVVNEAQAAABJoAAACAAAACzQyNTYuNTEzODk4AANJykzyQdgIss1gdvJB2Ag2Q0lRLkxTRTpTRk9SLklRX05JX01FRElBTl9FU1QuMTAwMi4zMC8wNC8yMDIwLi5GLkdCUC5DAQAAAMtT5CECAAAAEDUyLjg2NjAxMjEwNTkwMjgBDgAAAAUAAAABMwEAAAAB</t>
  </si>
  <si>
    <t>MAIAAAAKMTAwNDM0OTY2MAMAAAAGMTAwMjUxBAAAAAEzBgAAAAEwBwAAAAI1NQgAAAABMQkAAAABMQoAAAABMAsAAAALMTE5MDI4MDkyODAMAAAAATENAAAACDUvMS8yMDIwEAAAAAk4LzE2LzIwMjCkfwdL8kHYCErCp1nyQdgINUNJUS5OQVNEQVFHUzpUU0xBLklRX1RPVEFMX0NMLjk5Ny4zMC8wNC8yMDIwLi5GLlVTRC5DAQAAABDGogECAAAACDU4MzUuNzg5AQgAAAAFAAAAATEBAAAACjE5NDU4NzM1NTEDAAAAAzE2MAIAAAAEMTAwOQQAAAABMQcAAAAJNC8zMC8yMDIwCAAAAAk4LzE2LzIwMjAJAAAAATC8WAdL8kHYCNN5l1nyQdgIGUNJUS4uSVFfVk9MVU1FLjA4LzExLzIwMTkFAAAAAAAAAAgAAAAUKEludmFsaWQgSWRlbnRpZmllcinZObVT8kHYCEY0u3LyQdgIKUNJUS5OWVNFOlJBQ0UuSVFfTEFTVFNBTEVQUklDRS4xNi8wOC8yMDE5AQAAAD2CsBACAAAABjE1NS44MwDRg35T8kHYCIipKXHyQdgIM0NJUUFWRy5JUTUwMDI3NTgyLklRX0xBU1RTQUxFUFJJQ0UuNDAyOTguMzAvMDQvMjAyMAEAAAA+XPsCAgAAABAyLjcxMzczMTQ4NzM5Nzk0AKokJVXyQdgIovmFWfJB2Ag2Q0lRLk5BU0RBUUdTOkNBS0UuSVFfTFRfSU5WRVNULjk5OC4zMS8xMi8yMDE5Li5GLlVTRC5DAQAAAAjgBAACAAAAAjQyAQgAAAAFAAAAATEBAAAACjE5NDgxNzY2NjIDAAAAAzE2MAIAAAAEMTA1NAQAAAABMQcAAAAKMTIv</t>
  </si>
  <si>
    <t>MzEvMjAxOQgAAAAJOC8xNi8yMDIwCQAAAAEwO4YXePJB2AixE/p48kHYCDZDSVEuTFNFOlRTQ08uSVFfRVNUX0VQU19HUk9XVEhfNVlSX0xPVy42MDAwLjMwLzA0LzIwMjABAAAAMFAGAAIAAAAHNi42OTU2OAEOAAAABQAAAAE3AQAAAAgyMDE1Nzg3OQIAAAAGNDExNjgwAwAAAAYxMDAxNzAEAAAAATMGAAAAATAHAAAAATAIAAAAATAJAAAAATEKAAAAATALAAAACzExODY3NzQ0NzIwDAAAAAE4DQAAAAg1LzEvMjAyMBAAAAAJNC8zMC8yMDIwsa8kVfJB2AiqNH9Z8kHYCCZDSVEuTkFTREFRR1M6Q0FLRS5JUV9WT0xVTUUuMDQvMDUvMjAxOAEAAAAI4AQAAgAAAAgxLjI2MjUxMgAp5oVS8kHYCL3pBXHyQdgIN0NJUS5OWVNFOk1BTlUuSVFfTklfTUVESUFOX0VTVC4xMDAxLjMxLzEyLzIwMTkuLkYuR0JQLkMBAAAA3WsNAAIAAAABNgEOAAAABQAAAAEzAQAAAAEwAgAAAAoxMDAzMDkyNDIzAwAAAAYxMDAyNTEEAAAAATMGAAAAATAHAAAAAjU1CAAAAAExCQAAAAExCgAAAAEwCwAAAAsxMTY5MjUzODk3OQwAAAABMQ0AAAAIMS8xLzIwMjAQAAAACTgvMTYvMjAyMNoUlnfyQdgIKxjpePJB2AgnQ0lRLiRBRURNQUQuSVFfTEFTVFNBTEVQUklDRS4zMS8xMi8yMDE5AQAAACXrWgACAAAACzAuMzg0MzEzNTYxAP4DQnXyQdgIyI9MdvJB2AgnQ0lRLiRBRURKT0QuSVFfTEFTVFNBTEVQUklDRS4zMS8xMi8yMDE4AQAA</t>
  </si>
  <si>
    <t>ACXrWgACAAAACjUuMTc2ODg1MTMA/gNCdfJB2AjTaEx28kHYCDFDSVEuTFNFOlRTQ08uSVFfTFRfSU5WRVNULjk5Ni4zMC8wNC8yMDIwLi5GLkdCUC5DAQAAADBQBgACAAAABDE4NjMBCAAAAAUAAAABMQEAAAAKMTg0NzgyNTE0OAMAAAACNTUCAAAABDEwNTQEAAAAATEHAAAACTQvMzAvMjAyMAgAAAAJOC8xNi8yMDIwCQAAAAEwyTEHS/JB2AiW9ZVZ8kHYCEFDSVEuTkFTREFRR1M6Q0FLRS5JUV9UT1RBTF9DT01NT05fRVFVSVRZLjIwMDAuMzAvMDQvMjAyMC4uRi5VU0QuQwEAAAAI4AQAAgAAAAc1NzEuNzQyAQgAAAAFAAAAATEBAAAACjIwMjE1ODI3MDQDAAAAAzE2MAIAAAAEMTAwNgQAAAABMQcAAAAJNC8zMC8yMDIwCAAAAAk4LzE2LzIwMjAJAAAAATD/b8pM8kHYCJ3jm1nyQdgILENJUS5OWVNFOlJBQ0UuSVFfU0dBLjk5Ni4zMS8xMi8yMDE5Li5GLkVVUi5DAQAAAD2CsBACAAAABzI4NS4wNjMBCAAAAAUAAAABMQEAAAAKMTgzMDQ3NDA5NAMAAAACNTACAAAAAjIzBAAAAAExBwAAAAoxMi8zMS8yMDE5CAAAAAk4LzE2LzIwMjAJAAAAATAeIhh48kHYCItW73jyQdgIJ0NJUS4kQUVESlBZLklRX0xBU1RTQUxFUFJJQ0UuMzEvMTIvMjAxOQEAAAAl61oAAgAAAAkwLjAzMzc5NzQA3wbedPJB2Ah/IEp28kHYCDdDSVEuTllTRTpSQUNFLklRX0RBX01FRElBTl9FU1QuNjAwMS4zMC8wNC8yMDIwLi5GLkVV</t>
  </si>
  <si>
    <t>Ui5DAQAAAD2CsBADAAAAAACkfwdL8kHYCPwgqVnyQdgINUNJUS5OQVNEQVFHUzpUU0xBLklRX1RPVEFMX0NBLjk5OC4zMS8xMi8yMDE5Li5GLlVTRC5DAQAAABDGogECAAAACDYyNTkuNzk2AQgAAAAFAAAAATEBAAAACjE5NDU4NzM1NTEDAAAAAzE2MAIAAAAEMTAwOAQAAAABMQcAAAAKMTIvMzEvMjAxOQgAAAAJOC8xNi8yMDIwCQAAAAEwO4YXePJB2AiBD/x48kHYCC1DSVEuTkFTREFRR1M6Q0FLRS5JUV9MQVNUU0FMRVBSSUNFLjE2LzA4LzIwMTkBAAAACOAEAAIAAAAFMzYuNDkA0YN+U/JB2AiA0Clx8kHYCDxDSVEuTkFTREFRR1M6Q0FLRS5JUV9DQVNIX1NUX0lOVkVTVC4yMDAwLjMxLzEyLzIwMTkuLkYuVVNELkMBAAAACOAEAAIAAAAHMzA2LjI1MgEIAAAABQAAAAExAQAAAAoxOTkxMzI3MDQwAwAAAAMxNjACAAAABDEwMDIEAAAAATEHAAAACjEyLzMxLzIwMTkIAAAACTgvMTYvMjAyMAkAAAABMDuGF3jyQdgIRUD/ePJB2Ag6Q0lRLk5ZU0U6S08uSVFfVE9UQUxfQ09NTU9OX0VRVUlUWS45OTkuMzEvMTIvMjAxOS4uRi5VU0QuQwEAAAASaAAAAgAAAAUxNzA3MgEIAAAABQAAAAExAQAAAAoxOTQ2NDMwNzc5AwAAAAMxNjACAAAABDEwMDYEAAAAATEHAAAACjEyLzMxLzIwMTkIAAAACTgvMTYvMjAyMAkAAAABMB77F3jyQdgILzT0ePJB2AgwQ0lRLkxTRTpUU0NPLklRX0NPU1RfUkVWLjk5Ni4zMC8w</t>
  </si>
  <si>
    <t>NC8yMDIwLi5GLkdCUC5DAQAAADBQBgACAAAABTUxNzYwAQgAAAAFAAAAATEBAAAACjE4NDc4MjUxNDgDAAAAAjU1AgAAAAExBAAAAAExBwAAAAk0LzMwLzIwMjAIAAAACTgvMTYvMjAyMAkAAAABMMkxB0vyQdgIpmOfWfJB2AgnQ0lRLk5ZU0U6S08uSVFfTEFTVFNBTEVQUklDRS4yNC8wNC8yMDIwAQAAABJoAAACAAAABTQ1LjQzAAHofVPyQdgIljdhWfJB2Ag1Q0lRLk5BU0RBUUdTOlRTTEEuSVFfVE9UQUxfQ0wuOTk3LjMxLzEyLzIwMTkuLkYuVVNELkMBAAAAEMaiAQIAAAAHMjg1OC4zMgEIAAAABQAAAAExAQAAAAoxODc1NzY5MDgyAwAAAAMxNjACAAAABDEwMDkEAAAAATEHAAAACjEyLzMxLzIwMTkIAAAACTgvMTYvMjAyMAkAAAABMBytF3jyQdgIpEH4ePJB2AgoQ0lRLkxTRTpTRk9SLklRX0xBU1RTQUxFUFJJQ0UuMTcvMDUvMjAxOQEAAADLU+QhAgAAAAUxLjYzNQDBqn5T8kHYCFOeJnHyQdgIM0NJUS5OWVNFOktPLklRX1RPVEFMX0FTU0VUUy45OTkuMzAvMDQvMjAyMC4uRi5VU0QuQwEAAAASaAAAAgAAAAU4MzIxNgEIAAAABQAAAAExAQAAAAoyMDE2NzkxMjUxAwAAAAMxNjACAAAABDEwMDcEAAAAATEHAAAACTQvMzAvMjAyMAgAAAAJOC8xNi8yMDIwCQAAAAEwA0nKTPJB2AjSb5RZ8kHYCENDSVEuTkFTREFRR1M6VFNMQS5JUV9UT1RBTF9ERUJUX05PTl9DVVJSRU5ULjk5OS4zMS8xMi8yMDE5</t>
  </si>
  <si>
    <t>Li5GLlVTRC5DAQAAABDGogECAAAACTExMTUyLjAxNgEIAAAABQAAAAExAQAAAAoxOTQ1ODczNTUwAwAAAAMxNjACAAAABTI1MjI0BAAAAAExBwAAAAoxMi8zMS8yMDE5CAAAAAk4LzE2LzIwMjAJAAAAATAcrRd48kHYCFJ/93jyQdgIJENJUS5eQVNYLklRX0xBU1RTQUxFUFJJQ0UuMDcvMDYvMjAxOQEAAAAfU+sBAgAAAAs0MDA4LjE1MjUxNwB8q4VR8kHYCN1vGnPyQdgIJkNJUS5OQVNEQVFHUzpDQUtFLklRX1ZPTFVNRS4wMi8wMi8yMDE4AQAAAAjgBAACAAAACDEuNjYwMDkzACgrQnXyQdgI5fJZdvJB2AgvQ0lRLk5BU0RBUUdTOlRTTEEuSVFfTkkuOTk4LjMwLzA0LzIwMjAuLkYuVVNELkMBAAAAEMaiAQIAAAAFLTE5NjIBCAAAAAUAAAABMQEAAAAKMjAxMzkwNzQ3MAMAAAADMTYwAgAAAAIxNQQAAAABMQcAAAAJNC8zMC8yMDIwCAAAAAk4LzE2LzIwMjAJAAAAATDJMQdL8kHYCB2FqFnyQdgIMkNJUS5OWVNFOlJBQ0UuSVFfVE9UQUxfUkVWLjk5Ny4zMC8wNC8yMDIwLi5GLkVVUi5DAQAAAD2CsBACAAAACDMxMDUuMDg0AQgAAAAFAAAAATEBAAAACjE5NDc0NDQxODQDAAAAAjUwAgAAAAIyOAQAAAABMQcAAAAJNC8zMC8yMDIwCAAAAAk4LzE2LzIwMjAJAAAAATDZCgdL8kHYCOwrnlnyQdgILkNJUS5OWVNFOktPLklRX0lOQ19UQVguOTk3LjMxLzEyLzIwMTkuLkYuVVNELkMBAAAAEmgAAAIAAAAEMjIz</t>
  </si>
  <si>
    <t>OQEIAAAABQAAAAExAQAAAAoxODc1Nzk3ODA5AwAAAAMxNjACAAAAAjc1BAAAAAExBwAAAAoxMi8zMS8yMDE5CAAAAAk4LzE2LzIwMjAJAAAAATDc7ZV38kHYCP+z6XjyQdgILENJUS5MU0U6U0ZPUi5JUV9FQklULjk5Ny4zMC8wNC8yMDIwLi5GLkdCUC5DAQAAAMtT5CEDAAAAAADZCgdL8kHYCBzepFnyQdgII0NJUS4lVENNU1kwMS5JUV9MQVNUU0FMRVBSSUNFLjQzNDY1AQAAAA4fKAICAAAABDIuNjMA3wbedPJB2AgGCUt28kHYCDZDSVEuTllTRTpSQUNFLklRX0VRVUlUWV9NRVRIT0QuOTk4LjMxLzEyLzIwMTkuLkYuRVVSLkMBAAAAPYKwEAIAAAAGMjAuOTQ4AQgAAAAFAAAAATEBAAAACjE5NDc0NDQxODQDAAAAAjUwAgAAAAQzMDYzBAAAAAExBwAAAAoxMi8zMS8yMDE5CAAAAAk4LzE2LzIwMjAJAAAAATBHYBd48kHYCCm1/3jyQdgIOENJUS5MU0U6U0ZPUi5JUV9FQklUX01FRElBTl9FU1QuNjAwMS4zMC8wNC8yMDIwLi5GLkdCUC5DAQAAAMtT5CEDAAAAAACkfwdL8kHYCHnNo1nyQdgIHkNJUS5MU0U6VFNDTy5JUV9DT1VOVFJZX09GX0lOQwEAAAAwUAYAAwAAAA5Vbml0ZWQgS2luZ2RvbQD8OiRV8kHYCESKg1nyQdgIIENJUS4uSVFfTEFTVFNBTEVQUklDRS4zMS8wNS8yMDE2BQAAAAAAAAAIAAAAFChJbnZhbGlkIElkZW50aWZpZXIpR4WFUfJB2AgLRFRz8kHYCCtDSVEuTFNFOlRTQ08uSVFfU0dB</t>
  </si>
  <si>
    <t>Ljk5Ny4zMS8xMi8yMDE5Li5GLkdCUC5DAQAAADBQBgACAAAABDEzNjcBCAAAAAUAAAABMQEAAAAKMTg0NzgyNTE0OAMAAAACNTUCAAAAAjIzBAAAAAExBwAAAAoxMi8zMS8yMDE5CAAAAAk4LzE2LzIwMjAJAAAAATAeIhh48kHYCIB973jyQdgIKUNJUS5OWVNFOlJBQ0UuSVFfTEFTVFNBTEVQUklDRS4zMS8wMS8yMDE5AQAAAD2CsBACAAAABTEyNi4zAAgPflPyQdgIE/MrcfJB2AguQ0lRLkxTRTpUU0NPLklRX0VCSVREQS45OTcuMzAvMDQvMjAyMC4uRi5HQlAuQwEAAAAwUAYAAgAAAAQyNDcxAQgAAAAFAAAAATEBAAAACjE4ODg1MjUwNzQDAAAAAjU1AgAAAAQ0MDUxBAAAAAExBwAAAAk0LzMwLzIwMjAIAAAACTgvMTYvMjAyMAkAAAABMMkxB0vyQdgIlVijWfJB2Ag5Q0lRLk5ZU0U6UkFDRS5JUV9FQklUX01FRElBTl9FU1QuNjAwMC4zMC8wNC8yMDIwLi5GLkVVUi5DAQAAAD2CsBACAAAAAzkxMAEOAAAABQAAAAIxMQEAAAABMAIAAAAKMTAwMzIyNjgwNwMAAAAGMTAwMjE2BAAAAAEzBgAAAAEwBwAAAAI1MAgAAAABMQkAAAABMQoAAAABMAsAAAALMTE4OTU1MzYxNjIMAAAAAjEyDQAAAAg1LzEvMjAyMBAAAAAJOC8xNi8yMDIwpH8HS/JB2AhdG6RZ8kHYCDVDSVEuVVNELklRX0ZVTExfQ1VSVkVfQU5OVUFMLkFMTENPUlAuQS4yMFkuMzEvMTIvMjAxOQEAAAAAAAAAAgAAAAkwLjAzODg3MzUA2C3edPJB</t>
  </si>
  <si>
    <t>2Ah0XEl28kHYCC9DSVEuTkFTREFRR1M6VFNMQS5JUV9OSS45OTcuMzEvMTIvMjAxOS4uRi5VU0QuQwEAAAAQxqIBAgAAAAgtODg4LjY2MwEIAAAABQAAAAExAQAAAAoxODc1NzY5MDgyAwAAAAMxNjACAAAAAjE1BAAAAAExBwAAAAoxMi8zMS8yMDE5CAAAAAk4LzE2LzIwMjAJAAAAATDaFJZ38kHYCFV86HjyQdgIMUNJUS5MU0U6VFNDTy5JUV9MVF9JTlZFU1QuOTk4LjMxLzEyLzIwMTkuLkYuR0JQLkMBAAAAMFAGAAIAAAADNjgxAQgAAAAFAAAAATEBAAAACjE4ODg1MjUwNzQDAAAAAjU1AgAAAAQxMDU0BAAAAAExBwAAAAoxMi8zMS8yMDE5CAAAAAk4LzE2LzIwMjAJAAAAATA7hhd48kHYCLET+njyQdgIJkNJUS5OWVNFOktPLklRX0VQU19FU1QuNjAwMC4zMS8xMi8yMDE5AQAAABJoAAACAAAABjIuMjE5NwEOAAAABQAAAAIxMQEAAAAHMjYwMTIwMQIAAAAINzg4ODc0OTMDAAAABjEwMDE3MwQAAAABMgYAAAABMAcAAAADMTYwCAAAAAEwCQAAAAExCgAAAAEwCwAAAAsxMTcyMTcxMTg2MwwAAAACMTINAAAACDEvMS8yMDIwEAAAAAoxMi8zMS8yMDE5KCtCdfJB2AgF9Et28kHYCChDSVEuTFNFOlNGT1IuSVFfTEFTVFNBTEVQUklDRS4xMC8wNC8yMDIwAQAAAMtT5CECAAAABDEuNjQAAeh9U/JB2AiH8F5Z8kHYCDFDSVEuTkFTREFRR1M6Q0FLRS5JUV9QRVJJT0REQVRFLjk5OC4zMS8xMi8yMDE5Li5GAQAA</t>
  </si>
  <si>
    <t>AAjgBAAFAAAACjAzLzAxLzIwMTcA/gNCdfJB2AjMeU128kHYCDtDSVEuTkFTREFRR1M6VFNMQS5JUV9OSV9NRURJQU5fRVNULjEwMDIuMzEvMTIvMjAxOS4uRi5VU0QuQwEAAAAQxqIBAgAAAAM4MTQBDgAAAAUAAAABMwEAAAABMAIAAAAKMTAwMDg3Mjk2MwMAAAAGMTAwMjUxBAAAAAEyBgAAAAEwBwAAAAMxNjAIAAAAATEJAAAAATEKAAAAATALAAAACzExNzI5MDg5NTQ3DAAAAAExDQAAAAgxLzEvMjAyMBAAAAAJOC8xNi8yMDIw2hSWd/JB2AgbZul48kHYCCZDSVEuTkFTREFRR1M6Q0FLRS5JUV9WT0xVTUUuMTMvMTIvMjAxOQEAAAAI4AQAAgAAAAcwLjc5MjYzAJX9JFXyQdgIsSPBcvJB2AgsQ0lRLk5ZU0U6UkFDRS5JUV9TR0EuOTk3LjMxLzEyLzIwMTkuLkYuRVVSLkMBAAAAPYKwEAIAAAAHMzAzLjczMQEIAAAABQAAAAExAQAAAAoxODc2MDQzMzEzAwAAAAI1MAIAAAACMjMEAAAAATEHAAAACjEyLzMxLzIwMTkIAAAACTgvMTYvMjAyMAkAAAABMB4iGHjyQdgIgH3vePJB2AghQ0lRLkxTRTpUU0NPLklRX1ZPTFVNRS4wOC8wNi8yMDE4AQAAADBQBgACAAAACDQzLjg1NzM3ACnmhVLyQdgIRmMKcfJB2AghQ0lRLkxTRTpUU0NPLklRX1ZPTFVNRS4xMC8wNC8yMDIwAQAAADBQBgADAAAAAACV/SRV8kHYCGozeFnyQdgILENJUS5OWVNFOk1BTlUuSVFfRklTQ0FMX1kuMTAwMC4zMS8xMi8yMDE5Li5GAQAA</t>
  </si>
  <si>
    <t>AN1rDQABAAAABDIwMTkA3wbedPJB2AhoFUd28kHYCDpDSVEuTFNFOlNGT1IuSVFfVE9UQUxfREVCVF9DVVJSRU5ULjk5Ny4zMC8wNC8yMDIwLi5GLkdCUC5DAQAAAMtT5CEDAAAAAADZCgdL8kHYCAe3llnyQdgILUNJUS5OQVNEQVFHUzpDQUtFLklRX0xBU1RTQUxFUFJJQ0UuMDgvMDYvMjAxOAEAAAAI4AQAAgAAAAU1NC4wNgAp5oVS8kHYCFOKCnHyQdgIJENJUS5eU1BYLklRX0xBU1RTQUxFUFJJQ0UuMTAvMDgvMjAxOAEAAACbuCgAAgAAABAyODMzLjI4MzYzMTY4MjE2AIrFN1HyQdgIBOUTc/JB2Ag3Q0lRLkxTRTpUU0NPLklRX1JFVFVSTl9JTlZFU1RFRF9DQVBJVEFMLjIwMDAuMzEvMTIvMjAxOQEAAAAwUAYAAgAAAAUyLjc5MQD+A0J18kHYCCfCT3byQdgIJ0NJUS4kQUVEUEhQLklRX0xBU1RTQUxFUFJJQ0UuMzAvMDQvMjAxOQEAAAAl61oAAgAAAAswLjA3MDg2NjI5NACqJCVV8kHYCIMBg1nyQdgIOkNJUS5MU0U6U0ZPUi5JUV9UT1RBTF9ERUJUX0NVUlJFTlQuOTk5LjMxLzEyLzIwMTkuLkYuR0JQLkMBAAAAy1PkIQMAAAAAABytF3jyQdgIQ1L5ePJB2Ag3Q0lRLkdCUC5JUV9GVUxMX0NVUlZFX0FOTlVBTC5BTExDT1JQLkNDQy4yMFkuMzAvMDQvMjAyMAEAAAAAAAAAAgAAAAcwLjE2NTEyAKokJVXyQdgIUwqHWfJB2AgkQ0lRLl5TUFguSVFfTEFTVFNBTEVQUklDRS4xNy8wNS8yMDE5AQAAAJu4</t>
  </si>
  <si>
    <t>KAACAAAAEDI4NTkuNTMyMzQ2NzExNjkAfKuFUfJB2Ajm0xJz8kHYCChDSVEuTkFTREFRR1M6VFNMQS5JUV9CRVRBXzJZUi4zMC8wNC8yMDIwAQAAABDGogECAAAAEDEuNjAwMDQ1NjkzNjg1NDUAsa8kVfJB2AiRx4lZ8kHYCCBDSVEuTllTRTpLTy5JUV9WT0xVTUUuMTUvMDMvMjAxOQEAAAASaAAAAgAAAAg0Ny4yNTQ0OQCkvH9T8kHYCEepwnLyQdgIM0NJUS5OWVNFOlJBQ0UuSVFfTFRfSU5WRVNULjEwMDAuMzAvMDQvMjAyMC4uRi5FVVIuQwEAAAA9grAQAgAAAAYzOC43MTYBCAAAAAUAAAABMQEAAAAKMjAxNTYzOTgyMgMAAAACNTACAAAABDEwNTQEAAAAATEHAAAACTQvMzAvMjAyMAgAAAAJOC8xNi8yMDIwCQAAAAEw4OMGS/JB2AimWZVZ8kHYCCJDSVEuTllTRTpNQU5VLklRX1ZPTFVNRS4wNS8wNC8yMDE5AQAAAN1rDQACAAAABzAuMDIzNzQAuZR/U/JB2AgeKb9y8kHYCChDSVEuTFNFOlRTQ08uSVFfTEFTVFNBTEVQUklDRS4yOS8wMy8yMDE5AQAAADBQBgACAAAABTIuMzIxALmUf1PyQdgIuxglcfJB2AggQ0lRLk5ZU0U6S08uSVFfVk9MVU1FLjE3LzA0LzIwMjABAAAAEmgAAAIAAAAIMTkuODQ0NjQAo9YkVfJB2AgynXxZ8kHYCD5DSVEuTFNFOlRTQ08uSVFfVE9UQUxfREVCVF9OT05fQ1VSUkVOVC45OTguMzEvMTIvMjAxOS4uRi5HQlAuQwEAAAAwUAYAAgAAAAQ5NTkzAQgAAAAFAAAAATEBAAAA</t>
  </si>
  <si>
    <t>CjE4ODg1MjUwNzQDAAAAAjU1AgAAAAUyNTIyNAQAAAABMQcAAAAKMTIvMzEvMjAxOQgAAAAJOC8xNi8yMDIwCQAAAAEwHK0XePJB2AhoVvd48kHYCClDSVEuTllTRTpNQU5VLklRX0xBU1RTQUxFUFJJQ0UuMzEvMDMvMjAxNgEAAADdaw0AAgAAAAUxNC40NADBqn5T8kHYCBm6I3HyQdgIKENJUS5MU0U6VFNDTy5JUV9MQVNUU0FMRVBSSUNFLjA2LzA5LzIwMTkBAAAAMFAGAAIAAAAFMi4zMjUA0YN+U/JB2AhYkypx8kHYCCBDSVEuTllTRTpLTy5JUV9WT0xVTUUuMjQvMDUvMjAxOQEAAAASaAAAAgAAAAY2Ljg4NzkAo9YkVfJB2Ag40MJy8kHYCChDSVEuTFNFOlNGT1IuSVFfTEFTVFNBTEVQUklDRS4xNi8wMi8yMDE4AQAAAMtT5CEDAAAAAAAoK0J18kHYCDbiWHbyQdgIJkNJUS5OQVNEQVFHUzpUU0xBLklRX1ZPTFVNRS4xMy8wMy8yMDIwAQAAABDGogECAAAACDIyLjY0MDI1AKPWJFXyQdgIq417WfJB2AgxQ0lRQVZHLiVUQ01TTTA2LklRX0xBU1RTQUxFUFJJQ0UuNDAxNzguMzEvMTIvMjAxOQEAAAALHygCAgAAABEwLjY1MjMxNTA3Mzk3MDQxMgDYLd508kHYCAYJS3byQdgILENJUS5OWVNFOktPLklRX0RBX0NGLjk5Ny4zMC8wNC8yMDIwLi5GLlVTRC5DAQAAABJoAAACAAAABDE3ODcBCAAAAAUAAAABMQEAAAAKMTk0NjQzMDc4MgMAAAADMTYwAgAAAAQyMTYwBAAAAAExBwAAAAk0LzMwLzIwMjAIAAAA</t>
  </si>
  <si>
    <t>CTgvMTYvMjAyMAkAAAABMANJykzyQdgIqTGqWfJB2Ag3Q0lRLkxTRTpTRk9SLklRX1JFVFVSTl9JTlZFU1RFRF9DQVBJVEFMLjIwMDAuMzAvMDQvMjAyMAEAAADLU+QhAgAAAActMi4xNzQ2ALGvJFXyQdgI//x9WfJB2Ag8Q0lRLk5ZU0U6TUFOVS5JUV9SRVZFTlVFX01FRElBTl9FU1QuNjAwMC4zMC8wNC8yMDIwLi5GLkdCUC5DAQAAAN1rDQACAAAABzU3Ni44NTkBDgAAAAUAAAACMTEBAAAAATACAAAABzM2MTc4ODUDAAAABjEwMDE4MQQAAAABMwYAAAABMAcAAAACNTUIAAAAATEJAAAAATEKAAAAATALAAAACzExODY4NjMwOTc5DAAAAAIxMg0AAAAINS8xLzIwMjAQAAAACTgvMTYvMjAyMKR/B0vyQdgIQ0KdWfJB2AgvQ0lRLk5ZU0U6S08uSVFfQ09TVF9SRVYuOTk2LjMxLzEyLzIwMTkuLkYuVVNELkMBAAAAEmgAAAIAAAAFMTc4ODkBCAAAAAUAAAABMQEAAAAKMTgyOTIzMDk1NgMAAAADMTYwAgAAAAExBAAAAAExBwAAAAoxMi8zMS8yMDE5CAAAAAk4LzE2LzIwMjAJAAAAATAe+xd48kHYCKDc8HjyQdgILUNJUS5OQVNEQVFHUzpUU0xBLklRX0xBU1RTQUxFUFJJQ0UuMTUvMDYvMjAxOAEAAAAQxqIBAgAAAAYzNTguMTcAKeaFUvJB2AgoJgtx8kHYCDNDSVEuTllTRTpNQU5VLklRX1RPVEFMX0xJQUIuOTk2LjMxLzEyLzIwMTkuLkYuR0JQLkMBAAAA3WsNAAIAAAAGODIzLjY3AQgAAAAFAAAAATEBAAAA</t>
  </si>
  <si>
    <t>CjE4NjE3MzY4NjkDAAAAAjU1AgAAAAQxMjc2BAAAAAExBwAAAAoxMi8zMS8yMDE5CAAAAAk4LzE2LzIwMjAJAAAAATCE1Bd48kHYCBFt9XjyQdgINUNJUS5MU0U6VFNDTy5JUV9FUVVJVFlfTUVUSE9ELjk5Ny4zMS8xMi8yMDE5Li5GLkdCUC5DAQAAADBQBgACAAAAAzc4NQEIAAAABQAAAAExAQAAAAoxODQ3ODI1MTQ4AwAAAAI1NQIAAAAEMzA2MwQAAAABMQcAAAAKMTIvMzEvMjAxOQgAAAAJOC8xNi8yMDIwCQAAAAEwR2AXePJB2AjUjv948kHYCCdDSVEuJEFFREdCUC5JUV9MQVNUU0FMRVBSSUNFLjMwLzA2LzIwMTcBAAAAJetaAAIAAAALNC43NzAyNTM3NzMAFSLKTPJB2AgD01528kHYCDZDSVEuR0JQLklRX0ZVTExfQ1VSVkVfQU5OVUFMLkFMTENPUlAuSFkuMjBZLjMxLzEyLzIwMTkBAAAAAAAAAAIAAAAIMC4wOTYyNTgA2C3edPJB2Ah/NUl28kHYCC9DSVEuTllTRTpLTy5JUV9UT1RBTF9DQS45OTcuMzEvMTIvMjAxOS4uRi5VU0QuQwEAAAASaAAAAgAAAAUzMzM5NQEIAAAABQAAAAExAQAAAAoxODc1Nzk3ODA5AwAAAAMxNjACAAAABDEwMDgEAAAAATEHAAAACjEyLzMxLzIwMTkIAAAACTgvMTYvMjAyMAkAAAABMDuGF3jyQdgItOj7ePJB2Ag3Q0lRLkVVUi5JUV9GVUxMX0NVUlZFX0FOTlVBTC5BTExDT1JQLkFBQS4yMFkuMzEvMTIvMjAxOQEAAAAAAAAAAgAAAAgwLjAxMzcxNADYLd508kHYCMqr</t>
  </si>
  <si>
    <t>SXbyQdgILUNJUS5OQVNEQVFHUzpDQUtFLklRX0xBU1RTQUxFUFJJQ0UuMzEvMDUvMjAxOQEAAAAI4AQAAgAAAAU0My4yNQDBqn5T8kHYCKjbLHHyQdgIMUNJUS5OWVNFOlJBQ0UuSVFfQ09TVF9SRVYuOTk4LjMwLzA0LzIwMjAuLkYuRVVSLkMBAAAAPYKwEAIAAAAHMTY1MC44NgEIAAAABQAAAAExAQAAAAoyMDE1NjM5ODA1AwAAAAI1MAIAAAABMQQAAAABMQcAAAAJNC8zMC8yMDIwCAAAAAk4LzE2LzIwMjAJAAAAATDZCgdL8kHYCMIVn1nyQdgILUNJUS5OWVNFOk1BTlUuSVFfUEVSSU9EREFURS45OTQuMzAvMDQvMjAyMC4uRgEAAADdaw0ABQAAAAozMC8wNi8yMDEzALGvJFXyQdgIVfZ/WfJB2AgzQ0lRLk5ZU0U6S08uSVFfU0hBUkVTT1VUU1RBTkRJTkdfT1VULjMxLzEyLzIwMTcuVVNEAQAAABJoAAACAAAACjQzMTkuMDcxODUAA0nKTPJB2AhdaWF28kHYCCtDSVEuTFNFOlRTQ08uSVFfR1AuMjAwMC4zMC8wNC8yMDIwLi5GLkdCUC5DAQAAADBQBgACAAAABDQ5NDQBCAAAAAUAAAABMQEAAAAKMjAyNjUwNzM4OAMAAAACNTUCAAAAAjEwBAAAAAExBwAAAAk0LzMwLzIwMjAIAAAACTgvMTYvMjAyMAkAAAABMMkxB0vyQdgIpmOfWfJB2AgwQ0lRLk5ZU0U6S08uSVFfTFRfSU5WRVNULjk5OS4zMS8xMi8yMDE5Li5GLlVTRC5DAQAAABJoAAACAAAABTIzMjgxAQgAAAAFAAAAATEBAAAACjE5NDY0MzA3NzkD</t>
  </si>
  <si>
    <t>AAAAAzE2MAIAAAAEMTA1NAQAAAABMQcAAAAKMTIvMzEvMjAxOQgAAAAJOC8xNi8yMDIwCQAAAAEwO4YXePJB2AifYfp48kHYCDZDSVEuTkFTREFRR1M6VFNMQS5JUV9MVF9JTlZFU1QuOTk4LjMwLzA0LzIwMjAuLkYuVVNELkMBAAAAEMaiAQIAAAAFNS4zMDQBCAAAAAUAAAABMQEAAAAKMjAxMzkwNzQ3MAMAAAADMTYwAgAAAAQxMDU0BAAAAAExBwAAAAk0LzMwLzIwMjAIAAAACTgvMTYvMjAyMAkAAAABMLxYB0vyQdgIg6eVWfJB2AggQ0lRLi5JUV9MQVNUU0FMRVBSSUNFLjAzLzA1LzIwMTkFAAAAAAAAAAgAAAAUKEludmFsaWQgSWRlbnRpZmllcinsjTZR8kHYCNDqSXPyQdgIOENJUS5OWVNFOlJBQ0UuSVFfRVNUX0VQU19HUk9XVEhfNVlSX0hJR0guNjAwMC4zMC8wNC8yMDIwAQAAAD2CsBACAAAABzkuMjcxMjQBDgAAAAUAAAABNwEAAAAJMzEzOTc0OTgxAgAAAAoxMDAzMjI1MTI1AwAAAAYxMDAxNjkEAAAAATMGAAAAATAHAAAAATAIAAAAATAJAAAAATEKAAAAATALAAAACzExODg0MjI3ODQzDAAAAAE4DQAAAAg1LzEvMjAyMBAAAAAJNC8zMC8yMDIwsa8kVfJB2AiiW39Z8kHYCCdDSVEuTllTRTpLTy5JUV9MQVNUU0FMRVBSSUNFLjIyLzAyLzIwMTkBAAAAEmgAAAIAAAAFNDUuMjgApLx/U/JB2AjVCSRx8kHYCBtDSVEuTllTRTpLTy5JUV9DT1VOVFJZX05BTUUBAAAAEmgAAAMAAAANVW5pdGVkIFN0</t>
  </si>
  <si>
    <t>YXRlcwD8OiRV8kHYCHI8ilnyQdgIJ0NJUS4kQUVEUEVOLklRX0xBU1RTQUxFUFJJQ0UuMzEvMTIvMjAxOAEAAAAl61oAAgAAAAsxLjA4NzMyOTc4MQD+A0J18kHYCMiPTHbyQdgII0NJUS5MU0U6VFNDTy5JUV9CRVRBXzJZUi4zMC8wNC8yMDIwAQAAADBQBgACAAAAETAuNjI2NjkxMjIzNzE0ODI0AKPWJFXyQdgIzgSJWfJB2AgoQ0lRLkxTRTpUU0NPLklRX0xBU1RTQUxFUFJJQ0UuMjIvMDMvMjAxOQEAAAAwUAYAAgAAAAUyLjMzMgC5lH9T8kHYCITMJHHyQdgIL0NJUS5OWVNFOk1BTlUuSVFfQ0FQRVguMjAwMC4zMC8wNC8yMDIwLi5GLkdCUC5DAQAAAN1rDQACAAAABy0xOS40NDkBCAAAAAUAAAABMQEAAAAKMjAxODYzMjAwMwMAAAACNTUCAAAABDIwMjEEAAAAATEHAAAACTQvMzAvMjAyMAgAAAAJOC8xNi8yMDIwCQAAAAEwvFgHS/JB2AhqQqtZ8kHYCDVDSVEuTkFTREFRR1M6Q0FLRS5JUV9JTkNfVEFYLjIwMDAuMzAvMDQvMjAyMC4uRi5VU0QuQwEAAAAI4AQAAgAAAAYxMy4wNDEBCAAAAAUAAAABMQEAAAAKMjAyMTU4MjcwNAMAAAADMTYwAgAAAAI3NQQAAAABMQcAAAAJNC8zMC8yMDIwCAAAAAk4LzE2LzIwMjAJAAAAATD/b8pM8kHYCAyhrFnyQdgIKUNJUS5OWVNFOlJBQ0UuSVFfTEFTVFNBTEVQUklDRS4yMC8wOS8yMDE5AQAAAD2CsBACAAAABjE1Mi4wOAAFXX5T8kHYCBkvK3HyQdgIMENJUS5O</t>
  </si>
  <si>
    <t>QVNEQVFHUzpDQUtFLklRX05JLjIwMDAuMzEvMTIvMjAxOS4uRi5VU0QuQwEAAAAI4AQAAgAAAAY5NC43NjIBCAAAAAUAAAABMQEAAAAKMTk5MTMyNzA0MAMAAAADMTYwAgAAAAIxNQQAAAABMQcAAAAKMTIvMzEvMjAxOQgAAAAJOC8xNi8yMDIwCQAAAAEw3O2Vd/JB2Ag58eh48kHYCDZDSVEuTkFTREFRR1M6VFNMQS5JUV9SVUFfR1JPU1MuMjAwMC4zMS8xMi8yMDE5Li4uTE9DQUwBAAAAEMaiAQMAAAAAAP4DQnXyQdgIJulPdvJB2AgxQ0lRLk5ZU0U6UkFDRS5JUV9DT1NUX1JFVi45OTguMzEvMTIvMjAxOS4uRi5FVVIuQwEAAAA9grAQAgAAAAgxNTQyLjY5NgEIAAAABQAAAAExAQAAAAoxOTQ3NDQ0MTg0AwAAAAI1MAIAAAABMQQAAAABMQcAAAAKMTIvMzEvMjAxOQgAAAAJOC8xNi8yMDIwCQAAAAEwHvsXePJB2Ah+KvF48kHYCCRDSVEuXkFTWC5JUV9MQVNUU0FMRVBSSUNFLjAxLzAyLzIwMTkBAAAAH1PrAQIAAAALMzg1MS45MDExNTgAisU3UfJB2Aiv5Bpz8kHYCCVDSVEuXkNPTVAuSVFfTEFTVFNBTEVQUklDRS4xMy8wOS8yMDE5AQAAAIm4KAACAAAABzgxNzYuNzEAtbw3UvJB2AgP3xVz8kHYCC1DSVEuTkFTREFRR1M6Q0FLRS5JUV9MQVNUU0FMRVBSSUNFLjI4LzAyLzIwMTcBAAAACOAEAAIAAAAFNjEuMDUA0YN+U/JB2AgPUiZx8kHYCClDSVEuTllTRTpNQU5VLklRX0xBU1RTQUxFUFJJQ0UuMTIv</t>
  </si>
  <si>
    <t>MTAvMjAxOAEAAADdaw0AAgAAAAUyMS4yMwBDmIVS8kHYCEZ/FXHyQdgIQENJUS5OWVNFOk1BTlUuSVFfVE9UQUxfREVCVF9OT05fQ1VSUkVOVC4xMDAwLjMwLzA0LzIwMjAuLkYuR0JQLkMBAAAA3WsNAAIAAAAHNTA4LjA3NwEIAAAABQAAAAExAQAAAAoxOTg1ODQ1MDYzAwAAAAI1NQIAAAAFMjUyMjQEAAAAATEHAAAACTQvMzAvMjAyMAgAAAAJOC8xNi8yMDIwCQAAAAEwvFgHS/JB2AiWFZhZ8kHYCCVDSVEuSVE0Mzk0MzgwNi5JUV9MQVNUU0FMRVBSSUNFLjQzNTg1AQAAAH6HngICAAAACS0wLjU5NTM5NQCj1iRV8kHYCKL5hVnyQdgIGUNJUS4uSVFfVk9MVU1FLjA3LzA2LzIwMTkFAAAAAAAAAAgAAAAUKEludmFsaWQgSWRlbnRpZmllcinZObVT8kHYCFK/unLyQdgILUNJUS5OQVNEQVFHUzpUU0xBLklRX0xBU1RTQUxFUFJJQ0UuMTUvMTEvMjAxOQEAAAAQxqIBAgAAAAYzNTIuMTcA6DV+U/JB2AiUKS1x8kHYCDpDSVEuTllTRTpSQUNFLklRX0NBUEVYX01FRElBTl9FU1QuMTAwMy4zMS8xMi8yMDE5Li5GLkVVUi5DAQAAAD2CsBACAAAABC03NTABDgAAAAUAAAABMwEAAAABMAIAAAAKMTAwMzIyNjg1NAMAAAAGMTA0MDkxBAAAAAEzBgAAAAEwBwAAAAI1MAgAAAABMQkAAAABMQoAAAABMAsAAAALMTE3MTkyNjU4NzAMAAAAATENAAAACDEvMS8yMDIwEAAAAAk4LzE2LzIwMjA7PJZ38kHYCNSo5njyQdgI</t>
  </si>
  <si>
    <t>IUNJUS5MU0U6U0ZPUi5JUV9WT0xVTUUuMTkvMDcvMjAxOQEAAADLU+QhAgAAAAcwLjA4MjY0ANk5tVPyQdgIyAe9cvJB2AgvQ0lRLk5BU0RBUUdTOlRTTEEuSVFfQ09TVF9CT1JST1dJTkcuLjMxLzEyLzIwMTkBAAAAEMaiAQIAAAAGNS4zMDA2AQgAAAAFAAAAATEBAAAACjIwMTM5MDk0NDIDAAAAAzE2MAIAAAAFMjE2ODEEAAAAATAHAAAACjEyLzMxLzIwMTkIAAAACjEyLzMxLzIwMTkJAAAAATD+A0J18kHYCENNT3byQdgINkNJUS5MU0U6U0ZPUi5JUV9OSV9NRURJQU5fRVNULjEwMDEuMzAvMDQvMjAyMC4uRi5HQlAuQwEAAADLU+QhAgAAABAzOS4yNzU4NDE0NTc2MzMyAQ4AAAAFAAAAATMBAAAAATACAAAACjEwMDQzMTYwNTEDAAAABjEwMDI1MQQAAAABMwYAAAABMAcAAAACNTUIAAAAATEJAAAAATEKAAAAATALAAAACzExOTAyODA5Mjk4DAAAAAExDQAAAAg1LzEvMjAyMBAAAAAJOC8xNi8yMDIwpH8HS/JB2AhQ6adZ8kHYCCRDSVEuXkFTWC5JUV9MQVNUU0FMRVBSSUNFLjMxLzAxLzIwMTkBAAAAH1PrAQIAAAALMzgyNS42MjIwNzkA/yszUvJB2Agf6gpz8kHYCCRDSVEuXlNQWC5JUV9MQVNUU0FMRVBSSUNFLjA1LzEwLzIwMTgBAAAAm7goAAIAAAAQMjg4NS41NjYyNTIyNzExOACKxTdR8kHYCKuWE3PyQdgINUNJUS5OQVNEQVFHUzpDQUtFLklRX0NPU1RfUkVWLjk5Ni4zMS8xMi8yMDE5Li5GLlVT</t>
  </si>
  <si>
    <t>RC5DAQAAAAjgBAACAAAACDExMzYuNDA4AQgAAAAFAAAAATEBAAAACjE4MzAzODY5ODYDAAAAAzE2MAIAAAABMQQAAAABMQcAAAAKMTIvMzEvMjAxOQgAAAAJOC8xNi8yMDIwCQAAAAEwHvsXePJB2Ah5A/F48kHYCCJDSVEuTllTRTpSQUNFLklRX1ZPTFVNRS4xOC8xMC8yMDE5AQAAAD2CsBACAAAACDAuMzA0NDA5ACVhtVPyQdgI+US8cvJB2AgnQ0lRLk5ZU0U6S08uSVFfTEFTVFNBTEVQUklDRS4zMS8wMy8yMDE5AQAAABJoAAACAAAABTQ2Ljg2AAgPflPyQdgIyWYscfJB2AgtQ0lRLk5ZU0U6UkFDRS5JUV9FQklULjk5Ni4zMS8xMi8yMDE5Li5GLkVVUi5DAQAAAD2CsBACAAAABzQyNS44NjcBCAAAAAUAAAABMQEAAAAKMTgzMDQ3NDA5NAMAAAACNTACAAAAAzQwMAQAAAABMQcAAAAKMTIvMzEvMjAxOQgAAAAJOC8xNi8yMDIwCQAAAAEwHiIYePJB2AiHh+t48kHYCDpDSVEuTFNFOlNGT1IuSVFfRUJJVERBX01FRElBTl9FU1QuNjAwMC4zMC8wNC8yMDIwLi5GLkdCUC5DAQAAAMtT5CECAAAAEDU3Ljk0MjI5NDA4MzY0MDUBDgAAAAUAAAACMTEBAAAAATACAAAACjEwMDQzMTYwNTEDAAAABjEwMDE4OAQAAAABMwYAAAABMAcAAAACNTUIAAAAATEJAAAAATEKAAAAATALAAAACzExODk5MzMwMDkyDAAAAAIxMg0AAAAINS8xLzIwMjAQAAAACTgvMTYvMjAyMKR/B0vyQdgICqyhWfJB2AgnQ0lRLiRBRURVU0Qu</t>
  </si>
  <si>
    <t>SVFfTEFTVFNBTEVQUklDRS4zMC8wNC8yMDE5AQAAACXrWgACAAAABTMuNjczAJX9JFXyQdgIovmFWfJB2Ag0Q0lRLk5BU0RBUUdTOlRTTEEuSVFfSU5DX1RBWC45OTcuMzEvMTIvMjAxOS4uRi5VU0QuQwEAAAAQxqIBAgAAAAYxMy4wMzkBCAAAAAUAAAABMQEAAAAKMTg3NTc2OTA4MgMAAAADMTYwAgAAAAI3NQQAAAABMQcAAAAKMTIvMzEvMjAxOQgAAAAJOC8xNi8yMDIwCQAAAAEw3O2Vd/JB2Aj/s+l48kHYCDVDSVEuTkFTREFRR1M6Q0FLRS5JUV9TSEFSRVNPVVRTVEFORElORy4yOS8xMi8yMDE1LlVTRAEAAAAI4AQAAgAAAAk0OS4xODgzOTcAW5PiTfJB2AhAGmF28kHYCDZDSVEuR0JQLklRX0ZVTExfQ1VSVkVfQU5OVUFMLkFMTENPUlAuQkIuMjBZLjMwLzA0LzIwMjABAAAAAAAAAAIAAAAJMC4wNjQwOTI1AKokJVXyQdgIUwqHWfJB2AghQ0lRLkxTRTpTRk9SLklRX1ZPTFVNRS4zMS8wNS8yMDE5AQAAAMtT5CECAAAACDAuMDc5ODMxANk5tVPyQdgIyAe9cvJB2AgsQ0lRLk5ZU0U6UkFDRS5JUV9GSVNDQUxfWS4xMDAwLjMxLzEyLzIwMTkuLkYBAAAAPYKwEAEAAAAEMjAxOAD+A0J18kHYCFGbXXbyQdgIOkNJUS5OQVNEQVFHUzpDQUtFLklRX0VRVUlUWV9NRVRIT0QuOTk2LjMxLzEyLzIwMTkuLkYuVVNELkMBAAAACOAEAAMAAAAAAEdgF3jyQdgI1I7/ePJB2AgoQ0lRLkxTRTpUU0NPLklRX0xBU1RT</t>
  </si>
  <si>
    <t>QUxFUFJJQ0UuMDYvMTIvMjAxOQEAAAAwUAYAAgAAAAUyLjMyMwDoNX5T8kHYCKfFLXHyQdgIGUNJUS4uSVFfVk9MVU1FLjIxLzAyLzIwMjAFAAAAAAAAAAgAAAAUKEludmFsaWQgSWRlbnRpZmllcinZObVT8kHYCEkodVnyQdgIJUNJUS5eQ09NUC5JUV9MQVNUU0FMRVBSSUNFLjEyLzA3LzIwMTkBAAAAibgoAAIAAAAHODI0NC4xNAB8q4VR8kHYCAMtFnPyQdgIO0NJUS5MU0U6U0ZPUi5JUV9UT1RBTF9DT01NT05fRVFVSVRZLjk5Ny4zMS8xMi8yMDE5Li5GLkdCUC5DAQAAAMtT5CEDAAAAAAAe+xd48kHYCK/A83jyQdgIJ0NJUS4kQUVEQVVELklRX0xBU1RTQUxFUFJJQ0UuMzEvMTIvMjAxOQEAAAAl61oAAgAAAAsyLjU4MDQ0MTE5NwDfBt508kHYCDFtSnbyQdgIJ0NJUS4kQUVESlBZLklRX0xBU1RTQUxFUFJJQ0UuMzAvMDQvMjAxOQEAAAAl61oAAgAAAAswLjAzMjk4MDE1NgCV/SRV8kHYCKL5hVnyQdgILkNJUS5OQVNEQVFHUzpDQUtFLklRX0RJVklERU5EX1lJRUxELjMwLzA0LzIwMjABAAAACOAEAAIAAAAGNi40NjAyAOISJFXyQdgImb5+WfJB2AgkQ0lRLl5TUFguSVFfTEFTVFNBTEVQUklDRS4xNC8xMi8yMDE4AQAAAJu4KAACAAAAEDI1OTkuOTU0MzQ1NzI5NzYAisU3UfJB2AgTSRNz8kHYCDBDSVEuTkFTREFRR1M6VFNMQS5JUV9GSVNDQUxfWS4xMDAwLjMxLzEyLzIwMTkuLkYBAAAAEMaiAQEA</t>
  </si>
  <si>
    <t>AAAEMjAxOADfBt508kHYCGXHRnbyQdgIIENJUS5OWVNFOktPLklRX1ZPTFVNRS4wMy8wMS8yMDIwAQAAABJoAAACAAAABzExLjM1NDUAo9YkVfJB2AhQT3xZ8kHYCDtDSVEuTkFTREFRR1M6VFNMQS5JUV9FU1RfRVBTX0dST1dUSF81WVJfTE9XLjYwMDAuMzAvMDQvMjAyMAEAAAAQxqIBAgAAAAIzNQEOAAAABQAAAAE3AQAAAAkxMDg4MDM5MTUCAAAACjEwMDA4NzI5MjMDAAAABjEwMDE3MAQAAAABMgYAAAABMAcAAAABMAgAAAABMAkAAAABMQoAAAABMAsAAAALMTE4OTc5OTIyMjQMAAAAATgNAAAACDUvMS8yMDIwEAAAAAk0LzMwLzIwMjCxryRV8kHYCKJbf1nyQdgINkNJUS5OWVNFOktPLklRX1JFVFVSTl9JTlZFU1RFRF9DQVBJVEFMLjIwMDAuMzEvMTIvMjAxOQEAAAASaAAAAgAAAAYzLjIyNzQA/gNCdfJB2Agnwk928kHYCC1DSVEuTkFTREFRR1M6VFNMQS5JUV9MQVNUU0FMRVBSSUNFLjMwLzA5LzIwMTUBAAAAEMaiAQIAAAAFMjQ4LjQAuZR/U/JB2Aj7gyJx8kHYCCdDSVEuJEFFRFVTRC5JUV9MQVNUU0FMRVBSSUNFLjMxLzEyLzIwMTMBAAAAJetaAAIAAAAFMy42NzMAFSLKTPJB2AjbIF928kHYCCVDSVEuXkNPTVAuSVFfTEFTVFNBTEVQUklDRS4zMS8wMy8yMDE3AQAAAIm4KAACAAAABzU5MTEuNzQAfKuFUfJB2AhxAQpz8kHYCClDSVEuTllTRTpNQU5VLklRX0xBU1RTQUxFUFJJQ0UuMzEvMTAv</t>
  </si>
  <si>
    <t>MjAxNwEAAADdaw0AAgAAAAUxNy45NQAFXX5T8kHYCNf+J3HyQdgIJ0NJUS5OWVNFOktPLklRX0xBU1RTQUxFUFJJQ0UuMDMvMDEvMjAyMAEAAAASaAAAAgAAAAU1NC42OQAID35T8kHYCErlW1nyQdgIJkNJUS5OQVNEQVFHUzpUU0xBLklRX1ZPTFVNRS4wMS8wMy8yMDE5AQAAABDGogECAAAACDIyLjkxMTM4AKS8f1PyQdgImXHBcvJB2AgyQ0lRLkxTRTpTRk9SLklRX1RPVEFMX0xJQUIuOTk3LjMwLzA0LzIwMjAuLkYuR0JQLkMBAAAAy1PkIQMAAAAAANkKB0vyQdgI+4SaWfJB2AgtQ0lRLk5BU0RBUUdTOkNBS0UuSVFfTEFTVFNBTEVQUklDRS4yMy8wMi8yMDE4AQAAAAjgBAACAAAABTQ4LjUyACgrQnXyQdgIitFXdvJB2Ag1Q0lRLk5BU0RBUUdTOkNBS0UuSVFfVE9UQUxfQ0EuOTk4LjMxLzEyLzIwMTkuLkYuVVNELkMBAAAACOAEAAIAAAAHMjIxLjQyNwEIAAAABQAAAAExAQAAAAoxOTQ4MTc2NjYyAwAAAAMxNjACAAAABDEwMDgEAAAAATEHAAAACjEyLzMxLzIwMTkIAAAACTgvMTYvMjAyMAkAAAABMDuGF3jyQdgIgQ/8ePJB2AgyQ0lRLkxTRTpTRk9SLklRX0lOVkVOVE9SWS4yMDAwLjMwLzA0LzIwMjAuLkYuR0JQLkMBAAAAy1PkIQMAAAAAANkKB0vyQdgIKVSsWfJB2AggQ0lRLk5ZU0U6S08uSVFfVk9MVU1FLjI0LzA0LzIwMjABAAAAEmgAAAIAAAAIMTUuMTc3NTgAo9YkVfJB2AgmxHxZ8kHYCCtD</t>
  </si>
  <si>
    <t>SVEuSVExMDA4ODk5NTEuSVFfTEFTVFNBTEVQUklDRS4zMS8xMi8yMDE5AQAAAF91AwYCAAAABTAuNjA1ANgt3nTyQdgIiA5JdvJB2AgzQ0lRLk5ZU0U6S08uSVFfUFJFRl9FUVVJVFkuMjAwMC4zMS8xMi8yMDE5Li5GLlVTRC5DAQAAABJoAAADAAAAAACE1Bd48kHYCD9G9XjyQdgIIENJUS4uSVFfTEFTVFNBTEVQUklDRS4wNC8xMC8yMDE5BQAAAAAAAAAIAAAAFChJbnZhbGlkIElkZW50aWZpZXIpCZY3UvJB2Ah1OC5z8kHYCCxDSVEuTllTRTpLTy5JUV9QUklDRV9WT0xfSElTVF8yWVIuMzEvMTIvMjAxOQEAAAASaAAAAgAAAAcxNi4xODAzAOvf3XTyQdgIZcdGdvJB2AgmQ0lRLk5BU0RBUUdTOkNBS0UuSVFfVk9MVU1FLjA4LzA2LzIwMTgBAAAACOAEAAIAAAAIMC41NTIwNjEAKeaFUvJB2AhGYwpx8kHYCCJDSVEuTllTRTpNQU5VLklRX1ZPTFVNRS4xMi8xMC8yMDE4AQAAAN1rDQACAAAACDAuMDYwNzc4AEOYhVLyQdgIRn8VcfJB2AglQ0lRLl5DT01QLklRX0xBU1RTQUxFUFJJQ0UuMjUvMDEvMjAxOQEAAACJuCgAAgAAAAc3MTY0Ljg2AIrFN1HyQdgIxe8Wc/JB2AgxQ0lRLkxTRTpUU0NPLklRX0xUX0lOVkVTVC45OTguMzAvMDQvMjAyMC4uRi5HQlAuQwEAAAAwUAYAAgAAAAM2MDIBCAAAAAUAAAABMQEAAAAKMTk2ODczNjU1OQMAAAACNTUCAAAABDEwNTQEAAAAATEHAAAACTQvMzAvMjAyMAgAAAAJ</t>
  </si>
  <si>
    <t>OC8xNi8yMDIwCQAAAAEwyTEHS/JB2AiDp5VZ8kHYCC1DSVEuTFNFOlRTQ08uSVFfQ0FQRVguOTk3LjMxLzEyLzIwMTkuLkYuR0JQLkMBAAAAMFAGAAIAAAAELTg3MQEIAAAABQAAAAExAQAAAAoxODQ3ODI1MTQ4AwAAAAI1NQIAAAAEMjAyMQQAAAABMQcAAAAKMTIvMzEvMjAxOQgAAAAJOC8xNi8yMDIwCQAAAAEw2hSWd/JB2AgqceV48kHYCDlDSVEuTkFTREFRR1M6Q0FLRS5JUV9QUkVQQUlEX0VYUC4yMDAwLjMwLzA0LzIwMjAuLkYuVVNELkMBAAAACOAEAAIAAAAGNDMuOTQ2AQgAAAAFAAAAATEBAAAACjIwMjE1ODI3MDQDAAAAAzE2MAIAAAAEMTIxMgQAAAABMQcAAAAJNC8zMC8yMDIwCAAAAAk4LzE2LzIwMjAJAAAAATD/b8pM8kHYCClUrFnyQdgIJENJUS5eQVNYLklRX0xBU1RTQUxFUFJJQ0UuMzAvMDYvMjAxOAEAAAAfU+sBAgAAAAs0MjAyLjI0ODg2NgC1vDdS8kHYCPsQC3PyQdgIKENJUS5MU0U6VFNDTy5JUV9MQVNUU0FMRVBSSUNFLjMxLzEyLzIwMTQBAAAAMFAGAAIAAAAEMS44OQBBUkJ18kHYCN2EUHbyQdgIP0NJUS5OQVNEQVFHUzpUU0xBLklRX0VCSVREQV9NRURJQU5fRVNULjEwMDEuMzEvMTIvMjAxOS4uRi5VU0QuQwEAAAAQxqIBAgAAAAcyNzU0Ljk1AQ4AAAAFAAAAATMBAAAAATACAAAACjEwMDA4NzI5NTgDAAAABjEwMDE4OAQAAAABMgYAAAABMAcAAAADMTYwCAAAAAExCQAAAAEx</t>
  </si>
  <si>
    <t>CgAAAAEwCwAAAAsxMTcyNTY2NTM3NAwAAAABMQ0AAAAIMS8xLzIwMjAQAAAACTgvMTYvMjAyMPNIGHjyQdgIpODuePJB2AgtQ0lRLkxTRTpUU0NPLklRX0RBX0NGLjk5Ny4zMS8xMi8yMDE5Li5GLkdCUC5DAQAAADBQBgACAAAABDEyMzEBCAAAAAUAAAABMQEAAAAKMTg0NzgyNTE0OAMAAAACNTUCAAAABDIxNjAEAAAAATEHAAAACjEyLzMxLzIwMTkIAAAACTgvMTYvMjAyMAkAAAABMNoUlnfyQdgIOdDmePJB2AggQ0lRLk5ZU0U6S08uSVFfVk9MVU1FLjE2LzAyLzIwMTgBAAAAEmgAAAIAAAAHMTcuMjAyMwAoK0J18kHYCDy7WHbyQdgILUNJUS5OQVNEQVFHUzpUU0xBLklRX0xBU1RTQUxFUFJJQ0UuMjgvMDIvMjAxOQEAAAAQxqIBAgAAAAYzMTkuODgACA9+U/JB2AjTPyxx8kHYCClDSVEuTllTRTpNQU5VLklRX0xBU1RTQUxFUFJJQ0UuMzEvMTIvMjAxNgEAAADdaw0AAgAAAAUxNC4yNQDRg35T8kHYCBO2JXHyQdgILUNJUS5OWVNFOk1BTlUuSVFfRUJJVC45OTYuMzAvMDQvMjAyMC4uRi5HQlAuQwEAAADdaw0AAgAAAAYxNS4yNTQBCAAAAAUAAAABMQEAAAAKMTg2MTczNjg2OQMAAAACNTUCAAAAAzQwMAQAAAABMQcAAAAJNC8zMC8yMDIwCAAAAAk4LzE2LzIwMjAJAAAAATC8WAdL8kHYCA4FpVnyQdgINENJUS5OWVNFOlJBQ0UuSVFfVE9UQUxfTElBQi4xMDAwLjMwLzA0LzIwMjAuLkYuRVVSLkMBAAAA</t>
  </si>
  <si>
    <t>PYKwEAIAAAAIMzk1OS4wODQBCAAAAAUAAAABMQEAAAAKMjAxNTYzOTgyMgMAAAACNTACAAAABDEyNzYEAAAAATEHAAAACTQvMzAvMjAyMAgAAAAJOC8xNi8yMDIwCQAAAAEw2QoHS/JB2AgPN5pZ8kHYCDJDSVEuTllTRTpNQU5VLklRX0xUX0lOVkVTVC45OTkuMzAvMDQvMjAyMC4uRi5HQlAuQwEAAADdaw0AAgAAAAQ0LjQ5AQgAAAAFAAAAATEBAAAACjE5ODU4NDUwMjkDAAAAAjU1AgAAAAQxMDU0BAAAAAExBwAAAAk0LzMwLzIwMjAIAAAACTgvMTYvMjAyMAkAAAABMLxYB0vyQdgIi4CVWfJB2AggQ0lRLk5ZU0U6S08uSVFfVk9MVU1FLjAyLzAyLzIwMTgBAAAAEmgAAAIAAAAIMTIuOTEyMzEAKCtCdfJB2Ajwy1l28kHYCCdDSVEuJEFFREtHUy5JUV9MQVNUU0FMRVBSSUNFLjMwLzA0LzIwMTkBAAAAJetaAAIAAAALMC4wNTI1ODQxMDkAqiQlVfJB2AhJGINZ8kHYCClDSVEuTllTRTpSQUNFLklRX0xBU1RTQUxFUFJJQ0UuMTkvMTAvMjAxOAEAAAA9grAQAgAAAAYxMTYuNTEAQ5iFUvJB2AgY9BVx8kHYCDZDSVEuTkFTREFRR1M6VFNMQS5JUV9UT1RBTF9DTC4yMDAwLjMxLzEyLzIwMTkuLkYuVVNELkMBAAAAEMaiAQIAAAAFMTAxNDYBCAAAAAUAAAABMQEAAAAKMTk4OTQ1MzEzMAMAAAADMTYwAgAAAAQxMDA5BAAAAAExBwAAAAoxMi8zMS8yMDE5CAAAAAk4LzE2LzIwMjAJAAAAATAcrRd48kHYCGfd+Hjy</t>
  </si>
  <si>
    <t>QdgINkNJUS5OWVNFOk1BTlUuSVFfRVFVSVRZX01FVEhPRC45OTYuMzAvMDQvMjAyMC4uRi5HQlAuQwEAAADdaw0AAwAAAAAAvFgHS/JB2Ai7eZBZ8kHYCDBDSVEuTkFTREFRR1M6Q0FLRS5JUV9TR0EuOTk2LjMxLzEyLzIwMTkuLkYuVVNELkMBAAAACOAEAAIAAAAHMjU2LjQ2MwEIAAAABQAAAAExAQAAAAoxODMwMzg2OTg2AwAAAAMxNjACAAAAAjIzBAAAAAExBwAAAAoxMi8zMS8yMDE5CAAAAAk4LzE2LzIwMjAJAAAAATAeIhh48kHYCIB973jyQdgIO0NJUS5OQVNEQVFHUzpDQUtFLklRX0RBX01FRElBTl9FU1QuMTAwMi4zMC8wNC8yMDIwLi5GLlVTRC5DAQAAAAjgBAACAAAAAzEwMQEOAAAABQAAAAEzAQAAAAEwAgAAAAoxMDAyMjI0MjIzAwAAAAYxMTQxOTAEAAAAATIGAAAAATAHAAAAAzE2MAgAAAABMQkAAAABMQoAAAABMAsAAAALMTE4ODUxNjE3NDIMAAAAATENAAAACDUvMS8yMDIwEAAAAAk4LzE2LzIwMjD/b8pM8kHYCP1HqVnyQdgIIUNJUS5MU0U6VFNDTy5JUV9WT0xVTUUuMTMvMDQvMjAxOAEAAAAwUAYAAgAAAAg0OC45MjAzOABBUkJ18kHYCKtHUXbyQdgIQUNJUS5OWVNFOk1BTlUuSVFfTUlOT1JJVFlfSU5URVJFU1RfVE9UQUwuMjAwMC4zMC8wNC8yMDIwLi5GLkdCUC5DAQAAAN1rDQADAAAAAAC8WAdL8kHYCF8mmVnyQdgIJ0NJUS4kQUVESU5SLklRX0xBU1RTQUxFUFJJQ0UuMzAvMDQv</t>
  </si>
  <si>
    <t>MjAyMAEAAAAl61oAAgAAAAswLjA0ODkwMDY5OQCV/SRV8kHYCKL5hVnyQdgIJkNJUS5OQVNEQVFHUzpUU0xBLklRX1ZPTFVNRS4wNi8wOS8yMDE5AQAAABDGogECAAAACDQuMTg5MzcyAKPWJFXyQdgIbQ3CcvJB2AgjQ0lRLiVUQ01TWTEwLklRX0xBU1RTQUxFUFJJQ0UuNDM0NjUBAAAAHR8oAgIAAAAEMi42OQBBUkJ18kHYCNh9S3byQdgIKENJUS5MU0U6U0ZPUi5JUV9MQVNUU0FMRVBSSUNFLjE3LzA4LzIwMTgBAAAAy1PkIQMAAAAAADq/hVLyQdgIpqAQcfJB2AghQ0lRLkxTRTpUU0NPLklRX1ZPTFVNRS4wNC8wNS8yMDE4AQAAADBQBgACAAAACDQ5LjAzMDE1ACnmhVLyQdgIyMIFcfJB2AghQ0lRLkxTRTpUU0NPLklRX1ZPTFVNRS4wMi8xMS8yMDE4AQAAADBQBgACAAAACDIwLjIzNjY2AMfif1PyQdgIuVIXcfJB2AgyQ0lRLk5BU0RBUUdTOkNBS0UuSVFfREFfQ0YuOTk2LjMxLzEyLzIwMTkuLkYuVVNELkMBAAAACOAEAAIAAAAGODIuODM1AQgAAAAFAAAAATEBAAAACjE4MzAzODY5ODYDAAAAAzE2MAIAAAAEMjE2MAQAAAABMQcAAAAKMTIvMzEvMjAxOQgAAAAJOC8xNi8yMDIwCQAAAAEw2hSWd/JB2Ag50OZ48kHYCCRDSVEuXlNQWC5JUV9MQVNUU0FMRVBSSUNFLjMxLzA1LzIwMTgBAAAAm7goAAIAAAAQMjcwNS4yNzQ3NTE2MjQ4MwC1vDdS8kHYCJIGCHPyQdgIIkNJUS5OWVNFOlJBQ0UuSVFfVk9M</t>
  </si>
  <si>
    <t>VU1FLjAxLzAzLzIwMTkBAAAAPYKwEAIAAAAHMC40NTIwMQCkvH9T8kHYCC2Cu3LyQdgINkNJUS5FVVIuSVFfRlVMTF9DVVJWRV9BTk5VQUwuQUxMQ09SUC5IWS4yMFkuMzAvMDQvMjAyMAEAAAAAAAAAAgAAAAkwLjA3NTkwNTIAqiQlVfJB2Ah5boZZ8kHYCCRDSVEuXlNQWC5JUV9MQVNUU0FMRVBSSUNFLjI5LzExLzIwMTkBAAAAm7goAAIAAAAQMzE0MC45ODA2Mjc3MDI1NAC1vDdS8kHYCCnqEXPyQdgIRENJUS5OQVNEQVFHUzpUU0xBLklRX01JTk9SSVRZX0lOVEVSRVNUX1RPVEFMLjk5Ni4zMS8xMi8yMDE5Li5GLlVTRC5DAQAAABDGogEDAAAAAACE1Bd48kHYCKIu9njyQdgILUNJUS5OQVNEQVFHUzpUU0xBLklRX0xBU1RTQUxFUFJJQ0UuMzEvMDcvMjAxNQEAAAAQxqIBAgAAAAYyNjYuMTUAuZR/U/JB2AgPmiFx8kHYCBlDSVEuLklRX1ZPTFVNRS4yNy8wNy8yMDE4BQAAAAAAAAAIAAAAFChJbnZhbGlkIElkZW50aWZpZXIpUUqFUvJB2Ag89Q5x8kHYCDpDSVEuTkFTREFRR1M6VFNMQS5JUV9JTlRFUkVTVF9FWFAuMjAwMC4zMS8xMi8yMDE5Li5GLlVTRC5DAQAAABDGogECAAAACC03NDguMTgzAQgAAAAFAAAAATEBAAAACjE5ODk0NTMxMzADAAAAAzE2MAIAAAACODIEAAAAATEHAAAACjEyLzMxLzIwMTkIAAAACTgvMTYvMjAyMAkAAAABMNoUlnfyQdgISfzkePJB2AgoQ0lRLkxTRTpTRk9SLklRX0xB</t>
  </si>
  <si>
    <t>U1RTQUxFUFJJQ0UuMDMvMDQvMjAyMAEAAADLU+QhAgAAAAQxLjQ1AAHofVPyQdgIu6JeWfJB2AgtQ0lRLk5BU0RBUUdTOkNBS0UuSVFfTEFTVFNBTEVQUklDRS4xMS8wMS8yMDE5AQAAAAjgBAACAAAABTQ2LjExAKS8f1PyQdgI/6oicfJB2Ag6Q0lRLk5BU0RBUUdTOkNBS0UuSVFfRVFVSVRZX01FVEhPRC45OTguMzAvMDQvMjAyMC4uRi5VU0QuQwEAAAAI4AQAAgAAAAY1OS41MjEBCAAAAAUAAAABMQEAAAAKMjAyMTU4MTQwOQMAAAADMTYwAgAAAAQzMDYzBAAAAAExBwAAAAk0LzMwLzIwMjAIAAAACTgvMTYvMjAyMAkAAAABMANJykzyQdgI0SuQWfJB2AglQ0lRLl5DT01QLklRX0xBU1RTQUxFUFJJQ0UuMzAvMDkvMjAxNwEAAACJuCgAAgAAAAc2NDk1Ljk2ALW8N1LyQdgIZ9kJc/JB2AghQ0lRLkxTRTpTRk9SLklRX1ZPTFVNRS4yMy8wMy8yMDE4AQAAAMtT5CEDAAAAAAAoK0J18kHYCNEZU3byQdgINkNJUS5OQVNEQVFHUzpDQUtFLklRX1RPVEFMX1JFVi45OTcuMzAvMDQvMjAyMC4uRi5VU0QuQwEAAAAI4AQAAgAAAAgyMjc1LjcxOQEIAAAABQAAAAExAQAAAAoxOTQ4MTc2NjYyAwAAAAMxNjACAAAAAjI4BAAAAAExBwAAAAk0LzMwLzIwMjAIAAAACTgvMTYvMjAyMAkAAAABMP9vykzyQdgI7CueWfJB2AgpQ0lRLk5ZU0U6TUFOVS5JUV9MQVNUU0FMRVBSSUNFLjIwLzA5LzIwMTkBAAAA3WsNAAIAAAAE</t>
  </si>
  <si>
    <t>MTcuNQAFXX5T8kHYCAhWK3HyQdgIJkNJUS5OQVNEQVFHUzpDQUtFLklRX1ZPTFVNRS4yOS8xMi8yMDE3AQAAAAjgBAACAAAACDAuOTcwMzg2ACgrQnXyQdgIqthcdvJB2AgkQ0lRLl5BU1guSVFfTEFTVFNBTEVQUklDRS4xMy8wNC8yMDE4AQAAAB9T6wECAAAACzQwMDEuMzMwMDU1ANgt3nTyQdgIbdxFdvJB2AghQ0lRLkxTRTpUU0NPLklRX1ZPTFVNRS4wMy8wMS8yMDIwAQAAADBQBgACAAAACDE1LjkxMDc0AJX9JFXyQdgIAuZ3WfJB2AgoQ0lRLkxTRTpUU0NPLklRX0xBU1RTQUxFUFJJQ0UuMzEvMDEvMjAxNgEAAAAwUAYAAgAAAAUxLjczNADe0n5T8kHYCAdHI3HyQdgIMkNJUS5OWVNFOk1BTlUuSVFfTFRfSU5WRVNULjk5Ni4zMS8xMi8yMDE5Li5GLkdCUC5DAQAAAN1rDQADAAAAAAA7hhd48kHYCMbF+XjyQdgIIkNJUS5OWVNFOlJBQ0UuSVFfVk9MVU1FLjEzLzA5LzIwMTkBAAAAPYKwEAIAAAAIMC41NjU2NTkAJWG1U/JB2Aj5RLxy8kHYCCBDSVEuLklRX0xBU1RTQUxFUFJJQ0UuMzEvMDMvMjAxOQUAAAAAAAAACAAAABQoSW52YWxpZCBJZGVudGlmaWVyKSC3MlLyQdgIarkqc/JB2AguQ0lRLkxTRTpUU0NPLklRX0xBU1RTQUxFUFJJQ0UuMjMvMDIvMjAxOS5HQlAuQwEAAAAwUAYAAgAAAAUyLjIyOAAVIspM8kHYCDkwYHbyQdgIMkNJUS5OWVNFOktPLklRX1RPVEFMX0xJQUIuMTAwMC4zMC8wNC8y</t>
  </si>
  <si>
    <t>MDIwLi5GLlVTRC5DAQAAABJoAAACAAAABTY1MjgzAQgAAAAFAAAAATEBAAAACjIwMTY3OTEyNDUDAAAAAzE2MAIAAAAEMTI3NgQAAAABMQcAAAAJNC8zMC8yMDIwCAAAAAk4LzE2LzIwMjAJAAAAATADScpM8kHYCBkQmlnyQdgIMENJUS5MU0U6VFNDTy5JUV9JTkNfVEFYLjIwMDAuMzEvMTIvMjAxOS4uRi5HQlAuQwEAAAAwUAYAAgAAAAMzOTkBCAAAAAUAAAABMQEAAAAKMTk4Njc5MzI0MAMAAAACNTUCAAAAAjc1BAAAAAExBwAAAAoxMi8zMS8yMDE5CAAAAAk4LzE2LzIwMjAJAAAAATDaFJZ38kHYCN8o6njyQdgIK0NJUS5OWVNFOktPLklRX0VCSVQuOTk4LjMxLzEyLzIwMTkuLkYuVVNELkMBAAAAEmgAAAIAAAAEOTcyMwEIAAAABQAAAAExAQAAAAoxOTQ2NDMwNzgyAwAAAAMxNjACAAAAAzQwMAQAAAABMQcAAAAKMTIvMzEvMjAxOQgAAAAJOC8xNi8yMDIwCQAAAAEwHiIYePJB2AhYI+x48kHYCEFDSVEuTkFTREFRR1M6VFNMQS5JUV9UT1RBTF9DT01NT05fRVFVSVRZLjIwMDAuMzEvMTIvMjAxOS4uRi5VU0QuQwEAAAAQxqIBAgAAAAQ2MDQwAQgAAAAFAAAAATEBAAAACjE5ODk0NTMxMzADAAAAAzE2MAIAAAAEMTAwNgQAAAABMQcAAAAKMTIvMzEvMjAxOQgAAAAJOC8xNi8yMDIwCQAAAAEwHvsXePJB2AgZgvR48kHYCCFDSVEuTFNFOlNGT1IuSVFfVk9MVU1FLjA0LzAxLzIwMTkBAAAAy1PkIQIAAAAI</t>
  </si>
  <si>
    <t>MC4wNjkxNjUAx+J/U/JB2Ajqkrxy8kHYCDlDSVEuTkFTREFRR1M6Q0FLRS5JUV9TSEFSRVNPVVRTVEFORElOR19PVVQuMzAvMTIvMjAxNC5VU0QBAAAACOAEAAIAAAAJNTEuNjYwMzA3AEdgF3jyQdgI1MUAefJB2Ag1Q0lRLk5ZU0U6TUFOVS5JUV9TSEFSRVNPVVRTVEFORElOR19PVVQuMzAvMDYvMjAxOS5HQlABAAAA3WsNAAIAAAAJMTY0LjUyNjM5AANJykzyQdgIXWlhdvJB2AgqQ0lRLkxTRTpUU0NPLklRX0dQLjk5OS4zMS8xMi8yMDE5Li5GLkdCUC5DAQAAADBQBgACAAAABDI3MjEBCAAAAAUAAAABMQEAAAAKMTk2ODczNjU1OQMAAAACNTUCAAAAAjEwBAAAAAExBwAAAAoxMi8zMS8yMDE5CAAAAAk4LzE2LzIwMjAJAAAAATAeIhh48kHYCJqO8HjyQdgIGUNJUS4uSVFfQ09NUEFOWV9OQU1FX0xPTkcFAAAAAAAAAAgAAAAUKEludmFsaWQgSWRlbnRpZmllcin4XS9S8kHYCD7IwVnyQdgIJENJUS5eU1BYLklRX0xBU1RTQUxFUFJJQ0UuMTcvMDgvMjAxOAEAAACbuCgAAgAAABAyODUwLjEzMTYxMTYwNDA2AIrFN1HyQdgIBOUTc/JB2AggQ0lRLi5JUV9MQVNUU0FMRVBSSUNFLjI2LzA0LzIwMTkFAAAAAAAAAAgAAAAUKEludmFsaWQgSWRlbnRpZmllcinntDZR8kHYCIkiS3PyQdgIKUNJUS5OWVNFOk1BTlUuSVFfTEFTVFNBTEVQUklDRS4yMi8xMS8yMDE5AQAAAN1rDQACAAAABTE2LjU4AOg1flPyQdgI</t>
  </si>
  <si>
    <t>iFAtcfJB2AgtQ0lRLk5BU0RBUUdTOkNBS0UuSVFfTEFTVFNBTEVQUklDRS4yOS8xMi8yMDE3AQAAAAjgBAACAAAABTQ4LjE4ACgrQnXyQdgIqthcdvJB2Ag2Q0lRLk5ZU0U6S08uSVFfRVNUX0VQU19HUk9XVEhfNVlSX0hJR0guNjAwMC4zMC8wNC8yMDIwAQAAABJoAAACAAAAATgBDgAAAAUAAAABNwEAAAAHMjYwMTIwMQIAAAAFMjIyMDgDAAAABjEwMDE2OQQAAAABMgYAAAABMAcAAAABMAgAAAABMAkAAAABMQoAAAABMAsAAAALMTE4OTE1MTY3MTQMAAAAATgNAAAACDUvMS8yMDIwEAAAAAk0LzMwLzIwMjCxryRV8kHYCKKCf1nyQdgIPkNJUS5OQVNEQVFHUzpDQUtFLklRX0NBUEVYX01FRElBTl9FU1QuMTAwMi4zMS8xMi8yMDE5Li5GLlVTRC5DAQAAAAjgBAACAAAABC0xMzUBDgAAAAUAAAABMwEAAAABMAIAAAAKMTAwMjIyNDIyMgMAAAAGMTA0MDkxBAAAAAEyBgAAAAEwBwAAAAMxNjAIAAAAATEJAAAAATEKAAAAATALAAAACzExNjU5MDkyNTMzDAAAAAExDQAAAAgxLzEvMjAyMBAAAAAJOC8xNi8yMDIwOzyWd/JB2AjggeZ48kHYCCJDSVEuTllTRTpSQUNFLklRX1ZPTFVNRS4xNy8wNS8yMDE5AQAAAD2CsBACAAAACDAuMjYyNjExACVhtVPyQdgIGtC7cvJB2Ag0Q0lRLk5ZU0U6UkFDRS5JUV9QUkVGX0VRVUlUWS45OTkuMzAvMDQvMjAyMC4uRi5FVVIuQwEAAAA9grAQAwAAAAAA2QoHS/JB2AjIbptZ</t>
  </si>
  <si>
    <t>8kHYCCZDSVEuTkFTREFRR1M6VFNMQS5JUV9WT0xVTUUuMzAvMTEvMjAxOAEAAAAQxqIBAgAAAAg1LjYyODg5NQDH4n9T8kHYCAt5H3HyQdgIOUNJUS5OQVNEQVFHUzpDQUtFLklRX1NIQVJFU09VVFNUQU5ESU5HX09VVC4zMS8xMi8yMDE5LlVTRAEAAAAI4AQAAgAAAAk0NC42MzM3ODkAW5PiTfJB2AjMDl528kHYCCRDSVEuXlNQWC5JUV9MQVNUU0FMRVBSSUNFLjE4LzA1LzIwMTgBAAAAm7goAAIAAAAQMjcxMi45NzQ3MTM1NjA2NACKxTdR8kHYCPKAFHPyQdgIJkNJUS5OQVNEQVFHUzpUU0xBLklRX1ZPTFVNRS4xOS8xMC8yMDE4AQAAABDGogECAAAACDkuMzc1NTQ5AEOYhVLyQdgIbRsWcfJB2AgnQ0lRLk5ZU0U6S08uSVFfTEFTVFNBTEVQUklDRS4xMi8xMC8yMDE4AQAAABJoAAACAAAABTQ0LjY4AEOYhVLyQdgIL6YVcfJB2AgxQ0lRLk5ZU0U6S08uSVFfVE9UQUxfUkVWLjIwMDAuMzAvMDQvMjAyMC4uRi5VU0QuQwEAAAASaAAAAgAAAAUzNzE3MwEIAAAABQAAAAExAQAAAAoyMDMwMzc2ODk3AwAAAAMxNjACAAAAAjI4BAAAAAExBwAAAAk0LzMwLzIwMjAIAAAACTgvMTYvMjAyMAkAAAABMANJykzyQdgIMmmdWfJB2AgpQ0lRLk5ZU0U6UkFDRS5JUV9MQVNUU0FMRVBSSUNFLjMwLzA0LzIwMTUBAAAAPYKwEAMAAAAAAKS8f1PyQdgIKisfcfJB2AggQ0lRLi5JUV9MQVNUU0FMRVBSSUNFLjA4LzAyLzIw</t>
  </si>
  <si>
    <t>MTkFAAAAAAAAAAgAAAAUKEludmFsaWQgSWRlbnRpZmllcim9UDdR8kHYCBbFV3PyQdgILkNJUS5MU0U6U0ZPUi5JUV9MQVNUU0FMRVBSSUNFLjMxLzEyLzIwMTkuR0JQLkMBAAAAy1PkIQIAAAAFMS45MjUAFSLKTPJB2Aj0wF128kHYCDxDSVEuTllTRTpNQU5VLklRX1RPVEFMX0NPTU1PTl9FUVVJVFkuOTk3LjMxLzEyLzIwMTkuLkYuR0JQLkMBAAAA3WsNAAIAAAAHNDU4LjI4MgEIAAAABQAAAAExAQAAAAoxOTEwMjQ3NDAzAwAAAAI1NQIAAAAEMTAwNgQAAAABMQcAAAAKMTIvMzEvMjAxOQgAAAAJOC8xNi8yMDIwCQAAAAEwHvsXePJB2Ahp5/N48kHYCChDSVEuTFNFOlNGT1IuSVFfTEFTVFNBTEVQUklDRS4wNS8wMS8yMDE4AQAAAMtT5CEDAAAAAAAoK0J18kHYCJpjXHbyQdgIJUNJUS5eQ09NUC5JUV9MQVNUU0FMRVBSSUNFLjAyLzAyLzIwMTgBAAAAibgoAAIAAAAHNzI0MC45NQDYLd508kHYCLgERnbyQdgIOENJUS5MU0U6U0ZPUi5JUV9FQklUX01FRElBTl9FU1QuNjAwMC4zMS8xMi8yMDE5Li5GLkdCUC5DAQAAAMtT5CECAAAAEDQ4Ljc2OTE0MzMyMzI2NTIBDgAAAAUAAAACMTEBAAAAATACAAAABzM5MDQ5OTEDAAAABjEwMDIxNgQAAAABMwYAAAABMAcAAAACNTUIAAAAATEJAAAAATEKAAAAATALAAAACzExODM0NTYwNzQ0DAAAAAIxMg0AAAAIMS8xLzIwMjAQAAAACTgvMTYvMjAyMPNIGHjyQdgI</t>
  </si>
  <si>
    <t>K7/sePJB2AglQ0lRLl5DT01QLklRX0xBU1RTQUxFUFJJQ0UuMjAvMDMvMjAyMAEAAACJuCgAAgAAAAc2ODc5LjUyAEkFM1LyQdgIpcK8WfJB2AgpQ0lRLk5ZU0U6TUFOVS5JUV9MQVNUU0FMRVBSSUNFLjMwLzAzLzIwMTgBAAAA3WsNAAIAAAAEMTkuMgAoK0J18kHYCLNYUnbyQdgIJUNJUS5eQ09NUC5JUV9MQVNUU0FMRVBSSUNFLjMxLzEwLzIwMTgBAAAAibgoAAIAAAAGNzMwNS45AAmWN1LyQdgIgIsJc/JB2AgmQ0lRLk5BU0RBUUdTOlRTTEEuSVFfVk9MVU1FLjAyLzAyLzIwMTgBAAAAEMaiAQIAAAAIMy43MDQ4MzYAKCtCdfJB2Ajl8ll28kHYCDlDSVEuTFNFOlNGT1IuSVFfRVNUX0VQU19HUk9XVEhfNVlSX01FRElBTi42MDAwLjMwLzA0LzIwMjABAAAAy1PkIQIAAAACMjQBDgAAAAUAAAABNwEAAAAJNTgyMDIxMTU2AgAAAAoxMDA0MzE2MDQ4AwAAAAYxMDAxNjgEAAAAATMGAAAAATAHAAAAATAIAAAAATAJAAAAATEKAAAAATALAAAACzExODQ4MjAyNTc0DAAAAAE4DQAAAAg1LzEvMjAyMBAAAAAJNC8zMC8yMDIwsa8kVfJB2Aiign9Z8kHYCClDSVEuTllTRTpSQUNFLklRX0xBU1RTQUxFUFJJQ0UuMDMvMDgvMjAxOAEAAAA9grAQAgAAAAYxMjQuODQAOr+FUvJB2AgWkQ9x8kHYCCFDSVEuTFNFOlRTQ08uSVFfVk9MVU1FLjAyLzA4LzIwMTkBAAAAMFAGAAIAAAAIMzEuODYxMDkAlf0kVfJB2AhhZr5y</t>
  </si>
  <si>
    <t>8kHYCDBDSVEuTFNFOlNGT1IuSVFfVE9UQUxfQ0EuOTk4LjMxLzEyLzIwMTkuLkYuR0JQLkMBAAAAy1PkIQMAAAAAADuGF3jyQdgItOj7ePJB2AgkQ0lRLl5BU1guSVFfTEFTVFNBTEVQUklDRS4yNS8wNS8yMDE4AQAAAB9T6wECAAAACzQyNTUuMTk2MzM4AIrFN1HyQdgIevUbc/JB2AgkQ0lRLl5TUFguSVFfTEFTVFNBTEVQUklDRS4yOC8wMi8yMDE5AQAAAJu4KAACAAAAEDI3ODQuNDkxMzU4NTIxMjgASQUzUvJB2Aj9twdz8kHYCCRDSVEuXlNQWC5JUV9MQVNUU0FMRVBSSUNFLjMwLzExLzIwMTgBAAAAm7goAAIAAAAQMjc2MC4xNzQyNTY1NjMxNgAJljdS8kHYCMxvE3PyQdgIKUNJUS5OWVNFOk1BTlUuSVFfTEFTVFNBTEVQUklDRS4zMS8wNS8yMDE2AQAAAN1rDQACAAAABTE3LjA3AMGqflPyQdgIgTAkcfJB2AgtQ0lRLk5BU0RBUUdTOkNBS0UuSVFfTEFTVFNBTEVQUklDRS4xNC8wNi8yMDE5AQAAAAjgBAACAAAABTQ1LjM3AMGqflPyQdgIzYkncfJB2AgkQ0lRLl5TUFguSVFfTEFTVFNBTEVQUklDRS4zMS8xMi8yMDE1AQAAAJu4KAACAAAAEDIwNDMuOTM2ODYyNjYwNzIAoJ43UfJB2AijyAhz8kHYCC1DSVEuTkFTREFRR1M6Q0FLRS5JUV9MQVNUU0FMRVBSSUNFLjE1LzExLzIwMTkBAAAACOAEAAIAAAAFNDQuMDUA6DV+U/JB2AiUKS1x8kHYCCdDSVEuJEFFREVVUi5JUV9MQVNUU0FMRVBSSUNFLjMx</t>
  </si>
  <si>
    <t>LzEyLzIwMTYBAAAAJetaAAIAAAALMy44NzY5MTMzMzMAFSLKTPJB2AgD01528kHYCBlDSVEuLklRX1ZPTFVNRS4xMy8wNC8yMDE4BQAAAAAAAAAIAAAAFChJbnZhbGlkIElkZW50aWZpZXIpGN1BdfJB2AjUvFF28kHYCChDSVEuTFNFOlRTQ08uSVFfTEFTVFNBTEVQUklDRS4yMC8xMi8yMDE5AQAAADBQBgACAAAABTIuNTE5AOg1flPyQdgIVjoucfJB2Ag2Q0lRLk5ZU0U6S08uSVFfQ0FTSF9TVF9JTlZFU1QuMTAwMC4zMS8xMi8yMDE5Li5GLlVTRC5DAQAAABJoAAACAAAABTE1OTY0AQgAAAAFAAAAATEBAAAACjE5NDY0MzA3ODEDAAAAAzE2MAIAAAAEMTAwMgQAAAABMQcAAAAKMTIvMzEvMjAxOQgAAAAJOC8xNi8yMDIwCQAAAAEwO4YXePJB2AhUGf948kHYCC1DSVEuTkFTREFRR1M6Q0FLRS5JUV9MQVNUU0FMRVBSSUNFLjI2LzAxLzIwMTgBAAAACOAEAAIAAAAFNTAuMDUAKCtCdfJB2Aj7aFp28kHYCDVDSVEuTllTRTpSQUNFLklRX1RPVEFMX0FTU0VUUy45OTguMzEvMTIvMjAxOS4uRi5FVVIuQwEAAAA9grAQAgAAAAgzODQ5LjYwNAEIAAAABQAAAAExAQAAAAoxOTQ3NDQ0MTg0AwAAAAI1MAIAAAAEMTAwNwQAAAABMQcAAAAKMTIvMzEvMjAxOQgAAAAJOC8xNi8yMDIwCQAAAAEwO4YXePJB2Ah5/fp48kHYCCZDSVEuTkFTREFRR1M6Q0FLRS5JUV9WT0xVTUUuMTEvMTAvMjAxOQEAAAAI4AQAAgAAAAgw</t>
  </si>
  <si>
    <t>LjY2ODk5NACV/SRV8kHYCMXVwHLyQdgIMENJUS5MU0U6VFNDTy5JUV9DT1NUX1JFVi45OTkuMzAvMDQvMjAyMC4uRi5HQlAuQwEAAAAwUAYAAgAAAAU2MDM5MwEIAAAABQAAAAExAQAAAAoxOTY4NzM2NTYzAwAAAAI1NQIAAAABMQQAAAABMQcAAAAJNC8zMC8yMDIwCAAAAAk4LzE2LzIwMjAJAAAAATDJMQdL8kHYCLXunlnyQdgIJ0NJUS5OWVNFOktPLklRX0xBU1RTQUxFUFJJQ0UuMjUvMTAvMjAxOQEAAAASaAAAAgAAAAU1My43NQAFXX5T8kHYCMlmLHHyQdgIL0NJUS5OWVNFOktPLklRX1RPVEFMX0NMLjk5OC4zMC8wNC8yMDIwLi5GLlVTRC5DAQAAABJoAAACAAAABTI3MTk0AQgAAAAFAAAAATEBAAAACjIwMTY3OTEyNTADAAAAAzE2MAIAAAAEMTAwOQQAAAABMQcAAAAJNC8zMC8yMDIwCAAAAAk4LzE2LzIwMjAJAAAAATADScpM8kHYCNhSl1nyQdgIN0NJUS5OQVNEQVFHUzpUU0xBLklRX1RPVEFMX0xJQUIuOTk4LjMwLzA0LzIwMjAuLkYuVVNELkMBAAAAEMaiAQIAAAAIMjMwMjMuMDUBCAAAAAUAAAABMQEAAAAKMjAxMzkwNzQ3MAMAAAADMTYwAgAAAAQxMjc2BAAAAAExBwAAAAk0LzMwLzIwMjAIAAAACTgvMTYvMjAyMAkAAAABMLxYB0vyQdgIBl6aWfJB2AgnQ0lRLiRBRURJUlIuSVFfTEFTVFNBTEVQUklDRS4zMC8wNC8yMDE5AQAAACXrWgACAAAACDguNzRFLTA1AKokJVXyQdgIUGODWfJB2Agl</t>
  </si>
  <si>
    <t>Q0lRLl5DT01QLklRX0xBU1RTQUxFUFJJQ0UuMTMvMDQvMjAxOAEAAACJuCgAAgAAAAc3MTA2LjY1ANgt3nTyQdgIpitGdvJB2AgrQ0lRLkxTRTpUU0NPLklRX1NHQS45OTkuMzEvMTIvMjAxOS4uRi5HQlAuQwEAAAAwUAYAAgAAAAQxMDg1AQgAAAAFAAAAATEBAAAACjE5Njg3MzY1NTkDAAAAAjU1AgAAAAIyMwQAAAABMQcAAAAKMTIvMzEvMjAxOQgAAAAJOC8xNi8yMDIwCQAAAAEwHiIYePJB2Ahly+948kHYCCZDSVEuTkFTREFRR1M6VFNMQS5JUV9WT0xVTUUuMjkvMTEvMjAxOQEAAAAQxqIBAgAAAAgyLjQ2NTYyOQCj1iRV8kHYCFhbwnLyQdgIPkNJUS5OWVNFOktPLklRX01JTk9SSVRZX0lOVEVSRVNUX1RPVEFMLjk5Ny4zMS8xMi8yMDE5Li5GLlVTRC5DAQAAABJoAAACAAAAAzIxMAEIAAAABQAAAAExAQAAAAoxODc1Nzk3ODA5AwAAAAMxNjACAAAABDEzMTIEAAAAATEHAAAACjEyLzMxLzIwMTkIAAAACTgvMTYvMjAyMAkAAAABMITUF3jyQdgIy1b2ePJB2AgkQ0lRLl5BU1guSVFfTEFTVFNBTEVQUklDRS4xNS8wNi8yMDE4AQAAAB9T6wECAAAACzQyMDkuOTQxNDE5AIrFN1HyQdgIgc4bc/JB2AgoQ0lRLkxTRTpTRk9SLklRX0xBU1RTQUxFUFJJQ0UuMjIvMDIvMjAxOQEAAADLU+QhAgAAAAMxLjMApLx/U/JB2AjD4iNx8kHYCC1DSVEuTkFTREFRR1M6VFNMQS5JUV9MQVNUU0FMRVBSSUNFLjEzLzA5</t>
  </si>
  <si>
    <t>LzIwMTkBAAAAEMaiAQIAAAAFMjQ1LjIABV1+U/JB2AgZLytx8kHYCC1DSVEuTllTRTpSQUNFLklRX0VCVC4xMDAzLjMxLzEyLzIwMTkuLkYuRVVSLkMBAAAAPYKwEAMAAAAAAB4iGHjyQdgInWDrePJB2AgqQ0lRLklRNTAwMjc1ODAuSVFfTEFTVFNBTEVQUklDRS4zMC8wNC8yMDIwAQAAADxc+wICAAAABTAuMjMzAKPWJFXyQdgIlSCGWfJB2AgyQ0lRLk5BU0RBUUdTOkNBS0UuSVFfUFJJQ0VfVk9MX0hJU1RfMllSLjMwLzA0LzIwMjABAAAACOAEAAIAAAAHNTAuMzM2NADiEiRV8kHYCKd5iVnyQdgIKUNJUS5OWVNFOk1BTlUuSVFfTEFTVFNBTEVQUklDRS4wNi8wMy8yMDIwAQAAAN1rDQACAAAABTE3LjA4AAHofVPyQdgI899dWfJB2AgoQ0lRLkxTRTpUU0NPLklRX0xBU1RTQUxFUFJJQ0UuMjAvMDkvMjAxOQEAAAAwUAYAAgAAAAUyLjQxNQAFXX5T8kHYCBkvK3HyQdgIJ0NJUS4kQUVEQ05ZLklRX0xBU1RTQUxFUFJJQ0UuMzEvMTIvMjAxOAEAAAAl61oAAgAAAAswLjUzNDA0NDgxMQDfBt508kHYCCaUSnbyQdgIKENJUS5MU0U6VFNDTy5JUV9MQVNUU0FMRVBSSUNFLjAzLzA4LzIwMTgBAAAAMFAGAAIAAAAFMi41OTUAOr+FUvJB2AgWkQ9x8kHYCChDSVEuJVRDTVNZMjAuSVFfTEFTVFNBTEVQUklDRS4zMC8wNC8yMDIwAQAAACAfKAICAAAABDEuMDUAo9YkVfJB2AgPTYRZ8kHYCCVDSVEuXkNPTVAuSVFf</t>
  </si>
  <si>
    <t>TEFTVFNBTEVQUklDRS4zMC8wNC8yMDE3AQAAAIm4KAACAAAABzYwNDcuNjEAfKuFUfJB2Ahn2Qlz8kHYCCVDSVEuXkNPTVAuSVFfTEFTVFNBTEVQUklDRS4zMC8xMS8yMDE3AQAAAIm4KAACAAAABzY4NzMuOTcAtbw3UvJB2Ahssglz8kHYCDNDSVEuTllTRTpLTy5JUV9QUkVGX0VRVUlUWS4xMDAwLjMwLzA0LzIwMjAuLkYuVVNELkMBAAAAEmgAAAMAAAAAAANJykzyQdgI0yCbWfJB2AgZQ0lRLi5JUV9WT0xVTUUuMDkvMTEvMjAxOAUAAAAAAAAACAAAABQoSW52YWxpZCBJZGVudGlmaWVyKbmUf1PyQdgI6gcdcfJB2AgkQ0lRLl5TUFguSVFfTEFTVFNBTEVQUklDRS4zMS8wMy8yMDE4AQAAAJu4KAACAAAAEDI2NDAuODY1OTkwMzI5MjkAtbw3UvJB2AiSBghz8kHYCChDSVEuTllTRTpNQU5VLklRX0VQU19FU1QuNjAwMC4zMC8wNC8yMDIwAQAAAN1rDQACAAAABjAuMDE2NQEOAAAABQAAAAIxMQEAAAAJMjE1MDU1Mzg1AgAAAAczNjE3ODg1AwAAAAYxMDAxNzMEAAAAATMGAAAAATAHAAAAAjU1CAAAAAEwCQAAAAExCgAAAAEwCwAAAAsxMTg2ODYzMTAxMAwAAAACMTINAAAACDUvMS8yMDIwEAAAAAk0LzMwLzIwMjCxryRV8kHYCESKg1nyQdgIIUNJUS5MU0U6U0ZPUi5JUV9WT0xVTUUuMzEvMDgvMjAxOAEAAADLU+QhAwAAAAAAQ5iFUvJB2AhE2BFx8kHYCDpDSVEuTFNFOlNGT1IuSVFfVE9UQUxfREVCVF9D</t>
  </si>
  <si>
    <t>VVJSRU5ULjk5Ny4zMS8xMi8yMDE5Li5GLkdCUC5DAQAAAMtT5CEDAAAAAAAcrRd48kHYCHEE+XjyQdgIMkNJUS5OWVNFOk1BTlUuSVFfVE9UQUxfQ0wuMjAwMC4zMS8xMi8yMDE5Li5GLkdCUC5DAQAAAN1rDQACAAAABzM4NC44OTEBCAAAAAUAAAABMQEAAAAKMTk5MzYyMTMyMgMAAAACNTUCAAAABDEwMDkEAAAAATEHAAAACjEyLzMxLzIwMTkIAAAACTgvMTYvMjAyMAkAAAABMBytF3jyQdgIpLb4ePJB2AgiQ0lRLk5ZU0U6UkFDRS5JUV9WT0xVTUUuMDIvMDIvMjAxOAEAAAA9grAQAgAAAAgxLjM5NTQ3NQAoK0J18kHYCOXyWXbyQdgIL0NJUS5MU0U6VFNDTy5JUV9JTkNfVEFYLjk5OS4zMS8xMi8yMDE5Li5GLkdCUC5DAQAAADBQBgACAAAAAzMwNgEIAAAABQAAAAExAQAAAAoxOTY4NzM2NTU5AwAAAAI1NQIAAAACNzUEAAAAATEHAAAACjEyLzMxLzIwMTkIAAAACTgvMTYvMjAyMAkAAAABMNztlXfyQdgIaNvpePJB2AgiQ0lRLk5ZU0U6TUFOVS5JUV9WT0xVTUUuMjAvMDMvMjAyMAEAAADdaw0AAgAAAAgwLjEzOTk2MQCV/SRV8kHYCKeSeVnyQdgIN0NJUS5OWVNFOlJBQ0UuSVFfREFfTUVESUFOX0VTVC42MDAxLjMxLzEyLzIwMTkuLkYuRVVSLkMBAAAAPYKwEAMAAAAAANoUlnfyQdgIewfoePJB2AgoQ0lRLkxTRTpTRk9SLklRX0xBU1RTQUxFUFJJQ0UuMzEvMDMvMjAxOQEAAADLU+QhAgAAAAQxLjI5</t>
  </si>
  <si>
    <t>AAgPflPyQdgIyWYscfJB2AgqQ0lRLk5ZU0U6S08uSVFfRklTQ0FMX1kuMTAwMC4zMS8xMi8yMDE5Li5GAQAAABJoAAABAAAABDIwMTgA3wbedPJB2Ah9oEZ28kHYCCdDSVEuTllTRTpLTy5JUV9MQVNUU0FMRVBSSUNFLjIwLzAzLzIwMjABAAAAEmgAAAIAAAAEMzguMwAB6H1T8kHYCGhTXlnyQdgILUNJUS5OWVNFOk1BTlUuSVFfRUJJVC45OTguMzAvMDQvMjAyMC4uRi5HQlAuQwEAAADdaw0AAgAAAAY2Ny44NzUBCAAAAAUAAAABMQEAAAAKMTk4NTg0NTA0NQMAAAACNTUCAAAAAzQwMAQAAAABMQcAAAAJNC8zMC8yMDIwCAAAAAk4LzE2LzIwMjAJAAAAATC8WAdL8kHYCDO4pFnyQdgIMkNJUS5OWVNFOk1BTlUuSVFfTFRfSU5WRVNULjk5Ny4zMC8wNC8yMDIwLi5GLkdCUC5DAQAAAN1rDQADAAAAAAD/b8pM8kHYCCHPlVnyQdgIJENJUS5eU1BYLklRX0xBU1RTQUxFUFJJQ0UuMjgvMDYvMjAxOQEAAACbuCgAAgAAABAyOTQxLjc2MDYzNzQ1NzkzAHyrhVHyQdgIB60Sc/JB2AggQ0lRLi5JUV9MQVNUU0FMRVBSSUNFLjEyLzA3LzIwMTkFAAAAAAAAAAgAAAAUKEludmFsaWQgSWRlbnRpZmllcimGXYVR8kHYCHCtPHPyQdgIIUNJUS5MU0U6U0ZPUi5JUV9WT0xVTUUuMjkvMDYvMjAxOAEAAADLU+QhAwAAAAAAOr+FUvJB2AjbDwxx8kHYCCBDSVEuLklRX0xBU1RTQUxFUFJJQ0UuMDYvMDQvMjAxOAUAAAAAAAAA</t>
  </si>
  <si>
    <t>CAAAABQoSW52YWxpZCBJZGVudGlmaWVyKVRa3HTyQdgI1nNBdvJB2Ag7Q0lRLk5ZU0U6UkFDRS5JUV9FQklUREFfTUVESUFOX0VTVC4xMDAxLjMxLzEyLzIwMTkuLkYuRVVSLkMBAAAAPYKwEAIAAAAGMTI3NC41AQ4AAAAFAAAAATMBAAAAATACAAAACjEwMDMyMjY4MDIDAAAABjEwMDE4OAQAAAABMwYAAAABMAcAAAACNTAIAAAAATEJAAAAATEKAAAAATALAAAACzExNzA1MjUxNTc2DAAAAAExDQAAAAgxLzEvMjAyMBAAAAAJOC8xNi8yMDIw80gYePJB2Aitue548kHYCCFDSVEuTFNFOlRTQ08uSVFfVk9MVU1FLjIzLzAzLzIwMTgBAAAAMFAGAAIAAAAIMzEuNjA0MzYAKCtCdfJB2AjRGVN28kHYCCZDSVEuTkFTREFRR1M6Q0FLRS5JUV9WT0xVTUUuMjIvMDIvMjAxOQEAAAAI4AQAAgAAAAgxLjQzNzkyNACkvH9T8kHYCP0TwHLyQdgIOENJUS5MU0U6VFNDTy5JUV9FQklUX01FRElBTl9FU1QuMTAwMS4zMS8xMi8yMDE5Li5GLkdCUC5DAQAAADBQBgACAAAACDI5NDEuNDU1AQ4AAAAFAAAAATMBAAAAATACAAAACjEwMDAyNjQ0OTgDAAAABjEwMDIxNgQAAAABMwYAAAABMAcAAAACNTUIAAAAATEJAAAAATEKAAAAATALAAAACzExNzIyMTA2NTY3DAAAAAExDQAAAAgxLzEvMjAyMBAAAAAJOC8xNi8yMDIw80gYePJB2Ag1mOx48kHYCDJDSVEuTllTRTpNQU5VLklRX0NPU1RfUkVWLjIwMDAuMzEvMTIvMjAxOS4u</t>
  </si>
  <si>
    <t>Ri5HQlAuQwEAAADdaw0AAgAAAAY2NS43OTkBCAAAAAUAAAABMQEAAAAKMTk5MzYyMTMyMgMAAAACNTUCAAAAATEEAAAAATEHAAAACjEyLzMxLzIwMTkIAAAACTgvMTYvMjAyMAkAAAABMB77F3jyQdgIh5/xePJB2AgiQ0lRLk5ZU0U6UkFDRS5JUV9WT0xVTUUuMjQvMDUvMjAxOQEAAAA9grAQAgAAAAcwLjQ1MDg1ACVhtVPyQdgIGtC7cvJB2AgnQ0lRLiRBRURVR1guSVFfTEFTVFNBTEVQUklDRS4zMS8xMi8yMDE5AQAAACXrWgACAAAACzAuMDAwOTk2NzQ0AP4DQnXyQdgI1LZMdvJB2AgtQ0lRLk5BU0RBUUdTOlRTTEEuSVFfTEFTVFNBTEVQUklDRS4yNC8wNS8yMDE5AQAAABDGogECAAAABjE5MC42MwDBqn5T8kHYCBLuJnHyQdgILUNJUS5MU0U6VFNDTy5JUV9EQV9DRi45OTguMzAvMDQvMjAyMC4uRi5HQlAuQwEAAAAwUAYAAgAAAAQxMDg3AQgAAAAFAAAAATEBAAAACjE5Njg3MzY1NTkDAAAAAjU1AgAAAAQyMTYwBAAAAAExBwAAAAk0LzMwLzIwMjAIAAAACTgvMTYvMjAyMAkAAAABMMkxB0vyQdgIqTGqWfJB2Ag2Q0lRLkxTRTpTRk9SLklRX0RBX01FRElBTl9FU1QuMTAwMi4zMS8xMi8yMDE5Li5GLkdCUC5DAQAAAMtT5CEDAAAAAAA7PJZ38kHYCIbg53jyQdgIKENJUS4lVENNU1kwMi5JUV9MQVNUU0FMRVBSSUNFLjMxLzEyLzIwMTkBAAAAER8oAgIAAAAEMS41OADfBt508kHYCPsvS3byQdgIMUNJ</t>
  </si>
  <si>
    <t>US5OQVNEQVFHUzpDQUtFLklRX0VCSVQuOTk5LjMxLzEyLzIwMTkuLkYuVVNELkMBAAAACOAEAAIAAAAHMTYzLjE4OAEIAAAABQAAAAExAQAAAAoxOTQ4MTc2NjgwAwAAAAMxNjACAAAAAzQwMAQAAAABMQcAAAAKMTIvMzEvMjAxOQgAAAAJOC8xNi8yMDIwCQAAAAEwHiIYePJB2AhYI+x48kHYCCpDSVEuTllTRTpLTy5JUV9HUC4yMDAwLjMwLzA0LzIwMjAuLkYuVVNELkMBAAAAEmgAAAIAAAAFMjI1NDgBCAAAAAUAAAABMQEAAAAKMjAzMDM3Njg5NwMAAAADMTYwAgAAAAIxMAQAAAABMQcAAAAJNC8zMC8yMDIwCAAAAAk4LzE2LzIwMjAJAAAAATADScpM8kHYCKZjn1nyQdgIIENJUS4uSVFfTEFTVFNBTEVQUklDRS4yMi8wNi8yMDE4BQAAAAAAAAAIAAAAFChJbnZhbGlkIElkZW50aWZpZXIpp3c3UfJB2AgTS3Vz8kHYCCtDSVEuTllTRTpSQUNFLklRX05JLjk5OS4zMS8xMi8yMDE5Li5GLkVVUi5DAQAAAD2CsBACAAAABzUzNS4zOTMBCAAAAAUAAAABMQEAAAAKMTk0NzQ0NDE5MAMAAAACNTACAAAAAjE1BAAAAAExBwAAAAoxMi8zMS8yMDE5CAAAAAk4LzE2LzIwMjAJAAAAATDc7ZV38kHYCEqj6HjyQdgIKENJUS5OWVNFOlJBQ0UuSVFfRklTQ0FMX1kuLjMwLzA0LzIwMjAuLkYBAAAAPYKwEAEAAAAEMjAxOQBlHMNa8kHYCGUcw1ryQdgIOkNJUS5MU0U6U0ZPUi5JUV9FQklUREFfTUVESUFOX0VTVC4xMDAy</t>
  </si>
  <si>
    <t>LjMwLzA0LzIwMjAuLkYuR0JQLkMBAAAAy1PkIQIAAAAQNzcuMDEyNzcyNzA5NjU0NAEOAAAABQAAAAEzAQAAAAEwAgAAAAoxMDA0MzQ5NjYwAwAAAAYxMDAxODgEAAAAATMGAAAAATAHAAAAAjU1CAAAAAExCQAAAAExCgAAAAEwCwAAAAsxMTg5OTMzMDA1NgwAAAABMQ0AAAAINS8xLzIwMjAQAAAACTgvMTYvMjAyMKR/B0vyQdgIH4WhWfJB2AghQ0lRLkxTRTpUU0NPLklRX1ZPTFVNRS4xMi8wNy8yMDE5AQAAADBQBgACAAAACDIwLjg3NjcxAJX9JFXyQdgIbT++cvJB2AgsQ0lRLk5ZU0U6UkFDRS5JUV9GSUxJTkdfQ1VSUkVOQ1kuLjMxLzEyLzIwMTkBAAAAPYKwEAMAAAADRVVSAP4DQnXyQdgI9MBddvJB2AgsQ0lRLk5ZU0U6S08uSVFfUEVSSU9EREFURS4yMDAwLjMxLzEyLzIwMTkuLkYBAAAAEmgAAAUAAAAKMjcvMDkvMjAxOQD+A0J18kHYCM8rTXbyQdgIQENJUS5OWVNFOlJBQ0UuSVFfTUlOT1JJVFlfSU5URVJFU1RfVE9UQUwuOTk3LjMwLzA0LzIwMjAuLkYuRVVSLkMBAAAAPYKwEAIAAAAENC44MQEIAAAABQAAAAExAQAAAAoxOTQ3NDQ0MTg0AwAAAAI1MAIAAAAEMTMxMgQAAAABMQcAAAAJNC8zMC8yMDIwCAAAAAk4LzE2LzIwMjAJAAAAATDZCgdL8kHYCDDCmVnyQdgIKkNJUS5MU0U6VFNDTy5JUV9OSS45OTguMzEvMTIvMjAxOS4uRi5HQlAuQwEAAAAwUAYAAgAAAAMtNDABCAAAAAUAAAABMQEA</t>
  </si>
  <si>
    <t>AAAKMTg4ODUyNTA3NAMAAAACNTUCAAAAAjE1BAAAAAExBwAAAAoxMi8zMS8yMDE5CAAAAAk4LzE2LzIwMjAJAAAAATDaFJZ38kHYCFV86HjyQdgIOUNJUS5OWVNFOk1BTlUuSVFfRUJJVF9NRURJQU5fRVNULjEwMDEuMzAvMDQvMjAyMC4uRi5HQlAuQwEAAADdaw0AAgAAAAMtMTUBDgAAAAUAAAABMwEAAAABMAIAAAAKMTAwMzA5MjQyMwMAAAAGMTAwMjE2BAAAAAEzBgAAAAEwBwAAAAI1NQgAAAABMQkAAAABMQoAAAABMAsAAAALMTE4Njg2MjYwMzMMAAAAATENAAAACDUvMS8yMDIwEAAAAAk4LzE2LzIwMjDqlspM8kHYCF0bpFnyQdgIJENJUS5eQVNYLklRX0xBU1RTQUxFUFJJQ0UuMzEvMTIvMjAxNwEAAAAfU+sBAgAAAAs0MjIxLjgxNzcxMQC1vDdS8kHYCAI4C3PyQdgIKUNJUS5OWVNFOk1BTlUuSVFfTEFTVFNBTEVQUklDRS4xNC8wOS8yMDE4AQAAAN1rDQACAAAAAjI1AEOYhVLyQdgI7DYTcfJB2AgkQ0lRLi5JUV9QUklDRV9WT0xfSElTVF9ZUi4zMC8wNC8yMDIwBQAAAAAAAAAIAAAAFChJbnZhbGlkIElkZW50aWZpZXIp4hIkVfJB2Aj6QYhZ8kHYCCdDSVEuTllTRTpLTy5JUV9MQVNUU0FMRVBSSUNFLjE5LzA3LzIwMTkBAAAAEmgAAAIAAAAFNTEuMzkA0YN+U/JB2AiHwChx8kHYCCRDSVEuXlNQWC5JUV9MQVNUU0FMRVBSSUNFLjMwLzA5LzIwMTcBAAAAm7goAAIAAAAQMjUxOS4zNTk2NzE5MDYw</t>
  </si>
  <si>
    <t>NwC1vDdS8kHYCNQsCHPyQdgIJkNJUS5OQVNEQVFHUzpDQUtFLklRX1ZPTFVNRS4yMi8xMS8yMDE5AQAAAAjgBAACAAAACDAuNDU1ODAxAJX9JFXyQdgIwPzAcvJB2AgyQ0lRLk5BU0RBUUdTOlRTTEEuSVFfUFJJQ0VfVk9MX0hJU1RfNVlSLjMwLzA0LzIwMjABAAAAEMaiAQIAAAAHNTMuNDg2OQDiEiRV8kHYCJHHiVnyQdgIKENJUS5MU0U6U0ZPUi5JUV9MQVNUU0FMRVBSSUNFLjI3LzEyLzIwMTkBAAAAy1PkIQIAAAAEMS44NgAID35T8kHYCERhLnHyQdgIJ0NJUS4kQUVEQUVELklRX0xBU1RTQUxFUFJJQ0UuMzEvMTIvMjAxOQEAAAAl61oAAgAAAAExAP4DQnXyQdgI1LZMdvJB2Ag7Q0lRLk5ZU0U6S08uSVFfVE9UQUxfQ09NTU9OX0VRVUlUWS4xMDAwLjMwLzA0LzIwMjAuLkYuVVNELkMBAAAAEmgAAAIAAAAFMTg5ODEBCAAAAAUAAAABMQEAAAAKMjAxNjc5MTI0NQMAAAADMTYwAgAAAAQxMDA2BAAAAAExBwAAAAk0LzMwLzIwMjAIAAAACTgvMTYvMjAyMAkAAAABMANJykzyQdgIneObWfJB2Ag4Q0lRLk5ZU0U6S08uSVFfQ0FQRVhfTUVESUFOX0VTVC42MDAwLjMwLzA0LzIwMjAuLkYuVVNELkMBAAAAEmgAAAIAAAAKLTE0MDAuMTUxOQEOAAAABQAAAAIxMQEAAAABMAIAAAAINzg4ODc0OTQDAAAABjEwNDA5MQQAAAABMgYAAAABMAcAAAADMTYwCAAAAAExCQAAAAExCgAAAAEwCwAAAAsxMTg4MzY5NDI0</t>
  </si>
  <si>
    <t>NAwAAAACMTINAAAACDUvMS8yMDIwEAAAAAk4LzE2LzIwMjD/b8pM8kHYCH70qlnyQdgINkNJUS5OQVNEQVFHUzpDQUtFLklRX1RPVEFMX1JFVi45OTkuMzAvMDQvMjAyMC4uRi5VU0QuQwEAAAAI4AQAAgAAAAgyMzMyLjMzMQEIAAAABQAAAAExAQAAAAoyMDIxNTgxNDIwAwAAAAMxNjACAAAAAjI4BAAAAAExBwAAAAk0LzMwLzIwMjAIAAAACTgvMTYvMjAyMAkAAAABMP9vykzyQdgIGd6dWfJB2AgkQ0lRLl5BU1guSVFfTEFTVFNBTEVQUklDRS4zMS8wMy8yMDE4AQAAAB9T6wECAAAACzM4OTQuMTY3OTgxALW8N1LyQdgIAjgLc/JB2Ag5Q0lRLk5ZU0U6S08uSVFfVE9UQUxfREVCVF9DVVJSRU5ULjk5OC4zMC8wNC8yMDIwLi5GLlVTRC5DAQAAABJoAAACAAAABTE2NTAzAQgAAAAFAAAAATEBAAAACjIwMTY3OTEyNTADAAAAAzE2MAIAAAAFMjUyMjMEAAAAATEHAAAACTQvMzAvMjAyMAgAAAAJOC8xNi8yMDIwCQAAAAEwA0nKTPJB2AgQkJZZ8kHYCDZDSVEuVVNELklRX0ZVTExfQ1VSVkVfQU5OVUFMLkFMTENPUlAuQUEuMjBZLjMxLzEyLzIwMTkBAAAAAAAAAAIAAAAJMC4wMzY0MjQ5ANgt3nTyQdgIaINJdvJB2Ag4Q0lRLk5ZU0U6UkFDRS5JUV9DQVNIX1NUX0lOVkVTVC4xMDAwLjMwLzA0LzIwMjAuLkYuRVVSLkMBAAAAPYKwEAIAAAAHOTAwLjAyMgEIAAAABQAAAAExAQAAAAoyMDE1NjM5ODIyAwAAAAI1</t>
  </si>
  <si>
    <t>MAIAAAAEMTAwMgQAAAABMQcAAAAJNC8zMC8yMDIwCAAAAAk4LzE2LzIwMjAJAAAAATDg4wZL8kHYCJvukFnyQdgIKENJUS5MU0U6U0ZPUi5JUV9MQVNUU0FMRVBSSUNFLjIxLzA5LzIwMTgBAAAAy1PkIQMAAAAAAEOYhVLyQdgIWqwTcfJB2AgzQ0lRLk5ZU0U6UkFDRS5JUV9MVF9JTlZFU1QuMTAwMC4zMS8xMi8yMDE5Li5GLkVVUi5DAQAAAD2CsBACAAAABjMyLjEzNAEIAAAABQAAAAExAQAAAAoxOTQ3NDQ0MTgzAwAAAAI1MAIAAAAEMTA1NAQAAAABMQcAAAAKMTIvMzEvMjAxOQgAAAAJOC8xNi8yMDIwCQAAAAEwO4YXePJB2AifYfp48kHYCCJDSVEuTFNFOlRTQ08uSVFfVEVWX09VVC4zMS8xMi8yMDE5AQAAADBQBgACAAAADDQwMDQ5LjIwMDczMQEGAAAABQAAAAExAQAAAAoxOTg2NzkzMDk3AwAAAAI1NQIAAAAFNDYyMTQEAAAAATAHAAAACjEyLzMxLzIwMTlBUkJ18kHYCFD/TnbyQdgIQENJUS5OQVNEQVFHUzpDQUtFLklRX1RPVEFMX0NPTU1PTl9FUVVJVFkuOTk2LjMwLzA0LzIwMjAuLkYuVVNELkMBAAAACOAEAAIAAAAHNTg4LjUzOQEIAAAABQAAAAExAQAAAAoxODc3MTQ0NDM4AwAAAAMxNjACAAAABDEwMDYEAAAAATEHAAAACTQvMzAvMjAyMAgAAAAJOC8xNi8yMDIwCQAAAAEw/2/KTPJB2Ahxf5xZ8kHYCCdDSVEuJEFFRENMUC5JUV9MQVNUU0FMRVBSSUNFLjMwLzA0LzIwMTkBAAAAJetaAAIA</t>
  </si>
  <si>
    <t>AAALMC4wMDU0MDc3NTMAqiQlVfJB2Agx2INZ8kHYCDZDSVEuTFNFOlNGT1IuSVFfQ0FTSF9TVF9JTlZFU1QuOTk3LjMwLzA0LzIwMjAuLkYuR0JQLkMBAAAAy1PkIQMAAAAAANkKB0vyQdgIKTiTWfJB2AgxQ0lRLk5ZU0U6TUFOVS5JUV9DT1NUX1JFVi45OTkuMzAvMDQvMjAyMC4uRi5HQlAuQwEAAADdaw0AAgAAAAY3Ny45MzYBCAAAAAUAAAABMQEAAAAKMTk4NTg0NTAyOQMAAAACNTUCAAAAATEEAAAAATEHAAAACTQvMzAvMjAyMAgAAAAJOC8xNi8yMDIwCQAAAAEwvFgHS/JB2Ai17p5Z8kHYCEBDSVEuTllTRTpNQU5VLklRX1RPVEFMX0RFQlRfTk9OX0NVUlJFTlQuMTAwMC4zMS8xMi8yMDE5Li5GLkdCUC5DAQAAAN1rDQACAAAABzUwOC4wNzcBCAAAAAUAAAABMQEAAAAKMTk4NTg0NTA2MwMAAAACNTUCAAAABTI1MjI0BAAAAAExBwAAAAoxMi8zMS8yMDE5CAAAAAk4LzE2LzIwMjAJAAAAATAcrRd48kHYCGik93jyQdgIMENJUS5OWVNFOlJBQ0UuSVFfSU5DX1RBWC45OTguMzAvMDQvMjAyMC4uRi5FVVIuQwEAAAA9grAQAgAAAAYyMDguNzYBCAAAAAUAAAABMQEAAAAKMjAxNTYzOTgwNQMAAAACNTACAAAAAjc1BAAAAAExBwAAAAk0LzMwLzIwMjAIAAAACTgvMTYvMjAyMAkAAAABMNkKB0vyQdgIdSanWfJB2AgiQ0lRLk5ZU0U6TUFOVS5JUV9WT0xVTUUuMDIvMTEvMjAxOAEAAADdaw0AAgAAAAcwLjAx</t>
  </si>
  <si>
    <t>OTQ2AMfif1PyQdgI+2gXcfJB2AgnQ0lRLiRBRURVWVUuSVFfTEFTVFNBTEVQUklDRS4zMC8wNC8yMDE5AQAAACXrWgACAAAACzAuMTA1OTExMTg4AKokJVXyQdgIjbOCWfJB2AgmQ0lRLklRMTAwODg5OTQzLklRX0xBU1RTQUxFUFJJQ0UuNDM0NjUBAAAAV3UDBgIAAAAFMC43NjEA3wbedPJB2AjKq0l28kHYCCdDSVEuJEFFRFRIQi5JUV9MQVNUU0FMRVBSSUNFLjMwLzA0LzIwMTkBAAAAJetaAAIAAAALMC4xMTUxMDQ5ODMAqiQlVfJB2AgcJoRZ8kHYCChDSVEuTFNFOlNGT1IuSVFfTEFTVFNBTEVQUklDRS4yOS8wMy8yMDE5AQAAAMtT5CECAAAABDEuMjkAuZR/U/JB2Ai7GCVx8kHYCCZDSVEuTkFTREFRR1M6Q0FLRS5JUV9WT0xVTUUuMDUvMDQvMjAxOQEAAAAI4AQAAgAAAAcwLjYwMzQ5ALmUf1PyQdgI8TrAcvJB2AghQ0lRLkxTRTpTRk9SLklRX1ZPTFVNRS4wNi8wNC8yMDE4AQAAAMtT5CEDAAAAAAAoK0J18kHYCB/iUXbyQdgIJUNJUS5eQ09NUC5JUV9MQVNUU0FMRVBSSUNFLjE0LzA5LzIwMTgBAAAAibgoAAIAAAAHODAxMC4wNACKxTdR8kHYCL2yF3PyQdgIIkNJUS5OWVNFOlJBQ0UuSVFfVk9MVU1FLjEzLzA0LzIwMTgBAAAAPYKwEAIAAAAIMC40MTU3MDUAQVJCdfJB2AirR1F28kHYCDhDSVEuTkFTREFRR1M6Q0FLRS5JUV9QUkVGX0VRVUlUWS45OTguMzAvMDQvMjAyMC4uRi5VU0QuQwEAAAAI</t>
  </si>
  <si>
    <t>4AQAAwAAAAAA/2/KTPJB2AjIbptZ8kHYCChDSVEuTFNFOlRTQ08uSVFfTEFTVFNBTEVQUklDRS4wNS8wNy8yMDE5AQAAADBQBgACAAAABTIuMzczANGDflPyQdgI5iMocfJB2Ag2Q0lRLkxTRTpTRk9SLklRX0RBX01FRElBTl9FU1QuMTAwMS4zMS8xMi8yMDE5Li5GLkdCUC5DAQAAAMtT5CEDAAAAAAA7PJZ38kHYCI+553jyQdgIIENJUS5OWVNFOktPLklRX1ZPTFVNRS4xNS8wNi8yMDE4AQAAABJoAAACAAAACDIxLjU2MjQ2ACnmhVLyQdgIKCYLcfJB2AgpQ0lRLk5ZU0U6UkFDRS5JUV9MQVNUU0FMRVBSSUNFLjA0LzA1LzIwMTgBAAAAPYKwEAIAAAAGMTM3LjMzACnmhVLyQdgIyMIFcfJB2AgtQ0lRLk5BU0RBUUdTOkNBS0UuSVFfTEFTVFNBTEVQUklDRS4zMC8xMS8yMDE5AQAAAAjgBAACAAAABTQzLjYxAAHofVPyQdgIRGEucfJB2Ag5Q0lRLk5BU0RBUUdTOlRTTEEuSVFfUFJFRl9FUVVJVFkuMTAwMC4zMS8xMi8yMDE5Li5GLlVTRC5DAQAAABDGogEDAAAAAACE1Bd48kHYCPr29HjyQdgIKENJUS5MU0U6VFNDTy5JUV9MQVNUU0FMRVBSSUNFLjA0LzAxLzIwMTkBAAAAMFAGAAIAAAAFMS45NzQAx+J/U/JB2Aj7gyJx8kHYCC1DSVEuTkFTREFRR1M6VFNMQS5JUV9MQVNUU0FMRVBSSUNFLjE2LzExLzIwMTgBAAAAEMaiAQIAAAAGMzU0LjMxAMfif1PyQdgIoBgecfJB2AgsQ0lRLkxTRTpUU0NPLklRX1BF</t>
  </si>
  <si>
    <t>UklPRERBVEUuOTk4LjMxLzEyLzIwMTkuLkYBAAAAMFAGAAUAAAAKMjUvMDIvMjAxNwD+A0J18kHYCKWgTXbyQdgIJUNJUS5eQ09NUC5JUV9MQVNUU0FMRVBSSUNFLjI4LzAyLzIwMTUBAAAAibgoAAIAAAAHNDk2My41MwDYLd508kHYCJB5RnbyQdgIKUNJUS5OWVNFOk1BTlUuSVFfTEFTVFNBTEVQUklDRS4yOS8wMi8yMDE2AQAAAN1rDQACAAAABTE0LjIyAMGqflPyQdgI9m0jcfJB2AgmQ0lRLk5BU0RBUUdTOlRTTEEuSVFfVk9MVU1FLjA5LzA4LzIwMTkBAAAAEMaiAQIAAAAIMy44OTgyNDQAo9YkVfJB2Ah35sFy8kHYCCVDSVEuTllTRTpSQUNFLklRX0JVU0lORVNTX0RFU0NSSVBUSU9OAQAAAD2CsBADAAAA3QlGZXJyYXJpIE4uVi4sIHRocm91Z2ggd2l0aCBpdHMgc3Vic2lkaWFyaWVzLCBkZXNpZ25zLCBlbmdpbmVlcnMsIHByb2R1Y2VzLCBhbmQgc2VsbHMgbHV4dXJ5IHBlcmZvcm1hbmNlIHNwb3J0cyBjYXJzLiBUaGUgY29tcGFueSBvZmZlcnMgc3BvcnRzLCBHVCwgYW5kIHNwZWNpYWwgc2VyaWVzIGNhcnM7IGxpbWl0ZWQgZWRpdGlvbiBoeXBlcmNhcnM7IEZ1b3JpIHNlcmllcywgb25lLW9mZiwgYW5kIHRyYWNrIGNhcnM7IGFuZCBJY29uYSBjYXJzLiBJdCBhbHNvIHByb3ZpZGVzIG5vbi1yZWdpc3RlcmVkIHJhY2luZyBjYXJzOyBhbmQgc3BhcmUgcGFydHMgYW5kIGVuZ2luZXMsIGFzIHdl</t>
  </si>
  <si>
    <t>bGwgYXMgYWZ0ZXIgc2FsZXMsIHJlcGFpciwgbWFpbnRlbmFuY2UsIGFuZCByZXN0b3JhdGlvbiBzZXJ2aWNlcyBmb3IgY2Fycy4gSW4gYWRkaXRpb24sIHRoZSBjb21wYW55IGxpY2Vuc2VzIGl0cyBGZXJyYXJpIGJyYW5kIHRvIHZhcmlvdXMgcHJvZHVjZXJzIGFuZCByZXRhaWxlcnMgb2YgbHV4dXJ5IGFuZCBsaWZlc3R5bGUgZ29vZHM7IGFuZCBGZXJyYXJpIFdvcmxkLCBhIHRoZW1lIHBhcmsgaW4gQWJ1IERoYWJpLCB0aGUgVW5pdGVkIEFyYWIgRW1pcmF0ZXMuIEZ1cnRoZXIsIGl0IHByb3ZpZGVzIGRpcmVjdCBvciBpbmRpcmVjdCBmaW5hbmNlIGFuZCBsZWFzaW5nIHNlcnZpY2VzIHRvIHJldGFpbCBjbGllbnRzIGFuZCBkZWFsZXJzOyBtYW5hZ2VzIHJhY2UgdHJhY2tzLCBhcyB3ZWxsIGFzIG93bnMgYW5kIG1hbmFnZXMgdHdvIG11c2V1bXMgaW4gTWFyYW5lbGxvIGFuZCBNb2RlbmEsIEl0YWx5OyBhbmQgZGV2ZWxvcHMgYW5kIHNlbGxzIGEgbGluZSBvZiBhcHBhcmVsIGFuZCBhY2Nlc3NvcmllcyB0aHJvdWdoIGl0cyBtb25vYnJhbmQgc3RvcmVzLiBBcyBvZiBEZWNlbWJlciAzMSwgMjAxOSwgaXQgaGFkIGEgdG90YWwgb2YgNDQgcmV0YWlsIEZlcnJhcmkgc3RvcmVzLCBpbmNsdWRpbmcgMjQgZnJhbmNoaXNlZCBzdG9yZXMgYW5kIDIwIG93bmVkIHN0b3Jlcy4gVGhlIGNvbXBhbnkgYWxz</t>
  </si>
  <si>
    <t>byBzZWxscyBpdHMgcHJvZHVjdHMgdGhyb3VnaCBhIG5ldHdvcmsgb2YgMTY2IGF1dGhvcml6ZWQgZGVhbGVycyBvcGVyYXRpbmcgMTg3IHBvaW50cyBvZiBzYWxlIHdvcmxkd2lkZSwgYXMgd2VsbCBhcyB0aHJvdWdoIGl0cyBXZWJzaXRlLCBzdG9yZS5mZXJyYXJpLmNvbS4gRmVycmFyaSBOLlYuIHdhcyBmb3VuZGVkIGluIDE5NDcgYW5kIGlzIGhlYWRxdWFydGVyZWQgaW4gTWFyYW5lbGxvLCBJdGFseS4A/DokVfJB2AhfkIhZ8kHYCDVDSVEuTkFTREFRR1M6Q0FLRS5JUV9UQVJHRVRfUFJJQ0VfTlVNLjYwMDAuMzEvMTIvMjAxOQEAAAAI4AQAAQAAAAIxOAD+A0J18kHYCAXXTnbyQdgINkNJUS5BVUQuSVFfRlVMTF9DVVJWRV9BTk5VQUwuQUxMQ09SUC5IWS4yMFkuMzAvMDQvMjAyMAEAAAAAAAAAAgAAAAkwLjA3Mzg2MDQAqiQlVfJB2AiFR4ZZ8kHYCD9DSVEuTFNFOlNGT1IuSVFfTUlOT1JJVFlfSU5URVJFU1RfVE9UQUwuOTk2LjMxLzEyLzIwMTkuLkYuR0JQLkMBAAAAy1PkIQMAAAAAAITUF3jyQdgIoi72ePJB2AgiQ0lRLk5ZU0U6UkFDRS5JUV9WT0xVTUUuMTcvMDgvMjAxOAEAAAA9grAQAgAAAAgwLjM5NDA5MwA6v4VS8kHYCKagEHHyQdgIJ0NJUS4kQUVES0VTLklRX0xBU1RTQUxFUFJJQ0UuMzAvMDQvMjAxOQEAAAAl61oAAgAAAAswLjAzNjM4MDc0NQCqJCVV8kHYCFo8g1nyQdgINUNJUS5H</t>
  </si>
  <si>
    <t>QlAuSVFfRlVMTF9DVVJWRV9BTk5VQUwuQUxMQ09SUC5BLjIwWS4zMC8wNC8yMDIwAQAAAAAAAAACAAAACTAuMDI0MzQxOACqJCVV8kHYCEYxh1nyQdgIKUNJUS5OQVNEQVFHUzpDQUtFLklRX1NQX0xDX0xULi4zMC8wNC8yMDIwAQAAAAjgBAADAAAAAAD8OiRV8kHYCDqxg1nyQdgIIUNJUS5MU0U6VFNDTy5JUV9WT0xVTUUuMTIvMTAvMjAxOAEAAAAwUAYAAgAAAAg2MC4wMzcwOABDmIVS8kHYCEZ/FXHyQdgIJUNJUS5eQ09NUC5JUV9MQVNUU0FMRVBSSUNFLjEzLzAzLzIwMjABAAAAibgoAAIAAAAHNzg3NC44NwBJBTNS8kHYCKXCvFnyQdgIIkNJUS5OWVNFOlJBQ0UuSVFfVk9MVU1FLjEwLzA1LzIwMTkBAAAAPYKwEAIAAAAIMS4xOTcyMTEAJWG1U/JB2Aga0Lty8kHYCCVDSVEuXkNPTVAuSVFfTEFTVFNBTEVQUklDRS4wNS8wNy8yMDE5AQAAAIm4KAACAAAABzgxNjEuNzkAfKuFUfJB2AgDLRZz8kHYCCRDSVEuXlNQWC5JUV9MQVNUU0FMRVBSSUNFLjA0LzEwLzIwMTkBAAAAm7goAAIAAAAPMjk1Mi4wMDc1NjQ0NDA0ALW8N1LyQdgIJDgSc/JB2AgZQ0lRLi5JUV9WT0xVTUUuMTIvMDcvMjAxOQUAAAAAAAAACAAAABQoSW52YWxpZCBJZGVudGlmaWVyKdk5tVPyQdgIUr+6cvJB2AgyQ0lRLk5BU0RBUUdTOkNBS0UuSVFfUFJJQ0VfVk9MX0hJU1RfNVlSLjMwLzA0LzIwMjABAAAACOAEAAIAAAAHMzYuMjc1</t>
  </si>
  <si>
    <t>NQDiEiRV8kHYCKd5iVnyQdgIJkNJUS5OQVNEQVFHUzpDQUtFLklRX1ZPTFVNRS4yOC8wOS8yMDE4AQAAAAjgBAACAAAACDAuNTU1NDI0AEOYhVLyQdgImG4UcfJB2AgqQ0lRLk5ZU0U6UkFDRS5JUV9ESVZJREVORF9ZSUVMRC4zMC8wNC8yMDIwAQAAAD2CsBACAAAABjAuNzk0MwDiEiRV8kHYCACZflnyQdgIK0NJUS5OWVNFOlJBQ0UuSVFfQ09TVF9CT1JST1dJTkcuLjMxLzEyLzIwMTkBAAAAPYKwEAIAAAAGMi4xMTE5AQgAAAAFAAAAATEBAAAACjIwMTU2NDI5NTQDAAAAAjUwAgAAAAUyMTY4MQQAAAABMAcAAAAKMTIvMzEvMjAxOQgAAAAKMTIvMzEvMjAxOQkAAAABMP4DQnXyQdgIQ01PdvJB2AgpQ0lRLk5ZU0U6TUFOVS5JUV9MQVNUU0FMRVBSSUNFLjA0LzEwLzIwMTkBAAAA3WsNAAIAAAAFMTYuMDEABV1+U/JB2Ajsyitx8kHYCChDSVEuTFNFOlRTQ08uSVFfTEFTVFNBTEVQUklDRS4yNC8wMS8yMDIwAQAAADBQBgACAAAABTIuNDg5AAgPflPyQdgIEFpcWfJB2AgtQ0lRLk5BU0RBUUdTOlRTTEEuSVFfTEFTVFNBTEVQUklDRS4xNS8wMy8yMDE5AQAAABDGogECAAAABjI3NS40MwCkvH9T8kHYCHKlJHHyQdgIJkNJUS5OQVNEQVFHUzpDQUtFLklRX1ZPTFVNRS4yNy8wNC8yMDE4AQAAAAjgBAACAAAACDEuMzc1MzIyACnmhVLyQdgI7E0FcfJB2Ag6Q0lRLkxTRTpUU0NPLklRX0VCSVREQV9NRURJQU5f</t>
  </si>
  <si>
    <t>RVNULjEwMDIuMzAvMDQvMjAyMC4uRi5HQlAuQwEAAAAwUAYAAgAAAAg1MTI2Ljk0NAEOAAAABQAAAAEzAQAAAAEwAgAAAAoxMDAwMjY0NTAwAwAAAAYxMDAxODgEAAAAATMGAAAAATAHAAAAAjU1CAAAAAExCQAAAAExCgAAAAEwCwAAAAsxMTg5MjM1Nzk2MAwAAAABMQ0AAAAINS8xLzIwMjAQAAAACTgvMTYvMjAyMKR/B0vyQdgIH4WhWfJB2AgwQ0lRQVZHLiRBRURVU0QuSVFfTEFTVFNBTEVQUklDRS40MzQ2NS4zMS8xMi8yMDE5AQAAACXrWgACAAAACDMuNjczMDEyAFuT4k3yQdgIJk2LWfJB2AgpQ0lRLk5ZU0U6TUFOVS5JUV9MQVNUU0FMRVBSSUNFLjE3LzA1LzIwMTkBAAAA3WsNAAIAAAAFMTkuMDQAwap+U/JB2AhTniZx8kHYCCZDSVEuTkFTREFRR1M6VFNMQS5JUV9WT0xVTUUuMjgvMTIvMjAxOAEAAAAQxqIBAgAAAAg5LjkzODk5MgDH4n9T8kHYCBs2InHyQdgILENJUS5MU0U6VFNDTy5JUV9QRVJJT0REQVRFLjk5NS4zMC8wNC8yMDIwLi5GAQAAADBQBgAFAAAACjI4LzAyLzIwMTUAsa8kVfJB2Ag3HYBZ8kHYCCBDSVEuLklRX0xBU1RTQUxFUFJJQ0UuMjUvMTAvMjAxOQUAAAAAAAAACAAAABQoSW52YWxpZCBJZGVudGlmaWVyKWhvN1LyQdgIarkqc/JB2AgtQ0lRLk5ZU0U6TUFOVS5JUV9QRVJJT0REQVRFLjk5Ny4zMS8xMi8yMDE5Li5GAQAAAN1rDQAFAAAACjMwLzA2LzIwMTYA/gNCdfJB2Ail</t>
  </si>
  <si>
    <t>oE128kHYCChDSVEuTFNFOlNGT1IuSVFfTEFTVFNBTEVQUklDRS4wMy8wNS8yMDE5AQAAAMtT5CECAAAABDEuNjMA3tJ+U/JB2AgRKyZx8kHYCCBDSVEuLklRX0xBU1RTQUxFUFJJQ0UuMzAvMDQvMjAxNwUAAAAAAAAACAAAABQoSW52YWxpZCBJZGVudGlmaWVyKZwPhVHyQdgIsXtHc/JB2AgpQ0lRLk5ZU0U6UkFDRS5JUV9MQVNUU0FMRVBSSUNFLjMwLzA0LzIwMjABAAAAPYKwEAIAAAAGMTU1LjYyAAHofVPyQdgIrelgWfJB2AgoQ0lRLkxTRTpUU0NPLklRX0xBU1RTQUxFUFJJQ0UuMTIvMDcvMjAxOQEAAAAwUAYAAgAAAAUyLjQyMQDRg35T8kHYCN9xKHHyQdgILUNJUS5OQVNEQVFHUzpDQUtFLklRX0xBU1RTQUxFUFJJQ0UuMzEvMDMvMjAyMAEAAAAI4AQAAgAAAAUxNy4wOAAB6H1T8kHYCBvDYFnyQdgIIkNJUS5OWVNFOk1BTlUuSVFfVk9MVU1FLjE1LzAyLzIwMTkBAAAA3WsNAAIAAAAIMC4yNTY5OTEApLx/U/JB2Ag8Ar9y8kHYCD9DSVEuTkFTREFRR1M6VFNMQS5JUV9UT1RBTF9ERUJUX0NVUlJFTlQuOTk3LjMxLzEyLzIwMTkuLkYuVVNELkMBAAAAEMaiAQIAAAAHNjc2LjUxMgEIAAAABQAAAAExAQAAAAoxODc1NzY5MDgyAwAAAAMxNjACAAAABTI1MjIzBAAAAAExBwAAAAoxMi8zMS8yMDE5CAAAAAk4LzE2LzIwMjAJAAAAATAcrRd48kHYCHEE+XjyQdgIOkNJUS5MU0U6U0ZPUi5JUV9FQklUREFf</t>
  </si>
  <si>
    <t>TUVESUFOX0VTVC4xMDAxLjMwLzA0LzIwMjAuLkYuR0JQLkMBAAAAy1PkIQIAAAAQNTcuOTQyMjk0MDgzNjQwNQEOAAAABQAAAAEzAQAAAAEwAgAAAAoxMDA0MzE2MDUxAwAAAAYxMDAxODgEAAAAATMGAAAAATAHAAAAAjU1CAAAAAExCQAAAAExCgAAAAEwCwAAAAsxMTg5OTMzMDA5MgwAAAABMQ0AAAAINS8xLzIwMjAQAAAACTgvMTYvMjAyMKR/B0vyQdgIEnCiWfJB2AgsQ0lRLk5ZU0U6UkFDRS5JUV9FQlQuOTk2LjMxLzEyLzIwMTkuLkYuRVVSLkMBAAAAPYKwEAIAAAAHMzk4LjIzMwEIAAAABQAAAAExAQAAAAoxODMwNDc0MDk0AwAAAAI1MAIAAAADMTM5BAAAAAExBwAAAAoxMi8zMS8yMDE5CAAAAAk4LzE2LzIwMjAJAAAAATDc7ZV38kHYCN8o6njyQdgIJUNJUS5eQ09NUC5JUV9MQVNUU0FMRVBSSUNFLjMxLzAzLzIwMTgBAAAAibgoAAIAAAAHNzA2My40NQC1vDdS8kHYCGyyCXPyQdgIJENJUS5eU1BYLklRX0xBU1RTQUxFUFJJQ0UuMjMvMDIvMjAxOAEAAACbuCgAAgAAAA8yNzQ3LjI5ODU0OTE2OTMA2C3edPJB2AiAUkZ28kHYCCxDSVEuTllTRTpNQU5VLklRX0VCVC45OTcuMzAvMDQvMjAyMC4uRi5HQlAuQwEAAADdaw0AAgAAAAY0OC44MzMBCAAAAAUAAAABMQEAAAAKMTkxMDI0NzQwMwMAAAACNTUCAAAAAzEzOQQAAAABMQcAAAAJNC8zMC8yMDIwCAAAAAk4LzE2LzIwMjAJAAAAATC8WAdL8kHY</t>
  </si>
  <si>
    <t>CLZjplnyQdgIOUNJUS5OWVNFOk1BTlUuSVFfRUJJVF9NRURJQU5fRVNULjEwMDIuMzAvMDQvMjAyMC4uRi5HQlAuQwEAAADdaw0AAgAAAAc0My40NDQ1AQ4AAAAFAAAAATMBAAAAATACAAAACjEwMDMwOTI0MzADAAAABjEwMDIxNgQAAAABMwYAAAABMAcAAAACNTUIAAAAATEJAAAAATEKAAAAATALAAAACzExODY4NjI1OTI1DAAAAAExDQAAAAg1LzEvMjAyMBAAAAAJOC8xNi8yMDIwpH8HS/JB2Ah5zaNZ8kHYCD1DSVEuTllTRTpNQU5VLklRX1RPVEFMX0NPTU1PTl9FUVVJVFkuMjAwMC4zMC8wNC8yMDIwLi5GLkdCUC5DAQAAAN1rDQACAAAABzQ2MC45OTkBCAAAAAUAAAABMQEAAAAKMjAxODYzMjAwMwMAAAACNTUCAAAABDEwMDYEAAAAATEHAAAACTQvMzAvMjAyMAgAAAAJOC8xNi8yMDIwCQAAAAEw/2/KTPJB2Aid45tZ8kHYCDNDSVEuTllTRTpLTy5JUV9QUklDRV9UQVJHRVQuNjAwMC4zMS8xMi8yMDE5Li4uVVNELkMBAAAAEmgAAAIAAAAINTguNTkwOTEBDgAAAAUAAAABNwEAAAAHMjYwMTIwMQIAAAAFMjIyMDgDAAAABjEwMDE2MQQAAAADMjU1BgAAAAEwBwAAAAMxNjAIAAAAATEJAAAAATEKAAAAATALAAAACzExODYxNDYwMzUyDAAAAAE4DQAAAAgxLzEvMjAyMBAAAAAJOC8xNi8yMDIwHiIYePJB2AjUxQB58kHYCC1DSVEuTkFTREFRR1M6VFNMQS5JUV9MQVNUU0FMRVBSSUNFLjMxLzA4LzIwMTUB</t>
  </si>
  <si>
    <t>AAAAEMaiAQIAAAAGMjQ5LjA2ALmUf1PyQdgIGzYicfJB2Ag3Q0lRLk5BU0RBUUdTOlRTTEEuSVFfSU5WRU5UT1JZLjIwMDAuMzAvMDQvMjAyMC4uRi5VU0QuQwEAAAAQxqIBAgAAAAQ0NDk0AQgAAAAFAAAAATEBAAAACjIwMzIwNDUzMzQDAAAAAzE2MAIAAAAEMTA0MwQAAAABMQcAAAAJNC8zMC8yMDIwCAAAAAk4LzE2LzIwMjAJAAAAATDJMQdL8kHYCD0srFnyQdgIK0NJUS5MU0U6VFNDTy5JUV9MQVNUU0FMRVBSSUNFLjMxLzEyLzIwMTkuLkMBAAAAMFAGAAIAAAAFMi41NTIAKCtCdfJB2Aim52B18kHYCDFDSVEuTFNFOlNGT1IuSVFfQ09TVF9SRVYuMjAwMC4zMC8wNC8yMDIwLi5GLkdCUC5DAQAAAMtT5CECAAAABjQzLjgxNAEIAAAABQAAAAExAQAAAAoyMDIyNTk5ODg3AwAAAAI1NQIAAAABMQQAAAABMQcAAAAJNC8zMC8yMDIwCAAAAAk4LzE2LzIwMjAJAAAAATDZCgdL8kHYCMqgnlnyQdgIQENJUS5MU0U6VFNDTy5JUV9NSU5PUklUWV9JTlRFUkVTVF9UT1RBTC4xMDAwLjMxLzEyLzIwMTkuLkYuR0JQLkMBAAAAMFAGAAIAAAADLTI0AQgAAAAFAAAAATEBAAAACjE5Njg3MzY1NjMDAAAAAjU1AgAAAAQxMzEyBAAAAAExBwAAAAoxMi8zMS8yMDE5CAAAAAk4LzE2LzIwMjAJAAAAATCE1Bd48kHYCO6k9njyQdgINUNJUS5OWVNFOlJBQ0UuSVFfUFJJQ0VfVEFSR0VULjYwMDAuMzAvMDQvMjAyMC4uLkVV</t>
  </si>
  <si>
    <t>Ui5DAQAAAD2CsBACAAAACDE1MS4zODI4AQ4AAAAFAAAAATcBAAAACTMxMzk3NDk4MQIAAAAKMTAwMzIyNTEyNQMAAAAGMTAwMTYxBAAAAAMyNTUGAAAAATAHAAAAAjUwCAAAAAExCQAAAAExCgAAAAEwCwAAAAsxMTg5MzA3NTYzMQwAAAABOA0AAAAINS8xLzIwMjAQAAAACTgvMTYvMjAyMKR/B0vyQdgIJvSOWfJB2AgxQ0lRLk5BU0RBUUdTOkNBS0UuSVFfUFJJQ0VfVk9MX0hJU1RfWVIuMzEvMTIvMjAxOQEAAAAI4AQAAgAAAAcyNy4wMTY0AOvf3XTyQdgIaBVHdvJB2AgwQ0lRLk5ZU0U6S08uSVFfVE9UQUxfUkVWLjk5Ny4zMS8xMi8yMDE5Li5GLlVTRC5DAQAAABJoAAACAAAABTQ0Mjk0AQgAAAAFAAAAATEBAAAACjE4NzU3OTc4MDkDAAAAAzE2MAIAAAACMjgEAAAAATEHAAAACjEyLzMxLzIwMTkIAAAACTgvMTYvMjAyMAkAAAABMB77F3jyQdgIxxLyePJB2AggQ0lRLk5ZU0U6S08uSVFfVk9MVU1FLjIyLzAzLzIwMTkBAAAAEmgAAAIAAAAIMTkuMDU1OTQAuZR/U/JB2AhHqcJy8kHYCEVDSVEuTkFTREFRR1M6VFNMQS5JUV9NSU5PUklUWV9JTlRFUkVTVF9UT1RBTC4yMDAwLjMxLzEyLzIwMTkuLkYuVVNELkMBAAAAEMaiAQIAAAAEMTQ0MgEIAAAABQAAAAExAQAAAAoxOTg5NDUzMTMwAwAAAAMxNjACAAAABDEzMTIEAAAAATEHAAAACjEyLzMxLzIwMTkIAAAACTgvMTYvMjAyMAkAAAABMITUF3jyQdgI</t>
  </si>
  <si>
    <t>8+H2ePJB2AgpQ0lRLk5ZU0U6UkFDRS5JUV9MQVNUU0FMRVBSSUNFLjMxLzEyLzIwMTQBAAAAPYKwEAMAAAAAAEFSQnXyQdgI3YRQdvJB2AgoQ0lRLkxTRTpUU0NPLklRX0xBU1RTQUxFUFJJQ0UuMjAvMDQvMjAxOAEAAAAwUAYAAgAAAAUyLjM5NABBUkJ18kHYCParUHbyQdgINUNJUS5MU0U6VFNDTy5JUV9FUVVJVFlfTUVUSE9ELjk5Ni4zMS8xMi8yMDE5Li5GLkdCUC5DAQAAADBQBgACAAAAAzk0MAEIAAAABQAAAAExAQAAAAoxNzkxNDY4MTQ2AwAAAAI1NQIAAAAEMzA2MwQAAAABMQcAAAAKMTIvMzEvMjAxOQgAAAAJOC8xNi8yMDIwCQAAAAEwR2AXePJB2AhuaP948kHYCClDSVEuTllTRTpSQUNFLklRX0xBU1RTQUxFUFJJQ0UuMzAvMDYvMjAxNwEAAAA9grAQAgAAAAU4Ni4wMgDRg35T8kHYCMUUJ3HyQdgIOUNJUS5OQVNEQVFHUzpDQUtFLklRX1BSRUZfRVFVSVRZLjEwMDAuMzAvMDQvMjAyMC4uRi5VU0QuQwEAAAAI4AQAAwAAAAAA/2/KTPJB2AjTIJtZ8kHYCDJDSVEuTllTRTpNQU5VLklRX1NIQVJFU09VVFNUQU5ESU5HX09VVC4zMS8xMi8yMDE5LgEAAADdaw0AAgAAAAoxNjQuNTcyNjg3ACgrQnXyQdgIS8dedfJB2Ag0Q0lRLkxTRTpUU0NPLklRX1NIQVJFU09VVFNUQU5ESU5HX09VVC4yNC8wMi8yMDE4LkdCUAEAAAAwUAYAAgAAAAs4MjA3LjEwMzQxNQAVIspM8kHYCDqQYXbyQdgIO0NJUS5M</t>
  </si>
  <si>
    <t>U0U6U0ZPUi5JUV9NRURJQU5fVEFSR0VUX1BSSUNFLjYwMDAuMzEvMTIvMjAxOS4uLkdCUC5DAQAAAMtT5CECAAAAEDIuMTAwMDMyMzQ4NjM4MTEBDgAAAAUAAAABNwEAAAAJNTgyMDIxMTU2AgAAAAoxMDA0MzE2MDQ4AwAAAAYxMDAxNjIEAAAAAzI1NQYAAAABMAcAAAACNTUIAAAAATEJAAAAATEKAAAAATALAAAACzExNjk4MTg3MTI1DAAAAAE4DQAAAAgxLzEvMjAyMBAAAAAJOC8xNi8yMDIwHiIYePJB2AgUoAB58kHYCC9DSVEuTkFTREFRR1M6Q0FLRS5JUV9OSS45OTYuMzEvMTIvMjAxOS4uRi5VU0QuQwEAAAAI4AQAAgAAAAcxMDEuMjc2AQgAAAAFAAAAATEBAAAACjE4MzAzODY5ODYDAAAAAzE2MAIAAAACMTUEAAAAATEHAAAACjEyLzMxLzIwMTkIAAAACTgvMTYvMjAyMAkAAAABMNoUlnfyQdgIX1XoePJB2AgoQ0lRLkxTRTpUU0NPLklRX0xBU1RTQUxFUFJJQ0UuMzEvMTIvMjAxOQEAAAAwUAYAAgAAAAUyLjU1MgAB6H1T8kHYCERhLnHyQdgINUNJUS5FVVIuSVFfRlVMTF9DVVJWRV9BTk5VQUwuQUxMQ09SUC5CLjIwWS4zMS8xMi8yMDE5AQAAAAAAAAACAAAACTAuMDU1NTI3NwDYLd508kHYCJ/SSXbyQdgIOENJUS5MU0U6U0ZPUi5JUV9FQklUX01FRElBTl9FU1QuMTAwMy4zMS8xMi8yMDE5Li5GLkdCUC5DAQAAAMtT5CECAAAAEDY5LjY3OTM2MjI0MDI1OTMBDgAAAAUAAAABMwEAAAABMAIAAAAK</t>
  </si>
  <si>
    <t>MTAwNDM0OTY2MAMAAAAGMTAwMjE2BAAAAAEzBgAAAAEwBwAAAAI1NQgAAAABMQkAAAABMQoAAAABMAsAAAALMTE2OTgxODU5NjcMAAAAATENAAAACDEvMS8yMDIwEAAAAAk4LzE2LzIwMjDzSBh48kHYCPD27XjyQdgINkNJUS5OWVNFOk1BTlUuSVFfVE9UQUxfQVNTRVRTLjEwMDAuMzEvMTIvMjAxOS4uRi5HQlAuQwEAAADdaw0AAgAAAAgxNDk2LjUyNQEIAAAABQAAAAExAQAAAAoxOTg1ODQ1MDYzAwAAAAI1NQIAAAAEMTAwNwQAAAABMQcAAAAKMTIvMzEvMjAxOQgAAAAJOC8xNi8yMDIwCQAAAAEwO4YXePJB2AhcS/t48kHYCCFDSVEuTFNFOlRTQ08uSVFfVk9MVU1FLjAxLzExLzIwMTkBAAAAMFAGAAIAAAAIMTQuMTg3NjkAlf0kVfJB2AhVtL5y8kHYCCxDSVEuTllTRTpNQU5VLklRX0ZJTElOR19DVVJSRU5DWS4uMzAvMDQvMjAyMAEAAADdaw0AAwAAAANHQlAAsa8kVfJB2AiO0H9Z8kHYCDxDSVEuTllTRTpNQU5VLklRX1JFVkVOVUVfTUVESUFOX0VTVC4xMDAxLjMxLzEyLzIwMTkuLkYuR0JQLkMBAAAA3WsNAAIAAAAJNTczLjA0Nzc4AQ4AAAAFAAAAATMBAAAAATACAAAACjEwMDMwOTI0MjMDAAAABjEwMDE4MQQAAAABMwYAAAABMAcAAAACNTUIAAAAATEJAAAAATEKAAAAATALAAAACzExNjkyNzIzMDc0DAAAAAExDQAAAAgxLzEvMjAyMBAAAAAJOC8xNi8yMDIw80gYePJB2AiU1fJ48kHYCChDSVEu</t>
  </si>
  <si>
    <t>TFNFOlRTQ08uSVFfTEFTVFNBTEVQUklDRS4zMC8xMS8yMDE3AQAAADBQBgACAAAABjEuOTQwNQAFXX5T8kHYCHJMKHHyQdgIMENJUS5MU0U6U0ZPUi5JUV9DT1NUX1JFVi45OTkuMzAvMDQvMjAyMC4uRi5HQlAuQwEAAADLU+QhAgAAAAkzMC4zMTAyOTEBCAAAAAUAAAABMQEAAAAKMTk2MTExNjI3MQMAAAACNTUCAAAAATEEAAAAATEHAAAACTQvMzAvMjAyMAgAAAAJOC8xNi8yMDIwCQAAAAEw2QoHS/JB2Ai17p5Z8kHYCDBDSVEuTllTRTpLTy5JUV9UT1RBTF9SRVYuOTk1LjMxLzEyLzIwMTkuLkYuVVNELkMBAAAAEmgAAAIAAAAFNDY4NTQBCAAAAAUAAAABMQEAAAAKMTc3Nzk5ODI2NAMAAAADMTYwAgAAAAIyOAQAAAABMQcAAAAKMTIvMzEvMjAxOQgAAAAJOC8xNi8yMDIwCQAAAAEwHvsXePJB2Ahjx/F48kHYCChDSVEuTFNFOlNGT1IuSVFfTEFTVFNBTEVQUklDRS4yOC8wMi8yMDIwAQAAAMtT5CECAAAABDEuNzgACA9+U/JB2Aj4kV1Z8kHYCDJDSVEuTllTRTpSQUNFLklRX1RPVEFMX1JFVi45OTkuMzEvMTIvMjAxOS4uRi5FVVIuQwEAAAA9grAQAgAAAAczNDE2Ljg5AQgAAAAFAAAAATEBAAAACjE5NDc0NDQxOTADAAAAAjUwAgAAAAIyOAQAAAABMQcAAAAKMTIvMzEvMjAxOQgAAAAJOC8xNi8yMDIwCQAAAAEwHvsXePJB2Ai/OfJ48kHYCCZDSVEuTkFTREFRR1M6Q0FLRS5JUV9WT0xVTUUuMDEvMTEv</t>
  </si>
  <si>
    <t>MjAxOQEAAAAI4AQAAgAAAAgwLjc0MzExMQCV/SRV8kHYCMD8wHLyQdgIJ0NJUS4kQUVEU0dELklRX0xBU1RTQUxFUFJJQ0UuMzEvMTIvMjAxOAEAAAAl61oAAgAAAAsyLjY5NjA3NjYzMgDfBt508kHYCBq7SnbyQdgIIkNJUS5OWVNFOlJBQ0UuSVFfVk9MVU1FLjIwLzEyLzIwMTkBAAAAPYKwEAIAAAAIMC4xNjkwNDQAJWG1U/JB2Ajza7xy8kHYCDNDSVEuTFNFOlRTQ08uSVFfUFJFRl9FUVVJVFkuOTk3LjMxLzEyLzIwMTkuLkYuR0JQLkMBAAAAMFAGAAMAAAAAAB77F3jyQdgIEKn0ePJB2AgiQ0lRLk5ZU0U6UkFDRS5JUV9WT0xVTUUuMjQvMDgvMjAxOAEAAAA9grAQAgAAAAgwLjQ4NjQ2NgA6v4VS8kHYCGk8EXHyQdgIOkNJUS5OWVNFOlJBQ0UuSVFfRVNUX0VQU19HUk9XVEhfNVlSX01FRElBTi42MDAwLjMxLzEyLzIwMTkBAAAAPYKwEAIAAAAIMTIuNTEzNjMBDgAAAAUAAAABNwEAAAAJMzEzOTc0OTgxAgAAAAoxMDAzMjI1MTI1AwAAAAYxMDAxNjgEAAAAATMGAAAAATAHAAAAATAIAAAAATAJAAAAATEKAAAAATALAAAACzExNjg2Njg4MTk5DAAAAAE4DQAAAAgxLzEvMjAyMBAAAAAKMTIvMzEvMjAxOSgrQnXyQdgIkWJOdvJB2Ag7Q0lRLkxTRTpUU0NPLklRX01FRElBTl9UQVJHRVRfUFJJQ0UuNjAwMC4zMS8xMi8yMDE5Li4uR0JQLkMBAAAAMFAGAAIAAAADMi44AQ4AAAAFAAAAATcBAAAACDIwMTU3</t>
  </si>
  <si>
    <t>ODc5AgAAAAY0MTE2ODADAAAABjEwMDE2MgQAAAADMjU1BgAAAAEwBwAAAAI1NQgAAAABMQkAAAABMQoAAAABMAsAAAALMTE3MTIyMzQ5MDIMAAAAATgNAAAACDEvMS8yMDIwEAAAAAk4LzE2LzIwMjAeIhh48kHYCBSgAHnyQdgIJkNJUS5OQVNEQVFHUzpUU0xBLklRX1ZPTFVNRS4xMy8wOS8yMDE5AQAAABDGogECAAAACDUuMzEzMTQ1AKPWJFXyQdgIbQ3CcvJB2AgtQ0lRLk5ZU0U6TUFOVS5JUV9QRVJJT0REQVRFLjk5NC4zMS8xMi8yMDE5Li5GAQAAAN1rDQAFAAAACjMwLzA2LzIwMTMA/gNCdfJB2Ag0FE528kHYCDxDSVEuTFNFOlNGT1IuSVFfVE9UQUxfQ09NTU9OX0VRVUlUWS4xMDAwLjMwLzA0LzIwMjAuLkYuR0JQLkMBAAAAy1PkIQIAAAAGNDYzLjU0AQgAAAAFAAAAATEBAAAACjIwMjI1OTk3OTkDAAAAAjU1AgAAAAQxMDA2BAAAAAExBwAAAAk0LzMwLzIwMjAIAAAACTgvMTYvMjAyMAkAAAABMNkKB0vyQdgIkAqcWfJB2AgyQ0lRLk5BU0RBUUdTOlRTTEEuSVFfUFJJQ0VfVk9MX0hJU1RfNVlSLjMxLzEyLzIwMTkBAAAAEMaiAQIAAAAHNDUuNzAwNADr39108kHYCGXHRnbyQdgILENJUS5MU0U6U0ZPUi5JUV9QRVJJT0REQVRFLjk5OC4zMS8xMi8yMDE5Li5GAQAAAMtT5CEDAAAAAAD+A0J18kHYCKWgTXbyQdgIJENJUS5eU1BYLklRX0xBU1RTQUxFUFJJQ0UuMzEvMDUvMjAxNQEAAACbuCgAAgAA</t>
  </si>
  <si>
    <t>ABAyMTA3LjM4OTU3ODM1NTEyAKCeN1HyQdgIxO8Ic/JB2AguQ0lRLkxTRTpUU0NPLklRX0VCSVREQS45OTcuMzEvMTIvMjAxOS4uRi5HQlAuQwEAAAAwUAYAAgAAAAQyMDM3AQgAAAAFAAAAATEBAAAACjE4NDc4MjUxNDgDAAAAAjU1AgAAAAQ0MDUxBAAAAAExBwAAAAoxMi8zMS8yMDE5CAAAAAk4LzE2LzIwMjAJAAAAATAeIhh48kHYCM5E7njyQdgIMkNJUS5OQVNEQVFHUzpUU0xBLklRX1BFUklPRERBVEUuMTAwMC4zMS8xMi8yMDE5Li5GAQAAABDGogEFAAAACjMxLzEyLzIwMTgA/gNCdfJB2AjDUk128kHYCC1DSVEuTllTRTpSQUNFLklRX1NHQS4yMDAwLjMwLzA0LzIwMjAuLkYuRVVSLkMBAAAAPYKwEAIAAAAHMzQzLjE3OQEIAAAABQAAAAExAQAAAAoyMDE1NjQyOTU0AwAAAAI1MAIAAAACMjMEAAAAATEHAAAACTQvMzAvMjAyMAgAAAAJOC8xNi8yMDIwCQAAAAEw2QoHS/JB2AhfdKBZ8kHYCCVDSVEuXkNPTVAuSVFfTEFTVFNBTEVQUklDRS4zMS8wNy8yMDE4AQAAAIm4KAACAAAABzc2NzEuNzkAtbw3UvJB2AiAiwlz8kHYCDZDSVEuTFNFOlNGT1IuSVFfQ0FTSF9TVF9JTlZFU1QuOTk5LjMwLzA0LzIwMjAuLkYuR0JQLkMBAAAAy1PkIQIAAAAGMjUuMDA1AQgAAAAFAAAAATEBAAAACjE5NjExMTYyNzEDAAAAAjU1AgAAAAQxMDAyBAAAAAExBwAAAAk0LzMwLzIwMjAIAAAACTgvMTYvMjAyMAkAAAAB</t>
  </si>
  <si>
    <t>MNkKB0vyQdgIU+qSWfJB2AhDQ0lRLk5BU0RBUUdTOkNBS0UuSVFfVE9UQUxfREVCVF9OT05fQ1VSUkVOVC45OTcuMzAvMDQvMjAyMC4uRi5VU0QuQwEAAAAI4AQAAgAAAAcxMDAuNTc2AQgAAAAFAAAAATEBAAAACjE5NDgxNzY2NjIDAAAAAzE2MAIAAAAFMjUyMjQEAAAAATEHAAAACTQvMzAvMjAyMAgAAAAJOC8xNi8yMDIwCQAAAAEwA0nKTPJB2AizsphZ8kHYCDFDSVEuTllTRTpSQUNFLklRX0lOQ19UQVguMTAwMC4zMC8wNC8yMDIwLi5GLkVVUi5DAQAAAD2CsBACAAAABzE3Ni42NTYBCAAAAAUAAAABMQEAAAAKMjAxNTYzOTgyMgMAAAACNTACAAAAAjc1BAAAAAExBwAAAAk0LzMwLzIwMjAIAAAACTgvMTYvMjAyMAkAAAABMNkKB0vyQdgIitimWfJB2AgtQ0lRLk5BU0RBUUdTOlRTTEEuSVFfTEFTVFNBTEVQUklDRS4zMC8wMy8yMDE4AQAAABDGogECAAAABjI2Ni4xMwAoK0J18kHYCLNYUnbyQdgIIENJUS4uSVFfTEFTVFNBTEVQUklDRS4yOC8wOS8yMDE4BQAAAAAAAAAIAAAAFChJbnZhbGlkIElkZW50aWZpZXIp09s2UfJB2Ajye2pz8kHYCClDSVEuTllTRTpNQU5VLklRX0xBU1RTQUxFUFJJQ0UuMjYvMDQvMjAxOQEAAADdaw0AAgAAAAUxOS43MgC5lH9T8kHYCA4EJnHyQdgIK0NJUS5OWVNFOk1BTlUuSVFfR1AuOTk5LjMwLzA0LzIwMjAuLkYuR0JQLkMBAAAA3WsNAAIAAAAHNTExLjgyMgEIAAAA</t>
  </si>
  <si>
    <t>BQAAAAExAQAAAAoxOTg1ODQ1MDI5AwAAAAI1NQIAAAACMTAEAAAAATEHAAAACTQvMzAvMjAyMAgAAAAJOC8xNi8yMDIwCQAAAAEwvFgHS/JB2Ah92J9Z8kHYCDtDSVEuTkFTREFRR1M6Q0FLRS5JUV9OSV9NRURJQU5fRVNULjEwMDIuMzEvMTIvMjAxOS4uRi5VU0QuQwEAAAAI4AQAAgAAAAkxMjEuMDcyODcBDgAAAAUAAAABMwEAAAABMAIAAAAKMTAwMjIyNDIyMgMAAAAGMTAwMjUxBAAAAAEyBgAAAAEwBwAAAAMxNjAIAAAAATEJAAAAATEKAAAAATALAAAACzExNzI0MTEwNDgwDAAAAAExDQAAAAgxLzEvMjAyMBAAAAAJOC8xNi8yMDIw2hSWd/JB2AgbZul48kHYCDBDSVEuTkFTREFRR1M6VFNMQS5JUV9BUC4yMDAwLjMxLzEyLzIwMTkuLkYuVVNELkMBAAAAEMaiAQIAAAAEMzQ2OAEIAAAABQAAAAExAQAAAAoxOTg5NDUzMTMwAwAAAAMxNjACAAAABDEwMTgEAAAAATEHAAAACjEyLzMxLzIwMTkIAAAACTgvMTYvMjAyMAkAAAABMNoUlnfyQdgIuYfkePJB2AgyQ0lRLk5ZU0U6TUFOVS5JUV9UT1RBTF9SRVYuOTk2LjMxLzEyLzIwMTkuLkYuR0JQLkMBAAAA3WsNAAIAAAAHMzk1LjE3OAEIAAAABQAAAAExAQAAAAoxODYxNzM2ODY5AwAAAAI1NQIAAAACMjgEAAAAATEHAAAACjEyLzMxLzIwMTkIAAAACTgvMTYvMjAyMAkAAAABMB77F3jyQdgIju3xePJB2Ag2Q0lRLk5ZU0U6UkFDRS5JUV9JTlRFUkVTVF9F</t>
  </si>
  <si>
    <t>WFAuMjAwMC4zMS8xMi8yMDE5Li5GLkVVUi5DAQAAAD2CsBACAAAABy0zNy42MjkBCAAAAAUAAAABMQEAAAAKMTk5MDQyMzY4NwMAAAACNTACAAAAAjgyBAAAAAExBwAAAAoxMi8zMS8yMDE5CAAAAAk4LzE2LzIwMjAJAAAAATDaFJZ38kHYCEn85HjyQdgIL0NJUS5OQVNEQVFHUzpUU0xBLklRX0dQLjk5Ny4zMC8wNC8yMDIwLi5GLlVTRC5DAQAAABDGogECAAAACDE1OTkuMjU3AQgAAAAFAAAAATEBAAAACjE5NDU4NzM1NTEDAAAAAzE2MAIAAAACMTAEAAAAATEHAAAACTQvMzAvMjAyMAgAAAAJOC8xNi8yMDIwCQAAAAEwvFgHS/JB2AiG/59Z8kHYCCVDSVEuXkNPTVAuSVFfTEFTVFNBTEVQUklDRS4zMC8wNi8yMDE1AQAAAIm4KAACAAAABzQ5ODYuODcAoJ43UfJB2AhXdQpz8kHYCDVDSVEuR0JQLklRX0ZVTExfQ1VSVkVfQU5OVUFMLkFMTENPUlAuQS4yMFkuMzEvMTIvMjAxOQEAAAAAAAAAAgAAAAkwLjAyMzMwNjUA2C3edPJB2AiIDkl28kHYCDtDSVEuTFNFOlNGT1IuSVFfVE9UQUxfQ09NTU9OX0VRVUlUWS45OTYuMzEvMTIvMjAxOS4uRi5HQlAuQwEAAADLU+QhAwAAAAAAHvsXePJB2AiSmfN48kHYCChDSVEuTFNFOlRTQ08uSVFfTEFTVFNBTEVQUklDRS4xNy8wMS8yMDIwAQAAADBQBgACAAAABTIuNDg2AAgPflPyQdgIJQxcWfJB2AgkQ0lRLl5BU1guSVFfTEFTVFNBTEVQUklDRS4zMS8wOC8yMDE2</t>
  </si>
  <si>
    <t>AQAAAB9T6wECAAAACzM2OTcuMTkzMDM2AHyrhVHyQdgIA64Lc/JB2Ag2Q0lRLk5ZU0U6UkFDRS5JUV9FUVVJVFlfTUVUSE9ELjk5OS4zMS8xMi8yMDE5Li5GLkVVUi5DAQAAAD2CsBACAAAABTIzLjM0AQgAAAAFAAAAATEBAAAACjE5NDc0NDQxOTADAAAAAjUwAgAAAAQzMDYzBAAAAAExBwAAAAoxMi8zMS8yMDE5CAAAAAk4LzE2LzIwMjAJAAAAATBHYBd48kHYCCm1/3jyQdgIO0NJUS5OQVNEQVFHUzpDQUtFLklRX0RBX01FRElBTl9FU1QuMTAwMS4zMS8xMi8yMDE5Li5GLlVTRC5DAQAAAAjgBAACAAAABjkwLjg1NwEOAAAABQAAAAEzAQAAAAEwAgAAAAoxMDAyMjI0MjIxAwAAAAYxMTQxOTAEAAAAATIGAAAAATAHAAAAAzE2MAgAAAABMQkAAAABMQoAAAABMAsAAAALMTE2NjMwNjU0NDMMAAAAATENAAAACDEvMS8yMDIwEAAAAAk4LzE2LzIwMjA7PJZ38kHYCI+553jyQdgIIENJUS5OWVNFOktPLklRX1ZPTFVNRS4xOC8xMC8yMDE5AQAAABJoAAACAAAACDE4LjEyMjUxAKPWJFXyQdgIJEXDcvJB2AgvQ0lRLk5ZU0U6S08uSVFfVE9UQUxfQ0EuOTk2LjMwLzA0LzIwMjAuLkYuVVNELkMBAAAAEmgAAAIAAAAFMzMzOTUBCAAAAAUAAAABMQEAAAAKMTg3NTc5NzgwOQMAAAADMTYwAgAAAAQxMDA4BAAAAAExBwAAAAk0LzMwLzIwMjAIAAAACTgvMTYvMjAyMAkAAAABMANJykzyQdgIzyGUWfJB2AgpQ0lRLk5Z</t>
  </si>
  <si>
    <t>U0U6UkFDRS5JUV9MQVNUU0FMRVBSSUNFLjMwLzA5LzIwMTkBAAAAPYKwEAIAAAAGMTU0LjA5AAHofVPyQdgId54tcfJB2AgpQ0lRLk5ZU0U6TUFOVS5JUV9MQVNUU0FMRVBSSUNFLjEzLzEyLzIwMTkBAAAA3WsNAAIAAAAFMTguMzgA6DV+U/JB2AhYEy5x8kHYCC1DSVEuTkFTREFRR1M6Q0FLRS5JUV9MQVNUU0FMRVBSSUNFLjMwLzA2LzIwMTkBAAAACOAEAAIAAAAFNDMuNzIACA9+U/JB2AiUKS1x8kHYCC5DSVEuTFNFOlNGT1IuSVFfREFfQ0YuMTAwMC4zMS8xMi8yMDE5Li5GLkdCUC5DAQAAAMtT5CECAAAACTEzLjk5MjAwMgEIAAAABQAAAAExAQAAAAoxOTYxMTE2MjcxAwAAAAI1NQIAAAAEMjE2MAQAAAABMQcAAAAKMTIvMzEvMjAxOQgAAAAJOC8xNi8yMDIwCQAAAAEw2hSWd/JB2AisROd48kHYCCdDSVEuTllTRTpLTy5JUV9MQVNUU0FMRVBSSUNFLjMxLzA3LzIwMTkBAAAAEmgAAAIAAAAFNTIuNjMACA9+U/JB2Ah+dy1x8kHYCCRDSVEuXlNQWC5JUV9MQVNUU0FMRVBSSUNFLjMxLzAxLzIwMTcBAAAAm7goAAIAAAAQMjI3OC44NjY4OTA2MTM5NAB8q4VR8kHYCMp7CHPyQdgIKUNJUS5OWVNFOktPLklRX05JLjk5Ni4zMS8xMi8yMDE5Li5GLlVTRC5DAQAAABJoAAACAAAABDcwOTgBCAAAAAUAAAABMQEAAAAKMTgyOTIzMDk1NgMAAAADMTYwAgAAAAIxNQQAAAABMQcAAAAKMTIvMzEvMjAxOQgAAAAJ</t>
  </si>
  <si>
    <t>OC8xNi8yMDIwCQAAAAEw2hSWd/JB2AhfVeh48kHYCDFDSVEuTllTRTpNQU5VLklRX0NPU1RfUkVWLjk5Ni4zMS8xMi8yMDE5Li5GLkdCUC5DAQAAAN1rDQACAAAABjQ3Ljk0NwEIAAAABQAAAAExAQAAAAoxODYxNzM2ODY5AwAAAAI1NQIAAAABMQQAAAABMQcAAAAKMTIvMzEvMjAxOQgAAAAJOC8xNi8yMDIwCQAAAAEwHvsXePJB2Aig3PB48kHYCChDSVEuTFNFOlNGT1IuSVFfTEFTVFNBTEVQUklDRS4zMC8wNC8yMDE1AQAAAMtT5CEDAAAAAACkvH9T8kHYCCorH3HyQdgIMENJUS5OWVNFOktPLklRX1RPVEFMX0NMLjIwMDAuMzEvMTIvMjAxOS4uRi5VU0QuQwEAAAASaAAAAgAAAAUyNTEwMAEIAAAABQAAAAExAQAAAAoxOTg4ODAxNTI2AwAAAAMxNjACAAAABDEwMDkEAAAAATEHAAAACjEyLzMxLzIwMTkIAAAACTgvMTYvMjAyMAkAAAABMBytF3jyQdgIZ934ePJB2AgmQ0lRLk5BU0RBUUdTOlRTTEEuSVFfVk9MVU1FLjE4LzEwLzIwMTkBAAAAEMaiAQIAAAAINS43NTM2NjYAo9YkVfJB2AhLNMJy8kHYCClDSVEuTllTRTpSQUNFLklRX0xBU1RTQUxFUFJJQ0UuMDgvMDYvMjAxOAEAAAA9grAQAgAAAAYxMzYuMzcAKeaFUvJB2AijPApx8kHYCDpDSVEuTkFTREFRR1M6VFNMQS5JUV9FUVVJVFlfTUVUSE9ELjk5OC4zMS8xMi8yMDE5Li5GLlVTRC5DAQAAABDGogEDAAAAAABHYBd48kHYCELd/3jyQdgIKkNJ</t>
  </si>
  <si>
    <t>US5OWVNFOlJBQ0UuSVFfRElWSURFTkRfWUlFTEQuMzEvMTIvMjAxOQEAAAA9grAQAgAAAAYwLjY5ODIA/gNCdfJB2AhDTU928kHYCCFDSVEuTFNFOlNGT1IuSVFfVk9MVU1FLjAyLzAzLzIwMTgBAAAAy1PkIQMAAAAAACgrQnXyQdgI0V1XdvJB2AgpQ0lRLk5ZU0U6TUFOVS5JUV9MQVNUU0FMRVBSSUNFLjMxLzA4LzIwMTgBAAAA3WsNAAIAAAAEMjYuMgDoNX5T8kHYCFiTKnHyQdgILUNJUS5OQVNEQVFHUzpDQUtFLklRX0xBU1RTQUxFUFJJQ0UuMjcvMDMvMjAyMAEAAAAI4AQAAgAAAAUxNi4xOAAB6H1T8kHYCKh7XlnyQdgILUNJUS5MU0U6VFNDTy5JUV9DQVBFWC45OTYuMzEvMTIvMjAxOS4uRi5HQlAuQwEAAAAwUAYAAgAAAAUtMTk4OQEIAAAABQAAAAExAQAAAAoxNzkxNDY4MTQ2AwAAAAI1NQIAAAAEMjAyMQQAAAABMQcAAAAKMTIvMzEvMjAxOQgAAAAJOC8xNi8yMDIwCQAAAAEw2hSWd/JB2Ag3SuV48kHYCDFDSVEuTFNFOlRTQ08uSVFfVE9UQUxfQ0EuMjAwMC4zMS8xMi8yMDE5Li5GLkdCUC5DAQAAADBQBgACAAAABTE2MzYyAQgAAAAFAAAAATEBAAAACjE5ODY3OTMyNDADAAAAAjU1AgAAAAQxMDA4BAAAAAExBwAAAAoxMi8zMS8yMDE5CAAAAAk4LzE2LzIwMjAJAAAAATA7hhd48kHYCAqD/HjyQdgILkNJUS5OWVNFOktPLklRX0VCSVREQS4xMDAwLjMwLzA0LzIwMjAuLkYuVVNELkMBAAAAEmgA</t>
  </si>
  <si>
    <t>AAIAAAAFMTE5OTABCAAAAAUAAAABMQEAAAAKMjAxNjc5MTI0NQMAAAADMTYwAgAAAAQ0MDUxBAAAAAExBwAAAAk0LzMwLzIwMjAIAAAACTgvMTYvMjAyMAkAAAABMANJykzyQdgIsLyiWfJB2AgoQ0lRLkxTRTpTRk9SLklRX0xBU1RTQUxFUFJJQ0UuMTMvMDcvMjAxOAEAAADLU+QhAwAAAAAAOr+FUvJB2Ah3Rw1x8kHYCCxDSVEuTllTRTpSQUNFLklRX0xBU1RTQUxFUFJJQ0UuMzEvMTIvMjAxOS4uQwEAAAA9grAQAgAAAAYxNjUuNTQAKCtCdfJB2AjFS2B18kHYCC1DSVEuTFNFOlRTQ08uSVFfREFfQ0YuOTk2LjMxLzEyLzIwMTkuLkYuR0JQLkMBAAAAMFAGAAIAAAAEMTM2NgEIAAAABQAAAAExAQAAAAoxNzkxNDY4MTQ2AwAAAAI1NQIAAAAEMjE2MAQAAAABMQcAAAAKMTIvMzEvMjAxOQgAAAAJOC8xNi8yMDIwCQAAAAEw2hSWd/JB2Ag50OZ48kHYCCBDSVEuLklRX0xBU1RTQUxFUFJJQ0UuMTUvMDYvMjAxOAUAAAAAAAAACAAAABQoSW52YWxpZCBJZGVudGlmaWVyKad3N1HyQdgI3Q12c/JB2AgzQ0lRLkxTRTpUU0NPLklRX1RPVEFMX0xJQUIuMjAwMC4zMS8xMi8yMDE5Li5GLkdCUC5DAQAAADBQBgACAAAABTQzMjAxAQgAAAAFAAAAATEBAAAACjE5ODY3OTMyNDADAAAAAjU1AgAAAAQxMjc2BAAAAAExBwAAAAoxMi8zMS8yMDE5CAAAAAk4LzE2LzIwMjAJAAAAATCE1Bd48kHYCN4I9njyQdgIJkNJUS5O</t>
  </si>
  <si>
    <t>QVNEQVFHUzpDQUtFLklRX1ZPTFVNRS4xMi8xMC8yMDE4AQAAAAjgBAACAAAACDAuODc3NTA0AEOYhVLyQdgIRn8VcfJB2AgsQ0lRLk5ZU0U6UkFDRS5JUV9OSS4yMDAwLjMwLzA0LzIwMjAuLkYuRVVSLkMBAAAAPYKwEAIAAAAHNjk1LjgxOAEIAAAABQAAAAExAQAAAAoyMDE1NjQyOTU0AwAAAAI1MAIAAAACMTUEAAAAATEHAAAACTQvMzAvMjAyMAgAAAAJOC8xNi8yMDIwCQAAAAEw2QoHS/JB2AhjEKhZ8kHYCCRDSVEuXkFTWC5JUV9MQVNUU0FMRVBSSUNFLjIwLzA5LzIwMTkBAAAAH1PrAQIAAAALNDA0Mi44NTY3OTQAtbw3UvJB2Ajx+hlz8kHYCCdDSVEuJEFFREtFUy5JUV9MQVNUU0FMRVBSSUNFLjMxLzEyLzIwMTkBAAAAJetaAAIAAAAKMC4wMzYyNDA3NQD+A0J18kHYCNNoTHbyQdgILUNJUS5OWVNFOk1BTlUuSVFfRUJJVC45OTYuMzEvMTIvMjAxOS4uRi5HQlAuQwEAAADdaw0AAgAAAAYxNS4yNTQBCAAAAAUAAAABMQEAAAAKMTg2MTczNjg2OQMAAAACNTUCAAAAAzQwMAQAAAABMQcAAAAKMTIvMzEvMjAxOQgAAAAJOC8xNi8yMDIwCQAAAAEwHiIYePJB2Ah7rut48kHYCDRDSVEuTFNFOlRTQ08uSVFfU0hBUkVTT1VUU1RBTkRJTkdfT1VULjIzLzAyLzIwMTkuR0JQAQAAADBQBgACAAAACzk4MzguODA1ODQ2ABUiykzyQdgIXWlhdvJB2AhAQ0lRLk5BU0RBUUdTOlRTTEEuSVFfUkVWRU5VRV9NRURJ</t>
  </si>
  <si>
    <t>QU5fRVNULjEwMDEuMzEvMTIvMjAxOS4uRi5VU0QuQwEAAAAQxqIBAgAAAAsyNDEwNy44MjM2NQEOAAAABQAAAAEzAQAAAAEwAgAAAAoxMDAwODcyOTU4AwAAAAYxMDAxODEEAAAAATIGAAAAATAHAAAAAzE2MAgAAAABMQkAAAABMQoAAAABMAsAAAALMTE3MjkwOTAwNTEMAAAAATENAAAACDEvMS8yMDIwEAAAAAk4LzE2LzIwMjDzSBh48kHYCJTV8njyQdgINENJUUFWRy5JUTEwMDg4OTk0Ny5JUV9MQVNUU0FMRVBSSUNFLjQwMjk4LjMwLzA0LzIwMjABAAAAW3UDBgIAAAAQMi4zNDc4NDU2MzIxMDIyNwCqJCVV8kHYCJUghlnyQdgIMUNJUS5OQVNEQVFHUzpUU0xBLklRX1BFUklPRERBVEUuOTk4LjMwLzA0LzIwMjAuLkYBAAAAEMaiAQUAAAAKMzEvMTIvMjAxNwCxryRV8kHYCOpUgVnyQdgIN0NJUS5OQVNEQVFHUzpUU0xBLklRX1RPVEFMX0xJQUIuOTk5LjMxLzEyLzIwMTkuLkYuVVNELkMBAAAAEMaiAQIAAAAIMjMwMjMuMDUBCAAAAAUAAAABMQEAAAAKMTk0NTg3MzU1MAMAAAADMTYwAgAAAAQxMjc2BAAAAAExBwAAAAoxMi8zMS8yMDE5CAAAAAk4LzE2LzIwMjAJAAAAATCE1Bd48kHYCBC79XjyQdgILENJUS5OWVNFOk1BTlUuSVFfU0dBLjk5Ny4zMC8wNC8yMDIwLi5GLkdCUC5DAQAAAN1rDQACAAAABzIzMi41OTUBCAAAAAUAAAABMQEAAAAKMTkxMDI0NzQwMwMAAAACNTUCAAAAAjIzBAAAAAExBwAA</t>
  </si>
  <si>
    <t>AAk0LzMwLzIwMjAIAAAACTgvMTYvMjAyMAkAAAABMLxYB0vyQdgIQOmgWfJB2Ag2Q0lRLk5ZU0U6TUFOVS5JUV9JTlRFUkVTVF9FWFAuMjAwMC4zMS8xMi8yMDE5Li5GLkdCUC5DAQAAAN1rDQACAAAABy0yMC44MzcBCAAAAAUAAAABMQEAAAAKMTk5MzYyMTMyMgMAAAACNTUCAAAAAjgyBAAAAAExBwAAAAoxMi8zMS8yMDE5CAAAAAk4LzE2LzIwMjAJAAAAATDaFJZ38kHYCEn85HjyQdgIKENJUS5MU0U6VFNDTy5JUV9MQVNUU0FMRVBSSUNFLjI2LzEwLzIwMTgBAAAAMFAGAAIAAAAFMi4xMjgAQ5iFUvJB2AjtjxZx8kHYCENDSVEuTkFTREFRR1M6Q0FLRS5JUV9UT1RBTF9ERUJUX05PTl9DVVJSRU5ULjk5Ny4zMS8xMi8yMDE5Li5GLlVTRC5DAQAAAAjgBAACAAAABjg3Ljg0MQEIAAAABQAAAAExAQAAAAoxODc3MTQ0NDM4AwAAAAMxNjACAAAABTI1MjI0BAAAAAExBwAAAAoxMi8zMS8yMDE5CAAAAAk4LzE2LzIwMjAJAAAAATAcrRd48kHYCGhW93jyQdgIJ0NJUS5OWVNFOktPLklRX0xBU1RTQUxFUFJJQ0UuMTMvMDcvMjAxOAEAAAASaAAAAgAAAAU0NC43NAA6v4VS8kHYCI69DXHyQdgIO0NJUS5OQVNEQVFHUzpUU0xBLklRX0RBX01FRElBTl9FU1QuMTAwMS4zMC8wNC8yMDIwLi5GLlVTRC5DAQAAABDGogECAAAABDIzMjABDgAAAAUAAAABMwEAAAABMAIAAAAKMTAwMDg3Mjk2MwMAAAAGMTE0MTkwBAAA</t>
  </si>
  <si>
    <t>AAEyBgAAAAEwBwAAAAMxNjAIAAAAATEJAAAAATEKAAAAATALAAAACzExODk4Mjk4Mzg2DAAAAAExDQAAAAg1LzEvMjAyMBAAAAAJOC8xNi8yMDIwpH8HS/JB2AjabqlZ8kHYCChDSVEuTFNFOlNGT1IuSVFfTEFTVFNBTEVQUklDRS4xOS8wNC8yMDE5AQAAAMtT5CECAAAABTEuMzg1ALmUf1PyQdgIE7YlcfJB2AghQ0lRLkxTRTpTRk9SLklRX1ZPTFVNRS4yMi8wMi8yMDE5AQAAAMtT5CECAAAABzAuMDI1NDQApLx/U/JB2Ajqkrxy8kHYCC1DSVEuTkFTREFRR1M6Q0FLRS5JUV9MQVNUU0FMRVBSSUNFLjA3LzA5LzIwMTgBAAAACOAEAAIAAAAFNTUuMDgAQ5iFUvJB2AgRmxJx8kHYCCZDSVEuTkFTREFRR1M6Q0FLRS5JUV9WT0xVTUUuMjYvMDcvMjAxOQEAAAAI4AQAAgAAAAgwLjY3ODQ1MgCV/SRV8kHYCNOuwHLyQdgIJUNJUS5OQVNEQVFHUzpUU0xBLklRX0ZJUlNUUFJJQ0lOR0RBVEUBAAAAEMaiAQUAAAAKMjkvMDYvMjAxMAD8OiRV8kHYCC6vfVnyQdgILUNJUS5OQVNEQVFHUzpDQUtFLklRX0xBU1RTQUxFUFJJQ0UuMjcvMDQvMjAxOAEAAAAI4AQAAgAAAAU1Mi44MwAp5oVS8kHYCOxNBXHyQdgIMUNJUS5OWVNFOlJBQ0UuSVFfVEFSR0VUX1BSSUNFX05VTS42MDAwLjMxLzEyLzIwMTkBAAAAPYKwEAEAAAACMTEA/gNCdfJB2AgF10528kHYCCdDSVEuJEFFREhVRi5JUV9MQVNUU0FMRVBSSUNFLjMxLzEy</t>
  </si>
  <si>
    <t>LzIwMTgBAAAAJetaAAIAAAALMC4wMTMxMDg0OTQA/gNCdfJB2AjuGkx28kHYCDxDSVEuTkFTREFRR1M6VFNMQS5JUV9SRVRVUk5fSU5WRVNURURfQ0FQSVRBTC4yMDAwLjMxLzEyLzIwMTkBAAAAEMaiAQIAAAAHLTQuMDE0MQD+A0J18kHYCCfCT3byQdgIIENJUS4uSVFfTEFTVFNBTEVQUklDRS4yMy8xMS8yMDE4BQAAAAAAAAAIAAAAFChJbnZhbGlkIElkZW50aWZpZXIpX+E0UfJB2AitPmRz8kHYCChDSVEuJVRDTVNZMjAuSVFfTEFTVFNBTEVQUklDRS4zMS8xMi8yMDE5AQAAACAfKAICAAAABDIuMjUAQVJCdfJB2AjYfUt28kHYCCJDSVEuTllTRTpSQUNFLklRX1ZPTFVNRS4xMC8wOC8yMDE4AQAAAD2CsBACAAAACDAuOTMyMDk4ADq/hVLyQdgIfwUQcfJB2AgxQ0lRLk5BU0RBUUdTOkNBS0UuSVFfUEVSSU9EREFURS45OTQuMzAvMDQvMjAyMC4uRgEAAAAI4AQABQAAAAozMS8xMi8yMDEzALGvJFXyQdgIVfZ/WfJB2AglQ0lRLl5DT01QLklRX0xBU1RTQUxFUFJJQ0UuMDgvMDMvMjAxOQEAAACJuCgAAgAAAAc3NDA4LjE0AKCeN1HyQdgI4aEWc/JB2AgnQ0lRLk5ZU0U6S08uSVFfTEFTVFNBTEVQUklDRS4yNy8wMy8yMDIwAQAAABJoAAACAAAABTQyLjgxAAHofVPyQdgIu6JeWfJB2AgzQ0lRLk5BU0RBUUdTOlRTTEEuSVFfQ0FQRVguMjAwMC4zMS8xMi8yMDE5Li5GLlVTRC5DAQAAABDGogECAAAACS0x</t>
  </si>
  <si>
    <t>MzM3LjUxNgEIAAAABQAAAAExAQAAAAoxOTg5NDUzMTMwAwAAAAMxNjACAAAABDIwMjEEAAAAATEHAAAACjEyLzMxLzIwMTkIAAAACTgvMTYvMjAyMAkAAAABMNoUlnfyQdgIFg3mePJB2AgvQ0lRLk5BU0RBUUdTOkNBS0UuSVFfTkkuOTk5LjMwLzA0LzIwMjAuLkYuVVNELkMBAAAACOAEAAIAAAAGOTkuMDM1AQgAAAAFAAAAATEBAAAACjIwMjE1ODE0MjADAAAAAzE2MAIAAAACMTUEAAAAATEHAAAACTQvMzAvMjAyMAgAAAAJOC8xNi8yMDIwCQAAAAEw/2/KTPJB2AgmXqhZ8kHYCCdDSVEuTllTRTpLTy5JUV9MQVNUU0FMRVBSSUNFLjMxLzAxLzIwMjABAAAAEmgAAAIAAAAENTguNAAID35T8kHYCJbJXlnyQdgIKUNJUS5OWVNFOlJBQ0UuSVFfTEFTVFNBTEVQUklDRS4yMS8wOS8yMDE4AQAAAD2CsBACAAAABjEzNy40NwBDmIVS8kHYCFqsE3HyQdgINUNJUS5OWVNFOlJBQ0UuSVFfUFJFRl9FUVVJVFkuMjAwMC4zMC8wNC8yMDIwLi5GLkVVUi5DAQAAAD2CsBADAAAAAADZCgdL8kHYCNr5mlnyQdgIJ0NJUS5OWVNFOktPLklRX0xBU1RTQUxFUFJJQ0UuMjkvMTIvMjAxNwEAAAASaAAAAgAAAAU0NS44OAAoK0J18kHYCKrYXHbyQdgIN0NJUS5OQVNEQVFHUzpDQUtFLklRX1RPVEFMX1JFVi4yMDAwLjMwLzA0LzIwMjAuLkYuVVNELkMBAAAACOAEAAIAAAAIMjQ4Mi42OTIBCAAAAAUAAAABMQEAAAAKMjAyMTU4</t>
  </si>
  <si>
    <t>MjcwNAMAAAADMTYwAgAAAAIyOAQAAAABMQcAAAAJNC8zMC8yMDIwCAAAAAk4LzE2LzIwMjAJAAAAATD/b8pM8kHYCDJpnVnyQdgIJkNJUS5OQVNEQVFHUzpDQUtFLklRX1ZPTFVNRS4yNS8xMC8yMDE5AQAAAAjgBAACAAAACDEuMTk5ODAyAJX9JFXyQdgIwPzAcvJB2AgjQ0lRLk5ZU0U6S08uSVFfU1BfTENfTFQuLjMwLzA0LzIwMjABAAAAEmgAAAMAAAACQSsA/DokVfJB2Agx2INZ8kHYCC1DSVEuTkFTREFRR1M6VFNMQS5JUV9MQVNUU0FMRVBSSUNFLjMxLzEyLzIwMTYBAAAAEMaiAQIAAAAGMjEzLjY5ANGDflPyQdgIGt0lcfJB2Ag5Q0lRLk5BU0RBUUdTOlRTTEEuSVFfU0hBUkVTT1VUU1RBTkRJTkdfT1VULjMxLzEyLzIwMTkuVVNEAQAAABDGogECAAAACjE4MS4zODQxNzYAFSLKTPJB2AjMDl528kHYCCVDSVEuXkNPTVAuSVFfTEFTVFNBTEVQUklDRS4wNi8xMi8yMDE5AQAAAIm4KAACAAAABzg2NTYuNTMAtbw3UvJB2AgmkRVz8kHYCCJDSVEuTllTRTpSQUNFLklRX1ZPTFVNRS4yMS8wOS8yMDE4AQAAAD2CsBACAAAACDAuNDA2NTA1AEOYhVLyQdgIWqwTcfJB2AgnQ0lRLk5ZU0U6S08uSVFfTEFTVFNBTEVQUklDRS4wNy8wNi8yMDE5AQAAABJoAAACAAAABTUxLjQ5AMGqflPyQdgI22IncfJB2AgzQ0lRLk5BU0RBUUdTOlRTTEEuSVFfQ0FQRVguMTAwMC4zMC8wNC8yMDIwLi5GLlVTRC5DAQAAABDG</t>
  </si>
  <si>
    <t>ogECAAAABS0xNDMyAQgAAAAFAAAAATEBAAAACjIwMTM5MDc0NjADAAAAAzE2MAIAAAAEMjAyMQQAAAABMQcAAAAJNC8zMC8yMDIwCAAAAAk4LzE2LzIwMjAJAAAAATDJMQdL8kHYCGRpq1nyQdgIKkNJUS5OWVNFOktPLklRX0ZJU0NBTF9ZLjEwMDAuMzAvMDQvMjAyMC4uRgEAAAASaAAAAQAAAAQyMDE5APw6JFXyQdgIcjyKWfJB2AghQ0lRLkxTRTpUU0NPLklRX1ZPTFVNRS4xOS8wNC8yMDE5AQAAADBQBgADAAAAAAC5lH9T8kHYCI/xvXLyQdgIMUNJUS5OQVNEQVFHUzpUU0xBLklRX1NHQS4xMDAwLjMxLzEyLzIwMTkuLkYuVVNELkMBAAAAEMaiAQIAAAAIMjgzNC40OTEBCAAAAAUAAAABMQEAAAAKMTk0NTg3MzU0NgMAAAADMTYwAgAAAAIyMwQAAAABMQcAAAAKMTIvMzEvMjAxOQgAAAAJOC8xNi8yMDIwCQAAAAEwHiIYePJB2AiE8e948kHYCCxDSVEuTllTRTpNQU5VLklRX0VCVC45OTkuMzAvMDQvMjAyMC4uRi5HQlAuQwEAAADdaw0AAgAAAAYyNS44MzMBCAAAAAUAAAABMQEAAAAKMTk4NTg0NTAyOQMAAAACNTUCAAAAAzEzOQQAAAABMQcAAAAJNC8zMC8yMDIwCAAAAAk4LzE2LzIwMjAJAAAAATC8WAdL8kHYCMYVplnyQdgIPENJUS5OQVNEQVFHUzpUU0xBLklRX1JFVFVSTl9JTlZFU1RFRF9DQVBJVEFMLjIwMDAuMzAvMDQvMjAyMAEAAAAQxqIBAgAAAActMC42NDQ4ALGvJFXyQdgI9iN+WfJB2Ag3</t>
  </si>
  <si>
    <t>Q0lRLk5ZU0U6UkFDRS5JUV9DQVNIX1NUX0lOVkVTVC45OTYuMzAvMDQvMjAyMC4uRi5FVVIuQwEAAAA9grAQAgAAAAcxODYuMzA5AQgAAAAFAAAAATEBAAAACjE4NzYwNDMzMTMDAAAAAjUwAgAAAAQxMDAyBAAAAAExBwAAAAk0LzMwLzIwMjAIAAAACTgvMTYvMjAyMAkAAAABMODjBkvyQdgIKl+TWfJB2AgmQ0lRLk5ZU0U6S08uSVFfQkVUQV81WVJfUlNRLjMxLzEyLzIwMTkBAAAAEmgAAAIAAAARMC4xNzU0NzE0NTc5Nzc4MTMA3wbedPJB2Ahlx0Z28kHYCDVDSVFBVkcuJEFFREVVUi5JUV9MQVNUU0FMRVBSSUNFLjMxLzEyLzIwMTIuMzEvMTIvMjAxMwEAAAAl61oAAgAAAAg0Ljg3ODQxOABHYBd48kHYCMcTAXnyQdgIL0NJUS5OQVNEQVFHUzpUU0xBLklRX05JLjk5Ni4zMS8xMi8yMDE5Li5GLlVTRC5DAQAAABDGogECAAAABy0yOTQuMDQBCAAAAAUAAAABMQEAAAAKMTgzMDE0MzMwMAMAAAADMTYwAgAAAAIxNQQAAAABMQcAAAAKMTIvMzEvMjAxOQgAAAAJOC8xNi8yMDIwCQAAAAEw2hSWd/JB2AhfVeh48kHYCCRDSVEuXlNQWC5JUV9MQVNUU0FMRVBSSUNFLjE5LzA0LzIwMTkBAAAAm7goAAIAAAAQMjkwNS4wMzI1MjAyMDA3MgCgnjdR8kHYCOr6EnPyQdgIIUNJUS5MU0U6VFNDTy5JUV9WT0xVTUUuMTAvMDEvMjAyMAEAAAAwUAYAAgAAAAgzMC43NTUyOACV/SRV8kHYCALmd1nyQdgIKENJUS5MU0U6</t>
  </si>
  <si>
    <t>U0ZPUi5JUV9MQVNUU0FMRVBSSUNFLjEzLzAzLzIwMjABAAAAy1PkIQIAAAAEMS41NAAB6H1T8kHYCPPfXVnyQdgIIENJUS4uSVFfTEFTVFNBTEVQUklDRS4xNC8wMi8yMDIwBQAAAAAAAAAIAAAAFChJbnZhbGlkIElkZW50aWZpZXIpDZAyUvJB2AhDvcxZ8kHYCCdDSVEuTllTRTpLTy5JUV9MQVNUU0FMRVBSSUNFLjMxLzEwLzIwMTkBAAAAEmgAAAIAAAAFNTQuNDMAAeh9U/JB2AhWOi5x8kHYCC1DSVEuTkFTREFRR1M6Q0FLRS5JUV9MQVNUU0FMRVBSSUNFLjAzLzA0LzIwMjABAAAACOAEAAIAAAAFMTUuNTEAAeh9U/JB2AiWyV5Z8kHYCDtDSVEuTllTRTpLTy5JUV9UT1RBTF9DT01NT05fRVFVSVRZLjEwMDAuMzEvMTIvMjAxOS4uRi5VU0QuQwEAAAASaAAAAgAAAAUxNjk4MQEIAAAABQAAAAExAQAAAAoxOTQ2NDMwNzgxAwAAAAMxNjACAAAABDEwMDYEAAAAATEHAAAACjEyLzMxLzIwMTkIAAAACTgvMTYvMjAyMAkAAAABMB77F3jyQdgII1v0ePJB2AgjQ0lRLiVUQ01TWTA1LklRX0xBU1RTQUxFUFJJQ0UuNDM0NjUBAAAAFx8oAgIAAAAEMi41MQBBUkJ18kHYCO9WS3byQdgIIUNJUS5MU0U6VFNDTy5JUV9WT0xVTUUuMjgvMTIvMjAxOAEAAAAwUAYAAgAAAAgxNC4xNDQxMwDH4n9T8kHYCJsNInHyQdgINUNJUS5OWVNFOk1BTlUuSVFfVE9UQUxfQVNTRVRTLjk5OS4zMS8xMi8yMDE5Li5GLkdCUC5DAQAA</t>
  </si>
  <si>
    <t>AN1rDQACAAAACDE1NDUuNzQ0AQgAAAAFAAAAATEBAAAACjE5ODU4NDUwMjkDAAAAAjU1AgAAAAQxMDA3BAAAAAExBwAAAAoxMi8zMS8yMDE5CAAAAAk4LzE2LzIwMjAJAAAAATA7hhd48kHYCKkl+3jyQdgILUNJUS5OQVNEQVFHUzpUU0xBLklRX0xBU1RTQUxFUFJJQ0UuMjUvMDUvMjAxOAEAAAAQxqIBAgAAAAYyNzguODUAKeaFUvJB2AipKwlx8kHYCCxDSVEuTllTRTpLTy5JUV9FQklULjIwMDAuMzEvMTIvMjAxOS4uRi5VU0QuQwEAAAASaAAAAgAAAAQ5NDI2AQgAAAAFAAAAATEBAAAACjE5ODg4MDE1MjYDAAAAAzE2MAIAAAADNDAwBAAAAAExBwAAAAoxMi8zMS8yMDE5CAAAAAk4LzE2LzIwMjAJAAAAATAeIhh48kHYCEFx7HjyQdgIIENJUS4uSVFfTEFTVFNBTEVQUklDRS4zMC8wOC8yMDE5BQAAAAAAAAAIAAAAFChJbnZhbGlkIElkZW50aWZpZXIpnA+FUfJB2AjbADRz8kHYCC9DSVEuTllTRTpLTy5JUV9UQVJHRVRfUFJJQ0VfTlVNLjYwMDAuMzAvMDQvMjAyMAEAAAASaAAAAQAAAAIyMgCxryRV8kHYCOoNf1nyQdgIKUNJUS5OWVNFOlJBQ0UuSVFfTEFTVFNBTEVQUklDRS4yMy8wMy8yMDE4AQAAAD2CsBACAAAABjExOC4zOQAoK0J18kHYCNEZU3byQdgIJENJUS5eU1BYLklRX0xBU1RTQUxFUFJJQ0UuMDIvMDMvMjAxOAEAAACbuCgAAgAAABAyNjkxLjI1Mjc2ODY3NjYxANgt3nTyQdgIgFJGdvJB</t>
  </si>
  <si>
    <t>2AgvQ0lRLk5BU0RBUUdTOlRTTEEuSVFfRklTQ0FMX1kuNTAwLjMwLzA0LzIwMjAuLkYBAAAAEMaiAQEAAAAEMjAyMAD8OiRV8kHYCIbuiVnyQdgIIUNJUS5MU0U6VFNDTy5JUV9WT0xVTUUuMTMvMDcvMjAxOAEAAAAwUAYAAgAAAAgxOC43Njc4NQA6v4VS8kHYCKRvDXHyQdgILENJUS5OWVNFOk1BTlUuSVFfR1AuMjAwMC4zMC8wNC8yMDIwLi5GLkdCUC5DAQAAAN1rDQACAAAABzUyMS40NDUBCAAAAAUAAAABMQEAAAAKMjAxODYzMjAwMwMAAAACNTUCAAAAAjEwBAAAAAExBwAAAAk0LzMwLzIwMjAIAAAACTgvMTYvMjAyMAkAAAABMP9vykzyQdgIpmOfWfJB2Ag5Q0lRLkxTRTpTRk9SLklRX0VTVF9FUFNfR1JPV1RIXzVZUl9NRURJQU4uNjAwMC4zMS8xMi8yMDE5AQAAAMtT5CEDAAAAAAAoK0J18kHYCCU7TnbyQdgIM0NJUUFWRy5JUTQzOTQzODI0LklRX0xBU1RTQUxFUFJJQ0UuNDAyOTguMzAvMDQvMjAyMAEAAACQh54CAgAAABAxLjgyMTY2OTQ0NDU3NTk0AKokJVXyQdgIrYSFWfJB2AgyQ0lRLkxTRTpTRk9SLklRX1RPVEFMX0xJQUIuOTk3LjMxLzEyLzIwMTkuLkYuR0JQLkMBAAAAy1PkIQMAAAAAAITUF3jyQdgIEW31ePJB2AgxQ0lRLk5ZU0U6S08uSVFfRVNUX0VQU19HUk9XVEhfNVlSLjYwMDAuMzEvMTIvMjAxOQEAAAASaAAAAgAAAAc1Ljg4MDA0AQ4AAAAFAAAAATcBAAAABzI2MDEyMDECAAAA</t>
  </si>
  <si>
    <t>BTIyMjA4AwAAAAYxMDAxNjcEAAAAATIGAAAAATAHAAAAATAIAAAAATAJAAAAATEKAAAAATALAAAACzExNjU2NTY3MzE3DAAAAAE4DQAAAAgxLzEvMjAyMBAAAAAKMTIvMzEvMjAxOSgrQnXyQdgINBROdvJB2AglQ0lRLklRNTAwMjc1ODAuSVFfTEFTVFNBTEVQUklDRS40MzQ2NQEAAAA8XPsCAgAAAAUxLjI2MQDfBt508kHYCH8gSnbyQdgIL0NJUS5OWVNFOk1BTlUuSVFfRUJJVERBLjk5OS4zMC8wNC8yMDIwLi5GLkdCUC5DAQAAAN1rDQACAAAABzE3Ny43MTcBCAAAAAUAAAABMQEAAAAKMTk4NTg0NTAyOQMAAAACNTUCAAAABDQwNTEEAAAAATEHAAAACTQvMzAvMjAyMAgAAAAJOC8xNi8yMDIwCQAAAAEw/2/KTPJB2AiuCqNZ8kHYCC5DSVEuTllTRTpLTy5JUV9JTkNfVEFYLjk5OS4zMS8xMi8yMDE5Li5GLlVTRC5DAQAAABJoAAACAAAABDU1NjABCAAAAAUAAAABMQEAAAAKMTk0NjQzMDc3OQMAAAADMTYwAgAAAAI3NQQAAAABMQcAAAAKMTIvMzEvMjAxOQgAAAAJOC8xNi8yMDIwCQAAAAEw3O2Vd/JB2AjqAep48kHYCCRDSVEuXlNQWC5JUV9MQVNUU0FMRVBSSUNFLjE1LzAyLzIwMTkBAAAAm7goAAIAAAAQMjc3NS41OTcxMDA1MjI5OQCKxTdR8kHYCN4hE3PyQdgIJkNJUS5OQVNEQVFHUzpDQUtFLklRX1ZPTFVNRS4yOC8wNi8yMDE5AQAAAAjgBAACAAAACDAuNzc0NTY3AJX9JFXyQdgI3ofAcvJB2Agm</t>
  </si>
  <si>
    <t>Q0lRLk5BU0RBUUdTOkNBS0UuSVFfVk9MVU1FLjIzLzExLzIwMTgBAAAACOAEAAIAAAAIMC41MDgxNzgAx+J/U/JB2Ah8tB5x8kHYCDpDSVEuTllTRTpNQU5VLklRX0NBUEVYX01FRElBTl9FU1QuMTAwMS4zMS8xMi8yMDE5Li5GLkdCUC5DAQAAAN1rDQACAAAABC0xNzUBDgAAAAUAAAABMwEAAAABMAIAAAAKMTAwMzA5MjQyMwMAAAAGMTA0MDkxBAAAAAEzBgAAAAEwBwAAAAI1NQgAAAABMQkAAAABMQoAAAABMAsAAAALMTE2MjEyNDI5OTkMAAAAATENAAAACDEvMS8yMDIwEAAAAAk4LzE2LzIwMjA7PJZ38kHYCPkz5njyQdgIKENJUS5MU0U6VFNDTy5JUV9MQVNUU0FMRVBSSUNFLjMwLzA0LzIwMTgBAAAAMFAGAAIAAAAFMi4zNTkA6DV+U/JB2AiXWylx8kHYCCZDSVEuTkFTREFRR1M6VFNMQS5JUV9WT0xVTUUuMTkvMDcvMjAxOQEAAAAQxqIBAgAAAAc3LjA0ODQxAKPWJFXyQdgId+bBcvJB2AgqQ0lRLk5ZU0U6S08uSVFfTkkuMTAwMC4zMS8xMi8yMDE5Li5GLlVTRC5DAQAAABJoAAACAAAABDY0MzQBCAAAAAUAAAABMQEAAAAKMTk0NjQzMDc4MQMAAAADMTYwAgAAAAIxNQQAAAABMQcAAAAKMTIvMzEvMjAxOQgAAAAJOC8xNi8yMDIwCQAAAAEw3O2Vd/JB2Ag/yuh48kHYCCBDSVEuLklRX0xBU1RTQUxFUFJJQ0UuMjMvMDgvMjAxOQUAAAAAAAAACAAAABQoSW52YWxpZCBJZGVudGlmaWVyKZwPhVHyQdgI</t>
  </si>
  <si>
    <t>lBE1c/JB2Ag3Q0lRLk5ZU0U6S08uSVFfRUJJVF9NRURJQU5fRVNULjYwMDEuMzEvMTIvMjAxOS4uRi5VU0QuQwEAAAASaAAAAwAAAAAA80gYePJB2Aic0O148kHYCDtDSVEuTkFTREFRR1M6Q0FLRS5JUV9DQVNIX1NUX0lOVkVTVC45OTguMzEvMTIvMjAxOS4uRi5VU0QuQwEAAAAI4AQAAgAAAAY1My44MzkBCAAAAAUAAAABMQEAAAAKMTk0ODE3NjY2MgMAAAADMTYwAgAAAAQxMDAyBAAAAAExBwAAAAoxMi8zMS8yMDE5CAAAAAk4LzE2LzIwMjAJAAAAATA7hhd48kHYCFcg/XjyQdgIJENJUS5eQVNYLklRX0xBU1RTQUxFUFJJQ0UuMTkvMDQvMjAxOQEAAAAfU+sBAgAAAAs0MDg0Ljc0NDAwMwCgnjdR8kHYCNSWGnPyQdgIO0NJUS5OQVNEQVFHUzpUU0xBLklRX0NBU0hfU1RfSU5WRVNULjk5OC4zMS8xMi8yMDE5Li5GLlVTRC5DAQAAABDGogECAAAACDMzOTMuMjE2AQgAAAAFAAAAATEBAAAACjE5NDU4NzM1NTEDAAAAAzE2MAIAAAAEMTAwMgQAAAABMQcAAAAKMTIvMzEvMjAxOQgAAAAJOC8xNi8yMDIwCQAAAAEwO4YXePJB2AhXIP148kHYCDNDSVEuTkFTREFRR1M6Q0FLRS5JUV9MQVNUU0FMRVBSSUNFLjAxLzAxLzIwMTkuVVNELkMBAAAACOAEAAIAAAAFNDMuNTEAW5PiTfJB2Ag5MGB28kHYCCFDSVEuTFNFOlNGT1IuSVFfVk9MVU1FLjI3LzA0LzIwMTgBAAAAy1PkIQMAAAAAACnmhVLyQdgIFycFcfJB</t>
  </si>
  <si>
    <t>2AgiQ0lRLk5ZU0U6UkFDRS5JUV9WT0xVTUUuMTUvMDYvMjAxOAEAAAA9grAQAgAAAAcwLjM2ODE4ACnmhVLyQdgIMNgKcfJB2AgnQ0lRLiRBRURKT0QuSVFfTEFTVFNBTEVQUklDRS4zMC8wNC8yMDE5AQAAACXrWgACAAAACzUuMTg1NjU1Nzk2AKokJVXyQdgISRiDWfJB2AgnQ0lRLk5ZU0U6S08uSVFfTEFTVFNBTEVQUklDRS4zMC8wOS8yMDE4AQAAABJoAAACAAAABTQ2LjE5AOg1flPyQdgIGS8rcfJB2AgmQ0lRLk5BU0RBUUdTOkNBS0UuSVFfVk9MVU1FLjA2LzEyLzIwMTkBAAAACOAEAAIAAAAIMC42MTA2NzcAlf0kVfJB2AixI8Fy8kHYCCBDSVEuTllTRTpLTy5JUV9WT0xVTUUuMTMvMDMvMjAyMAEAAAASaAAAAgAAAAgzMy42OTcxNQCj1iRV8kHYCDKdfFnyQdgIJENJUS5eQVNYLklRX0xBU1RTQUxFUFJJQ0UuMzEvMDMvMjAxNQEAAAAfU+sBAgAAAAszNjYzLjU4MjkxOQDYLd508kHYCJB5RnbyQdgIJ0NJUS4kQUVESFJLLklRX0xBU1RTQUxFUFJJQ0UuMzAvMDQvMjAxOQEAAAAl61oAAgAAAAswLjU1NTExODk0MwCqJCVV8kHYCDqxg1nyQdgIMUNJUS5MU0U6U0ZPUi5JUV9TSEFSRVNPVVRTVEFORElOR19PVVQuMzEvMTIvMjAxOS4BAAAAy1PkIQIAAAAJNDUyLjgwNzE5ACgrQnXyQdgISTBcdfJB2AgiQ0lRLk5ZU0U6UkFDRS5JUV9WT0xVTUUuMTMvMDcvMjAxOAEAAAA9grAQAgAAAAgwLjQzNDA5</t>
  </si>
  <si>
    <t>MwA6v4VS8kHYCHdHDXHyQdgILUNJUS5OWVNFOk1BTlUuSVFfUEVSSU9EREFURS45OTYuMzAvMDQvMjAyMC4uRgEAAADdaw0ABQAAAAozMC8wNi8yMDE1ALGvJFXyQdgIXEWAWfJB2AggQ0lRLi5JUV9MQVNUU0FMRVBSSUNFLjMwLzA2LzIwMTUFAAAAAAAAAAgAAAAUKEludmFsaWQgSWRlbnRpZmllcikIAzdR8kHYCKLmYHPyQdgIKENJUS5MU0U6VFNDTy5JUV9MQVNUU0FMRVBSSUNFLjE1LzAyLzIwMTkBAAAAMFAGAAIAAAAFMi4yNDIApLx/U/JB2AgZuiNx8kHYCDxDSVEuTllTRTpNQU5VLklRX1RPVEFMX0NPTU1PTl9FUVVJVFkuOTk3LjMwLzA0LzIwMjAuLkYuR0JQLkMBAAAA3WsNAAIAAAAHNDU4LjI4MgEIAAAABQAAAAExAQAAAAoxOTEwMjQ3NDAzAwAAAAI1NQIAAAAEMTAwNgQAAAABMQcAAAAJNC8zMC8yMDIwCAAAAAk4LzE2LzIwMjAJAAAAATC8WAdL8kHYCHF/nFnyQdgIJENJUS5eQVNYLklRX0xBU1RTQUxFUFJJQ0UuMDIvMTEvMjAxOAEAAAAfU+sBAgAAAAszOTA0LjMwNzUyMwCKxTdR8kHYCMRaG3PyQdgILENJUS5MU0U6U0ZPUi5JUV9FQlQuMTAwMC4zMC8wNC8yMDIwLi5GLkdCUC5DAQAAAMtT5CECAAAABi05LjE5NQEIAAAABQAAAAExAQAAAAoyMDIyNTk5Nzk5AwAAAAI1NQIAAAADMTM5BAAAAAExBwAAAAk0LzMwLzIwMjAIAAAACTgvMTYvMjAyMAkAAAABMMkxB0vyQdgI5O6lWfJB2Agt</t>
  </si>
  <si>
    <t>Q0lRLk5BU0RBUUdTOlRTTEEuSVFfTEFTVFNBTEVQUklDRS4yOS8xMi8yMDE3AQAAABDGogECAAAABjMxMS4zNQAoK0J18kHYCJexXHbyQdgIJENJUS5eQVNYLklRX0xBU1RTQUxFUFJJQ0UuMjkvMDIvMjAxNgEAAAAfU+sBAgAAAAszMzQ1Ljg0MzY3NwCgnjdR8kHYCNHTC3PyQdgIOENJUS5OQVNEQVFHUzpUU0xBLklRX1RPVEFMX0xJQUIuMjAwMC4zMS8xMi8yMDE5Li5GLlVTRC5DAQAAABDGogECAAAABTI1MzEzAQgAAAAFAAAAATEBAAAACjE5ODk0NTMxMzADAAAAAzE2MAIAAAAEMTI3NgQAAAABMQcAAAAKMTIvMzEvMjAxOQgAAAAJOC8xNi8yMDIwCQAAAAEwhNQXePJB2AjeCPZ48kHYCClDSVEuTllTRTpNQU5VLklRX0xBU1RTQUxFUFJJQ0UuMjMvMDIvMjAxOAEAAADdaw0AAgAAAAQxOS43ACgrQnXyQdgIc/hXdvJB2AgqQ0lRLklRNTAwMjc1ODAuSVFfTEFTVFNBTEVQUklDRS4zMS8xMi8yMDE5AQAAADxc+wICAAAABTAuNzM2AN8G3nTyQdgIfyBKdvJB2AgmQ0lRLk5BU0RBUUdTOlRTTEEuSVFfVk9MVU1FLjEzLzA0LzIwMTgBAAAAEMaiAQIAAAAINy4zMjcyMjMAQVJCdfJB2AirR1F28kHYCCBDSVEuLklRX0xBU1RTQUxFUFJJQ0UuMjEvMDkvMjAxOAUAAAAAAAAACAAAABQoSW52YWxpZCBJZGVudGlmaWVyKdPbNlHyQdgIyfBqc/JB2AgyQ0lRLk5BU0RBUUdTOlRTTEEuSVFfUEVSSU9EREFURS4y</t>
  </si>
  <si>
    <t>MDAwLjMwLzA0LzIwMjAuLkYBAAAAEMaiAQUAAAAKMzEvMDMvMjAyMACxryRV8kHYCOtlglnyQdgIKENJUS5MU0U6VFNDTy5JUV9MQVNUU0FMRVBSSUNFLjE0LzA2LzIwMTkBAAAAMFAGAAIAAAAFMi4yNDQAwap+U/JB2AjNiSdx8kHYCCxDSVEuTFNFOlRTQ08uSVFfRUJULjEwMDMuMzEvMTIvMjAxOS4uRi5HQlAuQwEAAAAwUAYAAwAAAAAAHiIYePJB2AidYOt48kHYCDpDSVEuTkFTREFRR1M6Q0FLRS5JUV9UT1RBTF9SRUNFSVYuMjAwMC4zMC8wNC8yMDIwLi5GLlVTRC5DAQAAAAjgBAACAAAABjk0LjkyOAEIAAAABQAAAAExAQAAAAoyMDIxNTgyNzA0AwAAAAMxNjACAAAABDEwMDEEAAAAATEHAAAACTQvMzAvMjAyMAgAAAAJOC8xNi8yMDIwCQAAAAEw/2/KTPJB2Aj+x6xZ8kHYCCJDSVEuTllTRTpNQU5VLklRX1ZPTFVNRS4xNC8wNi8yMDE5AQAAAN1rDQACAAAACDAuMDE3NzIyAJX9JFXyQdgIJlC/cvJB2AgvQ0lRLk5ZU0U6S08uSVFfQ09TVF9SRVYuOTk4LjMxLzEyLzIwMTkuLkYuVVNELkMBAAAAEmgAAAIAAAAFMTY0NjUBCAAAAAUAAAABMQEAAAAKMTk0NjQzMDc4MgMAAAADMTYwAgAAAAExBAAAAAExBwAAAAoxMi8zMS8yMDE5CAAAAAk4LzE2LzIwMjAJAAAAATAe+xd48kHYCH4q8XjyQdgIJkNJUS5OQVNEQVFHUzpUU0xBLklRX1ZPTFVNRS4xOS8wMS8yMDE4AQAAABDGogECAAAACDQuODg4MzAz</t>
  </si>
  <si>
    <t>ACgrQnXyQdgIowNbdvJB2AglQ0lRLl5DT01QLklRX0xBU1RTQUxFUFJJQ0UuMDMvMDUvMjAxOQEAAACJuCgAAgAAAAQ4MTY0AKCeN1HyQdgIDHsWc/JB2AgmQ0lRLklRMTAwODg5OTM5LklRX0xBU1RTQUxFUFJJQ0UuNDM0NjUBAAAAU3UDBgIAAAAFMS4wMjQA3wbedPJB2AhJ+El28kHYCDtDSVEuTFNFOlRTQ08uSVFfUkVWRU5VRV9NRURJQU5fRVNULjYwMDEuMzAvMDQvMjAyMC4uRi5HQlAuQwEAAAAwUAYAAwAAAAAApH8HS/JB2AhdzZxZ8kHYCDNDSVEuTllTRTpNQU5VLklRX0xUX0lOVkVTVC4xMDAwLjMwLzA0LzIwMjAuLkYuR0JQLkMBAAAA3WsNAAMAAAAAAP9vykzyQdgIplmVWfJB2AgoQ0lRLkxTRTpUU0NPLklRX0xBU1RTQUxFUFJJQ0UuMDUvMDEvMjAxOAEAAAAwUAYAAgAAAAUyLjA5NwAoK0J18kHYCJpjXHbyQdgIIUNJUS5MU0U6VFNDTy5JUV9WT0xVTUUuMTEvMTAvMjAxOQEAAAAwUAYAAgAAAAg1My4wNjc3NgCV/SRV8kHYCFW0vnLyQdgIQENJUS5OQVNEQVFHUzpDQUtFLklRX1JFVkVOVUVfTUVESUFOX0VTVC4xMDAxLjMxLzEyLzIwMTkuLkYuVVNELkMBAAAACOAEAAIAAAAEMjQ4OQEOAAAABQAAAAEzAQAAAAEwAgAAAAoxMDAyMjI0MjIxAwAAAAYxMDAxODEEAAAAATIGAAAAATAHAAAAAzE2MAgAAAABMQkAAAABMQoAAAABMAsAAAALMTE3MjcwODMzMjAMAAAAATENAAAACDEvMS8yMDIw</t>
  </si>
  <si>
    <t>EAAAAAk4LzE2LzIwMjDzSBh48kHYCJTV8njyQdgIIkNJUS5OWVNFOlJBQ0UuSVFfVk9MVU1FLjI4LzA5LzIwMTgBAAAAPYKwEAIAAAAIMC43MjEyOTgAQ5iFUvJB2AipRxRx8kHYCDJDSVEuTllTRTpNQU5VLklRX1RPVEFMX0NBLjIwMDAuMzAvMDQvMjAyMC4uRi5HQlAuQwEAAADdaw0AAgAAAAcyMjIuMjQ1AQgAAAAFAAAAATEBAAAACjIwMTg2MzIwMDMDAAAAAjU1AgAAAAQxMDA4BAAAAAExBwAAAAk0LzMwLzIwMjAIAAAACTgvMTYvMjAyMAkAAAABMLxYB0vyQdgIKl+TWfJB2AggQ0lRLk5ZU0U6S08uSVFfVk9MVU1FLjI1LzAxLzIwMTkBAAAAEmgAAAIAAAAIMTIuMDY2NjgApLx/U/JB2AhYgsJy8kHYCCZDSVEuTkFTREFRR1M6VFNMQS5JUV9WT0xVTUUuMjUvMDUvMjAxOAEAAAAQxqIBAgAAAAgzLjg3NTA4MgAp5oVS8kHYCKkrCXHyQdgIJENJUS5eQVNYLklRX0xBU1RTQUxFUFJJQ0UuMzAvMDQvMjAxNQEAAAAfU+sBAgAAAAszNzYwLjA2NDcyNQCgnjdR8kHYCNIhDHPyQdgINUNJUS5OQVNEQVFHUzpUU0xBLklRX0lOQ19UQVguMTAwMC4zMC8wNC8yMDIwLi5GLlVTRC5DAQAAABDGogECAAAAAzExMAEIAAAABQAAAAExAQAAAAoyMDEzOTA3NDYwAwAAAAMxNjACAAAAAjc1BAAAAAExBwAAAAk0LzMwLzIwMjAIAAAACTgvMTYvMjAyMAkAAAABMMkxB0vyQdgIitimWfJB2AgiQ0lRLk5ZU0U6UkFDRS5J</t>
  </si>
  <si>
    <t>UV9WT0xVTUUuMTEvMDEvMjAxOQEAAAA9grAQAgAAAAgwLjI1MDU4NQCkvH9T8kHYCDpbu3LyQdgIKUNJUS5OWVNFOlJBQ0UuSVFfTEFTVFNBTEVQUklDRS4yNy8wNC8yMDE4AQAAAD2CsBACAAAABjEyMS45OQAp5oVS8kHYCBcnBXHyQdgINENJUS5MU0U6U0ZPUi5JUV9UT1RBTF9BU1NFVFMuOTk5LjMwLzA0LzIwMjAuLkYuR0JQLkMBAAAAy1PkIQIAAAAHNDk5LjAzNAEIAAAABQAAAAExAQAAAAoxOTYxMTE2MjcxAwAAAAI1NQIAAAAEMTAwNwQAAAABMQcAAAAJNC8zMC8yMDIwCAAAAAk4LzE2LzIwMjAJAAAAATDZCgdL8kHYCNKWlFnyQdgIKENJUS5MU0U6VFNDTy5JUV9MQVNUU0FMRVBSSUNFLjI1LzAxLzIwMTkBAAAAMFAGAAIAAAAFMi4yNDkApLx/U/JB2Ag4ICNx8kHYCDdDSVEuTkFTREFRR1M6Q0FLRS5JUV9MVF9JTlZFU1QuMTAwMC4zMC8wNC8yMDIwLi5GLlVTRC5DAQAAAAjgBAADAAAAAAADScpM8kHYCKZZlVnyQdgIKkNJUS5OWVNFOktPLklRX0FQLjIwMDAuMzAvMDQvMjAyMC4uRi5VU0QuQwEAAAASaAAAAgAAAAUxMjMxMgEIAAAABQAAAAExAQAAAAoyMDMwMzc2ODk3AwAAAAMxNjACAAAABDEwMTgEAAAAATEHAAAACTQvMzAvMjAyMAgAAAAJOC8xNi8yMDIwCQAAAAEwA0nKTPJB2Aj+76xZ8kHYCC1DSVEuTkFTREFRR1M6VFNMQS5JUV9MQVNUU0FMRVBSSUNFLjMxLzAzLzIwMTYBAAAAEMai</t>
  </si>
  <si>
    <t>AQIAAAAGMjI5Ljc3AMGqflPyQdgIGbojcfJB2AgoQ0lRLkxTRTpUU0NPLklRX0xBU1RTQUxFUFJJQ0UuMTYvMTEvMjAxOAEAAAAwUAYAAgAAAAUyLjAzOQDH4n9T8kHYCKvxHXHyQdgIJUNJUS5eQ09NUC5JUV9MQVNUU0FMRVBSSUNFLjI4LzAyLzIwMTgBAAAAibgoAAIAAAAHNzI3My4wMQC1vDdS8kHYCGyyCXPyQdgILUNJUS5OQVNEQVFHUzpDQUtFLklRX0xBU1RTQUxFUFJJQ0UuMjEvMDYvMjAxOQEAAAAI4AQAAgAAAAU0NC4yMQDBqn5T8kHYCI3XJ3HyQdgIIENJUS4uSVFfTEFTVFNBTEVQUklDRS4yNC8wOC8yMDE4BQAAAAAAAAAIAAAAFChJbnZhbGlkIElkZW50aWZpZXIpzCk3UfJB2Ag/Em1z8kHYCC1DSVEuTkFTREFRR1M6VFNMQS5JUV9MQVNUU0FMRVBSSUNFLjIwLzAzLzIwMjABAAAAEMaiAQIAAAAGNDI3LjUzAAHofVPyQdgIaFNeWfJB2AgpQ0lRLk5ZU0U6S08uSVFfRklTQ0FMX1kuNTAwLjMxLzEyLzIwMTkuLkYBAAAAEmgAAAEAAAAEMjAxOQDfBt508kHYCH2gRnbyQdgIO0NJUS5OQVNEQVFHUzpUU0xBLklRX0NBU0hfU1RfSU5WRVNULjk5OS4zMC8wNC8yMDIwLi5GLlVTRC5DAQAAABDGogECAAAABDM2ODYBCAAAAAUAAAABMQEAAAAKMjAxMzkwNzQ2MwMAAAADMTYwAgAAAAQxMDAyBAAAAAExBwAAAAk0LzMwLzIwMjAIAAAACTgvMTYvMjAyMAkAAAABMLxYB0vyQdgIH8OSWfJB2Ag5Q0lR</t>
  </si>
  <si>
    <t>Lk5ZU0U6UkFDRS5JUV9FQklUX01FRElBTl9FU1QuNjAwMS4zMS8xMi8yMDE5Li5GLkVVUi5DAQAAAD2CsBADAAAAAADzSBh48kHYCPyo7XjyQdgIIENJUS5OWVNFOktPLklRX1ZPTFVNRS4yNi8wNC8yMDE5AQAAABJoAAACAAAABzEwLjE1NDMA3tJ+U/JB2Ag40MJy8kHYCDBDSVEuTkFTREFRR1M6VFNMQS5JUV9TR0EuOTk2LjMwLzA0LzIwMjAuLkYuVVNELkMBAAAAEMaiAQIAAAAHOTIyLjIzMgEIAAAABQAAAAExAQAAAAoxODc1NzY5MDgyAwAAAAMxNjACAAAAAjIzBAAAAAExBwAAAAk0LzMwLzIwMjAIAAAACTgvMTYvMjAyMAkAAAABMLxYB0vyQdgIMRChWfJB2Ag5Q0lRLk5ZU0U6TUFOVS5JUV9FQklUX01FRElBTl9FU1QuNjAwMS4zMS8xMi8yMDE5Li5GLkdCUC5DAQAAAN1rDQADAAAAAADzSBh48kHYCJzQ7XjyQdgIK0NJUS5JUTEwMDg4OTk1MS5JUV9MQVNUU0FMRVBSSUNFLjMwLzA0LzIwMjABAAAAX3UDBgIAAAAFMC4wOTcAo9YkVfJB2AhGMYdZ8kHYCDBDSVEuTkFTREFRR1M6VFNMQS5JUV9GSUxJTkdfQ1VSUkVOQ1kuLjMwLzA0LzIwMjABAAAAEMaiAQMAAAADVVNEALGvJFXyQdgIVfZ/WfJB2AgoQ0lRLiVUQ01TTTAxLklRX0xBU1RTQUxFUFJJQ0UuMzEvMTIvMjAxOQEAAAAFHygCAgAAAAQxLjQ4AN8G3nTyQdgIFeJKdvJB2AghQ0lRLkxTRTpTRk9SLklRX1ZPTFVNRS4wOC8wNi8yMDE4AQAA</t>
  </si>
  <si>
    <t>AMtT5CEDAAAAAAAp5oVS8kHYCKM8CnHyQdgIKkNJUS5MU0U6VFNDTy5JUV9OSS45OTkuMzEvMTIvMjAxOS4uRi5HQlAuQwEAAAAwUAYAAgAAAAQxMjA4AQgAAAAFAAAAATEBAAAACjE5Njg3MzY1NTkDAAAAAjU1AgAAAAIxNQQAAAABMQcAAAAKMTIvMzEvMjAxOQgAAAAJOC8xNi8yMDIwCQAAAAEw3O2Vd/JB2Ag/yuh48kHYCCBDSVEuTllTRTpLTy5JUV9WT0xVTUUuMTUvMDIvMjAxOQEAAAASaAAAAgAAAAgzNS43MDE1NgCkvH9T8kHYCEepwnLyQdgINkNJUS5MU0U6U0ZPUi5JUV9OSV9NRURJQU5fRVNULjEwMDEuMzEvMTIvMjAxOS4uRi5HQlAuQwEAAADLU+QhAgAAAA8yMi40MDY5NjU5NjIzODIBDgAAAAUAAAABMwEAAAABMAIAAAAKMTAwNDMxNjA1MAMAAAAGMTAwMjUxBAAAAAEzBgAAAAEwBwAAAAI1NQgAAAABMQkAAAABMQoAAAABMAsAAAALMTE2OTgxODU4MTcMAAAAATENAAAACDEvMS8yMDIwEAAAAAk4LzE2LzIwMjDaFJZ38kHYCCsY6XjyQdgIJkNJUS5OQVNEQVFHUzpUU0xBLklRX1ZPTFVNRS4xNS8wNi8yMDE4AQAAABDGogECAAAACDEwLjg0ODI1ACnmhVLyQdgIKf8KcfJB2AgwQ0lRLk5ZU0U6TUFOVS5JUV9JTkNfVEFYLjk5OC4zMS8xMi8yMDE5Li5GLkdCUC5DAQAAAN1rDQACAAAABjE3LjM3OQEIAAAABQAAAAExAQAAAAoxOTg1ODQ1MDQ1AwAAAAI1NQIAAAACNzUEAAAAATEHAAAACjEy</t>
  </si>
  <si>
    <t>LzMxLzIwMTkIAAAACTgvMTYvMjAyMAkAAAABMNztlXfyQdgIaNvpePJB2AgsQ0lRLkxTRTpTRk9SLklRX0VCVC4xMDAxLjMxLzEyLzIwMTkuLkYuR0JQLkMBAAAAy1PkIQMAAAAAANztlXfyQdgIpxLrePJB2AgnQ0lRLk5ZU0U6S08uSVFfTEFTVFNBTEVQUklDRS4xOS8xMC8yMDE4AQAAABJoAAACAAAABTQ2LjMzAEOYhVLyQdgIbRsWcfJB2AgkQ0lRLl5TUFguSVFfTEFTVFNBTEVQUklDRS4zMS8wNy8yMDE3AQAAAJu4KAACAAAAEDI0NzAuMzAwMDI1MjYwMTkAR4WFUfJB2AjSUwhz8kHYCChDSVEuTFNFOlNGT1IuSVFfTEFTVFNBTEVQUklDRS4zMC8wNC8yMDIwAQAAAMtT5CECAAAABDEuODEAAeh9U/JB2AjeEGFZ8kHYCDNDSVEuTkFTREFRR1M6VFNMQS5JUV9EQV9DRi4xMDAwLjMwLzA0LzIwMjAuLkYuVVNELkMBAAAAEMaiAQIAAAAEMjEwNwEIAAAABQAAAAExAQAAAAoyMDEzOTA3NDYwAwAAAAMxNjACAAAABDIxNjAEAAAAATEHAAAACTQvMzAvMjAyMAgAAAAJOC8xNi8yMDIwCQAAAAEwyTEHS/JB2Ai+46lZ8kHYCCpDSVEuTFNFOlNGT1IuSVFfRklTQ0FMX1kuNTAwLjMwLzA0LzIwMjAuLkYBAAAAy1PkIQEAAAAEMjAxOQD8OiRV8kHYCM/diFnyQdgIIENJUS4uSVFfTEFTVFNBTEVQUklDRS4wNi8wMy8yMDIwBQAAAAAAAAAIAAAAFChJbnZhbGlkIElkZW50aWZpZXIp3NIvUvJB2Ahq2slZ8kHYCCRD</t>
  </si>
  <si>
    <t>SVEuXkFTWC5JUV9MQVNUU0FMRVBSSUNFLjI3LzA5LzIwMTkBAAAAH1PrAQIAAAALNDA3MS4yOTQyOTQAtbw3UvJB2Ajx+hlz8kHYCERDSVEuTkFTREFRR1M6VFNMQS5JUV9NSU5PUklUWV9JTlRFUkVTVF9UT1RBTC45OTguMzEvMTIvMjAxOS4uRi5VU0QuQwEAAAAQxqIBAgAAAAgxMTUyLjIxNAEIAAAABQAAAAExAQAAAAoxOTQ1ODczNTUxAwAAAAMxNjACAAAABDEzMTIEAAAAATEHAAAACjEyLzMxLzIwMTkIAAAACTgvMTYvMjAyMAkAAAABMITUF3jyQdgIk3z2ePJB2Ag7Q0lRLk5BU0RBUUdTOkNBS0UuSVFfTklfTUVESUFOX0VTVC4xMDAyLjMwLzA0LzIwMjAuLkYuVVNELkMBAAAACOAEAAIAAAAENzAuNgEOAAAABQAAAAEzAQAAAAEwAgAAAAoxMDAyMjI0MjIzAwAAAAYxMDAyNTEEAAAAATIGAAAAATAHAAAAAzE2MAgAAAABMQkAAAABMQoAAAABMAsAAAALMTE4ODYwMDk0MzUMAAAAATENAAAACDUvMS8yMDIwEAAAAAk4LzE2LzIwMjD/b8pM8kHYCFabp1nyQdgINENJUS5OWVNFOktPLklRX0VRVUlUWV9NRVRIT0QuOTk2LjMxLzEyLzIwMTkuLkYuVVNELkMBAAAAEmgAAAIAAAAEOTk0NwEIAAAABQAAAAExAQAAAAoxODI5MjMwOTU2AwAAAAMxNjACAAAABDMwNjMEAAAAATEHAAAACjEyLzMxLzIwMTkIAAAACTgvMTYvMjAyMAkAAAABMEdgF3jyQdgIbmj/ePJB2Ag1Q0lRLk5ZU0U6UkFDRS5JUV9TSEFS</t>
  </si>
  <si>
    <t>RVNPVVRTVEFORElOR19PVVQuMzEvMTIvMjAxOC5FVVIBAAAAPYKwEAIAAAAKMTg3LjkyMDY1NgAVIspM8kHYCF1pYXbyQdgIKENJUS5MU0U6U0ZPUi5JUV9MQVNUU0FMRVBSSUNFLjIwLzA3LzIwMTgBAAAAy1PkIQMAAAAAADq/hVLyQdgITjEOcfJB2AgoQ0lRLkxTRTpUU0NPLklRX0xBU1RTQUxFUFJJQ0UuMTMvMDcvMjAxOAEAAAAwUAYAAgAAAAUyLjU1NAA6v4VS8kHYCKRvDXHyQdgILUNJUS5OQVNEQVFHUzpUU0xBLklRX0xBU1RTQUxFUFJJQ0UuMzEvMDUvMjAxOQEAAAAQxqIBAgAAAAYxODUuMTYAwap+U/JB2Aio2yxx8kHYCDBDSVEuTkFTREFRR1M6Q0FLRS5JUV9GSVNDQUxfWS4xMDAwLjMwLzA0LzIwMjAuLkYBAAAACOAEAAEAAAAEMjAxOQD8OiRV8kHYCJHHiVnyQdgIMUNJUS5OQVNEQVFHUzpDQUtFLklRX1BFUklPRERBVEUuOTk1LjMxLzEyLzIwMTkuLkYBAAAACOAEAAUAAAAKMzEvMTIvMjAxMwD+A0J18kHYCF/uTXbyQdgIMUNJUS5MU0U6VFNDTy5JUV9UT1RBTF9SRVYuOTk1LjMwLzA0LzIwMjAuLkYuR0JQLkMBAAAAMFAGAAIAAAAFNTY5MjUBCAAAAAUAAAABMQEAAAAKMTc5MTQ2ODE0NgMAAAACNTUCAAAAAjI4BAAAAAExBwAAAAk0LzMwLzIwMjAIAAAACTgvMTYvMjAyMAkAAAABMMkxB0vyQdgI2HmeWfJB2AghQ0lRLkxTRTpTRk9SLklRX1ZPTFVNRS4yMS8wNi8yMDE5AQAAAMtT5CEC</t>
  </si>
  <si>
    <t>AAAACDAuMzM2MTM4ANk5tVPyQdgIyAe9cvJB2AggQ0lRLk5ZU0U6S08uSVFfVk9MVU1FLjE5LzA0LzIwMTkBAAAAEmgAAAMAAAAAALmUf1PyQdgIONDCcvJB2AgqQ0lRLklRNDM5NDM4MjQuSVFfTEFTVFNBTEVQUklDRS4zMC8wNC8yMDIwAQAAAJCHngICAAAACS0wLjE4MjIyOACj1iRV8kHYCK2EhVnyQdgIJ0NJUS4kQUVESU5SLklRX0xBU1RTQUxFUFJJQ0UuMzEvMTIvMjAxOAEAAAAl61oAAgAAAAswLjA1Mjc3Mjk4OQDfBt508kHYCDlGSnbyQdgIJ0NJUS4kQUVEQ05ZLklRX0xBU1RTQUxFUFJJQ0UuMzAvMDQvMjAxOQEAAAAl61oAAgAAAAswLjU0NTM2MDA1OQCV/SRV8kHYCK2EhVnyQdgIIENJUS4uSVFfTEFTVFNBTEVQUklDRS4zMS8wMS8yMDE1BQAAAAAAAAAIAAAAFChJbnZhbGlkIElkZW50aWZpZXIpXzPcdPJB2AjDy0R28kHYCCtDSVEuTllTRTpLTy5JUV9FQklULjk5Ni4zMS8xMi8yMDE5Li5GLlVTRC5DAQAAABJoAAACAAAABTEwODY3AQgAAAAFAAAAATEBAAAACjE4MjkyMzA5NTYDAAAAAzE2MAIAAAADNDAwBAAAAAExBwAAAAoxMi8zMS8yMDE5CAAAAAk4LzE2LzIwMjAJAAAAATAeIhh48kHYCHuu63jyQdgILUNJUS5OQVNEQVFHUzpUU0xBLklRX0xBU1RTQUxFUFJJQ0UuMTkvMDcvMjAxOQEAAAAQxqIBAgAAAAYyNTguMTgA0YN+U/JB2AiHwChx8kHYCCFDSVEuTFNFOlRTQ08uSVFfVk9M</t>
  </si>
  <si>
    <t>VU1FLjI0LzA4LzIwMTgBAAAAMFAGAAIAAAAIMTguODI3MDEAOr+FUvJB2AjiZBFx8kHYCCNDSVEuTllTRTpLTy5JUV9TUF9MQ19MVC4uMzEvMTIvMjAxOQEAAAASaAAAAwAAAAJBKwD+A0J18kHYCAX0S3byQdgIKUNJUS5OQVNEQVFHUzpDQUtFLklRX0JVU0lORVNTX0RFU0NSSVBUSU9OAQAAAAjgBAADAAAA/ARUaGUgQ2hlZXNlY2FrZSBGYWN0b3J5IEluY29ycG9yYXRlZCBlbmdhZ2VzIGluIHRoZSBvcGVyYXRpb24gb2YgcmVzdGF1cmFudHMuIEFzIG9mIEZlYnJ1YXJ5IDI2LCAyMDIwLCBpdCBvd25lZCBhbmQgb3BlcmF0ZWQgMjk0IHJlc3RhdXJhbnRzIGluIHRoZSBVbml0ZWQgU3RhdGVzIGFuZCBDYW5hZGEgdW5kZXIgdGhlIGJyYW5kcyBvZiBUaGUgQ2hlZXNlY2FrZSBGYWN0b3J5IGFuZCBOb3J0aCBJdGFsaWE7IGFuZCBhIGNvbGxlY3Rpb24gb2YgRm94IFJlc3RhdXJhbnQgQ29uY2VwdHMsIGFzIHdlbGwgYXMgMjYgVGhlIENoZWVzZWNha2UgRmFjdG9yeSByZXN0YXVyYW50cyBvcGVyYXRlZCB1bmRlciBsaWNlbnNpbmcgYWdyZWVtZW50cyBpbnRlcm5hdGlvbmFsbHkuIFRoZSBjb21wYW55IGFsc28gb3BlcmF0ZWQgdHdvIGJha2VyeSBmYWNpbGl0aWVzIHRoYXQgcHJvZHVjZSBjaGVlc2VjYWtlcyBhbmQgb3RoZXIgYmFrZWQgcHJvZHVjdHMgZm9yIGludGVybmF0aW9uYWwgbGljZW5zZWVz</t>
  </si>
  <si>
    <t>LCB0aGlyZC1wYXJ0eSBiYWtlcnkgY3VzdG9tZXJzLCByZXRhaWxlcnMsIGFuZCBkaXN0cmlidXRvcnMuIFRoZSBjb21wYW55IHdhcyBmb3VuZGVkIGluIDE5NzIgYW5kIGlzIGJhc2VkIGluIENhbGFiYXNhcywgQ2FsaWZvcm5pYS4A/DokVfJB2AiboIlZ8kHYCENDSVEuTkFTREFRR1M6VFNMQS5JUV9UT1RBTF9ERUJUX05PTl9DVVJSRU5ULjk5Ny4zMC8wNC8yMDIwLi5GLlVTRC5DAQAAABDGogECAAAACDczNzcuMTUzAQgAAAAFAAAAATEBAAAACjE5NDU4NzM1NTEDAAAAAzE2MAIAAAAFMjUyMjQEAAAAATEHAAAACTQvMzAvMjAyMAgAAAAJOC8xNi8yMDIwCQAAAAEwvFgHS/JB2AiIiphZ8kHYCC1DSVEuTkFTREFRR1M6VFNMQS5JUV9MQVNUU0FMRVBSSUNFLjAxLzAzLzIwMTkBAAAAEMaiAQIAAAAGMjk0Ljc5AKS8f1PyQdgI1lckcfJB2AgpQ0lRLk5ZU0U6UkFDRS5JUV9MQVNUU0FMRVBSSUNFLjA1LzA0LzIwMTkBAAAAPYKwEAIAAAAGMTM2Ljk0ALmUf1PyQdgINkElcfJB2AgyQ0lRLk5BU0RBUUdTOkNBS0UuSVFfQ0FQRVguOTk3LjMxLzEyLzIwMTkuLkYuVVNELkMBAAAACOAEAAIAAAAILTE1My45NDEBCAAAAAUAAAABMQEAAAAKMTg3NzE0NDQzOAMAAAADMTYwAgAAAAQyMDIxBAAAAAExBwAAAAoxMi8zMS8yMDE5CAAAAAk4LzE2LzIwMjAJAAAAATDaFJZ38kHYCCpx5XjyQdgIK0NJUS5MU0U6VFND</t>
  </si>
  <si>
    <t>Ty5JUV9HUC4xMDAwLjMxLzEyLzIwMTkuLkYuR0JQLkMBAAAAMFAGAAIAAAAEMzUxOAEIAAAABQAAAAExAQAAAAoxOTY4NzM2NTYzAwAAAAI1NQIAAAACMTAEAAAAATEHAAAACjEyLzMxLzIwMTkIAAAACTgvMTYvMjAyMAkAAAABMB4iGHjyQdgImo7wePJB2AhEQ0lRLk5BU0RBUUdTOkNBS0UuSVFfVE9UQUxfREVCVF9OT05fQ1VSUkVOVC4yMDAwLjMwLzA0LzIwMjAuLkYuVVNELkMBAAAACOAEAAIAAAAIMTQ3OS44NjkBCAAAAAUAAAABMQEAAAAKMjAyMTU4MjcwNAMAAAADMTYwAgAAAAUyNTIyNAQAAAABMQcAAAAJNC8zMC8yMDIwCAAAAAk4LzE2LzIwMjAJAAAAATADScpM8kHYCJ7ul1nyQdgIIkNJUS5OWVNFOlJBQ0UuSVFfVk9MVU1FLjI1LzEwLzIwMTkBAAAAPYKwEAIAAAAIMC4yNDU4MjgAJWG1U/JB2Aj5RLxy8kHYCCZDSVEuTkFTREFRR1M6Q0FLRS5JUV9WT0xVTUUuMDIvMTEvMjAxOAEAAAAI4AQAAgAAAAgwLjcwNDI5NADH4n9T8kHYCPtoF3HyQdgIIkNJUS5OWVNFOlJBQ0UuSVFfVk9MVU1FLjI5LzA2LzIwMTgBAAAAPYKwEAIAAAAIMC4zOTgxNTgAOr+FUvJB2AjbDwxx8kHYCCdDSVEuTllTRTpLTy5JUV9MQVNUU0FMRVBSSUNFLjE0LzAyLzIwMjABAAAAEmgAAAIAAAAFNTkuOTUACA9+U/JB2AgERF1Z8kHYCClDSVEuTllTRTpNQU5VLklRX0xBU1RTQUxFUFJJQ0UuMTkvMDcvMjAxOQEAAADd</t>
  </si>
  <si>
    <t>aw0AAgAAAAIxOADRg35T8kHYCIfAKHHyQdgIJENJUS5eQVNYLklRX0xBU1RTQUxFUFJJQ0UuMTEvMDEvMjAxOQEAAAAfU+sBAgAAAAszNzk3LjEyODMwMwCKxTdR8kHYCK/kGnPyQdgIM0NJUS5OQVNEQVFHUzpUU0xBLklRX1RPVEFMX1JFVjpDVVJSRU5DWS4uMzAvMDQvMjAyMAEAAAAQxqIBAwAAAANVU0QBCAAAAAUAAAABMQEAAAAKMjAzMjA0NTMzNAMAAAADMTYwAgAAAAIyOAQAAAABMAcAAAAJNC8zMC8yMDIwCAAAAAkzLzMxLzIwMjAJAAAAATD8OiRV8kHYCMLwgVnyQdgIIUNJUS5MU0U6VFNDTy5JUV9WT0xVTUUuMjcvMTIvMjAxOQEAAAAwUAYAAgAAAAg5LjM0OTg0MwCV/SRV8kHYCE3bvnLyQdgIM0NJUS5OWVNFOktPLklRX1BSSUNFX1RBUkdFVC42MDAwLjMwLzA0LzIwMjAuLi5VU0QuQwEAAAASaAAAAgAAAAg1Mi4wOTA5MQEOAAAABQAAAAE3AQAAAAcyNjAxMjAxAgAAAAUyMjIwOAMAAAAGMTAwMTYxBAAAAAMyNTUGAAAAATAHAAAAAzE2MAgAAAABMQkAAAABMQoAAAABMAsAAAALMTE4ODUyNTYzMDQMAAAAATgNAAAACDUvMS8yMDIwEAAAAAk4LzE2LzIwMjD/b8pM8kHYCCb0jlnyQdgIOkNJUS5OQVNEQVFHUzpDQUtFLklRX1RPVEFMX1JFQ0VJVi4yMDAwLjMxLzEyLzIwMTkuLkYuVVNELkMBAAAACOAEAAIAAAAGNTYuMjE2AQgAAAAFAAAAATEBAAAACjE5OTEzMjcwNDADAAAAAzE2MAIAAAAE</t>
  </si>
  <si>
    <t>MTAwMQQAAAABMQcAAAAKMTIvMzEvMjAxOQgAAAAJOC8xNi8yMDIwCQAAAAEw2hSWd/JB2AhlruR48kHYCDBDSVEuTFNFOlNGT1IuSVFfVE9UQUxfQ0EuOTk3LjMxLzEyLzIwMTkuLkYuR0JQLkMBAAAAy1PkIQMAAAAAADuGF3jyQdgIncH7ePJB2Ag2Q0lRLkxTRTpTRk9SLklRX0RBX01FRElBTl9FU1QuMTAwMS4zMC8wNC8yMDIwLi5GLkdCUC5DAQAAAMtT5CECAAAAEDIuOTgzMDIxMDE0NTc0NTEBDgAAAAUAAAABMwEAAAABMAIAAAAKMTAwNDMxNjA1MQMAAAAGMTE0MTkwBAAAAAEzBgAAAAEwBwAAAAI1NQgAAAABMQkAAAABMQoAAAABMAsAAAALMTE4NDgyMDM4NjIMAAAAATENAAAACDUvMS8yMDIwEAAAAAk4LzE2LzIwMjCkfwdL8kHYCNeVqVnyQdgIKkNJUS5OWVNFOktPLklRX0VCVC45OTkuMzAvMDQvMjAyMC4uRi5VU0QuQwEAAAASaAAAAgAAAAQ4MjI1AQgAAAAFAAAAATEBAAAACjIwMTY3OTEyNTEDAAAAAzE2MAIAAAADMTM5BAAAAAExBwAAAAk0LzMwLzIwMjAIAAAACTgvMTYvMjAyMAkAAAABMANJykzyQdgIxhWmWfJB2AgnQ0lRLk5ZU0U6S08uSVFfTEFTVFNBTEVQUklDRS4zMC8xMS8yMDE3AQAAABJoAAACAAAABTQ1Ljc3AAVdflPyQdgIckwocfJB2AgZQ0lRLi5JUV9WT0xVTUUuMjQvMDQvMjAyMAUAAAAAAAAACAAAABQoSW52YWxpZCBJZGVudGlmaWVyKdk5tVPyQdgIPk91WfJB2AgnQ0lR</t>
  </si>
  <si>
    <t>LiRBRURLUFcuSVFfTEFTVFNBTEVQUklDRS4zMC8wNC8yMDIwAQAAACXrWgACAAAACzAuMDA0MDgxMTExAKokJVXyQdgISRiDWfJB2Ag7Q0lRLk5BU0RBUUdTOkNBS0UuSVFfRVNUX0VQU19HUk9XVEhfNVlSX05VTS42MDAwLjMwLzA0LzIwMjABAAAACOAEAAEAAAABNACxryRV8kHYCKo0f1nyQdgIO0NJUS5MU0U6VFNDTy5JUV9UT1RBTF9DT01NT05fRVFVSVRZLjk5OC4zMC8wNC8yMDIwLi5GLkdCUC5DAQAAADBQBgACAAAABTEwNTAyAQgAAAAFAAAAATEBAAAACjE5Njg3MzY1NTkDAAAAAjU1AgAAAAQxMDA2BAAAAAExBwAAAAk0LzMwLzIwMjAIAAAACTgvMTYvMjAyMAkAAAABMMkxB0vyQdgIglicWfJB2AgqQ0lRLklRNTAwMjc1ODMuSVFfTEFTVFNBTEVQUklDRS4zMC8wNC8yMDIwAQAAAD9c+wICAAAAAzAuMQCj1iRV8kHYCHluhlnyQdgIKENJUS5MU0U6VFNDTy5JUV9MQVNUU0FMRVBSSUNFLjMxLzA4LzIwMTcBAAAAMFAGAAIAAAAFMS44MDkABV1+U/JB2AjNiSdx8kHYCDZDSVEuTFNFOlRTQ08uSVFfREFfTUVESUFOX0VTVC4xMDAzLjMxLzEyLzIwMTkuLkYuR0JQLkMBAAAAMFAGAAIAAAAIMjA5My4xNzUBDgAAAAUAAAABMwEAAAABMAIAAAAKMTAwMDI2NDUwMAMAAAAGMTE0MTkwBAAAAAEzBgAAAAEwBwAAAAI1NQgAAAABMQkAAAABMQoAAAABMAsAAAALMTE5NDg2NTIwNDEMAAAAATENAAAACDEv</t>
  </si>
  <si>
    <t>MS8yMDIwEAAAAAk4LzE2LzIwMjDaFJZ38kHYCGsu6HjyQdgIQUNJUS5OQVNEQVFHUzpDQUtFLklRX1RPVEFMX0NPTU1PTl9FUVVJVFkuMTAwMC4zMC8wNC8yMDIwLi5GLlVTRC5DAQAAAAjgBAACAAAABzU3MS43NDIBCAAAAAUAAAABMQEAAAAKMjAyMTU4MTQxMQMAAAADMTYwAgAAAAQxMDA2BAAAAAExBwAAAAk0LzMwLzIwMjAIAAAACTgvMTYvMjAyMAkAAAABMP9vykzyQdgIkAqcWfJB2AgnQ0lRLiRBRUROT0suSVFfTEFTVFNBTEVQUklDRS4zMC8wNC8yMDIwAQAAACXrWgACAAAACzAuMzU4NDEzMTQ2AKokJVXyQdgI2w+FWfJB2AgiQ0lRLk5ZU0U6TUFOVS5JUV9WT0xVTUUuMjYvMDEvMjAxOAEAAADdaw0AAgAAAAgwLjAxODAyOQAoK0J18kHYCAiQWnbyQdgIKENJUS4lVENNU00wMy5JUV9MQVNUU0FMRVBSSUNFLjMxLzEyLzIwMTkBAAAACB8oAgIAAAAEMS41NQDfBt508kHYCBXiSnbyQdgIJ0NJUS5OWVNFOktPLklRX0xBU1RTQUxFUFJJQ0UuMjMvMTEvMjAxOAEAAAASaAAAAgAAAAU0OS4wMgDH4n9T8kHYCK/cHnHyQdgIIENJUS4uSVFfTEFTVFNBTEVQUklDRS4xNy8wOC8yMDE4BQAAAAAAAAAIAAAAFChJbnZhbGlkIElkZW50aWZpZXIpzCk3UfJB2AgNrm1z8kHYCDRDSVEuTFNFOlRTQ08uSVFfUFJFRl9FUVVJVFkuMjAwMC4zMS8xMi8yMDE5Li5GLkdCUC5DAQAAADBQBgADAAAAAACE1Bd48kHY</t>
  </si>
  <si>
    <t>CD9G9XjyQdgIKUNJUS5OWVNFOk1BTlUuSVFfTEFTVFNBTEVQUklDRS4zMS8wNy8yMDE2AQAAAN1rDQACAAAABTE1LjY1AMGqflPyQdgIcqUkcfJB2Ag7Q0lRLkxTRTpUU0NPLklRX01FRElBTl9UQVJHRVRfUFJJQ0UuNjAwMC4zMC8wNC8yMDIwLi4uR0JQLkMBAAAAMFAGAAIAAAAGMi43NzExAQ4AAAAFAAAAATcBAAAACDIwMTU3ODc5AgAAAAY0MTE2ODADAAAABjEwMDE2MgQAAAADMjU1BgAAAAEwBwAAAAI1NQgAAAABMQkAAAABMQoAAAABMAsAAAALMTE4OTIzNTgyMzcMAAAAATgNAAAACDUvMS8yMDIwEAAAAAk4LzE2LzIwMjCkfwdL8kHYCCIbj1nyQdgIN0NJUS5OWVNFOktPLklRX0VCSVRfTUVESUFOX0VTVC42MDAwLjMwLzA0LzIwMjAuLkYuVVNELkMBAAAAEmgAAAIAAAAGOTQ2Ni41AQ4AAAAFAAAAAjExAQAAAAEwAgAAAAg3ODg4NzQ5NAMAAAAGMTAwMjE2BAAAAAEyBgAAAAEwBwAAAAMxNjAIAAAAATEJAAAAATEKAAAAATALAAAACzExODg1MjgzNjczDAAAAAIxMg0AAAAINS8xLzIwMjAQAAAACTgvMTYvMjAyMP9vykzyQdgIbfSjWfJB2Ag1Q0lRLk5BU0RBUUdTOkNBS0UuSVFfVE9UQUxfQ0EuOTk2LjMwLzA0LzIwMjAuLkYuVVNELkMBAAAACOAEAAIAAAAHMjI1LjM5NgEIAAAABQAAAAExAQAAAAoxODc3MTQ0NDM4AwAAAAMxNjACAAAABDEwMDgEAAAAATEHAAAACTQvMzAvMjAyMAgAAAAJOC8x</t>
  </si>
  <si>
    <t>Ni8yMDIwCQAAAAEwA0nKTPJB2AjPIZRZ8kHYCCZDSVEuTkFTREFRR1M6VFNMQS5JUV9WT0xVTUUuMTQvMDkvMjAxOAEAAAAQxqIBAgAAAAg2Ljc2NTYxMgBDmIVS8kHYCOw2E3HyQdgIKENJUS5MU0U6VFNDTy5JUV9MQVNUU0FMRVBSSUNFLjIxLzA5LzIwMTgBAAAAMFAGAAIAAAAFMi4zNjgAQ5iFUvJB2AharBNx8kHYCDVDSVEuTkFTREFRR1M6Q0FLRS5JUV9UT1RBTF9DTC45OTYuMzAvMDQvMjAyMC4uRi5VU0QuQwEAAAAI4AQAAgAAAAczNTAuMjI2AQgAAAAFAAAAATEBAAAACjE4NzcxNDQ0MzgDAAAAAzE2MAIAAAAEMTAwOQQAAAABMQcAAAAJNC8zMC8yMDIwCAAAAAk4LzE2LzIwMjAJAAAAATADScpM8kHYCMKgl1nyQdgIIENJUS4uSVFfTEFTVFNBTEVQUklDRS4xNC8xMi8yMDE4BQAAAAAAAAAIAAAAFChJbnZhbGlkIElkZW50aWZpZXIpX+E0UfJB2Aii5mBz8kHYCDZDSVEuTFNFOlRTQ08uSVFfRVFVSVRZX01FVEhPRC4yMDAwLjMwLzA0LzIwMjAuLkYuR0JQLkMBAAAAMFAGAAIAAAADMjIwAQgAAAAFAAAAATEBAAAACjIwMjY1MDczODgDAAAAAjU1AgAAAAQzMDYzBAAAAAExBwAAAAk0LzMwLzIwMjAIAAAACTgvMTYvMjAyMAkAAAABMMkxB0vyQdgI87aPWfJB2AgmQ0lRLk5BU0RBUUdTOlRTTEEuSVFfVk9MVU1FLjAxLzAyLzIwMTkBAAAAEMaiAQIAAAAINy4yODM0NDEApLx/U/JB2AijSsFy8kHY</t>
  </si>
  <si>
    <t>CChDSVEuTFNFOlNGT1IuSVFfTEFTVFNBTEVQUklDRS4zMS8xMC8yMDE3AQAAAMtT5CEDAAAAAAAFXX5T8kHYCI3XJ3HyQdgIKENJUS5MU0U6VFNDTy5JUV9MQVNUU0FMRVBSSUNFLjAyLzExLzIwMTgBAAAAMFAGAAIAAAAFMi4xNjEAx+J/U/JB2Ai5Uhdx8kHYCClDSVEuTllTRTpNQU5VLklRX0xBU1RTQUxFUFJJQ0UuMjEvMDYvMjAxOQEAAADdaw0AAgAAAAUxNy43NQDBqn5T8kHYCIqwJ3HyQdgIO0NJUS5OWVNFOlJBQ0UuSVFfRUJJVERBX01FRElBTl9FU1QuMTAwMy4zMS8xMi8yMDE5Li5GLkVVUi5DAQAAAD2CsBACAAAABDE2MzIBDgAAAAUAAAABMwEAAAABMAIAAAAKMTAwMzIyNjg1NAMAAAAGMTAwMTg4BAAAAAEzBgAAAAEwBwAAAAI1MAgAAAABMQkAAAABMQoAAAABMAsAAAALMTE3MDUyNTE2MzAMAAAAATENAAAACDEvMS8yMDIwEAAAAAk4LzE2LzIwMjDzSBh48kHYCJQv73jyQdgIM0NJUS5OQVNEQVFHUzpUU0xBLklRX0xBU1RTQUxFUFJJQ0UuMzEvMTIvMjAxOS5VU0QuQwEAAAAQxqIBAgAAAAY0MTguMzMAFSLKTPJB2Aj0wF128kHYCCRDSVEuXlNQWC5JUV9MQVNUU0FMRVBSSUNFLjAzLzA1LzIwMTkBAAAAm7goAAIAAAAQMjk0NS42Mzc3OTAxMDIyNgCgnjdR8kHYCObTEnPyQdgIMUNJUS5OQVNEQVFHUzpDQUtFLklRX0VCVC4xMDAzLjMwLzA0LzIwMjAuLkYuVVNELkMBAAAACOAEAAMAAAAA</t>
  </si>
  <si>
    <t>AP9vykzyQdgIBCylWfJB2AgzQ0lRLkxTRTpTRk9SLklRX1BSRUZfRVFVSVRZLjk5Ny4zMC8wNC8yMDIwLi5GLkdCUC5DAQAAAMtT5CEDAAAAAADJMQdL8kHYCLKVm1nyQdgIKENJUS5MU0U6U0ZPUi5JUV9MQVNUU0FMRVBSSUNFLjAyLzAyLzIwMTgBAAAAy1PkIQMAAAAAACgrQnXyQdgI5fJZdvJB2AgvQ0lRLk5ZU0U6S08uSVFfVE9UQUxfQ0EuOTk4LjMwLzA0LzIwMjAuLkYuVVNELkMBAAAAEmgAAAIAAAAFMzY1NDUBCAAAAAUAAAABMQEAAAAKMjAxNjc5MTI1MAMAAAADMTYwAgAAAAQxMDA4BAAAAAExBwAAAAk0LzMwLzIwMjAIAAAACTgvMTYvMjAyMAkAAAABMANJykzyQdgI59KTWfJB2AghQ0lRLkxTRTpTRk9SLklRX1ZPTFVNRS4wNi8wNy8yMDE4AQAAAMtT5CEDAAAAAAA6v4VS8kHYCLmrDHHyQdgINENJUS5OWVNFOk1BTlUuSVFfUFJFRl9FUVVJVFkuOTk3LjMwLzA0LzIwMjAuLkYuR0JQLkMBAAAA3WsNAAMAAAAAAP9vykzyQdgIspWbWfJB2AguQ0lRLkxTRTpUU0NPLklRX0RBX0NGLjIwMDAuMzAvMDQvMjAyMC4uRi5HQlAuQwEAAAAwUAYAAgAAAAQxODc2AQgAAAAFAAAAATEBAAAACjIwMjY1MDczODgDAAAAAjU1AgAAAAQyMTYwBAAAAAExBwAAAAk0LzMwLzIwMjAIAAAACTgvMTYvMjAyMAkAAAABMMkxB0vyQdgIxrypWfJB2AglQ0lRLl5DT01QLklRX0xBU1RTQUxFUFJJQ0UuMzAvMDYvMjAx</t>
  </si>
  <si>
    <t>OAEAAACJuCgAAgAAAAY3NTEwLjMAtbw3UvJB2AiAiwlz8kHYCBlDSVEuLklRX1ZPTFVNRS4xOS8xMC8yMDE4BQAAAAAAAAAIAAAAFChJbnZhbGlkIElkZW50aWZpZXIpcvyEUvJB2AgY9BVx8kHYCDFDSVEuTllTRTpSQUNFLklRX1RPVEFMX0NBLjk5Ni4zMC8wNC8yMDIwLi5GLkVVUi5DAQAAAD2CsBACAAAACDIwMTkuODIzAQgAAAAFAAAAATEBAAAACjE4NzYwNDMzMTMDAAAAAjUwAgAAAAQxMDA4BAAAAAExBwAAAAk0LzMwLzIwMjAIAAAACTgvMTYvMjAyMAkAAAABMODjBkvyQdgIzyGUWfJB2AgtQ0lRLk5BU0RBUUdTOlRTTEEuSVFfTEFTVFNBTEVQUklDRS4yMy8xMS8yMDE4AQAAABDGogECAAAABjMyNS44MwDH4n9T8kHYCHy0HnHyQdgIMENJUS5OQVNEQVFHUzpDQUtFLklRX1NHQS45OTguMzAvMDQvMjAyMC4uRi5VU0QuQwEAAAAI4AQAAgAAAAMyNTgBCAAAAAUAAAABMQEAAAAKMjAyMTU4MTQwOQMAAAADMTYwAgAAAAIyMwQAAAABMQcAAAAJNC8zMC8yMDIwCAAAAAk4LzE2LzIwMjAJAAAAATD/b8pM8kHYCFHDoFnyQdgIIENJUS5OWVNFOktPLklRX1ZPTFVNRS4yNy8wOS8yMDE5AQAAABJoAAACAAAACDcuOTQxMTQyAKPWJFXyQdgIJEXDcvJB2AgoQ0lRLkxTRTpUU0NPLklRX0xBU1RTQUxFUFJJQ0UuMDQvMTAvMjAxOQEAAAAwUAYAAgAAAAUyLjM3MgAFXX5T8kHYCOzKK3HyQdgIKENJUS5MU0U6</t>
  </si>
  <si>
    <t>U0ZPUi5JUV9MQVNUU0FMRVBSSUNFLjMwLzA0LzIwMTgBAAAAy1PkIQMAAAAAAOg1flPyQdgIl1spcfJB2AgyQ0lRLk5ZU0U6UkFDRS5JUV9DT1NUX1JFVi4xMDAwLjMxLzEyLzIwMTkuLkYuRVVSLkMBAAAAPYKwEAIAAAAIMTYyNC4zNTYBCAAAAAUAAAABMQEAAAAKMTk0NzQ0NDE4MwMAAAACNTACAAAAATEEAAAAATEHAAAACjEyLzMxLzIwMTkIAAAACTgvMTYvMjAyMAkAAAABMB77F3jyQdgIfHjxePJB2AgmQ0lRLk5BU0RBUUdTOlRTTEEuSVFfVk9MVU1FLjI5LzA2LzIwMTgBAAAAEMaiAQIAAAAINi40OTIzOTYAOr+FUvJB2AjVNgxx8kHYCChDSVEuTFNFOlNGT1IuSVFfTEFTVFNBTEVQUklDRS4yNC8wNC8yMDIwAQAAAMtT5CECAAAABTEuNzQ1AAHofVPyQdgI3hBhWfJB2AgtQ0lRLk5BU0RBUUdTOlRTTEEuSVFfTEFTVFNBTEVQUklDRS4zMC8wNi8yMDE5AQAAABDGogECAAAABjIyMy40NgAID35T8kHYCJQpLXHyQdgINENJUS5MU0U6U0ZPUi5JUV9UT1RBTF9BU1NFVFMuOTk3LjMwLzA0LzIwMjAuLkYuR0JQLkMBAAAAy1PkIQMAAAAAANkKB0vyQdgIzOSUWfJB2AgpQ0lRLk5ZU0U6UkFDRS5JUV9MQVNUU0FMRVBSSUNFLjI2LzA3LzIwMTkBAAAAPYKwEAIAAAAGMTY1Ljg1ANGDflPyQdgIOOgocfJB2AgpQ0lRLk5ZU0U6TUFOVS5JUV9MQVNUU0FMRVBSSUNFLjI2LzAxLzIwMTgBAAAA3WsNAAIAAAAF</t>
  </si>
  <si>
    <t>MjAuNTUAKCtCdfJB2Aj7aFp28kHYCDJDSVEuTkFTREFRR1M6VFNMQS5JUV9DQVBFWC45OTguMzAvMDQvMjAyMC4uRi5VU0QuQwEAAAAQxqIBAgAAAAUtNDA4MQEIAAAABQAAAAExAQAAAAoyMDEzOTA3NDcwAwAAAAMxNjACAAAABDIwMjEEAAAAATEHAAAACTQvMzAvMjAyMAgAAAAJOC8xNi8yMDIwCQAAAAEwyTEHS/JB2AhNt6tZ8kHYCDhDSVEuTllTRTpNQU5VLklRX0NBU0hfU1RfSU5WRVNULjEwMDAuMzAvMDQvMjAyMC4uRi5HQlAuQwEAAADdaw0AAgAAAAczMDcuNjM3AQgAAAAFAAAAATEBAAAACjE5ODU4NDUwNjMDAAAAAjU1AgAAAAQxMDAyBAAAAAExBwAAAAk0LzMwLzIwMjAIAAAACTgvMTYvMjAyMAkAAAABMP9vykzyQdgIq8eQWfJB2Ag5Q0lRLk5BU0RBUUdTOkNBS0UuSVFfVE9UQUxfQVNTRVRTLjk5Ni4zMS8xMi8yMDE5Li5GLlVTRC5DAQAAAAjgBAACAAAACDExNjEuMzc2AQgAAAAFAAAAATEBAAAACjE4MzAzODY5ODYDAAAAAzE2MAIAAAAEMTAwNwQAAAABMQcAAAAKMTIvMzEvMjAxOQgAAAAJOC8xNi8yMDIwCQAAAAEwO4YXePJB2AjPsPp48kHYCCJDSVEuTllTRTpSQUNFLklRX1ZPTFVNRS4xNy8wMS8yMDIwAQAAAD2CsBACAAAACDAuMTkwNzY2ANk5tVPyQdgIARJ2WfJB2AglQ0lRLl5DT01QLklRX0xBU1RTQUxFUFJJQ0UuMDMvMDgvMjAxOAEAAACJuCgAAgAAAAc3ODEyLjAyAIrFN1Hy</t>
  </si>
  <si>
    <t>QdgIkdkXc/JB2AgkQ0lRLl5TUFguSVFfTEFTVFNBTEVQUklDRS4yNy8xMi8yMDE5AQAAAJu4KAACAAAAEDMyNDAuMDIwMzU4NDIyNjEACZY3UvJB2Agp6hFz8kHYCC5DSVEuTFNFOlNGT1IuSVFfRUJJVERBLjk5OC4zMS8xMi8yMDE5Li5GLkdCUC5DAQAAAMtT5CEDAAAAAAAeIhh48kHYCM5E7njyQdgIMkNJUS5OQVNEQVFHUzpDQUtFLklRX0NBUEVYLjk5OS4zMC8wNC8yMDIwLi5GLlVTRC5DAQAAAAjgBAACAAAACC0xMDIuOTA5AQgAAAAFAAAAATEBAAAACjIwMjE1ODE0MjADAAAAAzE2MAIAAAAEMjAyMQQAAAABMQcAAAAJNC8zMC8yMDIwCAAAAAk4LzE2LzIwMjAJAAAAATD/b8pM8kHYCFSQq1nyQdgIOENJUS5MU0U6U0ZPUi5JUV9FQklUX01FRElBTl9FU1QuMTAwMi4zMS8xMi8yMDE5Li5GLkdCUC5DAQAAAMtT5CECAAAAEDU0LjMzODExMTMwODE2MTgBDgAAAAUAAAABMwEAAAABMAIAAAAKMTAwNDMxNjA1MQMAAAAGMTAwMjE2BAAAAAEzBgAAAAEwBwAAAAI1NQgAAAABMQkAAAABMQoAAAABMAsAAAALMTE2OTgxODYwNTEMAAAAATENAAAACDEvMS8yMDIwEAAAAAk4LzE2LzIwMjDzSBh48kHYCCu/7HjyQdgIPENJUS5OWVNFOlJBQ0UuSVFfUkVWRU5VRV9NRURJQU5fRVNULjEwMDIuMzEvMTIvMjAxOS4uRi5FVVIuQwEAAAA9grAQAgAAAAo0MDkxLjMxMzI0AQ4AAAAFAAAAATMBAAAAATACAAAACjEw</t>
  </si>
  <si>
    <t>MDMyMjY4MDcDAAAABjEwMDE4MQQAAAABMwYAAAABMAcAAAACNTAIAAAAATEJAAAAATEKAAAAATALAAAACzExODYwNTU5MzcwDAAAAAExDQAAAAgxLzEvMjAyMBAAAAAJOC8xNi8yMDIw80gYePJB2AiII/N48kHYCCpDSVEuSVE0Mzk0MzgwNi5JUV9MQVNUU0FMRVBSSUNFLjMwLzA0LzIwMjABAAAAfoeeAgIAAAAJLTAuNjEzMDM2AKPWJFXyQdgIptKFWfJB2AgwQ0lRLkxTRTpUU0NPLklRX0NPU1RfUkVWLjk5OS4zMS8xMi8yMDE5Li5GLkdCUC5DAQAAADBQBgACAAAABTU0NzcyAQgAAAAFAAAAATEBAAAACjE5Njg3MzY1NTkDAAAAAjU1AgAAAAExBAAAAAExBwAAAAoxMi8zMS8yMDE5CAAAAAk4LzE2LzIwMjAJAAAAATAe+xd48kHYCFlR8XjyQdgIIkNJUS5OWVNFOlJBQ0UuSVFfVk9MVU1FLjAxLzAyLzIwMTkBAAAAPYKwEAIAAAAIMS4wNzkwNzcApLx/U/JB2Agtgrty8kHYCDBDSVEuTFNFOlNGT1IuSVFfVEFSR0VUX1BSSUNFX05VTS42MDAwLjMxLzEyLzIwMTkBAAAAy1PkIQEAAAABMQD+A0J18kHYCAXXTnbyQdgIPkNJUS5OQVNEQVFHUzpUU0xBLklRX0NBUEVYX01FRElBTl9FU1QuMTAwMi4zMS8xMi8yMDE5Li5GLlVTRC5DAQAAABDGogECAAAABS0yNDg1AQ4AAAAFAAAAATMBAAAAATACAAAACjEwMDA4NzI5NjMDAAAABjEwNDA5MQQAAAABMgYAAAABMAcAAAADMTYwCAAAAAExCQAAAAExCgAAAAEw</t>
  </si>
  <si>
    <t>CwAAAAsxMTcyNzM2MDk0OAwAAAABMQ0AAAAIMS8xLzIwMjAQAAAACTgvMTYvMjAyMDs8lnfyQdgI4IHmePJB2AgrQ0lRLk5ZU0U6UkFDRS5JUV9HUC45OTkuMzEvMTIvMjAxOS4uRi5FVVIuQwEAAAA9grAQAgAAAAcxNzY2LjAzAQgAAAAFAAAAATEBAAAACjE5NDc0NDQxOTADAAAAAjUwAgAAAAIxMAQAAAABMQcAAAAKMTIvMzEvMjAxOQgAAAAJOC8xNi8yMDIwCQAAAAEwHiIYePJB2Ag8ZvB48kHYCCdDSVEuJEFFRFNBUi5JUV9MQVNUU0FMRVBSSUNFLjMwLzA0LzIwMTkBAAAAJetaAAIAAAALMC45NzkzNjIyMDEAqiQlVfJB2Ah+2oJZ8kHYCC9DSVEuTllTRTpLTy5JUV9UT1RBTF9DQS45OTYuMzEvMTIvMjAxOS4uRi5VU0QuQwEAAAASaAAAAgAAAAUzMjk4NgEIAAAABQAAAAExAQAAAAoxODI5MjMwOTU2AwAAAAMxNjACAAAABDEwMDgEAAAAATEHAAAACjEyLzMxLzIwMTkIAAAACTgvMTYvMjAyMAkAAAABMDuGF3jyQdgIncH7ePJB2AgqQ0lRLklRNDM5NDM4MjcuSVFfTEFTVFNBTEVQUklDRS4zMS8xMi8yMDE5AQAAAJOHngICAAAACDAuMzcwOTAxAN8G3nTyQdgIGrtKdvJB2AggQ0lRLi5JUV9MQVNUU0FMRVBSSUNFLjMxLzEyLzIwMTYFAAAAAAAAAAgAAAAUKEludmFsaWQgSWRlbnRpZmllcimSNoVR8kHYCDwzTHPyQdgIJ0NJUS5OWVNFOktPLklRX0xBU1RTQUxFUFJJQ0UuMzEvMTIvMjAxOQEAAAAS</t>
  </si>
  <si>
    <t>aAAAAgAAAAU1NS4zNQAB6H1T8kHYCDSILnHyQdgILUNJUS5OWVNFOlJBQ0UuSVFfRUJJVC45OTkuMzEvMTIvMjAxOS4uRi5FVVIuQwEAAAA9grAQAgAAAAc3NzAuMzk0AQgAAAAFAAAAATEBAAAACjE5NDc0NDQxOTADAAAAAjUwAgAAAAM0MDAEAAAAATEHAAAACjEyLzMxLzIwMTkIAAAACTgvMTYvMjAyMAkAAAABMB4iGHjyQdgIWCPsePJB2AgvQ0lRLk5BU0RBUUdTOlRTTEEuSVFfTkkuOTk2LjMwLzA0LzIwMjAuLkYuVVNELkMBAAAAEMaiAQIAAAAILTg4OC42NjMBCAAAAAUAAAABMQEAAAAKMTg3NTc2OTA4MgMAAAADMTYwAgAAAAIxNQQAAAABMQcAAAAJNC8zMC8yMDIwCAAAAAk4LzE2LzIwMjAJAAAAATDJMQdL8kHYCALTqFnyQdgIM0NJUUFWRy5JUTQzOTQzODI3LklRX0xBU1RTQUxFUFJJQ0UuNDAyOTguMzAvMDQvMjAyMAEAAACTh54CAgAAABAxLjg5NzUxODMyODU5OTYxAKokJVXyQdgIxV2FWfJB2Ag3Q0lRLkxTRTpUU0NPLklRX0NBU0hfU1RfSU5WRVNULjIwMDAuMzEvMTIvMjAxOS4uRi5HQlAuQwEAAAAwUAYAAgAAAAQyMzI1AQgAAAAFAAAAATEBAAAACjE5ODY3OTMyNDADAAAAAjU1AgAAAAQxMDAyBAAAAAExBwAAAAoxMi8zMS8yMDE5CAAAAAk4LzE2LzIwMjAJAAAAATA7hhd48kHYCEVA/3jyQdgIL0NJUS5OWVNFOktPLklRX1RPVEFMX0NMLjk5OC4zMS8xMi8yMDE5Li5GLlVTRC5DAQAA</t>
  </si>
  <si>
    <t>ABJoAAACAAAABTI2NTMyAQgAAAAFAAAAATEBAAAACjE5NDY0MzA3ODIDAAAAAzE2MAIAAAAEMTAwOQQAAAABMQcAAAAKMTIvMzEvMjAxOQgAAAAJOC8xNi8yMDIwCQAAAAEwHK0XePJB2AgtZ/h48kHYCCRDSVEuXlNQWC5JUV9MQVNUU0FMRVBSSUNFLjI3LzA0LzIwMTgBAAAAm7goAAIAAAAQMjY2OS45MDYyNzE3MTQ5OACKxTdR8kHYCPKAFHPyQdgIQENJUS5OQVNEQVFHUzpUU0xBLklRX1RPVEFMX0RFQlRfQ1VSUkVOVC4yMDAwLjMxLzEyLzIwMTkuLkYuVVNELkMBAAAAEMaiAQIAAAAEMjI1MwEIAAAABQAAAAExAQAAAAoxOTg5NDUzMTMwAwAAAAMxNjACAAAABTI1MjIzBAAAAAExBwAAAAoxMi8zMS8yMDE5CAAAAAk4LzE2LzIwMjAJAAAAATA7hhd48kHYCMbF+XjyQdgILUNJUS5OQVNEQVFHUzpDQUtFLklRX0xBU1RTQUxFUFJJQ0UuMDYvMDkvMjAxOQEAAAAI4AQAAgAAAAUzOS45OADRg35T8kHYCFm6KnHyQdgILUNJUS5OQVNEQVFHUzpDQUtFLklRX0xBU1RTQUxFUFJJQ0UuMjgvMDIvMjAxOQEAAAAI4AQAAgAAAAQ0Ny4zAAgPflPyQdgI0z8scfJB2Ag3Q0lRLk5ZU0U6TUFOVS5JUV9EQV9NRURJQU5fRVNULjEwMDEuMzEvMTIvMjAxOS4uRi5HQlAuQwEAAADdaw0AAwAAAAAAOzyWd/JB2AiWkud48kHYCClDSVEuTllTRTpNQU5VLklRX0xBU1RTQUxFUFJJQ0UuMjAvMTIvMjAxOQEAAADdaw0AAgAA</t>
  </si>
  <si>
    <t>AAUxOS4wNADoNX5T8kHYCERhLnHyQdgIIENJUS4uSVFfTEFTVFNBTEVQUklDRS4yNC8wNS8yMDE5BQAAAAAAAAAIAAAAFChJbnZhbGlkIElkZW50aWZpZXIpR4WFUfJB2AjhQ0Zz8kHYCD9DSVEuTFNFOlNGT1IuSVFfTUlOT1JJVFlfSU5URVJFU1RfVE9UQUwuOTk3LjMwLzA0LzIwMjAuLkYuR0JQLkMBAAAAy1PkIQMAAAAAANkKB0vyQdgIMMKZWfJB2AggQ0lRLi5JUV9MQVNUU0FMRVBSSUNFLjIyLzExLzIwMTkFAAAAAAAAAAgAAAAUKEludmFsaWQgSWRlbnRpZmllcinsIDdS8kHYCJQnJnPyQdgIN0NJUS5OWVNFOlJBQ0UuSVFfREFfTUVESUFOX0VTVC4xMDAyLjMxLzEyLzIwMTkuLkYuRVVSLkMBAAAAPYKwEAIAAAADNDAwAQ4AAAAFAAAAATMBAAAAATACAAAACjEwMDMyMjY4MDcDAAAABjExNDE5MAQAAAABMwYAAAABMAcAAAACNTAIAAAAATEJAAAAATEKAAAAATALAAAACzExNzE5MjY1NDY4DAAAAAExDQAAAAgxLzEvMjAyMBAAAAAJOC8xNi8yMDIwOzyWd/JB2AiG4Od48kHYCDlDSVEuTllTRTpLTy5JUV9FQklUREFfTUVESUFOX0VTVC42MDAxLjMxLzEyLzIwMTkuLkYuVVNELkMBAAAAEmgAAAMAAAAAAPNIGHjyQdgIlC/vePJB2AgnQ0lRLk5ZU0U6S08uSVFfTEFTVFNBTEVQUklDRS4xNS8wMy8yMDE5AQAAABJoAAACAAAABDQ1LjMAuZR/U/JB2AiEzCRx8kHYCC1DSVEuTkFTREFRR1M6Q0FLRS5J</t>
  </si>
  <si>
    <t>UV9MQVNUU0FMRVBSSUNFLjE4LzEwLzIwMTkBAAAACOAEAAIAAAAGMzguNTQ1AAVdflPyQdgI0z8scfJB2AgmQ0lRLk5BU0RBUUdTOlRTTEEuSVFfVk9MVU1FLjA2LzAzLzIwMjABAAAAEMaiAQIAAAAIMTIuNjYyOTIAo9YkVfJB2AirjXtZ8kHYCCRDSVEuXkFTWC5JUV9MQVNUU0FMRVBSSUNFLjMxLzAxLzIwMTcBAAAAH1PrAQIAAAALMzg1OC4yNjExOTkAfKuFUfJB2AjYhQtz8kHYCC9DSVEuTllTRTpLTy5JUV9JTkNfVEFYLjEwMDAuMzEvMTIvMjAxOS4uRi5VU0QuQwEAAAASaAAAAgAAAAQxNjIzAQgAAAAFAAAAATEBAAAACjE5NDY0MzA3ODEDAAAAAzE2MAIAAAACNzUEAAAAATEHAAAACjEyLzMxLzIwMTkIAAAACTgvMTYvMjAyMAkAAAABMNztlXfyQdgI6gHqePJB2AgsQ0lRLk5BU0RBUUdTOlRTTEEuSVFfQkVUQV8yWVJfUlNRLjMxLzEyLzIwMTkBAAAAEMaiAQIAAAASMC4wNTA0ODA2NTY1OTU4NDgzAN8G3nTyQdgIVu5GdvJB2AgyQ0lRLk5BU0RBUUdTOlRTTEEuSVFfRUJJVC4yMDAwLjMxLzEyLzIwMTkuLkYuVVNELkMBAAAAEMaiAQIAAAAGMTUyLjE2AQgAAAAFAAAAATEBAAAACjE5ODk0NTMxMzADAAAAAzE2MAIAAAADNDAwBAAAAAExBwAAAAoxMi8zMS8yMDE5CAAAAAk4LzE2LzIwMjAJAAAAATAeIhh48kHYCEFx7HjyQdgILUNJUS5OQVNEQVFHUzpDQUtFLklRX0xBU1RTQUxFUFJJQ0UuMTAv</t>
  </si>
  <si>
    <t>MDEvMjAyMAEAAAAI4AQAAgAAAAUzOS40NAAID35T8kHYCCUMXFnyQdgIKENJUS5MU0U6VFNDTy5JUV9MQVNUU0FMRVBSSUNFLjA4LzA2LzIwMTgBAAAAMFAGAAIAAAAFMi40NzkAKeaFUvJB2AhGYwpx8kHYCDZDSVEuTllTRTpLTy5JUV9DQVNIX1NUX0lOVkVTVC4yMDAwLjMxLzEyLzIwMTkuLkYuVVNELkMBAAAAEmgAAAIAAAAFMTI5ODgBCAAAAAUAAAABMQEAAAAKMTk4ODgwMTUyNgMAAAADMTYwAgAAAAQxMDAyBAAAAAExBwAAAAoxMi8zMS8yMDE5CAAAAAk4LzE2LzIwMjAJAAAAATA7hhd48kHYCG5o/3jyQdgII0NJUS4lVENNU1kxMC5JUV9MQVNUU0FMRVBSSUNFLjQzNTg1AQAAAB0fKAICAAAABDIuNTEAo9YkVfJB2AgPTYRZ8kHYCCBDSVEuLklRX0xBU1RTQUxFUFJJQ0UuMjEvMDYvMjAxOQUAAAAAAAAACAAAABQoSW52YWxpZCBJZGVudGlmaWVyKYZdhVHyQdgIHWVBc/JB2AgnQ0lRLiRBRURIUksuSVFfTEFTVFNBTEVQUklDRS4zMS8xMi8yMDE5AQAAACXrWgACAAAACzAuNTUzOTEzNDM3AP4DQnXyQdgIBfRLdvJB2AgiQ0lRLk5ZU0U6S08uSVFfQkVUQV8yWVIuMzEvMTIvMjAxOQEAAAASaAAAAgAAABEwLjU1MzEzMDUzNjcwOTA5MwDfBt508kHYCH2gRnbyQdgINENJUS5MU0U6VFNDTy5JUV9QUkVGX0VRVUlUWS4yMDAwLjMwLzA0LzIwMjAuLkYuR0JQLkMBAAAAMFAGAAMAAAAAAMkxB0vyQdgI</t>
  </si>
  <si>
    <t>2vmaWfJB2AgtQ0lRLkxTRTpTRk9SLklRX0NBUEVYLjk5Ni4zMC8wNC8yMDIwLi5GLkdCUC5DAQAAAMtT5CEDAAAAAADZCgdL8kHYCH4GrFnyQdgIKUNJUS5OWVNFOk1BTlUuSVFfTEFTVFNBTEVQUklDRS4yNS8wNS8yMDE4AQAAAN1rDQACAAAABTIxLjA1ACnmhVLyQdgIsgQJcfJB2AgxQ0lRLk5BU0RBUUdTOkNBS0UuSVFfRUJJVC45OTguMzEvMTIvMjAxOS4uRi5VU0QuQwEAAAAI4AQAAgAAAAcyMDEuMTA3AQgAAAAFAAAAATEBAAAACjE5NDgxNzY2NjIDAAAAAzE2MAIAAAADNDAwBAAAAAExBwAAAAoxMi8zMS8yMDE5CAAAAAk4LzE2LzIwMjAJAAAAATAeIhh48kHYCGf863jyQdgIMUNJUS5OQVNEQVFHUzpUU0xBLklRX0VCVC4xMDAwLjMwLzA0LzIwMjAuLkYuVVNELkMBAAAAEMaiAQIAAAAELTY2NQEIAAAABQAAAAExAQAAAAoyMDEzOTA3NDYwAwAAAAMxNjACAAAAAzEzOQQAAAABMQcAAAAJNC8zMC8yMDIwCAAAAAk4LzE2LzIwMjAJAAAAATDJMQdL8kHYCOTupVnyQdgILUNJUS5OQVNEQVFHUzpUU0xBLklRX0xBU1RTQUxFUFJJQ0UuMzAvMDkvMjAxNwEAAAAQxqIBAgAAAAUzNDEuMQAFXX5T8kHYCI3XJ3HyQdgIJENJUS5OWVNFOk1BTlUuSVFfQkVUQV8yWVIuMzAvMDQvMjAyMAEAAADdaw0AAgAAABEwLjgwNjQzMzUwNTg1MzExNgCxryRV8kHYCLFSiVnyQdgIMkNJUS5MU0U6U0ZPUi5JUV9UT1RB</t>
  </si>
  <si>
    <t>TF9SRVYuMjAwMC4zMC8wNC8yMDIwLi5GLkdCUC5DAQAAAMtT5CECAAAABzIxNS4xMzIBCAAAAAUAAAABMQEAAAAKMjAyMjU5OTg4NwMAAAACNTUCAAAAAjI4BAAAAAExBwAAAAk0LzMwLzIwMjAIAAAACTgvMTYvMjAyMAkAAAABMNkKB0vyQdgIKpCdWfJB2AgtQ0lRLk5BU0RBUUdTOlRTTEEuSVFfTEFTVFNBTEVQUklDRS4zMS8xMi8yMDE5AQAAABDGogECAAAABjQxOC4zMwAB6H1T8kHYCDSILnHyQdgIKUNJUS5OWVNFOk1BTlUuSVFfTEFTVFNBTEVQUklDRS4zMS8xMC8yMDE1AQAAAN1rDQACAAAABDE4LjIAuZR/U/JB2Aj/qiJx8kHYCDtDSVEuTkFTREFRR1M6VFNMQS5JUV9EQV9NRURJQU5fRVNULjEwMDIuMzEvMTIvMjAxOS4uRi5VU0QuQwEAAAAQxqIBAgAAAAQyMjU0AQ4AAAAFAAAAATMBAAAAATACAAAACjEwMDA4NzI5NjMDAAAABjExNDE5MAQAAAABMgYAAAABMAcAAAADMTYwCAAAAAExCQAAAAExCgAAAAEwCwAAAAsxMTcyNzM2MDk0MwwAAAABMQ0AAAAIMS8xLzIwMjAQAAAACTgvMTYvMjAyMNoUlnfyQdgIewfoePJB2AgnQ0lRLiRBRURVQUguSVFfTEFTVFNBTEVQUklDRS4zMS8xMi8yMDE4AQAAACXrWgACAAAACzAuMTMyMDUxMDUyAP4DQnXyQdgIsN1MdvJB2AgyQ0lRLkxTRTpUU0NPLklRX1RPVEFMX0xJQUIuOTk5LjMxLzEyLzIwMTkuLkYuR0JQLkMBAAAAMFAGAAIAAAAFMzQ0MDQBCAAA</t>
  </si>
  <si>
    <t>AAUAAAABMQEAAAAKMTk2ODczNjU1OQMAAAACNTUCAAAABDEyNzYEAAAAATEHAAAACjEyLzMxLzIwMTkIAAAACTgvMTYvMjAyMAkAAAABMITUF3jyQdgIELv1ePJB2Ag0Q0lRLk5BU0RBUUdTOlRTTEEuSVFfSU5DX1RBWC45OTguMzAvMDQvMjAyMC4uRi5VU0QuQwEAAAAQxqIBAgAAAAIzMgEIAAAABQAAAAExAQAAAAoyMDEzOTA3NDcwAwAAAAMxNjACAAAAAjc1BAAAAAExBwAAAAk0LzMwLzIwMjAIAAAACTgvMTYvMjAyMAkAAAABMMkxB0vyQdgIdSanWfJB2AgkQ0lRLl5TUFguSVFfTEFTVFNBTEVQUklDRS4yNi8wMS8yMDE4AQAAAJu4KAACAAAAEDI4NzIuODY3ODM5MjQzMTMA2C3edPJB2AimK0Z28kHYCCVDSVEuXkNPTVAuSVFfTEFTVFNBTEVQUklDRS4yNy8wMy8yMDIwAQAAAIm4KAACAAAABzc1MDIuMzgASQUzUvJB2Aifm7xZ8kHYCDJDSVEuTkFTREFRR1M6Q0FLRS5JUV9EQV9DRi45OTguMzAvMDQvMjAyMC4uRi5VU0QuQwEAAAAI4AQAAgAAAAY5MC4yMjkBCAAAAAUAAAABMQEAAAAKMjAyMTU4MTQwOQMAAAADMTYwAgAAAAQyMTYwBAAAAAExBwAAAAk0LzMwLzIwMjAIAAAACTgvMTYvMjAyMAkAAAABMP9vykzyQdgIqTGqWfJB2Ag1Q0lRLkxTRTpUU0NPLklRX1RPVEFMX0FTU0VUUy4xMDAwLjMwLzA0LzIwMjAuLkYuR0JQLkMBAAAAMFAGAAIAAAAFNTIzMDIBCAAAAAUAAAABMQEAAAAKMjAyNjUw</t>
  </si>
  <si>
    <t>NzMwOQMAAAACNTUCAAAABDEwMDcEAAAAATEHAAAACTQvMzAvMjAyMAgAAAAJOC8xNi8yMDIwCQAAAAEwyTEHS/JB2AjSb5RZ8kHYCDFDSVEuTllTRTpNQU5VLklRX0NPU1RfUkVWLjk5Ny4zMS8xMi8yMDE5Li5GLkdCUC5DAQAAAN1rDQACAAAABjY1LjgwMQEIAAAABQAAAAExAQAAAAoxOTEwMjQ3NDAzAwAAAAI1NQIAAAABMQQAAAABMQcAAAAKMTIvMzEvMjAxOQgAAAAJOC8xNi8yMDIwCQAAAAEwHvsXePJB2Ah5A/F48kHYCC5DSVEuTllTRTpSQUNFLklRX0VCSVQuMjAwMC4zMS8xMi8yMDE5Li5GLkVVUi5DAQAAAD2CsBACAAAABzg2NS4wNjIBCAAAAAUAAAABMQEAAAAKMTk5MDQyMzY4NwMAAAACNTACAAAAAzQwMAQAAAABMQcAAAAKMTIvMzEvMjAxOQgAAAAJOC8xNi8yMDIwCQAAAAEwHiIYePJB2AhBcex48kHYCDxDSVEuTllTRTpSQUNFLklRX1RPVEFMX0NPTU1PTl9FUVVJVFkuOTk5LjMwLzA0LzIwMjAuLkYuRVVSLkMBAAAAPYKwEAIAAAAIMTM0OC43MjIBCAAAAAUAAAABMQEAAAAKMjAxNTYzOTgxOAMAAAACNTACAAAABDEwMDYEAAAAATEHAAAACTQvMzAvMjAyMAgAAAAJOC8xNi8yMDIwCQAAAAEw2QoHS/JB2AiLMZxZ8kHYCC1DSVEuTkFTREFRR1M6Q0FLRS5JUV9MQVNUU0FMRVBSSUNFLjIxLzA5LzIwMTgBAAAACOAEAAIAAAAFNTIuMzIAQ5iFUvJB2AjB0hNx8kHYCCtDSVEuSVExMDA4ODk5</t>
  </si>
  <si>
    <t>NDcuSVFfTEFTVFNBTEVQUklDRS4zMC8wNC8yMDIwAQAAAFt1AwYCAAAABTAuNDIxAKPWJFXyQdgIlSCGWfJB2AghQ0lRLkxTRTpTRk9SLklRX1ZPTFVNRS4xNy8wNC8yMDIwAQAAAMtT5CECAAAACDAuOTMwMzIyAJX9JFXyQdgI6kp3WfJB2AggQ0lRLi5JUV9MQVNUU0FMRVBSSUNFLjMwLzExLzIwMTUFAAAAAAAAAAgAAAAUKEludmFsaWQgSWRlbnRpZmllcinntDZR8kHYCDL3WnPyQdgIOENJUS5MU0U6U0ZPUi5JUV9MT1dfVEFSR0VUX1BSSUNFLjYwMDAuMzEvMTIvMjAxOS4uLkdCUC5DAQAAAMtT5CECAAAAEDIuMTAwMDMyMzQ4NjM4MTEBDgAAAAUAAAABNwEAAAAJNTgyMDIxMTU2AgAAAAoxMDA0MzE2MDQ4AwAAAAYxMDAxNjQEAAAAAzI1NQYAAAABMAcAAAACNTUIAAAAATEJAAAAATEKAAAAATALAAAACzExNjk4MTg3MTI3DAAAAAE4DQAAAAgxLzEvMjAyMBAAAAAJOC8xNi8yMDIwHiIYePJB2Ag4UgB58kHYCC9DSVEuTFNFOlRTQ08uSVFfRUJJVERBLjIwMDAuMzEvMTIvMjAxOS4uRi5HQlAuQwEAAAAwUAYAAgAAAAQzNTY5AQgAAAAFAAAAATEBAAAACjE5ODY3OTMyNDADAAAAAjU1AgAAAAQ0MDUxBAAAAAExBwAAAAoxMi8zMS8yMDE5CAAAAAk4LzE2LzIwMjAJAAAAATAeIhh48kHYCK257njyQdgIQUNJUS5OQVNEQVFHUzpDQUtFLklRX1RPVEFMX0NPTU1PTl9FUVVJVFkuMTAwMC4zMS8xMi8yMDE5</t>
  </si>
  <si>
    <t>Li5GLlVTRC5DAQAAAAjgBAACAAAABzU3MS4wNTkBCAAAAAUAAAABMQEAAAAKMTk0ODE3NjY3NQMAAAADMTYwAgAAAAQxMDA2BAAAAAExBwAAAAoxMi8zMS8yMDE5CAAAAAk4LzE2LzIwMjAJAAAAATAe+xd48kHYCCNb9HjyQdgIIkNJUS5OWVNFOk1BTlUuSVFfVk9MVU1FLjE2LzA4LzIwMTkBAAAA3WsNAAIAAAAIMC4wNDcxNzkAlf0kVfJB2AgJd79y8kHYCChDSVEuTFNFOlNGT1IuSVFfTEFTVFNBTEVQUklDRS4xMS8xMC8yMDE5AQAAAMtT5CECAAAABDEuNTIABV1+U/JB2AgT8ytx8kHYCC1DSVEuTkFTREFRR1M6VFNMQS5JUV9MQVNUU0FMRVBSSUNFLjI4LzAyLzIwMTcBAAAAEMaiAQIAAAAGMjQ5Ljk5ANGDflPyQdgID1ImcfJB2Ag/Q0lRLkxTRTpTRk9SLklRX01JTk9SSVRZX0lOVEVSRVNUX1RPVEFMLjk5OS4zMS8xMi8yMDE5Li5GLkdCUC5DAQAAAMtT5CEDAAAAAACE1Bd48kHYCJN89njyQdgIPENJUS5OWVNFOlJBQ0UuSVFfVE9UQUxfQ09NTU9OX0VRVUlUWS45OTguMzEvMTIvMjAxOS4uRi5FVVIuQwEAAAA9grAQAgAAAAczMjQuOTk1AQgAAAAFAAAAATEBAAAACjE5NDc0NDQxODQDAAAAAjUwAgAAAAQxMDA2BAAAAAExBwAAAAoxMi8zMS8yMDE5CAAAAAk4LzE2LzIwMjAJAAAAATAe+xd48kHYCGnn83jyQdgIOENJUS5MU0U6VFNDTy5JUV9FQklUX01FRElBTl9FU1QuMTAwMS4zMC8wNC8yMDIw</t>
  </si>
  <si>
    <t>Li5GLkdCUC5DAQAAADBQBgACAAAABDI4NDABDgAAAAUAAAABMwEAAAABMAIAAAAKMTAwMDI2NDQ5OQMAAAAGMTAwMjE2BAAAAAEzBgAAAAEwBwAAAAI1NQgAAAABMQkAAAABMQoAAAABMAsAAAALMTE4OTIzNTc5NzgMAAAAATENAAAACDUvMS8yMDIwEAAAAAk4LzE2LzIwMjCkfwdL8kHYCF0bpFnyQdgIN0NJUS5OWVNFOk1BTlUuSVFfREFfTUVESUFOX0VTVC4xMDAyLjMxLzEyLzIwMTkuLkYuR0JQLkMBAAAA3WsNAAMAAAAAANoUlnfyQdgIhuDnePJB2Ag3Q0lRLk5ZU0U6UkFDRS5JUV9FUVVJVFlfTUVUSE9ELjEwMDAuMzEvMTIvMjAxOS4uRi5FVVIuQwEAAAA9grAQAgAAAAYyNS45NzIBCAAAAAUAAAABMQEAAAAKMTk0NzQ0NDE4MwMAAAACNTACAAAABDMwNjMEAAAAATEHAAAACjEyLzMxLzIwMTkIAAAACTgvMTYvMjAyMAkAAAABMEdgF3jyQdgIEAMAefJB2AgnQ0lRLiRBRURHQlAuSVFfTEFTVFNBTEVQUklDRS4zMC8wOS8yMDE5AQAAACXrWgACAAAACjQuNTE3NjEyOTEAR2AXePJB2AjXYgF58kHYCCtDSVEuTFNFOlNGT1IuSVFfU0dBLjk5Ny4zMC8wNC8yMDIwLi5GLkdCUC5DAQAAAMtT5CEDAAAAAADZCgdL8kHYCEDpoFnyQdgIKENJUS5MU0U6VFNDTy5JUV9MQVNUU0FMRVBSSUNFLjMxLzAzLzIwMjABAAAAMFAGAAIAAAAFMi4yODgAAeh9U/JB2Agbw2BZ8kHYCCFDSVEuTFNFOlRTQ08uSVFfVk9M</t>
  </si>
  <si>
    <t>VU1FLjAyLzAyLzIwMTgBAAAAMFAGAAIAAAAIMjAuNzU3NzEAKCtCdfJB2Ajl8ll28kHYCC1DSVEuTkFTREFRR1M6Q0FLRS5JUV9MQVNUU0FMRVBSSUNFLjMxLzA4LzIwMTcBAAAACOAEAAIAAAAFNDEuNDMABV1+U/JB2AjNiSdx8kHYCCFDSVEuTFNFOlRTQ08uSVFfVk9MVU1FLjA4LzExLzIwMTkBAAAAMFAGAAIAAAAIMTYuMDM0MDkAlf0kVfJB2AhVtL5y8kHYCClDSVFBVkcuLklRX0xBU1RTQUxFUFJJQ0UuNDAyOTguMzAvMDQvMjAyMAUAAAABAAAACAAAABQoSW52YWxpZCBJZGVudGlmaWVyKWUcw1ryQdgIZRzDWvJB2AgvQ0lRLkxTRTpTRk9SLklRX0VCSVREQS4xMDAwLjMwLzA0LzIwMjAuLkYuR0JQLkMBAAAAy1PkIQIAAAAFMjYuMjMBCAAAAAUAAAABMQEAAAAKMjAyMjU5OTc5OQMAAAACNTUCAAAABDQwNTEEAAAAATEHAAAACTQvMzAvMjAyMAgAAAAJOC8xNi8yMDIwCQAAAAEw2QoHS/JB2Aik46JZ8kHYCDVDSVEuTkFTREFRR1M6Q0FLRS5JUV9UT1RBTF9DQS45OTguMzAvMDQvMjAyMC4uRi5VU0QuQwEAAAAI4AQAAgAAAAcyMDguNjMzAQgAAAAFAAAAATEBAAAACjIwMjE1ODE0MDkDAAAAAzE2MAIAAAAEMTAwOAQAAAABMQcAAAAJNC8zMC8yMDIwCAAAAAk4LzE2LzIwMjAJAAAAATADScpM8kHYCOfSk1nyQdgIIkNJUS5OWVNFOlJBQ0UuSVFfVk9MVU1FLjI0LzAxLzIwMjABAAAAPYKwEAIAAAAI</t>
  </si>
  <si>
    <t>MC4xOTY3NzcA2Tm1U/JB2AgBEnZZ8kHYCCFDSVEuTFNFOlNGT1IuSVFfVk9MVU1FLjE3LzA4LzIwMTgBAAAAy1PkIQMAAAAAADq/hVLyQdgIpqAQcfJB2Ag5Q0lRLk5ZU0U6S08uSVFfRUJJVERBX01FRElBTl9FU1QuMTAwMy4zMS8xMi8yMDE5Li5GLlVTRC5DAQAAABJoAAACAAAACzEzMTUyLjE2NjQ0AQ4AAAAFAAAAATMBAAAAATACAAAACjEwMDE2NTYyNzgDAAAABjEwMDE4OAQAAAABMgYAAAABMAcAAAADMTYwCAAAAAExCQAAAAExCgAAAAEwCwAAAAsxMTcyMjA4MTk4MQwAAAABMQ0AAAAIMS8xLzIwMjAQAAAACTgvMTYvMjAyMPNIGHjyQdgIi1bvePJB2AgkQ0lRLklRMjY2ODY0MC5JUV9MQVNUU0FMRVBSSUNFLjQzNDY1AQAAAGC4KAACAAAABDQuMTYA2C3edPJB2Ah0XEl28kHYCDVDSVFBVkcuJEFFREVVUi5JUV9MQVNUU0FMRVBSSUNFLjMxLzEyLzIwMTQuMzEvMTIvMjAxNQEAAAAl61oAAgAAAAc0LjA3ODk2AOqWykzyQdgIf+NfdvJB2AgwQ0lRLk5ZU0U6UkFDRS5JUV9SVUFfTkVULjIwMDAuMzEvMTIvMjAxOS4uLkxPQ0FMAQAAAD2CsBADAAAAAAD+A0J18kHYCFh0XXbyQdgIN0NJUS5OQVNEQVFHUzpUU0xBLklRX0VTVF9FUFNfR1JPV1RIXzVZUi42MDAwLjMwLzA0LzIwMjABAAAAEMaiAQIAAAACNzABDgAAAAUAAAABNwEAAAAJMTA4ODAzOTE1AgAAAAoxMDAwODcyOTIzAwAAAAYxMDAxNjcE</t>
  </si>
  <si>
    <t>AAAAATIGAAAAATAHAAAAATAIAAAAATAJAAAAATEKAAAAATALAAAACzExODk3OTkyMjE3DAAAAAE4DQAAAAg1LzEvMjAyMBAAAAAJNC8zMC8yMDIwsa8kVfJB2AizqX9Z8kHYCCdDSVEuTllTRTpLTy5JUV9MQVNUU0FMRVBSSUNFLjIzLzA4LzIwMTkBAAAAEmgAAAIAAAAFNTMuNzQA0YN+U/JB2AhxHipx8kHYCChDSVEuTFNFOlRTQ08uSVFfTEFTVFNBTEVQUklDRS4zMC8wNC8yMDE1AQAAADBQBgACAAAABDIuMjEApLx/U/JB2AjTUR9x8kHYCBlDSVEuLklRX1ZPTFVNRS4wNC8wNS8yMDE4BQAAAAAAAAAIAAAAFChJbnZhbGlkIElkZW50aWZpZXIpQ5iFUvJB2AjIwgVx8kHYCCxDSVEuTllTRTpSQUNFLklRX0VCVC45OTguMzAvMDQvMjAyMC4uRi5FVVIuQwEAAAA9grAQAgAAAAc3NDYuMTU2AQgAAAAFAAAAATEBAAAACjIwMTU2Mzk4MDUDAAAAAjUwAgAAAAMxMzkEAAAAATEHAAAACTQvMzAvMjAyMAgAAAAJOC8xNi8yMDIwCQAAAAEw2QoHS/JB2AjPPKZZ8kHYCCxDSVEuTFNFOlNGT1IuSVFfU0dBLjIwMDAuMzAvMDQvMjAyMC4uRi5HQlAuQwEAAADLU+QhAgAAAAcxMTEuNTcyAQgAAAAFAAAAATEBAAAACjIwMjI1OTk4ODcDAAAAAjU1AgAAAAIyMwQAAAABMQcAAAAJNC8zMC8yMDIwCAAAAAk4LzE2LzIwMjAJAAAAATDJMQdL8kHYCF90oFnyQdgIJ0NJUS4kQUVEUEhQLklRX0xBU1RTQUxFUFJJQ0UuMzAv</t>
  </si>
  <si>
    <t>MDQvMjAyMAEAAAAl61oAAgAAAAowLjA3Mjc2MTQ5AKokJVXyQdgIgwGDWfJB2AgwQ0lRLk5ZU0U6S08uSVFfVE9UQUxfQ0EuMjAwMC4zMC8wNC8yMDIwLi5GLlVTRC5DAQAAABJoAAACAAAABTI4MjM0AQgAAAAFAAAAATEBAAAACjIwMzAzNzY4OTcDAAAAAzE2MAIAAAAEMTAwOAQAAAABMQcAAAAJNC8zMC8yMDIwCAAAAAk4LzE2LzIwMjAJAAAAATADScpM8kHYCCpfk1nyQdgIJ0NJUS5OQVNEQVFHUzpDQUtFLklRX1RFVl9PVVQuMzEvMTIvMjAxOQEAAAAI4AQAAgAAAAoyODEyLjg3NjA0AQYAAAAFAAAAATEBAAAACjE5OTEzMjUyMjADAAAAAzE2MAIAAAAFNDYyMTQEAAAAATAHAAAACjEyLzMxLzIwMTlBUkJ18kHYCFD/TnbyQdgILENJUS5OQVNEQVFHUzpDQUtFLklRX0JFVEFfNVlSX1JTUS4zMS8xMi8yMDE5AQAAAAjgBAACAAAAEjAuMDU4MzgwNjY4MjEwMDgxNADfBt508kHYCGgVR3byQdgIHENJUS5MU0U6VFNDTy5JUV9DT01QQU5ZX05BTUUBAAAAMFAGAAMAAAAJVGVzY28gUExDAPw6JFXyQdgIviuJWfJB2AgrQ0lRLk5ZU0U6TUFOVS5JUV9HUC45OTguMzEvMTIvMjAxOS4uRi5HQlAuQwEAAADdaw0AAgAAAAc1MDIuNDUyAQgAAAAFAAAAATEBAAAACjE5ODU4NDUwNDUDAAAAAjU1AgAAAAIxMAQAAAABMQcAAAAKMTIvMzEvMjAxOQgAAAAJOC8xNi8yMDIwCQAAAAEwHiIYePJB2Ag8ZvB48kHYCDtD</t>
  </si>
  <si>
    <t>SVEuTFNFOlNGT1IuSVFfUkVWRU5VRV9NRURJQU5fRVNULjEwMDIuMzAvMDQvMjAyMC4uRi5HQlAuQwEAAADLU+QhAgAAAA40NjYuMDg4MDA1MDEzMwEOAAAABQAAAAEzAQAAAAEwAgAAAAoxMDA0MzQ5NjYwAwAAAAYxMDAxODEEAAAAATMGAAAAATAHAAAAAjU1CAAAAAExCQAAAAExCgAAAAEwCwAAAAsxMTg5OTMzMDA2OAwAAAABMQ0AAAAINS8xLzIwMjAQAAAACTgvMTYvMjAyMKR/B0vyQdgIgRydWfJB2AgqQ0lRLk5ZU0U6S08uSVFfRUJULjk5Ni4zMS8xMi8yMDE5Li5GLlVTRC5DAQAAABJoAAACAAAABDkzMjUBCAAAAAUAAAABMQEAAAAKMTgyOTIzMDk1NgMAAAADMTYwAgAAAAMxMzkEAAAAATEHAAAACjEyLzMxLzIwMTkIAAAACTgvMTYvMjAyMAkAAAABMNztlXfyQdgI1U/qePJB2AguQ0lRLk5ZU0U6UkFDRS5JUV9QRVJJT0REQVRFLjIwMDAuMzEvMTIvMjAxOS4uRgEAAAA9grAQBQAAAAozMC8wOS8yMDE5AP4DQnXyQdgIzytNdvJB2AgpQ0lRLk5ZU0U6TUFOVS5JUV9MQVNUU0FMRVBSSUNFLjAzLzAxLzIwMjABAAAA3WsNAAIAAAAFMjAuMzUACA9+U/JB2AhrvltZ8kHYCCdDSVEuTllTRTpLTy5JUV9MQVNUU0FMRVBSSUNFLjMwLzA5LzIwMTUBAAAAEmgAAAIAAAAFNDAuMTIAuZR/U/JB2Aj7gyJx8kHYCCRDSVEuXlNQWC5JUV9MQVNUU0FMRVBSSUNFLjA3LzEyLzIwMTgBAAAAm7goAAIAAAAQMjYz</t>
  </si>
  <si>
    <t>My4wNzg4MjA1ODcwMwCKxTdR8kHYCMxvE3PyQdgINkNJUS5OQVNEQVFHUzpUU0xBLklRX1RPVEFMX0NMLjIwMDAuMzAvMDQvMjAyMC4uRi5VU0QuQwEAAAAQxqIBAgAAAAUxMTk4NgEIAAAABQAAAAExAQAAAAoyMDMyMDQ1MzM0AwAAAAMxNjACAAAABDEwMDkEAAAAATEHAAAACTQvMzAvMjAyMAgAAAAJOC8xNi8yMDIwCQAAAAEwvFgHS/JB2AjvBJdZ8kHYCClDSVEuTllTRTpSQUNFLklRX0xBU1RTQUxFUFJJQ0UuMzEvMDcvMjAxNQEAAAA9grAQAwAAAAAAuZR/U/JB2AjSSiFx8kHYCCBDSVEuLklRX0xBU1RTQUxFUFJJQ0UuMTcvMDUvMjAxOQUAAAAAAAAACAAAABQoSW52YWxpZCBJZGVudGlmaWVyKUeFhVHyQdgIsXtHc/JB2AgiQ0lRLk5ZU0U6TUFOVS5JUV9WT0xVTUUuMjcvMDMvMjAyMAEAAADdaw0AAgAAAAgwLjE1ODY1MQCV/SRV8kHYCKeSeVnyQdgIOUNJUS5OWVNFOktPLklRX0VCSVREQV9NRURJQU5fRVNULjEwMDEuMzEvMTIvMjAxOS4uRi5VU0QuQwEAAAASaAAAAgAAAAkxMTU2NC42MjgBDgAAAAUAAAABMwEAAAABMAIAAAAKMTAwMTQxNjQxNQMAAAAGMTAwMTg4BAAAAAEyBgAAAAEwBwAAAAMxNjAIAAAAATEJAAAAATEKAAAAATALAAAACzExNzIyMDgyMDI1DAAAAAExDQAAAAgxLzEvMjAyMBAAAAAJOC8xNi8yMDIw80gYePJB2Aik4O548kHYCDVDSVEuTllTRTpSQUNFLklRX1BSRUZfRVFV</t>
  </si>
  <si>
    <t>SVRZLjIwMDAuMzEvMTIvMjAxOS4uRi5FVVIuQwEAAAA9grAQAwAAAAAAhNQXePJB2Aj6HfV48kHYCDpDSVEuTkFTREFRR1M6Q0FLRS5JUV9FUVVJVFlfTUVUSE9ELjk5OS4zMS8xMi8yMDE5Li5GLlVTRC5DAQAAAAjgBAACAAAABjU5LjUyMQEIAAAABQAAAAExAQAAAAoxOTQ4MTc2NjgwAwAAAAMxNjACAAAABDMwNjMEAAAAATEHAAAACjEyLzMxLzIwMTkIAAAACTgvMTYvMjAyMAkAAAABMEdgF3jyQdgIQt3/ePJB2AgiQ0lRLk5ZU0U6UkFDRS5JUV9WT0xVTUUuMjYvMDQvMjAxOQEAAAA9grAQAgAAAAgwLjI3MzA5OAC5lH9T8kHYCCqpu3LyQdgIL0NJUS5OWVNFOlJBQ0UuSVFfTEFTVFNBTEVQUklDRS4zMS8xMi8yMDE3LkVVUi5DAQAAAD2CsBACAAAACTg4LjYxMDc2OAAVIspM8kHYCC5XYHbyQdgIN0NJUS5OQVNEQVFHUzpDQUtFLklRX0VTVF9FUFNfR1JPV1RIXzVZUi42MDAwLjMxLzEyLzIwMTkBAAAACOAEAAIAAAAFMTMuNzUBDgAAAAUAAAABNwEAAAAHMjU5OTY5NQIAAAAGMjczODg4AwAAAAYxMDAxNjcEAAAAATIGAAAAATAHAAAAATAIAAAAATAJAAAAATEKAAAAATALAAAACzExNjU5MDMwNDA1DAAAAAE4DQAAAAgxLzEvMjAyMBAAAAAKMTIvMzEvMjAxOSgrQnXyQdgINBROdvJB2AgkQ0lRLl5BU1guSVFfTEFTVFNBTEVQUklDRS4zMC8wOS8yMDE5AQAAAB9T6wECAAAACzQwNjEuNzQyMzM5AEkF</t>
  </si>
  <si>
    <t>M1LyQdgIJ8MKc/JB2AgkQ0lRLl5BU1guSVFfTEFTVFNBTEVQUklDRS4xMy8wOS8yMDE5AQAAAB9T6wECAAAACzQwNTMuMzA4Njc2ALW8N1LyQdgI8foZc/JB2AggQ0lRLk5ZU0U6S08uSVFfVk9MVU1FLjA4LzA2LzIwMTgBAAAAEmgAAAIAAAAIMTIuMDc4NzcAKeaFUvJB2AhTigpx8kHYCCRDSVEuXkFTWC5JUV9MQVNUU0FMRVBSSUNFLjAyLzAzLzIwMTgBAAAAH1PrAQIAAAALMzg5OS42OTczODYA2C3edPJB2AimtkV28kHYCClDSVEuTFNFOlRTQ08uSVFfRElWSURFTkRfWUlFTEQuMzAvMDQvMjAyMAEAAAAwUAYAAgAAAAYyLjQ1NDIA4hIkVfJB2AiZvn5Z8kHYCDNDSVEuTllTRTpLTy5JUV9QUkVGX0VRVUlUWS4yMDAwLjMwLzA0LzIwMjAuLkYuVVNELkMBAAAAEmgAAAMAAAAAAANJykzyQdgI49KaWfJB2AgtQ0lRLk5BU0RBUUdTOkNBS0UuSVFfTEFTVFNBTEVQUklDRS4xMy8wNy8yMDE4AQAAAAjgBAACAAAABTU3LjU2ADq/hVLyQdgIpG8NcfJB2AgkQ0lRLklRMjY2ODYzOS5JUV9MQVNUU0FMRVBSSUNFLjQzNDY1AQAAAF+4KAACAAAABDMuOTkA2C3edPJB2AiIDkl28kHYCChDSVEuTFNFOlNGT1IuSVFfTEFTVFNBTEVQUklDRS4yNi8wNy8yMDE5AQAAAMtT5CECAAAABTEuNTE1ANGDflPyQdgIOOgocfJB2AgyQ0lRLk5ZU0U6TUFOVS5JUV9UT1RBTF9SRVYuOTk1LjMwLzA0LzIwMjAuLkYuR0JQLkMB</t>
  </si>
  <si>
    <t>AAAA3WsNAAIAAAAHNDMzLjE2NAEIAAAABQAAAAExAQAAAAoxODEwNzkwNTMyAwAAAAI1NQIAAAACMjgEAAAAATEHAAAACTQvMzAvMjAyMAgAAAAJOC8xNi8yMDIwCQAAAAEwvFgHS/JB2AjYeZ5Z8kHYCDlDSVEuTkFTREFRR1M6VFNMQS5JUV9TSEFSRVNPVVRTVEFORElOR19PVVQuMzEvMTIvMjAxNy5VU0QBAAAAEMaiAQIAAAAKMTY4LjA2NzM5NQAVIspM8kHYCF1pYXbyQdgIJENJUS5eU1BYLklRX0xBU1RTQUxFUFJJQ0UuMDMvMDgvMjAxOAEAAACbuCgAAgAAABAyODQwLjM1MzU1NDM4MDc3AIrFN1HyQdgIBOUTc/JB2Ag5Q0lRLkxTRTpUU0NPLklRX0NBUEVYX01FRElBTl9FU1QuNjAwMC4zMS8xMi8yMDE5Li5GLkdCUC5DAQAAADBQBgACAAAACC0xMTc5LjI1AQ4AAAAFAAAAAjExAQAAAAEwAgAAAAc4NDE2NzkyAwAAAAYxMDQwOTEEAAAAATMGAAAAATAHAAAAAjU1CAAAAAExCQAAAAExCgAAAAEwCwAAAAsxMTcxMjQxMTI2MgwAAAACMTINAAAACDEvMS8yMDIwEAAAAAk4LzE2LzIwMjA7PJZ38kHYCO9a5njyQdgIMENJUS5OWVNFOlJBQ0UuSVFfSU5DX1RBWC45OTcuMzAvMDQvMjAyMC4uRi5FVVIuQwEAAAA9grAQAgAAAAcxNjcuNjM1AQgAAAAFAAAAATEBAAAACjE5NDc0NDQxODQDAAAAAjUwAgAAAAI3NQQAAAABMQcAAAAJNC8zMC8yMDIwCAAAAAk4LzE2LzIwMjAJAAAAATDZCgdL8kHYCGtNp1ny</t>
  </si>
  <si>
    <t>QdgIKENJUS5MU0U6U0ZPUi5JUV9MQVNUU0FMRVBSSUNFLjEzLzA0LzIwMTgBAAAAy1PkIQMAAAAAAEFSQnXyQdgIq0dRdvJB2AgoQ0lRLkxTRTpUU0NPLklRX0xBU1RTQUxFUFJJQ0UuMDEvMDIvMjAxOQEAAAAwUAYAAgAAAAQyLjIyAKS8f1PyQdgIB0cjcfJB2AgxQ0lRQVZHLiVUQ01TWTMwLklRX0xBU1RTQUxFUFJJQ0UuNDAyOTguMzAvMDQvMjAyMAEAAAAjHygCAgAAABAzLjA5Mjk0MjgyMjg3MDg1AKokJVXyQdgIHRrSWvJB2AgpQ0lRLk5ZU0U6UkFDRS5JUV9MQVNUU0FMRVBSSUNFLjA4LzExLzIwMTkBAAAAPYKwEAIAAAAFMTY0LjkA6DV+U/JB2Ai4tCxx8kHYCCdDSVEuJEFFRElMUy5JUV9MQVNUU0FMRVBSSUNFLjMwLzA0LzIwMjABAAAAJetaAAIAAAALMS4wNTQxMjY5NjYAqiQlVfJB2AhaPINZ8kHYCDZDSVEuTFNFOlRTQ08uSVFfREFfTUVESUFOX0VTVC4xMDAzLjMwLzA0LzIwMjAuLkYuR0JQLkMBAAAAMFAGAAIAAAAEMTcxNwEOAAAABQAAAAEzAQAAAAEwAgAAAAoxMDAxNDE2MDc3AwAAAAYxMTQxOTAEAAAAATMGAAAAATAHAAAAAjU1CAAAAAExCQAAAAExCgAAAAEwCwAAAAsxMTg4MzI2NDQxNAwAAAABMQ0AAAAINS8xLzIwMjAQAAAACTgvMTYvMjAyMKR/B0vyQdgI/fmoWfJB2Ag1Q0lRLkxTRTpTRk9SLklRX1RPVEFMX0FTU0VUUy4yMDAwLjMwLzA0LzIwMjAuLkYuR0JQLkMBAAAAy1Pk</t>
  </si>
  <si>
    <t>IQIAAAAHNzcxLjkxNAEIAAAABQAAAAExAQAAAAoyMDIyNTk5ODg3AwAAAAI1NQIAAAAEMTAwNwQAAAABMQcAAAAJNC8zMC8yMDIwCAAAAAk4LzE2LzIwMjAJAAAAATDZCgdL8kHYCNtIlFnyQdgIMUNJUS5OWVNFOlJBQ0UuSVFfSU5DX1RBWC4yMDAwLjMxLzEyLzIwMTkuLkYuRVVSLkMBAAAAPYKwEAIAAAAHMTI5Ljc1NAEIAAAABQAAAAExAQAAAAoxOTkwNDIzNjg3AwAAAAI1MAIAAAACNzUEAAAAATEHAAAACjEyLzMxLzIwMTkIAAAACTgvMTYvMjAyMAkAAAABMNoUlnfyQdgI3yjqePJB2AgpQ0lRLk5ZU0U6UkFDRS5JUV9MQVNUU0FMRVBSSUNFLjMwLzA0LzIwMTcBAAAAPYKwEAIAAAAENzUuMgDRg35T8kHYCFOeJnHyQdgIM0NJUS5MU0U6U0ZPUi5JUV9FQVJOSU5HX0NPLjIwMDAuMzEvMTIvMjAxOS4uRi5HQlAuQwEAAADLU+QhAgAAAAotMTMuOTAyODU5AQgAAAAFAAAAATEBAAAACjE5NjExMTc0MDEDAAAAAjU1AgAAAAE3BAAAAAExBwAAAAoxMi8zMS8yMDE5CAAAAAk4LzE2LzIwMjAJAAAAATDaFJZ38kHYCH1g5HjyQdgIK0NJUS5JUTU5NzIwOTUzNC5JUV9MQVNUU0FMRVBSSUNFLjMwLzA0LzIwMjABAAAAvrGYIwIAAAAFMC41MzYAo9YkVfJB2AiVIIZZ8kHYCCJDSVEuTllTRTpNQU5VLklRX1ZPTFVNRS4xNi8wMi8yMDE4AQAAAN1rDQACAAAACDAuMDI4ODc4ACgrQnXyQdgIPLtYdvJB2AgiQ0lR</t>
  </si>
  <si>
    <t>Lk5ZU0U6UkFDRS5JUV9WT0xVTUUuMDMvMDEvMjAyMAEAAAA9grAQAgAAAAgwLjEzNDU4NwDZObVT8kHYCAnrdVnyQdgIJ0NJUS5OWVNFOktPLklRX0xBU1RTQUxFUFJJQ0UuMDEvMDMvMjAxOQEAAAASaAAAAgAAAAU0NS4zOACkvH9T8kHYCNZXJHHyQdgIKENJUS5MU0U6U0ZPUi5JUV9MQVNUU0FMRVBSSUNFLjI3LzA5LzIwMTkBAAAAy1PkIQIAAAAFMS4zOTUABV1+U/JB2AgCfStx8kHYCDdDSVEuTllTRTpSQUNFLklRX0VRVUlUWV9NRVRIT0QuMjAwMC4zMC8wNC8yMDIwLi5GLkVVUi5DAQAAAD2CsBACAAAABjMwLjAxMgEIAAAABQAAAAExAQAAAAoyMDE1NjQyOTU0AwAAAAI1MAIAAAAEMzA2MwQAAAABMQcAAAAJNC8zMC8yMDIwCAAAAAk4LzE2LzIwMjAJAAAAATDg4wZL8kHYCOfdj1nyQdgINUNJUS5OWVNFOk1BTlUuSVFfU0hBUkVTT1VUU1RBTkRJTkdfT1VULjMwLzA2LzIwMTguR0JQAQAAAN1rDQACAAAACjE2NC4xOTQ3NTQAFSLKTPJB2Ag6kGF28kHYCCdDSVEuJEFFRFNHRC5JUV9MQVNUU0FMRVBSSUNFLjMwLzA0LzIwMjABAAAAJetaAAIAAAALMi42MDgwOTA1NDgAqiQlVfJB2AjPNoVZ8kHYCC1DSVEuTkFTREFRR1M6VFNMQS5JUV9MQVNUU0FMRVBSSUNFLjI2LzA0LzIwMTkBAAAAEMaiAQIAAAAGMjM1LjE0AN7SflPyQdgIDgQmcfJB2AggQ0lRLi5JUV9MQVNUU0FMRVBSSUNFLjI5LzAzLzIw</t>
  </si>
  <si>
    <t>MTkFAAAAAAAAAAgAAAAUKEludmFsaWQgSWRlbnRpZmllcinT2zZR8kHYCELaT3PyQdgIMUNJUS5MU0U6VFNDTy5JUV9UT1RBTF9SRVYuOTk4LjMwLzA0LzIwMjAuLkYuR0JQLkMBAAAAMFAGAAIAAAAFNTc0OTMBCAAAAAUAAAABMQEAAAAKMTk2ODczNjU1OQMAAAACNTUCAAAAAjI4BAAAAAExBwAAAAk0LzMwLzIwMjAIAAAACTgvMTYvMjAyMAkAAAABMMkxB0vyQdgIBAWeWfJB2AghQ0lRLkxTRTpTRk9SLklRX1ZPTFVNRS4yNC8wNC8yMDIwAQAAAMtT5CECAAAACDEuMDEyNjY4AJX9JFXyQdgI6kp3WfJB2AgpQ0lRLk5BU0RBUUdTOkNBS0UuSVFfU1BfTENfTFQuLjMxLzEyLzIwMTkBAAAACOAEAAMAAAAAAP4DQnXyQdgI7hpMdvJB2AgwQ0lRLkxTRTpTRk9SLklRX0NPU1RfUkVWLjk5OC4zMS8xMi8yMDE5Li5GLkdCUC5DAQAAAMtT5CEDAAAAAAAe+xd48kHYCHkD8XjyQdgIPkNJUS5OQVNEQVFHUzpDQUtFLklRX0NBUEVYX01FRElBTl9FU1QuMTAwMy4zMS8xMi8yMDE5Li5GLlVTRC5DAQAAAAjgBAACAAAABC0xNDEBDgAAAAUAAAABMwEAAAABMAIAAAAKMTAwMjIyNDIyMwMAAAAGMTA0MDkxBAAAAAEyBgAAAAEwBwAAAAMxNjAIAAAAATEJAAAAATEKAAAAATALAAAACzExNjU5MDYzOTU5DAAAAAExDQAAAAgxLzEvMjAyMBAAAAAJOC8xNi8yMDIwOzyWd/JB2AjUqOZ48kHYCChDSVEuTFNFOlNGT1IuSVFf</t>
  </si>
  <si>
    <t>TEFTVFNBTEVQUklDRS4yMC8wNC8yMDE4AQAAAMtT5CEDAAAAAABBUkJ18kHYCParUHbyQdgIJ0NJUS5OWVNFOktPLklRX0xBU1RTQUxFUFJJQ0UuMTMvMDQvMjAxOAEAAAASaAAAAgAAAAU0NC41MQBBUkJ18kHYCAohUXbyQdgINUNJUS5OWVNFOk1BTlUuSVFfVE9UQUxfQVNTRVRTLjk5OS4zMC8wNC8yMDIwLi5GLkdCUC5DAQAAAN1rDQACAAAACDE1NDUuNzQ0AQgAAAAFAAAAATEBAAAACjE5ODU4NDUwMjkDAAAAAjU1AgAAAAQxMDA3BAAAAAExBwAAAAk0LzMwLzIwMjAIAAAACTgvMTYvMjAyMAkAAAABMLxYB0vyQdgI0paUWfJB2AgoQ0lRLkxTRTpUU0NPLklRX0xBU1RTQUxFUFJJQ0UuMjEvMDYvMjAxOQEAAAAwUAYAAgAAAAUyLjM2NwDBqn5T8kHYCI3XJ3HyQdgIMkNJUS5MU0U6U0ZPUi5JUV9UT1RBTF9MSUFCLjk5Ni4zMS8xMi8yMDE5Li5GLkdCUC5DAQAAAMtT5CEDAAAAAACE1Bd48kHYCBFt9XjyQdgIJENJUS5eU1BYLklRX0xBU1RTQUxFUFJJQ0UuMjYvMDcvMjAxOQEAAACbuCgAAgAAABAzMDI1Ljg1OTE0ODExODgzAHyrhVHyQdgI84USc/JB2AgnQ0lRLk5ZU0U6S08uSVFfTEFTVFNBTEVQUklDRS4xOC8xMC8yMDE5AQAAABJoAAACAAAABTU0Ljc4AAVdflPyQdgI0z8scfJB2AglQ0lRLl5DT01QLklRX0xBU1RTQUxFUFJJQ0UuMTUvMDYvMjAxOAEAAACJuCgAAgAAAAc3NzQ2LjM4AIrFN1Hy</t>
  </si>
  <si>
    <t>QdgImAAYc/JB2AgoQ0lRLkxTRTpUU0NPLklRX0xBU1RTQUxFUFJJQ0UuMDcvMTIvMjAxOAEAAAAwUAYAAgAAAAYxLjk5MDUAx+J/U/JB2Ai9FCBx8kHYCC1DSVEuTllTRTpLTy5JUV9MQVNUU0FMRVBSSUNFLjMxLzEyLzIwMTQuVVNELkMBAAAAEmgAAAIAAAAFNDIuMjIAR2AXePJB2AjHEwF58kHYCCRDSVEuXkFTWC5JUV9MQVNUU0FMRVBSSUNFLjI5LzAzLzIwMTkBAAAAH1PrAQIAAAAKMzk3OC4yODQ4NwCgnjdR8kHYCNSWGnPyQdgILUNJUS5OQVNEQVFHUzpUU0xBLklRX0xBU1RTQUxFUFJJQ0UuMDgvMTEvMjAxOQEAAAAQxqIBAgAAAAYzMzcuMTQA6DV+U/JB2Aio2yxx8kHYCC1DSVEuTllTRTpNQU5VLklRX1NHQS4xMDAwLjMwLzA0LzIwMjAuLkYuR0JQLkMBAAAA3WsNAAIAAAAHMzMzLjgwMQEIAAAABQAAAAExAQAAAAoxOTg1ODQ1MDYzAwAAAAI1NQIAAAACMjMEAAAAATEHAAAACTQvMzAvMjAyMAgAAAAJOC8xNi8yMDIwCQAAAAEwvFgHS/JB2AhfdKBZ8kHYCCZDSVEuTkFTREFRR1M6VFNMQS5JUV9WT0xVTUUuMjIvMDMvMjAxOQEAAAAQxqIBAgAAAAg4Ljc0NTYwOQC5lH9T8kHYCJlxwXLyQdgIIUNJUS5MU0U6U0ZPUi5JUV9WT0xVTUUuMTMvMDcvMjAxOAEAAADLU+QhAwAAAAAAOr+FUvJB2Aikbw1x8kHYCDVDSVFBVkcuJEFFREdCUC5JUV9MQVNUU0FMRVBSSUNFLjIyLzAyLzIwMTQuMjgvMDIv</t>
  </si>
  <si>
    <t>MjAxNQEAAAAl61oAAgAAAAg1Ljk3ODIyNgDqlspM8kHYCKEKYHbyQdgIP0NJUS5MU0U6VFNDTy5JUV9NSU5PUklUWV9JTlRFUkVTVF9UT1RBTC45OTYuMzEvMTIvMjAxOS4uRi5HQlAuQwEAAAAwUAYAAwAAAAAAhNQXePJB2AjeCPZ48kHYCCFDSVEuTFNFOlNGT1IuSVFfVk9MVU1FLjI0LzA4LzIwMTgBAAAAy1PkIQMAAAAAADq/hVLyQdgIaTwRcfJB2AglQ0lRLklRNDM5NDM4MjEuSVFfTEFTVFNBTEVQUklDRS40MzQ2NQEAAACNh54CAgAAAAgwLjYyOTkxMwDfBt508kHYCCaUSnbyQdgINENJUS5OQVNEQVFHUzpDQUtFLklRX0lOQ19UQVguOTk2LjMxLzEyLzIwMTkuLkYuVVNELkMBAAAACOAEAAIAAAAGMzcuMjY4AQgAAAAFAAAAATEBAAAACjE4MzAzODY5ODYDAAAAAzE2MAIAAAACNzUEAAAAATEHAAAACjEyLzMxLzIwMTkIAAAACTgvMTYvMjAyMAkAAAABMNztlXfyQdgICo3pePJB2AgkQ0lRLl5TUFguSVFfTEFTVFNBTEVQUklDRS4yNy8wOS8yMDE5AQAAAJu4KAACAAAAEDI5NjEuNzkzMTE2Mjk5OTYAtbw3UvJB2AgUXxJz8kHYCCVDSVEuXkNPTVAuSVFfTEFTVFNBTEVQUklDRS4yNC8wNC8yMDIwAQAAAIm4KAACAAAACTg2MzQuNTE5NwAA3jJS8kHYCJ+bvFnyQdgIM0NJUS5OQVNEQVFHUzpUU0xBLklRX0xBU1RTQUxFUFJJQ0UuMzEvMTIvMjAxNy5VU0QuQwEAAAAQxqIBAgAAAAYzMTEuMzUAFSLK</t>
  </si>
  <si>
    <t>TPJB2AguV2B28kHYCCpDSVEuTFNFOlRTQ08uSVFfRklTQ0FMX1EuNTAwLjMxLzEyLzIwMTkuLkYBAAAAMFAGAAMAAAACUTIA3wbedPJB2Ag/PEd28kHYCDVDSVEuTllTRTpSQUNFLklRX1BSRVBBSURfRVhQLjIwMDAuMzAvMDQvMjAyMC4uRi5FVVIuQwEAAAA9grAQAgAAAAYzOS44NTYBCAAAAAUAAAABMQEAAAAKMjAxNTY0Mjk1NAMAAAACNTACAAAABDEyMTIEAAAAATEHAAAACTQvMzAvMjAyMAgAAAAJOC8xNi8yMDIwCQAAAAEw2QoHS/JB2AgdeqxZ8kHYCChDSVEuTllTRTpSQUNFLklRX0JFVEFfNVlSX1JTUS4zMS8xMi8yMDE5AQAAAD2CsBACAAAAETAuMjY0MzMzNjQ3MjMzMzYxAN8G3nTyQdgIILFHdvJB2AgwQ0lRLk5BU0RBUUdTOkNBS0UuSVFfTkkuMjAwMC4zMC8wNC8yMDIwLi5GLlVTRC5DAQAAAAjgBAACAAAABzEyNy4yOTMBCAAAAAUAAAABMQEAAAAKMjAyMTU4MjcwNAMAAAADMTYwAgAAAAIxNQQAAAABMQcAAAAJNC8zMC8yMDIwCAAAAAk4LzE2LzIwMjAJAAAAATD/b8pM8kHYCGMQqFnyQdgIOkNJUS5OQVNEQVFHUzpDQUtFLklRX0VRVUlUWV9NRVRIT0QuOTk2LjMwLzA0LzIwMjAuLkYuVVNELkMBAAAACOAEAAMAAAAAAANJykzyQdgIylKQWfJB2Ag2Q0lRLkxTRTpUU0NPLklRX0NBU0hfU1RfSU5WRVNULjk5OS4zMS8xMi8yMDE5Li5GLkdCUC5DAQAAADBQBgACAAAABDM3ODQBCAAAAAUA</t>
  </si>
  <si>
    <t>AAABMQEAAAAKMTk2ODczNjU1OQMAAAACNTUCAAAABDEwMDIEAAAAATEHAAAACjEyLzMxLzIwMTkIAAAACTgvMTYvMjAyMAkAAAABMDuGF3jyQdgId8v+ePJB2AgqQ0lRLkxTRTpTRk9SLklRX05JLjk5Ny4zMC8wNC8yMDIwLi5GLkdCUC5DAQAAAMtT5CEDAAAAAADZCgdL8kHYCA+sqFnyQdgIOENJUS5OWVNFOlJBQ0UuSVFfQ0FTSF9TVF9JTlZFU1QuMjAwMC4zMC8wNC8yMDIwLi5GLkVVUi5DAQAAAD2CsBACAAAABzkwMC4wMjIBCAAAAAUAAAABMQEAAAAKMjAxNTY0Mjk1NAMAAAACNTACAAAABDEwMDIEAAAAATEHAAAACTQvMzAvMjAyMAgAAAAJOC8xNi8yMDIwCQAAAAEw4OMGS/JB2Airx5BZ8kHYCBlDSVEuLklRX1ZPTFVNRS4wMS8wMi8yMDE5BQAAAAAAAAAIAAAAFChJbnZhbGlkIElkZW50aWZpZXIpxx9/U/JB2AhwSrpy8kHYCClDSVEuTllTRTpSQUNFLklRX0xBU1RTQUxFUFJJQ0UuMTMvMDkvMjAxOQEAAAA9grAQAgAAAAUxNTIuNgAFXX5T8kHYCMXhKnHyQdgIKENJUS5MU0U6U0ZPUi5JUV9MQVNUU0FMRVBSSUNFLjE0LzA5LzIwMTgBAAAAy1PkIQMAAAAAAEOYhVLyQdgIYxATcfJB2AhAQ0lRLk5ZU0U6UkFDRS5JUV9UT1RBTF9ERUJUX05PTl9DVVJSRU5ULjIwMDAuMzAvMDQvMjAyMC4uRi5FVVIuQwEAAAA9grAQAgAAAAgxNjY4LjQxNAEIAAAABQAAAAExAQAAAAoyMDE1NjQyOTU0AwAAAAI1</t>
  </si>
  <si>
    <t>MAIAAAAFMjUyMjQEAAAAATEHAAAACTQvMzAvMjAyMAgAAAAJOC8xNi8yMDIwCQAAAAEw4OMGS/JB2AiWFZhZ8kHYCC1DSVEuTllTRTpLTy5JUV9FQklUREEuOTk5LjMwLzA0LzIwMjAuLkYuVVNELkMBAAAAEmgAAAIAAAAFMTEyODkBCAAAAAUAAAABMQEAAAAKMjAxNjc5MTI1MQMAAAADMTYwAgAAAAQ0MDUxBAAAAAExBwAAAAk0LzMwLzIwMjAIAAAACTgvMTYvMjAyMAkAAAABMANJykzyQdgIpOOiWfJB2AglQ0lRLl5DT01QLklRX0xBU1RTQUxFUFJJQ0UuMzAvMDQvMjAxOQEAAACJuCgAAgAAAAc4MDk1LjM5AEkFM1LyQdgIjWQJc/JB2AgrQ0lRLk5ZU0U6TUFOVS5JUV9DT1NUX0JPUlJPV0lORy4uMzAvMDQvMjAyMAEAAADdaw0AAgAAAAY0LjA1MzIBCAAAAAUAAAABMQEAAAAKMjAzNzcwNjM5NAMAAAACNTUCAAAABTIxNjgxBAAAAAEwBwAAAAk0LzMwLzIwMjAIAAAACTMvMzEvMjAyMAkAAAABMLGvJFXyQdgIAJl+WfJB2AglQ0lRLl5DT01QLklRX0xBU1RTQUxFUFJJQ0UuMzAvMTEvMjAxOQEAAACJuCgAAgAAAAc4NjY1LjQ3AEkFM1LyQdgItBYJc/JB2AgiQ0lRLk5ZU0U6TUFOVS5JUV9WT0xVTUUuMDIvMDMvMjAxOAEAAADdaw0AAgAAAAgwLjA3NDMxMwAoK0J18kHYCNFdV3byQdgIOUNJUS5OWVNFOk1BTlUuSVFfRUJJVF9NRURJQU5fRVNULjEwMDIuMzEvMTIvMjAxOS4uRi5HQlAuQwEAAADdaw0A</t>
  </si>
  <si>
    <t>AgAAAAgzNy42NjIyMgEOAAAABQAAAAEzAQAAAAEwAgAAAAoxMDAzMDkyNDMwAwAAAAYxMDAyMTYEAAAAATMGAAAAATAHAAAAAjU1CAAAAAExCQAAAAExCgAAAAEwCwAAAAsxMTkzNDMyMTc1NAwAAAABMQ0AAAAIMS8xLzIwMjAQAAAACTgvMTYvMjAyMPNIGHjyQdgI/KjtePJB2AgyQ0lRLk5ZU0U6TUFOVS5JUV9UT1RBTF9DQS4yMDAwLjMxLzEyLzIwMTkuLkYuR0JQLkMBAAAA3WsNAAIAAAAHMjUwLjU1NQEIAAAABQAAAAExAQAAAAoxOTkzNjIxMzIyAwAAAAI1NQIAAAAEMTAwOAQAAAABMQcAAAAKMTIvMzEvMjAxOQgAAAAJOC8xNi8yMDIwCQAAAAEwO4YXePJB2Aj5qfx48kHYCClDSVEuTllTRTpNQU5VLklRX0xBU1RTQUxFUFJJQ0UuMjMvMDgvMjAxOQEAAADdaw0AAgAAAAUxNy4wMQDRg35T8kHYCHf3KXHyQdgIMUNJUS5OWVNFOktPLklRX1RPVEFMX0xJQUIuOTk3LjMwLzA0LzIwMjAuLkYuVVNELkMBAAAAEmgAAAIAAAAFNjQwNTABCAAAAAUAAAABMQEAAAAKMTk0NjQzMDc4MgMAAAADMTYwAgAAAAQxMjc2BAAAAAExBwAAAAk0LzMwLzIwMjAIAAAACTgvMTYvMjAyMAkAAAABMANJykzyQdgI+4SaWfJB2AggQ0lRLk5ZU0U6S08uSVFfVk9MVU1FLjE2LzExLzIwMTgBAAAAEmgAAAIAAAAIMTMuNDA1NzYAx+J/U/JB2AigGB5x8kHYCBlDSVEuLklRX1ZPTFVNRS4xNi8wMy8yMDE4BQAAAAAAAAAIAAAA</t>
  </si>
  <si>
    <t>FChJbnZhbGlkIElkZW50aWZpZXIpGN1BdfJB2AgIm1Z28kHYCC1DSVEuTkFTREFRR1M6VFNMQS5JUV9MQVNUU0FMRVBSSUNFLjExLzEwLzIwMTkBAAAAEMaiAQIAAAAGMjQ3Ljg5AAVdflPyQdgIE/MrcfJB2AgpQ0lRLk5ZU0U6UkFDRS5JUV9MQVNUU0FMRVBSSUNFLjA5LzAyLzIwMTgBAAAAPYKwEAIAAAAGMTIwLjI0ACgrQnXyQdgIBn5ZdvJB2AgtQ0lRLk5BU0RBUUdTOkNBS0UuSVFfTEFTVFNBTEVQUklDRS4zMC8wOS8yMDE5AQAAAAjgBAACAAAABTQxLjY4AAHofVPyQdgIZuwtcfJB2AggQ0lRLk5ZU0U6S08uSVFfVk9MVU1FLjE5LzA3LzIwMTkBAAAAEmgAAAIAAAAIMTAuMzU1NzkAo9YkVfJB2Agu98Jy8kHYCClDSVEuTllTRTpNQU5VLklRX0xBU1RTQUxFUFJJQ0UuMDIvMDgvMjAxOQEAAADdaw0AAgAAAAUxNy44NwDRg35T8kHYCDI2KXHyQdgIIENJUS5OWVNFOktPLklRX1ZPTFVNRS4yMy8xMS8yMDE4AQAAABJoAAACAAAACDQuNzkyNDc1AMfif1PyQdgIr9wecfJB2AgmQ0lRLklRMTAwODg5OTQzLklRX0xBU1RTQUxFUFJJQ0UuNDM1ODUBAAAAV3UDBgIAAAAFMC43NDgAo9YkVfJB2AhlvIZZ8kHYCCdDSVEuJEFFREtHUy5JUV9MQVNUU0FMRVBSSUNFLjMxLzEyLzIwMTgBAAAAJetaAAIAAAALMC4wNTI1ODc4NzMA/gNCdfJB2AjTaEx28kHYCDFDSVEuTllTRTpNQU5VLklRX1RPVEFMX0NBLjk5</t>
  </si>
  <si>
    <t>Ni4zMS8xMi8yMDE5Li5GLkdCUC5DAQAAAN1rDQACAAAABjIzOS41MwEIAAAABQAAAAExAQAAAAoxODYxNzM2ODY5AwAAAAI1NQIAAAAEMTAwOAQAAAABMQcAAAAKMTIvMzEvMjAxOQgAAAAJOC8xNi8yMDIwCQAAAAEwO4YXePJB2AhFmft48kHYCCxDSVEuTFNFOlNGT1IuSVFfUEVSSU9EREFURS45OTYuMzEvMTIvMjAxOS4uRgEAAADLU+QhAwAAAAAA/gNCdfJB2Aijx0128kHYCCZDSVEuTkFTREFRR1M6Q0FLRS5JUV9WT0xVTUUuMjEvMDkvMjAxOAEAAAAI4AQAAgAAAAgwLjg5NTM4NABDmIVS8kHYCFqsE3HyQdgIMUNJUS5OWVNFOktPLklRX1RPVEFMX0xJQUIuOTk4LjMxLzEyLzIwMTkuLkYuVVNELkMBAAAAEmgAAAIAAAAFNjQwNTABCAAAAAUAAAABMQEAAAAKMTk0NjQzMDc4MgMAAAADMTYwAgAAAAQxMjc2BAAAAAExBwAAAAoxMi8zMS8yMDE5CAAAAAk4LzE2LzIwMjAJAAAAATCE1Bd48kHYCBC79XjyQdgINENJUS5MU0U6VFNDTy5JUV9QUkVQQUlEX0VYUC4yMDAwLjMxLzEyLzIwMTkuLkYuR0JQLkMBAAAAMFAGAAMAAAAAANoUlnfyQdgIPyPlePJB2AgiQ0lRLk5ZU0U6UkFDRS5JUV9WT0xVTUUuMjIvMTEvMjAxOQEAAAA9grAQAgAAAAgwLjE3NDQ5NAAlYbVT8kHYCPNrvHLyQdgIKENJUS5MU0U6U0ZPUi5JUV9MQVNUU0FMRVBSSUNFLjE2LzA4LzIwMTkBAAAAy1PkIQIAAAAFMS4zODUA0YN+U/JB</t>
  </si>
  <si>
    <t>2AiIqSlx8kHYCDlDSVEuTkFTREFRR1M6VFNMQS5JUV9UT1RBTF9BU1NFVFMuOTk3LjMwLzA0LzIwMjAuLkYuVVNELkMBAAAAEMaiAQIAAAAJMjI2NjQuMDc2AQgAAAAFAAAAATEBAAAACjE5NDU4NzM1NTEDAAAAAzE2MAIAAAAEMTAwNwQAAAABMQcAAAAJNC8zMC8yMDIwCAAAAAk4LzE2LzIwMjAJAAAAATC8WAdL8kHYCLy9lFnyQdgIIENJUS4uSVFfTEFTVFNBTEVQUklDRS4wNi8wOS8yMDE5BQAAAAAAAAAIAAAAFChJbnZhbGlkIElkZW50aWZpZXIpnA+FUfJB2Agj8DJz8kHYCCBDSVEuTllTRTpLTy5JUV9WT0xVTUUuMDYvMDcvMjAxOAEAAAASaAAAAgAAAAg4Ljc1MTM3MgA6v4VS8kHYCK3SDHHyQdgILUNJUS5OQVNEQVFHUzpUU0xBLklRX0xBU1RTQUxFUFJJQ0UuMTcvMDUvMjAxOQEAAAAQxqIBAgAAAAYyMTEuMDMAwap+U/JB2AhKxyZx8kHYCDJDSVEuTkFTREFRR1M6VFNMQS5JUV9QRVJJT0REQVRFLjIwMDAuMzEvMTIvMjAxOS4uRgEAAAAQxqIBBQAAAAozMC8wOS8yMDE5AP4DQnXyQdgIzytNdvJB2AgxQ0lRLk5BU0RBUUdTOkNBS0UuSVFfRUJJVC45OTguMzAvMDQvMjAyMC4uRi5VU0QuQwEAAAAI4AQAAgAAAAcxNjMuMTg4AQgAAAAFAAAAATEBAAAACjIwMjE1ODE0MDkDAAAAAzE2MAIAAAADNDAwBAAAAAExBwAAAAk0LzMwLzIwMjAIAAAACTgvMTYvMjAyMAkAAAABMP9vykzyQdgIM7ikWfJB</t>
  </si>
  <si>
    <t>2AgtQ0lRLk5BU0RBUUdTOlRTTEEuSVFfTEFTVFNBTEVQUklDRS4wOS8wMi8yMDE4AQAAABDGogECAAAABjMxMC40MgAoK0J18kHYCBowWXbyQdgIIENJUS4uSVFfTEFTVFNBTEVQUklDRS4xMC8wNC8yMDIwBQAAAAAAAAAIAAAAFChJbnZhbGlkIElkZW50aWZpZXIpcYUvUvJB2Aip+8RZ8kHYCCFDSVEuTFNFOlNGT1IuSVFfVk9MVU1FLjA0LzEwLzIwMTkBAAAAy1PkIQIAAAAIMC4wNDIzNjMAlf0kVfJB2Ai3fL1y8kHYCCBDSVEuTllTRTpLTy5JUV9WT0xVTUUuMDUvMTAvMjAxOAEAAAASaAAAAgAAAAc4LjczNDA5AEOYhVLyQdgIaQoVcfJB2AglQ0lRLl5DT01QLklRX0xBU1RTQUxFUFJJQ0UuMTQvMDIvMjAyMAEAAACJuCgAAgAAAAc5NzMxLjE4AEkFM1LyQdgIpcK8WfJB2AgtQ0lRLk5BU0RBUUdTOlRTTEEuSVFfTEFTVFNBTEVQUklDRS4xNS8wMi8yMDE5AQAAABDGogECAAAABjMwNy44OACkvH9T8kHYCMPiI3HyQdgIJ0NJUS4kQUVEVVNELklRX0xBU1RTQUxFUFJJQ0UuMDIvMDEvMjAxOAEAAAAl61oAAgAAAAYzLjY3MzEAW5PiTfJB2AjTql528kHYCChDSVEuTFNFOlRTQ08uSVFfTEFTVFNBTEVQUklDRS4zMS8wNy8yMDE1AQAAADBQBgACAAAABTIuMTU3ALmUf1PyQdgIXnMhcfJB2AgrQ0lRLkxTRTpUU0NPLklRX1NHQS45OTYuMzAvMDQvMjAyMC4uRi5HQlAuQwEAAAAwUAYAAgAAAAQxMzY3AQgA</t>
  </si>
  <si>
    <t>AAAFAAAAATEBAAAACjE4NDc4MjUxNDgDAAAAAjU1AgAAAAIyMwQAAAABMQcAAAAJNC8zMC8yMDIwCAAAAAk4LzE2LzIwMjAJAAAAATDJMQdL8kHYCDEQoVnyQdgIJENJUS5eQVNYLklRX0xBU1RTQUxFUFJJQ0UuMzEvMTIvMjAxOQEAAAAfU+sBAgAAAAs0MTk2LjQ3MzU5MgBJBTNS8kHYCCfDCnPyQdgIJENJUS5eQVNYLklRX0xBU1RTQUxFUFJJQ0UuMTIvMDQvMjAxOQEAAAAfU+sBAgAAAAs0MDY5Ljg5NzI1NACgnjdR8kHYCNSWGnPyQdgIKENJUS4lVENNU1kwMi5JUV9MQVNUU0FMRVBSSUNFLjMwLzA0LzIwMjABAAAAER8oAgIAAAADMC4yAKPWJFXyQdgI5eiEWfJB2Ag2Q0lRLk5BU0RBUUdTOkNBS0UuSVFfVE9UQUxfQ0wuMTAwMC4zMC8wNC8yMDIwLi5GLlVTRC5DAQAAAAjgBAACAAAABzYxNC41ODcBCAAAAAUAAAABMQEAAAAKMjAyMTU4MTQxMQMAAAADMTYwAgAAAAQxMDA5BAAAAAExBwAAAAk0LzMwLzIwMjAIAAAACTgvMTYvMjAyMAkAAAABMANJykzyQdgI5iuXWfJB2AgzQ0lRQVZHLklRNDM5NDM4MTguSVFfTEFTVFNBTEVQUklDRS40MDI5OC4zMC8wNC8yMDIwAQAAAIqHngICAAAAEDEuMjI3ODAyMDE0OTkwMTQAqiQlVfJB2Aiwq4VZ8kHYCDdDSVEuTllTRTpSQUNFLklRX0RBX01FRElBTl9FU1QuMTAwMi4zMC8wNC8yMDIwLi5GLkVVUi5DAQAAAD2CsBACAAAABTQ3Ny41AQ4AAAAFAAAAATMB</t>
  </si>
  <si>
    <t>AAAAATACAAAACjEwMDMyMjY4NTQDAAAABjExNDE5MAQAAAABMwYAAAABMAcAAAACNTAIAAAAATEJAAAAATEKAAAAATALAAAACzExODk1NTM1Mzc0DAAAAAExDQAAAAg1LzEvMjAyMBAAAAAJOC8xNi8yMDIwpH8HS/JB2Aj9R6lZ8kHYCChDSVEuTFNFOlRTQ08uSVFfTEFTVFNBTEVQUklDRS4wMy8wNC8yMDIwAQAAADBQBgACAAAABTIuMjM5AAHofVPyQdgIu6JeWfJB2AgiQ0lRLk5ZU0U6TUFOVS5JUV9WT0xVTUUuMTUvMDMvMjAxOQEAAADdaw0AAgAAAAgwLjAzNzcwMgCkvH9T8kHYCB4pv3LyQdgIKUNJUS5OWVNFOk1BTlUuSVFfTEFTVFNBTEVQUklDRS4xNS8wMi8yMDE5AQAAAN1rDQACAAAABDE5LjUApLx/U/JB2AgZuiNx8kHYCC1DSVEuTkFTREFRR1M6Q0FLRS5JUV9MQVNUU0FMRVBSSUNFLjEzLzAzLzIwMjABAAAACOAEAAIAAAAFMjMuNTEAAeh9U/JB2AjEBl5Z8kHYCC1DSVEuTllTRTpNQU5VLklRX0VCVC4yMDAwLjMwLzA0LzIwMjAuLkYuR0JQLkMBAAAA3WsNAAIAAAAGMzUuMzU0AQgAAAAFAAAAATEBAAAACjIwMTg2MzIwMDMDAAAAAjU1AgAAAAMxMzkEAAAAATEHAAAACTQvMzAvMjAyMAgAAAAJOC8xNi8yMDIwCQAAAAEw/2/KTPJB2Ajwx6VZ8kHYCCFDSVEuTFNFOlNGT1IuSVFfQ09NUEFOWV9OQU1FX0xPTkcBAAAAy1PkIQMAAAAZUzQgQ2FwaXRhbCBwbGMgKExTRTpTRk9SKQAB6H1T8kHY</t>
  </si>
  <si>
    <t>CJY3YVnyQdgIJENJUS5eU1BYLklRX0xBU1RTQUxFUFJJQ0UuMTYvMDgvMjAxOQEAAACbuCgAAgAAABAyODg4LjY3Nzk4MTQyOTg5AHyrhVHyQdgI84USc/JB2AgnQ0lRLiRBRURHQlAuSVFfTEFTVFNBTEVQUklDRS4yOS8wMi8yMDIwAQAAACXrWgACAAAACzQuNjg5NDI3MTE2ABUiykzyQdgIZ4qKWfJB2AghQ0lRLkxTRTpTRk9SLklRX1ZPTFVNRS4xMC8wOC8yMDE4AQAAAMtT5CEDAAAAAAA6v4VS8kHYCH8FEHHyQdgIJkNJUS5JUTU5NzIwOTUzNC5JUV9MQVNUU0FMRVBSSUNFLjQzNTg1AQAAAL6xmCMCAAAABTEuNjI0AKPWJFXyQdgIlSCGWfJB2AgiQ0lRLk5ZU0U6UkFDRS5JUV9WT0xVTUUuMDUvMDcvMjAxOQEAAAA9grAQAgAAAAgwLjM3ODMzOAAlYbVT8kHYCBH3u3LyQdgINUNJUS5OQVNEQVFHUzpUU0xBLklRX1RPVEFMX0NMLjk5OC4zMC8wNC8yMDIwLi5GLlVTRC5DAQAAABDGogECAAAABzc2NzQuNzQBCAAAAAUAAAABMQEAAAAKMjAxMzkwNzQ3MAMAAAADMTYwAgAAAAQxMDA5BAAAAAExBwAAAAk0LzMwLzIwMjAIAAAACTgvMTYvMjAyMAkAAAABMLxYB0vyQdgI2FKXWfJB2Ag2Q0lRLlVTRC5JUV9GVUxMX0NVUlZFX0FOTlVBTC5BTExDT1JQLkJCLjIwWS4zMC8wNC8yMDIwAQAAAAAAAAACAAAACTAuMDg3MTQyMQCqJCVV8kHYCGW8hlnyQdgIIENJUS5OWVNFOktPLklRX1ZPTFVNRS4yMi8wMi8y</t>
  </si>
  <si>
    <t>MDE5AQAAABJoAAACAAAACDI0LjcyODM5AKS8f1PyQdgIWILCcvJB2AgxQ0lRLk5ZU0U6S08uSVFfVE9UQUxfUkVWLjEwMDAuMzAvMDQvMjAyMC4uRi5VU0QuQwEAAAASaAAAAgAAAAUzNzI2NgEIAAAABQAAAAExAQAAAAoyMDE2NzkxMjQ1AwAAAAMxNjACAAAAAjI4BAAAAAExBwAAAAk0LzMwLzIwMjAIAAAACTgvMTYvMjAyMAkAAAABMANJykzyQdgIKpCdWfJB2AgoQ0lRLkxTRTpUU0NPLklRX0xBU1RTQUxFUFJJQ0UuMDUvMTAvMjAxOAEAAAAwUAYAAgAAAAUyLjE0OABDmIVS8kHYCHPjFHHyQdgIKENJUS5MU0U6U0ZPUi5JUV9MQVNUU0FMRVBSSUNFLjA3LzEyLzIwMTgBAAAAy1PkIQIAAAAFMS4yNjUAx+J/U/JB2Ai17R9x8kHYCC1DSVEuTkFTREFRR1M6VFNMQS5JUV9MQVNUU0FMRVBSSUNFLjA3LzAyLzIwMjABAAAAEMaiAQIAAAAGNzQ4LjA3AAgPflPyQdgIpvRcWfJB2AgyQ0lRLk5BU0RBUUdTOkNBS0UuSVFfUFJJQ0VfVk9MX0hJU1RfMllSLjMxLzEyLzIwMTkBAAAACOAEAAIAAAAHMjkuNDUxNgDr39108kHYCGgVR3byQdgIHUNJUS5OWVNFOlJBQ0UuSVFfQ09NUEFOWV9OQU1FAQAAAD2CsBADAAAADEZlcnJhcmkgTi5WLgD8OiRV8kHYCNu2iFnyQdgIKENJUS5MU0U6U0ZPUi5JUV9MQVNUU0FMRVBSSUNFLjMxLzA4LzIwMTUBAAAAy1PkIQMAAAAAALmUf1PyQdgImw0icfJB2Ag1Q0lRLkxTRTpT</t>
  </si>
  <si>
    <t>Rk9SLklRX0lOVEVSRVNUX0VYUC4yMDAwLjMxLzEyLzIwMTkuLkYuR0JQLkMBAAAAy1PkIQIAAAAJLTEuMzI1MTQzAQgAAAAFAAAAATEBAAAACjE5NjExMTc0MDEDAAAAAjU1AgAAAAI4MgQAAAABMQcAAAAKMTIvMzEvMjAxOQgAAAAJOC8xNi8yMDIwCQAAAAEw2hSWd/JB2AhJ/OR48kHYCC5DSVEuTllTRTpSQUNFLklRX0NBUEVYLjk5OC4zMC8wNC8yMDIwLi5GLkVVUi5DAQAAAD2CsBACAAAACC0xODguOTA0AQgAAAAFAAAAATEBAAAACjIwMTU2Mzk4MDUDAAAAAjUwAgAAAAQyMDIxBAAAAAExBwAAAAk0LzMwLzIwMjAIAAAACTgvMTYvMjAyMAkAAAABMNkKB0vyQdgIMd6rWfJB2AggQ0lRLi5JUV9MQVNUU0FMRVBSSUNFLjA5LzAyLzIwMTgFAAAAAAAAAAgAAAAUKEludmFsaWQgSWRlbnRpZmllcilJgdx08kHYCNwaPnbyQdgIKUNJUS5OWVNFOlJBQ0UuSVFfTEFTVFNBTEVQUklDRS4yNy8wNy8yMDE4AQAAAD2CsBACAAAABTEzMS42ADq/hVLyQdgIGc0OcfJB2AgtQ0lRLk5ZU0U6S08uSVFfREFfQ0YuMjAwMC4zMS8xMi8yMDE5Li5GLlVTRC5DAQAAABJoAAACAAAABDEyNDQBCAAAAAUAAAABMQEAAAAKMTk4ODgwMTUyNgMAAAADMTYwAgAAAAQyMTYwBAAAAAExBwAAAAoxMi8zMS8yMDE5CAAAAAk4LzE2LzIwMjAJAAAAATDaFJZ38kHYCJaS53jyQdgIKUNJUS5OWVNFOk1BTlUuSVFfTEFTVFNBTEVQUklD</t>
  </si>
  <si>
    <t>RS4wMi8wMy8yMDE4AQAAAN1rDQACAAAABDE5LjMAKCtCdfJB2AjRXVd28kHYCC9DSVEuTkFTREFRR1M6VFNMQS5JUV9HUC45OTguMzEvMTIvMjAxOS4uRi5VU0QuQwEAAAAQxqIBAgAAAAgxNTk5LjI1NwEIAAAABQAAAAExAQAAAAoxOTQ1ODczNTUxAwAAAAMxNjACAAAAAjEwBAAAAAExBwAAAAoxMi8zMS8yMDE5CAAAAAk4LzE2LzIwMjAJAAAAATAeIhh48kHYCJqO8HjyQdgIJENJUS5eU1BYLklRX0xBU1RTQUxFUFJJQ0UuMDYvMDcvMjAxOAEAAACbuCgAAgAAABAyNzU5LjgyMTkxNTgyNTE1AIrFN1HyQdgIjgsUc/JB2AgZQ0lRLi5JUV9WT0xVTUUuMTIvMTAvMjAxOAUAAAAAAAAACAAAABQoSW52YWxpZCBJZGVudGlmaWVyKXL8hFLyQdgIUlgVcfJB2AgtQ0lRLk5BU0RBUUdTOlRTTEEuSVFfTEFTVFNBTEVQUklDRS4yNC8wMS8yMDIwAQAAABDGogECAAAABjU2NC44MgAID35T8kHYCByBXFnyQdgIKUNJUS5OWVNFOlJBQ0UuSVFfTEFTVFNBTEVQUklDRS4xNC8xMi8yMDE4AQAAAD2CsBACAAAABjEwMS40OQDH4n9T8kHYCAiIIHHyQdgIQENJUS5OWVNFOk1BTlUuSVFfTUlOT1JJVFlfSU5URVJFU1RfVE9UQUwuOTk4LjMwLzA0LzIwMjAuLkYuR0JQLkMBAAAA3WsNAAMAAAAAAP9vykzyQdgIO5uZWfJB2AguQ0lRLk5ZU0U6TUFOVS5JUV9EQV9DRi45OTkuMzEvMTIvMjAxOS4uRi5HQlAuQwEAAADdaw0A</t>
  </si>
  <si>
    <t>AgAAAAcxNDkuMTM1AQgAAAAFAAAAATEBAAAACjE5ODU4NDUwMjkDAAAAAjU1AgAAAAQyMTYwBAAAAAExBwAAAAoxMi8zMS8yMDE5CAAAAAk4LzE2LzIwMjAJAAAAATDaFJZ38kHYCHAe53jyQdgIKUNJUS5OWVNFOlJBQ0UuSVFfTEFTVFNBTEVQUklDRS4wMi8wOC8yMDE5AQAAAD2CsBACAAAABjE1OS40OADRg35T8kHYCK8NKXHyQdgIJENJUS5eQVNYLklRX0xBU1RTQUxFUFJJQ0UuMzAvMDQvMjAxOAEAAAAfU+sBAgAAAAs0MTI3LjY3OTAzOAC1vDdS8kHYCAI4C3PyQdgIN0NJUS5OWVNFOlJBQ0UuSVFfREFfTUVESUFOX0VTVC4xMDAxLjMxLzEyLzIwMTkuLkYuRVVSLkMBAAAAPYKwEAIAAAADMzM5AQ4AAAAFAAAAATMBAAAAATACAAAACjEwMDMyMjY4MDIDAAAABjExNDE5MAQAAAABMwYAAAABMAcAAAACNTAIAAAAATEJAAAAATEKAAAAATALAAAACzExNzE5MjY1NDkyDAAAAAExDQAAAAgxLzEvMjAyMBAAAAAJOC8xNi8yMDIwOzyWd/JB2AiWkud48kHYCDJDSVEuTllTRTpNQU5VLklRX1RPVEFMX1JFVi45OTkuMzEvMTIvMjAxOS4uRi5HQlAuQwEAAADdaw0AAgAAAAc1ODkuNzU4AQgAAAAFAAAAATEBAAAACjE5ODU4NDUwMjkDAAAAAjU1AgAAAAIyOAQAAAABMQcAAAAKMTIvMzEvMjAxOQgAAAAJOC8xNi8yMDIwCQAAAAEwHvsXePJB2Ag3YvJ48kHYCD5DSVEuTkFTREFRR1M6VFNMQS5JUV9DQVBFWF9N</t>
  </si>
  <si>
    <t>RURJQU5fRVNULjYwMDEuMzAvMDQvMjAyMC4uRi5VU0QuQwEAAAAQxqIBAwAAAAAApH8HS/JB2AiSpqpZ8kHYCDVDSVEuTFNFOlNGT1IuSVFfRVFVSVRZX01FVEhPRC45OTguMzEvMTIvMjAxOS4uRi5HQlAuQwEAAADLU+QhAwAAAAAAR2AXePJB2Agptf948kHYCCRDSVEuXlNQWC5JUV9MQVNUU0FMRVBSSUNFLjMxLzEwLzIwMTYBAAAAm7goAAIAAAAQMjEyNi4xNTMyOTcwMjk4NAB8q4VR8kHYCMp7CHPyQdgIMkNJUS5OQVNEQVFHUzpDQUtFLklRX0NBUEVYLjk5Ny4zMC8wNC8yMDIwLi5GLlVTRC5DAQAAAAjgBAACAAAACC0xMTUuODIxAQgAAAAFAAAAATEBAAAACjE5NDgxNzY2NjIDAAAAAzE2MAIAAAAEMjAyMQQAAAABMQcAAAAJNC8zMC8yMDIwCAAAAAk4LzE2LzIwMjAJAAAAATD/b8pM8kHYCDHeq1nyQdgIMUNJUS5OQVNEQVFHUzpDQUtFLklRX1BFUklPRERBVEUuOTk2LjMwLzA0LzIwMjAuLkYBAAAACOAEAAUAAAAKMjkvMTIvMjAxNQCxryRV8kHYCDcdgFnyQdgIJ0NJUS5OWVNFOktPLklRX0xBU1RTQUxFUFJJQ0UuMzEvMDgvMjAxNQEAAAASaAAAAgAAAAUzOS4zMgC5lH9T8kHYCDJdInHyQdgIJ0NJUS4kQUVEVFJZLklRX0xBU1RTQUxFUFJJQ0UuMzEvMTIvMjAxOQEAAAAl61oAAgAAAAswLjYxNzI2OTQyNwDr39108kHYCPsvS3byQdgILUNJUS5OWVNFOlJBQ0UuSVFfUEVSSU9EREFURS45OTYu</t>
  </si>
  <si>
    <t>MzEvMTIvMjAxOS4uRgEAAAA9grAQBQAAAAozMS8xMi8yMDE0AP4DQnXyQdgIo8dNdvJB2Ag1Q0lRQVZHLiRBRURVU0QuSVFfTEFTVFNBTEVQUklDRS4wMS8wMS8yMDEzLjMxLzEyLzIwMTMBAAAAJetaAAIAAAAIMy42NzMwNTgAR2AXePJB2AjHEwF58kHYCCdDSVEuJEFFRFpBUi5JUV9MQVNUU0FMRVBSSUNFLjMwLzA0LzIwMjABAAAAJetaAAIAAAALMC4yMDA0NjgyODcAqiQlVfJB2AgCm4RZ8kHYCDtDSVEuTkFTREFRR1M6VFNMQS5JUV9EQV9NRURJQU5fRVNULjEwMDIuMzAvMDQvMjAyMC4uRi5VU0QuQwEAAAAQxqIBAgAAAAQyNTQyAQ4AAAAFAAAAATMBAAAAATACAAAACjEwMDE1NTY2NDEDAAAABjExNDE5MAQAAAABMgYAAAABMAcAAAADMTYwCAAAAAExCQAAAAExCgAAAAEwCwAAAAsxMTg5ODA0MzIxNgwAAAABMQ0AAAAINS8xLzIwMjAQAAAACTgvMTYvMjAyMKR/B0vyQdgI/CCpWfJB2AguQ0lRLk5ZU0U6UkFDRS5JUV9EQV9DRi45OTcuMzAvMDQvMjAyMC4uRi5FVVIuQwEAAAA9grAQAgAAAAcxNDMuNjYyAQgAAAAFAAAAATEBAAAACjE5NDc0NDQxODQDAAAAAjUwAgAAAAQyMTYwBAAAAAExBwAAAAk0LzMwLzIwMjAIAAAACTgvMTYvMjAyMAkAAAABMNkKB0vyQdgIoFiqWfJB2AgiQ0lRLk5ZU0U6TUFOVS5JUV9WT0xVTUUuMTEvMDUvMjAxOAEAAADdaw0AAgAAAAgwLjAzOTY5MgAp5oVS8kHYCJ1e</t>
  </si>
  <si>
    <t>BnHyQdgIOkNJUS5OWVNFOktPLklRX1RPVEFMX0NPTU1PTl9FUVVJVFkuOTk2LjMxLzEyLzIwMTkuLkYuVVNELkMBAAAAEmgAAAIAAAAFMzAzMjABCAAAAAUAAAABMQEAAAAKMTgyOTIzMDk1NgMAAAADMTYwAgAAAAQxMDA2BAAAAAExBwAAAAoxMi8zMS8yMDE5CAAAAAk4LzE2LzIwMjAJAAAAATAe+xd48kHYCJKZ83jyQdgIJ0NJUS5OWVNFOktPLklRX0xBU1RTQUxFUFJJQ0UuMjgvMDIvMjAxOQEAAAASaAAAAgAAAAU0NS4zNAAID35T8kHYCNM/LHHyQdgIIkNJUS5MU0U6U0ZPUi5JUV9URVZfT1VULjMxLzEyLzIwMTkBAAAAy1PkIQIAAAAJOTA3LjM5MDg0AQYAAAAFAAAAATEBAAAACjE5ODQwODIxOTMDAAAAAjU1AgAAAAU0NjIxNAQAAAABMAcAAAAKMTIvMzEvMjAxOUFSQnXyQdgIUP9OdvJB2Ag1Q0lRLk5BU0RBUUdTOkNBS0UuSVFfSU5DX1RBWC4xMDAwLjMxLzEyLzIwMTkuLkYuVVNELkMBAAAACOAEAAIAAAAFOC4zNzYBCAAAAAUAAAABMQEAAAAKMTk0ODE3NjY3NQMAAAADMTYwAgAAAAI3NQQAAAABMQcAAAAKMTIvMzEvMjAxOQgAAAAJOC8xNi8yMDIwCQAAAAEw3O2Vd/JB2AjqAep48kHYCD1DSVEuTkFTREFRR1M6Q0FLRS5JUV9MT1dfVEFSR0VUX1BSSUNFLjYwMDAuMzEvMTIvMjAxOS4uLlVTRC5DAQAAAAjgBAACAAAAAjM4AQ4AAAAFAAAAATcBAAAABzI1OTk2OTUCAAAABjI3Mzg4OAMAAAAG</t>
  </si>
  <si>
    <t>MTAwMTY0BAAAAAMyNTUGAAAAATAHAAAAAzE2MAgAAAABMQkAAAABMQoAAAABMAsAAAALMTE3MjQxMTAyNTQMAAAAATgNAAAACDEvMS8yMDIwEAAAAAk4LzE2LzIwMjAeIhh48kHYCDhSAHnyQdgIIENJUS4uSVFfTEFTVFNBTEVQUklDRS4zMS8xMC8yMDE2BQAAAAAAAAAIAAAAFChJbnZhbGlkIElkZW50aWZpZXIphl2FUfJB2AiMok5z8kHYCChDSVEuTFNFOlRTQ08uSVFfTEFTVFNBTEVQUklDRS4wNy8wNi8yMDE5AQAAADBQBgACAAAABTIuMjk0AMGqflPyQdgItjsncfJB2AgoQ0lRLkxTRTpUU0NPLklRX0xBU1RTQUxFUFJJQ0UuMzAvMDYvMjAxNwEAAAAwUAYAAgAAAAUxLjY4OADRg35T8kHYCMUUJ3HyQdgILUNJUS5OQVNEQVFHUzpDQUtFLklRX0xBU1RTQUxFUFJJQ0UuMzEvMDEvMjAxNgEAAAAI4AQAAgAAAAQ0OC4zAN7SflPyQdgIB0cjcfJB2AglQ0lRLl5DT01QLklRX0xBU1RTQUxFUFJJQ0UuMTIvMDQvMjAxOQEAAACJuCgAAgAAAAc3OTg0LjE2AKCeN1HyQdgIDHsWc/JB2AgnQ0lRLk5ZU0U6S08uSVFfTEFTVFNBTEVQUklDRS4xMS8wMS8yMDE5AQAAABJoAAACAAAABTQ3LjM0AKS8f1PyQdgI5tEicfJB2AgzQ0lRLk5BU0RBUUdTOlRTTEEuSVFfQ0FQRVguMjAwMC4zMC8wNC8yMDIwLi5GLlVTRC5DAQAAABDGogECAAAABS0xNjA4AQgAAAAFAAAAATEBAAAACjIwMzIwNDUzMzQDAAAAAzE2MAIA</t>
  </si>
  <si>
    <t>AAAEMjAyMQQAAAABMQcAAAAJNC8zMC8yMDIwCAAAAAk4LzE2LzIwMjAJAAAAATDJMQdL8kHYCGpCq1nyQdgIO0NJUS5OQVNEQVFHUzpDQUtFLklRX0NBU0hfU1RfSU5WRVNULjk5Ni4zMS8xMi8yMDE5Li5GLlVTRC5DAQAAAAjgBAACAAAABjU4LjAxOAEIAAAABQAAAAExAQAAAAoxODMwMzg2OTg2AwAAAAMxNjACAAAABDEwMDIEAAAAATEHAAAACjEyLzMxLzIwMTkIAAAACTgvMTYvMjAyMAkAAAABMDuGF3jyQdgI+an8ePJB2Ag1Q0lRLkxTRTpTRk9SLklRX0VRVUlUWV9NRVRIT0QuOTk3LjMwLzA0LzIwMjAuLkYuR0JQLkMBAAAAy1PkIQMAAAAAANkKB0vyQdgIylKQWfJB2AgpQ0lRLk5ZU0U6UkFDRS5JUV9MQVNUU0FMRVBSSUNFLjEzLzAzLzIwMjABAAAAPYKwEAIAAAAGMTQyLjI4AAHofVPyQdgI899dWfJB2Ag9Q0lRLk5ZU0U6UkFDRS5JUV9UT1RBTF9DT01NT05fRVFVSVRZLjIwMDAuMzEvMTIvMjAxOS4uRi5FVVIuQwEAAAA9grAQAgAAAAgxMzg2Ljg0NgEIAAAABQAAAAExAQAAAAoxOTkwNDIzNjg3AwAAAAI1MAIAAAAEMTAwNgQAAAABMQcAAAAKMTIvMzEvMjAxOQgAAAAJOC8xNi8yMDIwCQAAAAEwHvsXePJB2AgjW/R48kHYCCdDSVEuTllTRTpLTy5JUV9MQVNUU0FMRVBSSUNFLjMxLzEyLzIwMTQBAAAAEmgAAAIAAAAFNDIuMjIAQVJCdfJB2AjdhFB28kHYCCZDSVEuTkFTREFRR1M6Q0FLRS5J</t>
  </si>
  <si>
    <t>UV9WT0xVTUUuMDMvMDEvMjAyMAEAAAAI4AQAAgAAAAgwLjYxMjQxNQCV/SRV8kHYCMJ7elnyQdgINUNJUUFWRy4kQUVER0JQLklRX0xBU1RTQUxFUFJJQ0UuMzAvMDYvMjAxOC4zMC8wNi8yMDE5AQAAACXrWgACAAAACDQuNzUzNTAyAOqWykzyQdgIZZRfdvJB2AgpQ0lRLk5ZU0U6TUFOVS5JUV9MQVNUU0FMRVBSSUNFLjMwLzExLzIwMTcBAAAA3WsNAAIAAAAFMjAuODUABV1+U/JB2AjmIyhx8kHYCCBDSVEuLklRX0xBU1RTQUxFUFJJQ0UuMjgvMTIvMjAxOAUAAAAAAAAACAAAABQoSW52YWxpZCBJZGVudGlmaWVyKaCeN1HyQdgIZ1Bec/JB2AgkQ0lRLl5BU1guSVFfTEFTVFNBTEVQUklDRS4xNC8wNi8yMDE5AQAAAB9T6wECAAAACzQwMTAuNzk5MDk4AHyrhVHyQdgI3W8ac/JB2AgwQ0lRLkxTRTpTRk9SLklRX1RPVEFMX0NMLjk5OC4zMC8wNC8yMDIwLi5GLkdCUC5DAQAAAMtT5CEDAAAAAADZCgdL8kHYCNN5l1nyQdgILUNJUS5OQVNEQVFHUzpUU0xBLklRX0xBU1RTQUxFUFJJQ0UuMTQvMDkvMjAxOAEAAAAQxqIBAgAAAAUyOTUuMgBDmIVS8kHYCOw2E3HyQdgIMENJUS5OQVNEQVFHUzpUU0xBLklRX1NHQS45OTcuMzEvMTIvMjAxOS4uRi5VU0QuQwEAAAAQxqIBAgAAAAc5MjIuMjMyAQgAAAAFAAAAATEBAAAACjE4NzU3NjkwODIDAAAAAzE2MAIAAAACMjMEAAAAATEHAAAACjEyLzMxLzIwMTkIAAAA</t>
  </si>
  <si>
    <t>CTgvMTYvMjAyMAkAAAABMB4iGHjyQdgIgH3vePJB2AgkQ0lRLl5BU1guSVFfTEFTVFNBTEVQUklDRS4xNy8wMS8yMDIwAQAAAB9T6wECAAAACzQyNTcuOTI2MTM5AEkFM1LyQdgIPjO/WfJB2AglQ0lRLi5JUV9QUklDRV9WT0xfSElTVF81WVIuMzAvMDQvMjAyMAUAAAAAAAAACAAAABQoSW52YWxpZCBJZGVudGlmaWVyKeISJFXyQdgI8GiIWfJB2AhAQ0lRLk5BU0RBUUdTOlRTTEEuSVFfUkVWRU5VRV9NRURJQU5fRVNULjYwMDEuMzAvMDQvMjAyMC4uRi5VU0QuQwEAAAAQxqIBAwAAAAAApH8HS/JB2AhdzZxZ8kHYCCdDSVEuJEFFREtXRC5JUV9MQVNUU0FMRVBSSUNFLjMwLzA0LzIwMjABAAAAJetaAAIAAAAMMTEuODU2MDM2MTUyAKokJVXyQdgISRiDWfJB2AgkQ0lRLl5TUFguSVFfTEFTVFNBTEVQUklDRS4yNS8wMS8yMDE5AQAAAJu4KAACAAAAEDI2NjQuNzYwNTA5NTczMzQAisU3UfJB2AgTSRNz8kHYCC1DSVEuTllTRTpNQU5VLklRX0VCVC4xMDAzLjMwLzA0LzIwMjAuLkYuR0JQLkMBAAAA3WsNAAMAAAAAALxYB0vyQdgIBCylWfJB2AgoQ0lRLkxTRTpTRk9SLklRX0xBU1RTQUxFUFJJQ0UuMjAvMDkvMjAxOQEAAADLU+QhAgAAAAUxLjM5NQAFXX5T8kHYCBkvK3HyQdgIN0NJUS5OQVNEQVFHUzpUU0xBLklRX1RPVEFMX1JFVi4yMDAwLjMxLzEyLzIwMTkuLkYuVVNELkMBAAAAEMaiAQIAAAAJMjQ0</t>
  </si>
  <si>
    <t>MjAuMjY4AQgAAAAFAAAAATEBAAAACjE5ODk0NTMxMzADAAAAAzE2MAIAAAACMjgEAAAAATEHAAAACjEyLzMxLzIwMTkIAAAACTgvMTYvMjAyMAkAAAABMB77F3jyQdgI3bDyePJB2AgpQ0lRLk5ZU0U6TUFOVS5JUV9MQVNUU0FMRVBSSUNFLjE3LzA0LzIwMjABAAAA3WsNAAIAAAAFMTYuMjcAAeh9U/JB2Agbw2BZ8kHYCChDSVEuTFNFOlRTQ08uSVFfTEFTVFNBTEVQUklDRS4xMy8wOS8yMDE5AQAAADBQBgACAAAABTIuNDA0AAVdflPyQdgIowgrcfJB2AgnQ0lRLiRBRUREWkQuSVFfTEFTVFNBTEVQUklDRS4zMC8wNC8yMDIwAQAAACXrWgACAAAACzAuMDI4NTUwNzc0AKokJVXyQdgIJP+DWfJB2Ag5Q0lRLk5BU0RBUUdTOkNBS0UuSVFfVE9UQUxfQVNTRVRTLjk5OC4zMC8wNC8yMDIwLi5GLlVTRC5DAQAAAAjgBAACAAAABzEzMzMuMDYBCAAAAAUAAAABMQEAAAAKMjAyMTU4MTQwOQMAAAADMTYwAgAAAAQxMDA3BAAAAAExBwAAAAk0LzMwLzIwMjAIAAAACTgvMTYvMjAyMAkAAAABMANJykzyQdgIvL2UWfJB2AgnQ0lRLiRBRURIVUYuSVFfTEFTVFNBTEVQUklDRS4zMC8wNC8yMDE5AQAAACXrWgACAAAACzAuMDEyNjk2NjAyAKokJVXyQdgIRIqDWfJB2AgxQ0lRLk5ZU0U6UkFDRS5JUV9DT1NUX1JFVi45OTYuMzEvMTIvMjAxOS4uRi5FVVIuQwEAAAA9grAQAgAAAAgxNTA1Ljg4OQEIAAAABQAAAAExAQAA</t>
  </si>
  <si>
    <t>AAoxODMwNDc0MDk0AwAAAAI1MAIAAAABMQQAAAABMQcAAAAKMTIvMzEvMjAxOQgAAAAJOC8xNi8yMDIwCQAAAAEwHvsXePJB2Aig3PB48kHYCClDSVEuTllTRTpSQUNFLklRX0xBU1RTQUxFUFJJQ0UuMzAvMDgvMjAxOQEAAAA9grAQAgAAAAYxNTcuNzUA0YN+U/JB2AhTRSpx8kHYCDFDSVEuTFNFOlRTQ08uSVFfUlVBX0dST1NTLjIwMDAuMzEvMTIvMjAxOS4uLkxPQ0FMAQAAADBQBgACAAAABDc2MDUBCAAAAAUAAAABMQEAAAAKMTk4Njc5MzI0MAMAAAACNTUCAAAABTQ4MzY1BAAAAAEwBwAAAAoxMi8zMS8yMDE5CAAAAAk4LzI0LzIwMTkJAAAAATD+A0J18kHYCAMQUHbyQdgIKUNJUS5OWVNFOlJBQ0UuSVFfTEFTVFNBTEVQUklDRS4yOS8wMi8yMDIwAQAAAD2CsBACAAAABjE1Ny43NQAB6H1T8kHYCJbJXlnyQdgIPENJUS5OWVNFOlJBQ0UuSVFfUkVWRU5VRV9NRURJQU5fRVNULjYwMDEuMzAvMDQvMjAyMC4uRi5FVVIuQwEAAAA9grAQAwAAAAAApH8HS/JB2AhM9JxZ8kHYCCRDSVEuXlNQWC5JUV9MQVNUU0FMRVBSSUNFLjMwLzA0LzIwMTkBAAAAm7goAAIAAAAQMjk0NS44MzA4ODY4NDU4MQBJBTNS8kHYCP23B3PyQdgIKUNJUS5OWVNFOk1BTlUuSVFfTEFTVFNBTEVQUklDRS4wMy8wNS8yMDE5AQAAAN1rDQACAAAABTE5LjM5AN7SflPyQdgID1ImcfJB2Ag+Q0lRLk5ZU0U6S08uSVFfVE9UQUxfREVC</t>
  </si>
  <si>
    <t>VF9OT05fQ1VSUkVOVC4xMDAwLjMxLzEyLzIwMTkuLkYuVVNELkMBAAAAEmgAAAIAAAAFMjU0MDQBCAAAAAUAAAABMQEAAAAKMTk0NjQzMDc4MQMAAAADMTYwAgAAAAUyNTIyNAQAAAABMQcAAAAKMTIvMzEvMjAxOQgAAAAJOC8xNi8yMDIwCQAAAAEwHK0XePJB2AhopPd48kHYCB9DSVEuTllTRTpSQUNFLklRX1RFVi4zMC8wNC8yMDIwAQAAAD2CsBACAAAADDMwMDkyLjMwNTk0MQEGAAAABQAAAAExAQAAAAoyMDE1NjQyOTA2AwAAAAMxNjACAAAABjEwMDA2MAQAAAABMAcAAAAJNC8zMC8yMDIwo9YkVfJB2AiZvn5Z8kHYCChDSVEuTFNFOlNGT1IuSVFfTEFTVFNBTEVQUklDRS4wNy8wNi8yMDE5AQAAAMtT5CECAAAABTEuNjU1AMGqflPyQdgItjsncfJB2AgpQ0lRLk5ZU0U6UkFDRS5JUV9MQVNUU0FMRVBSSUNFLjE2LzAyLzIwMTgBAAAAPYKwEAIAAAAGMTI5LjcxACgrQnXyQdgIPLtYdvJB2AgpQ0lRLk5ZU0U6TUFOVS5JUV9MQVNUU0FMRVBSSUNFLjA2LzA5LzIwMTkBAAAA3WsNAAIAAAAFMTcuMzEA0YN+U/JB2AhZuipx8kHYCC5DSVEuTllTRTpNQU5VLklRX0RBX0NGLjk5OC4zMC8wNC8yMDIwLi5GLkdCUC5DAQAAAN1rDQACAAAABzEzNC42NjIBCAAAAAUAAAABMQEAAAAKMTk4NTg0NTA0NQMAAAACNTUCAAAABDIxNjAEAAAAATEHAAAACTQvMzAvMjAyMAgAAAAJOC8xNi8yMDIwCQAAAAEwvFgHS/JB</t>
  </si>
  <si>
    <t>2AipMapZ8kHYCChDSVEuTFNFOlNGT1IuSVFfTEFTVFNBTEVQUklDRS4xMi8xMC8yMDE4AQAAAMtT5CECAAAAAzEuMwBDmIVS8kHYCEZ/FXHyQdgIKUNJUS5OWVNFOk1BTlUuSVFfTEFTVFNBTEVQUklDRS4yOS8wMy8yMDE5AQAAAN1rDQACAAAABTE5LjIyALmUf1PyQdgIuxglcfJB2AgxQ0lRLk5ZU0U6UkFDRS5JUV9DT1NUX1JFVi45OTkuMzAvMDQvMjAyMC4uRi5FVVIuQwEAAAA9grAQAgAAAAgxNjI0LjM1NgEIAAAABQAAAAExAQAAAAoyMDE1NjM5ODE4AwAAAAI1MAIAAAABMQQAAAABMQcAAAAJNC8zMC8yMDIwCAAAAAk4LzE2LzIwMjAJAAAAATDZCgdL8kHYCLXunlnyQdgIMENJUS5MU0U6VFNDTy5JUV9UT1RBTF9DTC45OTkuMzAvMDQvMjAyMC4uRi5HQlAuQwEAAAAwUAYAAgAAAAUyMDY4MAEIAAAABQAAAAExAQAAAAoxOTY4NzM2NTYzAwAAAAI1NQIAAAAEMTAwOQQAAAABMQcAAAAJNC8zMC8yMDIwCAAAAAk4LzE2LzIwMjAJAAAAATDJMQdL8kHYCNhSl1nyQdgIJENJUS5eQVNYLklRX0xBU1RTQUxFUFJJQ0UuMzEvMDUvMjAxNgEAAAAfU+sBAgAAAAszNDI5Ljc3MDQ1NAB8q4VR8kHYCAOuC3PyQdgILENJUS5MU0U6U0ZPUi5JUV9QRVJJT0REQVRFLjk5NS4zMS8xMi8yMDE5Li5GAQAAAMtT5CEDAAAAAAD+A0J18kHYCF/uTXbyQdgIJ0NJUS4kQUVEVE5ELklRX0xBU1RTQUxFUFJJQ0UuMzAvMDQv</t>
  </si>
  <si>
    <t>MjAxOQEAAAAl61oAAgAAAAsxLjIxNTI5OTYwNgCqJCVV8kHYCI2zglnyQdgIMUNJUS5OWVNFOlJBQ0UuSVFfVE9UQUxfQ0EuOTk4LjMwLzA0LzIwMjAuLkYuRVVSLkMBAAAAPYKwEAIAAAAIMjA4MS4wNzcBCAAAAAUAAAABMQEAAAAKMjAxNTYzOTgwNQMAAAACNTACAAAABDEwMDgEAAAAATEHAAAACTQvMzAvMjAyMAgAAAAJOC8xNi8yMDIwCQAAAAEw4OMGS/JB2Ajn0pNZ8kHYCDNDSVEuTkFTREFRR1M6Q0FLRS5JUV9FQklUREEuOTk3LjMxLzEyLzIwMTkuLkYuVVNELkMBAAAACOAEAAIAAAAGMjU2LjgyAQgAAAAFAAAAATEBAAAACjE4NzcxNDQ0MzgDAAAAAzE2MAIAAAAENDA1MQQAAAABMQcAAAAKMTIvMzEvMjAxOQgAAAAJOC8xNi8yMDIwCQAAAAEwHiIYePJB2AjORO548kHYCClDSVEuTllTRTpNQU5VLklRX0xBU1RTQUxFUFJJQ0UuMzEvMTAvMjAxOAEAAADdaw0AAgAAAAUyMC45NADoNX5T8kHYCAhWK3HyQdgILENJUS5OWVNFOktPLklRX0RBX0NGLjk5OC4zMC8wNC8yMDIwLi5GLlVTRC5DAQAAABJoAAACAAAABDEyNjABCAAAAAUAAAABMQEAAAAKMjAxNjc5MTI1MAMAAAADMTYwAgAAAAQyMTYwBAAAAAExBwAAAAk0LzMwLzIwMjAIAAAACTgvMTYvMjAyMAkAAAABMANJykzyQdgIvQqqWfJB2Ag1Q0lRQVZHLiRBRURVU0QuSVFfTEFTVFNBTEVQUklDRS4zMS8xMi8yMDE0LjMxLzEyLzIwMTUBAAAA</t>
  </si>
  <si>
    <t>JetaAAIAAAAIMy42NzI5ODIA6pbKTPJB2Ah/41928kHYCDxDSVEuTllTRTpSQUNFLklRX1JFVkVOVUVfTUVESUFOX0VTVC42MDAxLjMxLzEyLzIwMTkuLkYuRVVSLkMBAAAAPYKwEAMAAAAAAPNIGHjyQdgIdkrzePJB2AgtQ0lRLk5BU0RBUUdTOlRTTEEuSVFfTEFTVFNBTEVQUklDRS4zMS8wOC8yMDE3AQAAABDGogECAAAABTM1NS45AAVdflPyQdgIirAncfJB2Ag/Q0lRLk5BU0RBUUdTOkNBS0UuSVFfRUJJVERBX01FRElBTl9FU1QuMTAwMS4zMS8xMi8yMDE5Li5GLlVTRC5DAQAAAAjgBAACAAAACTIxOS4xNzQxNAEOAAAABQAAAAEzAQAAAAEwAgAAAAoxMDAyMjI0MjIxAwAAAAYxMDAxODgEAAAAATIGAAAAATAHAAAAAzE2MAgAAAABMQkAAAABMQoAAAABMAsAAAALMTE3MjQxMTA2MDEMAAAAATENAAAACDEvMS8yMDIwEAAAAAk4LzE2LzIwMjDzSBh48kHYCKTg7njyQdgIKENJUS5MU0U6VFNDTy5JUV9MQVNUU0FMRVBSSUNFLjE2LzAyLzIwMTgBAAAAMFAGAAIAAAAFMi4wNDYAKCtCdfJB2Ag8u1h28kHYCDZDSVEuTllTRTpNQU5VLklRX1RPVEFMX0FTU0VUUy4xMDAwLjMwLzA0LzIwMjAuLkYuR0JQLkMBAAAA3WsNAAIAAAAIMTQ5Ni41MjUBCAAAAAUAAAABMQEAAAAKMTk4NTg0NTA2MwMAAAACNTUCAAAABDEwMDcEAAAAATEHAAAACTQvMzAvMjAyMAgAAAAJOC8xNi8yMDIwCQAAAAEwvFgHS/JB2AjS</t>
  </si>
  <si>
    <t>b5RZ8kHYCDFDSVEuTkFTREFRR1M6Q0FLRS5JUV9QRVJJT0REQVRFLjk5OS4zMC8wNC8yMDIwLi5GAQAAAAjgBAAFAAAACjAxLzAxLzIwMTkAsa8kVfJB2Ajme4FZ8kHYCCtDSVEuTllTRTpNQU5VLklRX05JLjk5OS4zMS8xMi8yMDE5Li5GLkdCUC5DAQAAAN1rDQACAAAABy0zNy42MjkBCAAAAAUAAAABMQEAAAAKMTk4NTg0NTAyOQMAAAACNTUCAAAAAjE1BAAAAAExBwAAAAoxMi8zMS8yMDE5CAAAAAk4LzE2LzIwMjAJAAAAATDc7ZV38kHYCEqj6HjyQdgIP0NJUS5OQVNEQVFHUzpUU0xBLklRX0VCSVREQV9NRURJQU5fRVNULjEwMDIuMzEvMTIvMjAxOS4uRi5VU0QuQwEAAAAQxqIBAgAAAAc0MjEzLjQ1AQ4AAAAFAAAAATMBAAAAATACAAAACjEwMDA4NzI5NjMDAAAABjEwMDE4OAQAAAABMgYAAAABMAcAAAADMTYwCAAAAAExCQAAAAExCgAAAAEwCwAAAAsxMTcyNTY2NDcwOAwAAAABMQ0AAAAIMS8xLzIwMjAQAAAACTgvMTYvMjAyMPNIGHjyQdgI0QjvePJB2AgtQ0lRLk5BU0RBUUdTOlRTTEEuSVFfTEFTVFNBTEVQUklDRS4xMC8wNS8yMDE5AQAAABDGogECAAAABjIzOS41MgDBqn5T8kHYCFOeJnHyQdgILUNJUS5OQVNEQVFHUzpUU0xBLklRX0xBU1RTQUxFUFJJQ0UuMDYvMDcvMjAxOAEAAAAQxqIBAgAAAAUzMDguOQA6v4VS8kHYCK3SDHHyQdgIGUNJUS4uSVFfVk9MVU1FLjIwLzA5LzIwMTkFAAAA</t>
  </si>
  <si>
    <t>AAAAAAgAAAAUKEludmFsaWQgSWRlbnRpZmllcinZObVT8kHYCEwNu3LyQdgIPENJUS5OQVNEQVFHUzpDQUtFLklRX0NBU0hfU1RfSU5WRVNULjEwMDAuMzEvMTIvMjAxOS4uRi5VU0QuQwEAAAAI4AQAAgAAAAYyNi41NzgBCAAAAAUAAAABMQEAAAAKMTk0ODE3NjY3NQMAAAADMTYwAgAAAAQxMDAyBAAAAAExBwAAAAoxMi8zMS8yMDE5CAAAAAk4LzE2LzIwMjAJAAAAATA7hhd48kHYCFQZ/3jyQdgIK0NJUS5OWVNFOktPLklRX0VCSVQuOTk2LjMwLzA0LzIwMjAuLkYuVVNELkMBAAAAEmgAAAIAAAAFMTAyNDABCAAAAAUAAAABMQEAAAAKMTg3NTc5NzgwOQMAAAADMTYwAgAAAAM0MDAEAAAAATEHAAAACTQvMzAvMjAyMAgAAAAJOC8xNi8yMDIwCQAAAAEwA0nKTPJB2Agc3qRZ8kHYCCdDSVEuJEFFRE1ZUi5JUV9MQVNUU0FMRVBSSUNFLjMxLzEyLzIwMTgBAAAAJetaAAIAAAALMC44ODgxNjM0NjMA/gNCdfJB2AjRpEt28kHYCCdDSVEuTFNFOlNGT1IuSVFfQkVUQV8yWVJfUlNRLjMxLzEyLzIwMTkBAAAAy1PkIQIAAAASMC4wOTIyNTI1MjM2MzAwODgyAN8G3nTyQdgIVmNHdvJB2AgkQ0lRLl5TUFguSVFfTEFTVFNBTEVQUklDRS4wNy8wMi8yMDIwAQAAAJu4KAACAAAAEDMzMjcuNzA2ODY3ODczNzIASQUzUvJB2AgyerpZ8kHYCDpDSVEuTFNFOlRTQ08uSVFfVE9UQUxfREVCVF9DVVJSRU5ULjk5Ny4zMC8w</t>
  </si>
  <si>
    <t>NC8yMDIwLi5GLkdCUC5DAQAAADBQBgACAAAABDI1NjABCAAAAAUAAAABMQEAAAAKMTg4ODUyNTA3NAMAAAACNTUCAAAABTI1MjIzBAAAAAExBwAAAAk0LzMwLzIwMjAIAAAACTgvMTYvMjAyMAkAAAABMMkxB0vyQdgIB7eWWfJB2AgtQ0lRLk5BU0RBUUdTOlRTTEEuSVFfTEFTVFNBTEVQUklDRS4yMC8wOS8yMDE5AQAAABDGogECAAAABjI0MC42MgAFXX5T8kHYCAhWK3HyQdgIJUNJUS5eQ09NUC5JUV9MQVNUU0FMRVBSSUNFLjIyLzA2LzIwMTgBAAAAibgoAAIAAAAHNzY5Mi44MgCKxTdR8kHYCJgAGHPyQdgIJ0NJUS4kQUVER0JQLklRX0xBU1RTQUxFUFJJQ0UuMzAvMDYvMjAxMwEAAAAl61oAAgAAAAs1LjU4MjQ5MTA3MQAVIspM8kHYCJxGX3byQdgILENJUS5MU0U6U0ZPUi5JUV9QRVJJT0REQVRFLjk5OS4zMC8wNC8yMDIwLi5GAQAAAMtT5CEFAAAACjMxLzEyLzIwMTgAsa8kVfJB2Ajme4FZ8kHYCBlDSVEuLklRX1ZPTFVNRS4xMC8wNS8yMDE5BQAAAAAAAAAIAAAAFChJbnZhbGlkIElkZW50aWZpZXIp2Tm1U/JB2Ah1mLpy8kHYCCpDSVEuTFNFOlRTQ08uSVFfTkkuOTk2LjMxLzEyLzIwMTkuLkYuR0JQLkMBAAAAMFAGAAIAAAAFLTU3NDEBCAAAAAUAAAABMQEAAAAKMTc5MTQ2ODE0NgMAAAACNTUCAAAAAjE1BAAAAAExBwAAAAoxMi8zMS8yMDE5CAAAAAk4LzE2LzIwMjAJAAAAATDaFJZ38kHYCF9V</t>
  </si>
  <si>
    <t>6HjyQdgIO0NJUS5OWVNFOk1BTlUuSVFfRUJJVERBX01FRElBTl9FU1QuMTAwMy4zMC8wNC8yMDIwLi5GLkdCUC5DAQAAAN1rDQACAAAACDE4Mi45NDI1AQ4AAAAFAAAAATMBAAAAATACAAAACjEwMDM3MjgyMDEDAAAABjEwMDE4OAQAAAABMwYAAAABMAcAAAACNTUIAAAAATEJAAAAATEKAAAAATALAAAACzExODY4NjI0MTY3DAAAAAExDQAAAAg1LzEvMjAyMBAAAAAJOC8xNi8yMDIwpH8HS/JB2AgnN6FZ8kHYCCdDSVEuTllTRTpLTy5JUV9MQVNUU0FMRVBSSUNFLjA1LzEwLzIwMTgBAAAAEmgAAAIAAAAFNDUuODgAQ5iFUvJB2AhpChVx8kHYCClDSVEuTllTRTpLTy5JUV9HUC45OTcuMzEvMTIvMjAxOS4uRi5VU0QuQwEAAAASaAAAAgAAAAUyNjgxMgEIAAAABQAAAAExAQAAAAoxODc1Nzk3ODA5AwAAAAMxNjACAAAAAjEwBAAAAAExBwAAAAoxMi8zMS8yMDE5CAAAAAk4LzE2LzIwMjAJAAAAATAeIhh48kHYCDxm8HjyQdgILENJUS5OWVNFOlJBQ0UuSVFfTkkuMTAwMC4zMC8wNC8yMDIwLi5GLkVVUi5DAQAAAD2CsBACAAAABzY5NS44MTgBCAAAAAUAAAABMQEAAAAKMjAxNTYzOTgyMgMAAAACNTACAAAAAjE1BAAAAAExBwAAAAk0LzMwLzIwMjAIAAAACTgvMTYvMjAyMAkAAAABMNkKB0vyQdgIMzeoWfJB2AgpQ0lRLk5ZU0U6UkFDRS5JUV9MQVNUU0FMRVBSSUNFLjE4LzAxLzIwMTkBAAAAPYKwEAIAAAAG</t>
  </si>
  <si>
    <t>MTEzLjI5AKS8f1PyQdgI5tEicfJB2AgpQ0lRLkxTRTpTRk9SLklRX0RJVklERU5EX1lJRUxELjMxLzEyLzIwMTkBAAAAy1PkIQMAAAAAAP4DQnXyQdgIQ01PdvJB2Ag2Q0lRLk5BU0RBUUdTOlRTTEEuSVFfQ09TVF9SRVYuMjAwMC4zMC8wNC8yMDIwLi5GLlVTRC5DAQAAABDGogECAAAABTIxMjg1AQgAAAAFAAAAATEBAAAACjIwMzIwNDUzMzQDAAAAAzE2MAIAAAABMQQAAAABMQcAAAAJNC8zMC8yMDIwCAAAAAk4LzE2LzIwMjAJAAAAATC8WAdL8kHYCMqgnlnyQdgIOUNJUS5MU0U6VFNDTy5JUV9DQVBFWF9NRURJQU5fRVNULjEwMDEuMzAvMDQvMjAyMC4uRi5HQlAuQwEAAAAwUAYAAgAAAAUtMTE2MQEOAAAABQAAAAEzAQAAAAEwAgAAAAoxMDAwMjY0NDk5AwAAAAYxMDQwOTEEAAAAATMGAAAAATAHAAAAAjU1CAAAAAExCQAAAAExCgAAAAEwCwAAAAsxMTg5MjM1NzExOAwAAAABMQ0AAAAINS8xLzIwMjAQAAAACTgvMTYvMjAyMKR/B0vyQdgIcRurWfJB2AgtQ0lRLk5BU0RBUUdTOkNBS0UuSVFfTEFTVFNBTEVQUklDRS4wMy8wNS8yMDE5AQAAAAjgBAACAAAABTUwLjAxAN7SflPyQdgID1ImcfJB2AgtQ0lRLk5BU0RBUUdTOkNBS0UuSVFfTEFTVFNBTEVQUklDRS4zMS8wMy8yMDE5AQAAAAjgBAACAAAABTQ4LjkyAAgPflPyQdgIyWYscfJB2AgnQ0lRLiRBRURDTFAuSVFfTEFTVFNBTEVQUklDRS4zMC8w</t>
  </si>
  <si>
    <t>NC8yMDIwAQAAACXrWgACAAAACzAuMDA0MzkyNDY0AKokJVXyQdgIMdiDWfJB2Ag2Q0lRLk5ZU0U6TUFOVS5JUV9UT1RBTF9BU1NFVFMuMjAwMC4zMC8wNC8yMDIwLi5GLkdCUC5DAQAAAN1rDQACAAAACDEzNTguNjUyAQgAAAAFAAAAATEBAAAACjIwMTg2MzIwMDMDAAAAAjU1AgAAAAQxMDA3BAAAAAExBwAAAAk0LzMwLzIwMjAIAAAACTgvMTYvMjAyMAkAAAABMP9vykzyQdgI20iUWfJB2AgtQ0lRLkxTRTpTRk9SLklRX1BFUklPRERBVEUuMTAwMC4zMS8xMi8yMDE5Li5GAQAAAMtT5CEFAAAACjMxLzEyLzIwMTgA/gNCdfJB2AjDUk128kHYCDtDSVEuTkFTREFRR1M6Q0FLRS5JUV9DQVNIX1NUX0lOVkVTVC45OTguMzAvMDQvMjAyMC4uRi5VU0QuQwEAAAAI4AQAAgAAAAU2LjAwOAEIAAAABQAAAAExAQAAAAoyMDIxNTgxNDA5AwAAAAMxNjACAAAABDEwMDIEAAAAATEHAAAACTQvMzAvMjAyMAgAAAAJOC8xNi8yMDIwCQAAAAEwA0nKTPJB2AhT6pJZ8kHYCCBDSVEuLklRX0xBU1RTQUxFUFJJQ0UuMTEvMDEvMjAxOQUAAAAAAAAACAAAABQoSW52YWxpZCBJZGVudGlmaWVyKad3N1HyQdgI/gdcc/JB2AgkQ0lRLl5TUFguSVFfTEFTVFNBTEVQUklDRS4zMS8wNS8yMDE3AQAAAJu4KAACAAAAEDI0MTEuNzk3MzI0MjU3MzUAfKuFUfJB2AjSUwhz8kHYCCZDSVEuTkFTREFRR1M6VFNMQS5JUV9WT0xVTUUuMTYv</t>
  </si>
  <si>
    <t>MTEvMjAxOAEAAAAQxqIBAgAAAAg3LjIwNjE5MQDH4n9T8kHYCKvxHXHyQdgIJkNJUS5OQVNEQVFHUzpUU0xBLklRX1ZPTFVNRS4wMy8wNC8yMDIwAQAAABDGogECAAAACDIyLjU2MjA4AKPWJFXyQdgIq417WfJB2AgwQ0lRLk5BU0RBUUdTOkNBS0UuSVFfR1AuMTAwMC4zMC8wNC8yMDIwLi5GLlVTRC5DAQAAAAjgBAACAAAACDEwMjEuMjQyAQgAAAAFAAAAATEBAAAACjIwMjE1ODE0MTEDAAAAAzE2MAIAAAACMTAEAAAAATEHAAAACTQvMzAvMjAyMAgAAAAJOC8xNi8yMDIwCQAAAAEw/2/KTPJB2Aifip9Z8kHYCCJDSVEuTllTRTpSQUNFLklRX1ZPTFVNRS4yNy8xMi8yMDE5AQAAAD2CsBACAAAACDAuNDAwMzM3ANk5tVPyQdgI6pK8cvJB2Ag0Q0lRLk5ZU0U6S08uSVFfRVFVSVRZX01FVEhPRC45OTguMzEvMTIvMjAxOS4uRi5VU0QuQwEAAAASaAAAAgAAAAUxNjI2MAEIAAAABQAAAAExAQAAAAoxOTQ2NDMwNzgyAwAAAAMxNjACAAAABDMwNjMEAAAAATEHAAAACjEyLzMxLzIwMTkIAAAACTgvMTYvMjAyMAkAAAABMEdgF3jyQdgIKbX/ePJB2Ag2Q0lRLk5ZU0U6UkFDRS5JUV9FUVVJVFlfTUVUSE9ELjk5Ni4zMC8wNC8yMDIwLi5GLkVVUi5DAQAAAD2CsBADAAAAAADg4wZL8kHYCLt5kFnyQdgIJUNJUS5eQ09NUC5JUV9MQVNUU0FMRVBSSUNFLjMxLzA3LzIwMTYBAAAAibgoAAIAAAAHNTE2Mi4xMwB8q4VR</t>
  </si>
  <si>
    <t>8kHYCF0nCnPyQdgIJ0NJUS4kQUVEWkFSLklRX0xBU1RTQUxFUFJJQ0UuMzEvMTIvMjAxOQEAAAAl61oAAgAAAAswLjI2MjQ5NDAxNQD+A0J18kHYCO9WS3byQdgIIkNJUS5OWVNFOlJBQ0UuSVFfVk9MVU1FLjEyLzA0LzIwMTkBAAAAPYKwEAIAAAAIMC4yOTIyMDYAuZR/U/JB2Agqqbty8kHYCCRDSVEuXkFTWC5JUV9MQVNUU0FMRVBSSUNFLjI0LzAxLzIwMjABAAAAH1PrAQIAAAALNDIxMy4xMzcyMDMASQUzUvJB2Ag+M79Z8kHYCDZDSVEuTkFTREFRR1M6Q0FLRS5JUV9MVF9JTlZFU1QuOTk5LjMwLzA0LzIwMjAuLkYuVVNELkMBAAAACOAEAAIAAAAGNzkuNzY3AQgAAAAFAAAAATEBAAAACjIwMjE1ODE0MjADAAAAAzE2MAIAAAAEMTA1NAQAAAABMQcAAAAJNC8zMC8yMDIwCAAAAAk4LzE2LzIwMjAJAAAAATADScpM8kHYCIuAlVnyQdgIO0NJUS5MU0U6VFNDTy5JUV9UT1RBTF9DT01NT05fRVFVSVRZLjk5OC4zMS8xMi8yMDE5Li5GLkdCUC5DAQAAADBQBgACAAAABDY0MzgBCAAAAAUAAAABMQEAAAAKMTg4ODUyNTA3NAMAAAACNTUCAAAABDEwMDYEAAAAATEHAAAACjEyLzMxLzIwMTkIAAAACTgvMTYvMjAyMAkAAAABMB77F3jyQdgISQ30ePJB2AgnQ0lRLiRBRURUSEIuSVFfTEFTVFNBTEVQUklDRS4zMC8wNC8yMDIwAQAAACXrWgACAAAACzAuMTEzNDE2NzA1AKokJVXyQdgIHCaEWfJB2AgtQ0lRLk5B</t>
  </si>
  <si>
    <t>U0RBUUdTOkNBS0UuSVFfTEFTVFNBTEVQUklDRS4xMi8wNy8yMDE5AQAAAAjgBAACAAAABTQyLjk3ANGDflPyQdgI33EocfJB2Ag/Q0lRLkxTRTpUU0NPLklRX01JTk9SSVRZX0lOVEVSRVNUX1RPVEFMLjk5OC4zMS8xMi8yMDE5Li5GLkdCUC5DAQAAADBQBgACAAAAAy0yNAEIAAAABQAAAAExAQAAAAoxODg4NTI1MDc0AwAAAAI1NQIAAAAEMTMxMgQAAAABMQcAAAAKMTIvMzEvMjAxOQgAAAAJOC8xNi8yMDIwCQAAAAEwhNQXePJB2AjLVvZ48kHYCCxDSVEuTllTRTpSQUNFLklRX05JLjEwMDAuMzEvMTIvMjAxOS4uRi5FVVIuQwEAAAA9grAQAgAAAAc3ODQuNjc4AQgAAAAFAAAAATEBAAAACjE5NDc0NDQxODMDAAAAAjUwAgAAAAIxNQQAAAABMQcAAAAKMTIvMzEvMjAxOQgAAAAJOC8xNi8yMDIwCQAAAAEw3O2Vd/JB2Ag/yuh48kHYCCVDSVEuXkNPTVAuSVFfTEFTVFNBTEVQUklDRS4yNC8wNS8yMDE5AQAAAIm4KAACAAAABzc2MzcuMDEAfKuFUfJB2AgZVBZz8kHYCDFDSVFBVkcuJVRDTVNZMDMuSVFfTEFTVFNBTEVQUklDRS40MDI5OC4zMC8wNC8yMDIwAQAAABQfKAICAAAADzEuMTYzNDUwNjE5NzUyMQCqJCVV8kHYCBrChFnyQdgIKENJUS5MU0U6U0ZPUi5JUV9MQVNUU0FMRVBSSUNFLjMxLzAzLzIwMjABAAAAy1PkIQIAAAAEMS41MgAB6H1T8kHYCJcXX1nyQdgIIENJUS5OWVNFOktPLklRX1ZPTFVN</t>
  </si>
  <si>
    <t>RS4xNC8wNi8yMDE5AQAAABJoAAACAAAACDguNjk0MjYxAKPWJFXyQdgIONDCcvJB2AgmQ0lRLk5BU0RBUUdTOkNBS0UuSVFfVk9MVU1FLjE1LzAzLzIwMTkBAAAACOAEAAIAAAAIMC44Mjg3MjQApLx/U/JB2AjxOsBy8kHYCCFDSVEuTFNFOlRTQ08uSVFfVk9MVU1FLjEyLzAxLzIwMTgBAAAAMFAGAAIAAAAIMjcuNTk5MTUAKCtCdfJB2AjJx1t28kHYCDRDSVEuTllTRTpLTy5JUV9FUVVJVFlfTUVUSE9ELjk5Ni4zMC8wNC8yMDIwLi5GLlVTRC5DAQAAABJoAAACAAAABTEyMzE4AQgAAAAFAAAAATEBAAAACjE4NzU3OTc4MDkDAAAAAzE2MAIAAAAEMzA2MwQAAAABMQcAAAAJNC8zMC8yMDIwCAAAAAk4LzE2LzIwMjAJAAAAATADScpM8kHYCMpSkFnyQdgIKkNJUS5MU0U6U0ZPUi5JUV9DT1NUX0JPUlJPV0lORy4uMzEvMTIvMjAxOQEAAADLU+QhAgAAAAY1LjE2MTQBCAAAAAUAAAABMQEAAAAKMjAzNjE2NzkwMwMAAAACNTUCAAAABTIxNjgxBAAAAAEwBwAAAAoxMi8zMS8yMDE5CAAAAAoxMi8zMS8yMDE5CQAAAAEw/gNCdfJB2AhDTU928kHYCClDSVEuTllTRTpNQU5VLklRX0xBU1RTQUxFUFJJQ0UuMjgvMDIvMjAxNwEAAADdaw0AAgAAAAUxNi44NQDRg35T8kHYCBErJnHyQdgIMkNJUS5OQVNEQVFHUzpDQUtFLklRX1BSSUNFX1ZPTF9ISVNUXzVZUi4zMS8xMi8yMDE5AQAAAAjgBAACAAAABzI1LjM1NjQA</t>
  </si>
  <si>
    <t>69/ddPJB2AhoFUd28kHYCD1DSVEuTkFTREFRR1M6Q0FLRS5JUV9FQklUX01FRElBTl9FU1QuMTAwMy4zMC8wNC8yMDIwLi5GLlVTRC5DAQAAAAjgBAACAAAACDEzNy4wMzE1AQ4AAAAFAAAAATMBAAAAATACAAAACjEwMDIyMjQyMjQDAAAABjEwMDIxNgQAAAABMgYAAAABMAcAAAADMTYwCAAAAAExCQAAAAExCgAAAAEwCwAAAAsxMTg3MDE2NDk3OQwAAAABMQ0AAAAINS8xLzIwMjAQAAAACTgvMTYvMjAyMP9vykzyQdgI04CjWfJB2AgnQ0lRLk5ZU0U6S08uSVFfTEFTVFNBTEVQUklDRS4zMS8wMy8yMDE1AQAAABJoAAACAAAABTQwLjU1AEFSQnXyQdgIAxBQdvJB2Ag3Q0lRLk5BU0RBUUdTOlRTTEEuSVFfVE9UQUxfTElBQi45OTYuMzEvMTIvMjAxOS4uRi5VU0QuQwEAAAAQxqIBAgAAAAg0OTE4Ljk1NwEIAAAABQAAAAExAQAAAAoxODMwMTQzMzAwAwAAAAMxNjACAAAABDEyNzYEAAAAATEHAAAACjEyLzMxLzIwMTkIAAAACTgvMTYvMjAyMAkAAAABMITUF3jyQdgIEW31ePJB2AgpQ0lRLklRMjY2ODYzOS5JUV9MQVNUU0FMRVBSSUNFLjMxLzEyLzIwMTkBAAAAX7goAAIAAAAEMy4wNADYLd508kHYCIgOSXbyQdgILUNJUS5OWVNFOlJBQ0UuSVFfUEVSSU9EREFURS45OTUuMzEvMTIvMjAxOS4uRgEAAAA9grAQBQAAAAozMS8xMi8yMDEzAP4DQnXyQdgIX+5NdvJB2AgtQ0lRLk5ZU0U6UkFDRS5JUV9QRVJJ</t>
  </si>
  <si>
    <t>T0REQVRFLjk5OS4zMC8wNC8yMDIwLi5GAQAAAD2CsBAFAAAACjMxLzEyLzIwMTgAsa8kVfJB2Ajme4FZ8kHYCClDSVEuTllTRTpLTy5JUV9OSS45OTguMzAvMDQvMjAyMC4uRi5VU0QuQwEAAAASaAAAAgAAAAQxMjQ4AQgAAAAFAAAAATEBAAAACjIwMTY3OTEyNTADAAAAAzE2MAIAAAACMTUEAAAAATEHAAAACTQvMzAvMjAyMAgAAAAJOC8xNi8yMDIwCQAAAAEwA0nKTPJB2AgdhahZ8kHYCCBDSVEuLklRX0xBU1RTQUxFUFJJQ0UuMzAvMDkvMjAxOQUAAAAAAAAACAAAABQoSW52YWxpZCBJZGVudGlmaWVyKdzSL1LyQdgISbgjc/JB2Ag2Q0lRLk5ZU0U6TUFOVS5JUV9UT1RBTF9SRUNFSVYuMjAwMC4zMS8xMi8yMDE5Li5GLkdCUC5DAQAAAN1rDQACAAAABjkxLjkwNQEIAAAABQAAAAExAQAAAAoxOTkzNjIxMzIyAwAAAAI1NQIAAAAEMTAwMQQAAAABMQcAAAAKMTIvMzEvMjAxOQgAAAAJOC8xNi8yMDIwCQAAAAEw2hSWd/JB2AhlruR48kHYCDdDSVEuTllTRTpNQU5VLklRX0RBX01FRElBTl9FU1QuNjAwMC4zMS8xMi8yMDE5Li5GLkdCUC5DAQAAAN1rDQADAAAAAAA7PJZ38kHYCIbg53jyQdgIIUNJUS5MU0U6U0ZPUi5JUV9WT0xVTUUuMjcvMDMvMjAyMAEAAADLU+QhAgAAAAgwLjY4MzUxNwCV/SRV8kHYCOpKd1nyQdgILENJUS5MU0U6U0ZPUi5JUV9QUklDRV9WT0xfSElTVF9ZUi4zMC8wNC8yMDIwAQAA</t>
  </si>
  <si>
    <t>AMtT5CECAAAABzQ5LjE2NjcA/DokVfJB2AjbtohZ8kHYCDRDSVEuTFNFOlNGT1IuSVFfUFJFRl9FUVVJVFkuMjAwMC4zMC8wNC8yMDIwLi5GLkdCUC5DAQAAAMtT5CEDAAAAAADZCgdL8kHYCNr5mlnyQdgIIkNJUS5OWVNFOlJBQ0UuSVFfVk9MVU1FLjE2LzA4LzIwMTkBAAAAPYKwEAIAAAAIMC40NDc3NDkAJWG1U/JB2AgR97ty8kHYCCBDSVEuTllTRTpLTy5JUV9WT0xVTUUuMDQvMDEvMjAxOQEAAAASaAAAAgAAAAgxMy4wMTM4MQCkvH9T8kHYCFiCwnLyQdgIM0NJUS5OQVNEQVFHUzpUU0xBLklRX0VCSVREQS45OTkuMzAvMDQvMjAyMC4uRi5VU0QuQwEAAAAQxqIBAgAAAAQxNjQ4AQgAAAAFAAAAATEBAAAACjIwMTM5MDc0NjMDAAAAAzE2MAIAAAAENDA1MQQAAAABMQcAAAAJNC8zMC8yMDIwCAAAAAk4LzE2LzIwMjAJAAAAATDJMQdL8kHYCKTjolnyQdgINUNJUUFWRy4kQUVERVVSLklRX0xBU1RTQUxFUFJJQ0UuMzEvMTIvMjAxOC4zMS8xMi8yMDE5AQAAACXrWgACAAAABzQuMTEyMjMA6pbKTPJB2AgRm4tZ8kHYCC1DSVEuTFNFOlNGT1IuSVFfQ0FQRVguOTk3LjMwLzA0LzIwMjAuLkYuR0JQLkMBAAAAy1PkIQMAAAAAAMkxB0vyQdgIMd6rWfJB2Ag5Q0lRLk5ZU0U6S08uSVFfVE9UQUxfREVCVF9DVVJSRU5ULjk5Ni4zMS8xMi8yMDE5Li5GLlVTRC5DAQAAABJoAAACAAAABTIyNjgyAQgAAAAFAAAA</t>
  </si>
  <si>
    <t>ATEBAAAACjE4MjkyMzA5NTYDAAAAAzE2MAIAAAAFMjUyMjMEAAAAATEHAAAACjEyLzMxLzIwMTkIAAAACTgvMTYvMjAyMAkAAAABMBytF3jyQdgIZ934ePJB2Ag2Q0lRLk5BU0RBUUdTOkNBS0UuSVFfQ09TVF9SRVYuMjAwMC4zMC8wNC8yMDIwLi5GLlVTRC5DAQAAAAjgBAACAAAABzE0NjEuNDUBCAAAAAUAAAABMQEAAAAKMjAyMTU4MjcwNAMAAAADMTYwAgAAAAExBAAAAAExBwAAAAk0LzMwLzIwMjAIAAAACTgvMTYvMjAyMAkAAAABMP9vykzyQdgIyqCeWfJB2AgzQ0lRQVZHLklRNTAwMjc1ODEuSVFfTEFTVFNBTEVQUklDRS40MDI5OC4zMC8wNC8yMDIwAQAAAD1c+wICAAAAETAuNTUzODE0MDkzMDA2NzQ1AKokJVXyQdgIUwqHWfJB2AgtQ0lRLk5ZU0U6UkFDRS5JUV9FQlQuMTAwMy4zMC8wNC8yMDIwLi5GLkVVUi5DAQAAAD2CsBADAAAAAADZCgdL8kHYCAQspVnyQdgINkNJUS5MU0U6VFNDTy5JUV9OSV9NRURJQU5fRVNULjEwMDMuMzAvMDQvMjAyMC4uRi5HQlAuQwEAAAAwUAYAAgAAAAQxNzkwAQ4AAAAFAAAAATMBAAAAATACAAAACjEwMDE0MTYwNzcDAAAABjEwMDI1MQQAAAABMwYAAAABMAcAAAACNTUIAAAAATEJAAAAATEKAAAAATALAAAACzExODgzNzQzNzY4DAAAAAExDQAAAAg1LzEvMjAyMBAAAAAJOC8xNi8yMDIwpH8HS/JB2AhWm6dZ8kHYCDFDSVEuTFNFOlNGT1IuSVFfTFRfSU5WRVNU</t>
  </si>
  <si>
    <t>Ljk5Ni4zMS8xMi8yMDE5Li5GLkdCUC5DAQAAAMtT5CEDAAAAAAA7hhd48kHYCMbF+XjyQdgIJ0NJUS5OWVNFOktPLklRX0xBU1RTQUxFUFJJQ0UuMTQvMDYvMjAxOQEAAAASaAAAAgAAAAU1MS4zMQDBqn5T8kHYCIqwJ3HyQdgIMkNJUS5MU0U6U0ZPUi5JUV9MVF9JTlZFU1QuMjAwMC4zMC8wNC8yMDIwLi5GLkdCUC5DAQAAAMtT5CEDAAAAAADZCgdL8kHYCKIylVnyQdgILUNJUS5OQVNEQVFHUzpUU0xBLklRX0xBU1RTQUxFUFJJQ0UuMTAvMDQvMjAyMAEAAAAQxqIBAgAAAAM1NzMAAeh9U/JB2AiH8F5Z8kHYCDhDSVEuTFNFOlRTQ08uSVFfRUJJVF9NRURJQU5fRVNULjYwMDAuMzEvMTIvMjAxOS4uRi5HQlAuQwEAAAAwUAYAAgAAAAgzMDA2LjcxNAEOAAAABQAAAAIxMQEAAAABMAIAAAAHODQxNjc5MgMAAAAGMTAwMjE2BAAAAAEzBgAAAAEwBwAAAAI1NQgAAAABMQkAAAABMQoAAAABMAsAAAALMTE3MjIxMTMxMTYMAAAAAjEyDQAAAAgxLzEvMjAyMBAAAAAJOC8xNi8yMDIw80gYePJB2Agrv+x48kHYCCZDSVEuTkFTREFRR1M6VFNMQS5JUV9WT0xVTUUuMjMvMDMvMjAxOAEAAAAQxqIBAgAAAAg2LjY1NDg5OQAoK0J18kHYCHb0UnbyQdgIJENJUS5eQVNYLklRX0xBU1RTQUxFUFJJQ0UuMjAvMDQvMjAxOAEAAAAfU+sBAgAAAAs0MDYyLjI5NTk1NADYLd508kHYCG3cRXbyQdgIIUNJUS5MU0U6U0ZPUi5J</t>
  </si>
  <si>
    <t>UV9WT0xVTUUuMTIvMDcvMjAxOQEAAADLU+QhAgAAAAgwLjEwNTYyNADZObVT8kHYCLcuvXLyQdgIJENJUS5eQVNYLklRX0xBU1RTQUxFUFJJQ0UuMzEvMTAvMjAxNwEAAAAfU+sBAgAAAAs0MTE3LjY5MjE0MwC1vDdS8kHYCAFgC3PyQdgIKUNJUS5OWVNFOk1BTlUuSVFfTEFTVFNBTEVQUklDRS4zMC8wNi8yMDE4AQAAAN1rDQACAAAABDIwLjYA6DV+U/JB2Ah39ylx8kHYCCBDSVEuLklRX0xBU1RTQUxFUFJJQ0UuMjMvMDIvMjAxOAUAAAAAAAAACAAAABQoSW52YWxpZCBJZGVudGlmaWVyKVRa3HTyQdgIxAQ/dvJB2AgoQ0lRLkxTRTpUU0NPLklRX0xBU1RTQUxFUFJJQ0UuMDkvMDMvMjAxOAEAAAAwUAYAAgAAAAUyLjEyNwAoK0J18kHYCM/AVnbyQdgINkNJUS5VU0QuSVFfRlVMTF9DVVJWRV9BTk5VQUwuQUxMQ09SUC5CQi4yMFkuMzEvMTIvMjAxOQEAAAAAAAAAAgAAAAkwLjA2MzIxMjIA2C3edPJB2Ahog0l28kHYCD9DSVEuTllTRTpNQU5VLklRX1RPVEFMX0RFQlRfTk9OX0NVUlJFTlQuOTk2LjMwLzA0LzIwMjAuLkYuR0JQLkMBAAAA3WsNAAIAAAAHNDEwLjU5MwEIAAAABQAAAAExAQAAAAoxODYxNzM2ODY5AwAAAAI1NQIAAAAFMjUyMjQEAAAAATEHAAAACTQvMzAvMjAyMAgAAAAJOC8xNi8yMDIwCQAAAAEw/2/KTPJB2Aif2ZhZ8kHYCC9DSVEuTllTRTpNQU5VLklRX0xBU1RTQUxFUFJJQ0UuMzAv</t>
  </si>
  <si>
    <t>MDYvMjAxOS5HQlAuQwEAAADdaw0AAgAAAAoxMy43OTY2NjcyAANJykzyQdgIOTBgdvJB2AggQ0lRLi5JUV9MQVNUU0FMRVBSSUNFLjI4LzA2LzIwMTkFAAAAAAAAAAgAAAAUKEludmFsaWQgSWRlbnRpZmllcimGXYVR8kHYCHRUQHPyQdgIN0NJUS5BVUQuSVFfRlVMTF9DVVJWRV9BTk5VQUwuQUxMQ09SUC5CQkIuMjBZLjMxLzEyLzIwMTkBAAAAAAAAAAIAAAAJMC4wMzU5MDgzANgt3nTyQdgISfhJdvJB2AgkQ0lRLl5TUFguSVFfTEFTVFNBTEVQUklDRS4yNC8wNC8yMDIwAQAAAJu4KAACAAAAEDI4MzYuNzM5NzEwODQ3NTkAAN4yUvJB2AhLLLpZ8kHYCDNDSVEuTkFTREFRR1M6Q0FLRS5JUV9EQV9DRi4yMDAwLjMxLzEyLzIwMTkuLkYuVVNELkMBAAAACOAEAAIAAAAFODYuNDIBCAAAAAUAAAABMQEAAAAKMTk5MTMyNzA0MAMAAAADMTYwAgAAAAQyMTYwBAAAAAExBwAAAAoxMi8zMS8yMDE5CAAAAAk4LzE2LzIwMjAJAAAAATDaFJZ38kHYCKBr53jyQdgIKENJUS5MU0U6VFNDTy5JUV9MQVNUU0FMRVBSSUNFLjE1LzAzLzIwMTkBAAAAMFAGAAIAAAAFMi4yOTQApLx/U/JB2AhypSRx8kHYCC9DSVEuTkFTREFRR1M6Q0FLRS5JUV9HUC45OTkuMzAvMDQvMjAyMC4uRi5VU0QuQwEAAAAI4AQAAgAAAAc5NjUuMzE3AQgAAAAFAAAAATEBAAAACjIwMjE1ODE0MjADAAAAAzE2MAIAAAACMTAEAAAAATEHAAAACTQv</t>
  </si>
  <si>
    <t>MzAvMjAyMAgAAAAJOC8xNi8yMDIwCQAAAAEw/2/KTPJB2AjBsp9Z8kHYCDRDSVEuTFNFOlNGT1IuSVFfUFJFRl9FUVVJVFkuMTAwMC4zMC8wNC8yMDIwLi5GLkdCUC5DAQAAAMtT5CEDAAAAAADZCgdL8kHYCNMgm1nyQdgIOkNJUS5OWVNFOlJBQ0UuSVFfSElHSF9UQVJHRVRfUFJJQ0UuNjAwMC4zMS8xMi8yMDE5Li4uRVVSLkMBAAAAPYKwEAIAAAAGMjAzLjY3AQ4AAAAFAAAAATcBAAAACTMxMzk3NDk4MQIAAAAKMTAwMzIyNTEyNQMAAAAGMTAwMTYzBAAAAAMyNTUGAAAAATAHAAAAAjUwCAAAAAExCQAAAAExCgAAAAEwCwAAAAsxMTcwNTI1MTI2MwwAAAABOA0AAAAIMS8xLzIwMjAQAAAACTgvMTYvMjAyMB4iGHjyQdgIRHkAefJB2AgqQ0lRLkxTRTpUU0NPLklRX0ZJU0NBTF9ZLjUwMC4zMC8wNC8yMDIwLi5GAQAAADBQBgABAAAABDIwMjAA/DokVfJB2Ai+K4lZ8kHYCCdDSVEuJEFFRElEUi5JUV9MQVNUU0FMRVBSSUNFLjMwLzA0LzIwMTkBAAAAJetaAAIAAAALMC4wMDAyNTg0OTgAqiQlVfJB2AhQY4NZ8kHYCDFDSVEuTFNFOlNGT1IuSVFfVE9UQUxfUkVWLjk5NS4zMS8xMi8yMDE5Li5GLkdCUC5DAQAAAMtT5CEDAAAAAAAe+xd48kHYCGPH8XjyQdgIGUNJUS4uSVFfVk9MVU1FLjE2LzA4LzIwMTkFAAAAAAAAAAgAAAAUKEludmFsaWQgSWRlbnRpZmllcinZObVT8kHYCFfmunLyQdgIIENJUS5OWVNF</t>
  </si>
  <si>
    <t>OktPLklRX1ZPTFVNRS4xMC8wNC8yMDIwAQAAABJoAAADAAAAAACj1iRV8kHYCDKdfFnyQdgIQENJUS5OQVNEQVFHUzpUU0xBLklRX01FRElBTl9UQVJHRVRfUFJJQ0UuNjAwMC4zMS8xMi8yMDE5Li4uVVNELkMBAAAAEMaiAQIAAAADMzAwAQ4AAAAFAAAAATcBAAAACTEwODgwMzkxNQIAAAAKMTAwMDg3MjkyMwMAAAAGMTAwMTYyBAAAAAMyNTUGAAAAATAHAAAAAzE2MAgAAAABMQkAAAABMQoAAAABMAsAAAALMTE3MjkwOTAyNzMMAAAAATgNAAAACDEvMS8yMDIwEAAAAAk4LzE2LzIwMjAeIhh48kHYCBSgAHnyQdgILUNJUS5OQVNEQVFHUzpUU0xBLklRX0xBU1RTQUxFUFJJQ0UuMTIvMTAvMjAxOAEAAAAQxqIBAgAAAAYyNTguNzgAQ5iFUvJB2AhGfxVx8kHYCCZDSVEuTkFTREFRR1M6Q0FLRS5JUV9WT0xVTUUuMTAvMDQvMjAyMAEAAAAI4AQAAwAAAAAAlf0kVfJB2AjIonpZ8kHYCDFDSVEuTkFTREFRR1M6VFNMQS5JUV9FQklULjk5Ni4zMC8wNC8yMDIwLi5GLlVTRC5DAQAAABDGogECAAAACC03MTYuNjI5AQgAAAAFAAAAATEBAAAACjE4NzU3NjkwODIDAAAAAzE2MAIAAAADNDAwBAAAAAExBwAAAAk0LzMwLzIwMjAIAAAACTgvMTYvMjAyMAkAAAABMMkxB0vyQdgIDgWlWfJB2AgpQ0lRLk5ZU0U6UkFDRS5JUV9MQVNUU0FMRVBSSUNFLjMxLzEwLzIwMTgBAAAAPYKwEAIAAAAGMTE3LjExAOg1flPyQdgI</t>
  </si>
  <si>
    <t>GS8rcfJB2Ag/Q0lRLkxTRTpUU0NPLklRX1RPVEFMX0RFQlRfTk9OX0NVUlJFTlQuMjAwMC4zMC8wNC8yMDIwLi5GLkdCUC5DAQAAADBQBgACAAAABTE0OTczAQgAAAAFAAAAATEBAAAACjIwMjY1MDczODgDAAAAAjU1AgAAAAUyNTIyNAQAAAABMQcAAAAJNC8zMC8yMDIwCAAAAAk4LzE2LzIwMjAJAAAAATDJMQdL8kHYCJYVmFnyQdgIL0NJUS5OQVNEQVFHUzpDQUtFLklRX0dQLjk5Ni4zMS8xMi8yMDE5Li5GLlVTRC5DAQAAAAjgBAACAAAABzg0MC4yMTYBCAAAAAUAAAABMQEAAAAKMTgzMDM4Njk4NgMAAAADMTYwAgAAAAIxMAQAAAABMQcAAAAKMTIvMzEvMjAxOQgAAAAJOC8xNi8yMDIwCQAAAAEwHiIYePJB2AhzQPB48kHYCCtDSVEuTFNFOlRTQ08uSVFfR1AuMTAwMC4zMC8wNC8yMDIwLi5GLkdCUC5DAQAAADBQBgACAAAABDQ5NDQBCAAAAAUAAAABMQEAAAAKMjAyNjUwNzMwOQMAAAACNTUCAAAAAjEwBAAAAAExBwAAAAk0LzMwLzIwMjAIAAAACTgvMTYvMjAyMAkAAAABMMkxB0vyQdgIwbKfWfJB2AgsQ0lRLk5ZU0U6UkFDRS5JUV9TR0EuOTk5LjMwLzA0LzIwMjAuLkYuRVVSLkMBAAAAPYKwEAIAAAAHMzI3LjM0MQEIAAAABQAAAAExAQAAAAoyMDE1NjM5ODE4AwAAAAI1MAIAAAACMjMEAAAAATEHAAAACTQvMzAvMjAyMAgAAAAJOC8xNi8yMDIwCQAAAAEw2QoHS/JB2AhWm6BZ8kHYCCRDSVEuXlNQ</t>
  </si>
  <si>
    <t>WC5JUV9MQVNUU0FMRVBSSUNFLjIzLzExLzIwMTgBAAAAm7goAAIAAAAQMjYzMi41NTY2MzQ1OTQzMQCKxTdR8kHYCMxvE3PyQdgIMUNJUS5OQVNEQVFHUzpUU0xBLklRX0VCSVQuOTk3LjMxLzEyLzIwMTkuLkYuVVNELkMBAAAAEMaiAQIAAAAILTcxNi42MjkBCAAAAAUAAAABMQEAAAAKMTg3NTc2OTA4MgMAAAADMTYwAgAAAAM0MDAEAAAAATEHAAAACjEyLzMxLzIwMTkIAAAACTgvMTYvMjAyMAkAAAABMB4iGHjyQdgIc9XrePJB2Ag0Q0lRLk5ZU0U6UkFDRS5JUV9QUkVGX0VRVUlUWS45OTguMzAvMDQvMjAyMC4uRi5FVVIuQwEAAAA9grAQAwAAAAAA2QoHS/JB2AjIbptZ8kHYCDVDSVEuTllTRTpLTy5JUV9EQV9NRURJQU5fRVNULjYwMDEuMzAvMDQvMjAyMC4uRi5VU0QuQwEAAAASaAAAAwAAAAAA/2/KTPJB2Aj9+ahZ8kHYCCRDSVEuXlNQWC5JUV9MQVNUU0FMRVBSSUNFLjMxLzA4LzIwMTcBAAAAm7goAAIAAAAQMjQ3MS42NTAyMDc5NDIwMQC1vDdS8kHYCNQsCHPyQdgIJENJUS5eQVNYLklRX0xBU1RTQUxFUFJJQ0UuMDMvMDUvMjAxOQEAAAAfU+sBAgAAAAs0MDQ2Ljg2MzQ1OACgnjdR8kHYCNSWGnPyQdgIIkNJUS5OWVNFOk1BTlUuSVFfVk9MVU1FLjAzLzAxLzIwMjABAAAA3WsNAAIAAAAHMC4xMzk2MgCV/SRV8kHYCCIdeVnyQdgIPkNJUS5MU0U6U0ZPUi5JUV9UT1RBTF9ERUJUX05PTl9DVVJS</t>
  </si>
  <si>
    <t>RU5ULjk5OC4zMC8wNC8yMDIwLi5GLkdCUC5DAQAAAMtT5CEDAAAAAADZCgdL8kHYCIiKmFnyQdgIJkNJUS5OQVNEQVFHUzpDQUtFLklRX1ZPTFVNRS4xMC8wOC8yMDE4AQAAAAjgBAACAAAACDAuNTU1NTM5ADq/hVLyQdgIMy0QcfJB2Ag7Q0lRLkxTRTpUU0NPLklRX1JFVkVOVUVfTUVESUFOX0VTVC4xMDAzLjMwLzA0LzIwMjAuLkYuR0JQLkMBAAAAMFAGAAIAAAAFNjI0MDIBDgAAAAUAAAABMwEAAAABMAIAAAAKMTAwMTQxNjA3NwMAAAAGMTAwMTgxBAAAAAEzBgAAAAEwBwAAAAI1NQgAAAABMQkAAAABMQoAAAABMAsAAAALMTE4OTMzNDU2NTEMAAAAATENAAAACDUvMS8yMDIwEAAAAAk4LzE2LzIwMjCkfwdL8kHYCGemnFnyQdgIMkNJUS5OQVNEQVFHUzpUU0xBLklRX0VCSVQuMjAwMC4zMC8wNC8yMDIwLi5GLlVTRC5DAQAAABDGogECAAAAAzg0MQEIAAAABQAAAAExAQAAAAoyMDMyMDQ1MzM0AwAAAAMxNjACAAAAAzQwMAQAAAABMQcAAAAJNC8zMC8yMDIwCAAAAAk4LzE2LzIwMjAJAAAAATDJMQdL8kHYCFZDpFnyQdgIJENJUS5eQVNYLklRX0xBU1RTQUxFUFJJQ0UuMjEvMDkvMjAxOAEAAAAfU+sBAgAAAAs0MTI4LjU4MTU1OACKxTdR8kHYCJ6AG3PyQdgIKENJUS5MU0U6U0ZPUi5JUV9MQVNUU0FMRVBSSUNFLjExLzAxLzIwMTkBAAAAy1PkIQIAAAAFMS4yNzUApLx/U/JB2Aj/qiJx8kHYCCJDSVEu</t>
  </si>
  <si>
    <t>TllTRTpNQU5VLklRX1ZPTFVNRS4xNi8xMS8yMDE4AQAAAN1rDQACAAAACDAuMDMzMDkxAMfif1PyQdgIq/EdcfJB2AgrQ0lRLk5ZU0U6S08uSVFfRUJULjEwMDIuMzEvMTIvMjAxOS4uRi5VU0QuQwEAAAASaAAAAwAAAAAAHiIYePJB2AidYOt48kHYCC9DSVEuTkFTREFRR1M6Q0FLRS5JUV9GSVNDQUxfWS41MDAuMzEvMTIvMjAxOS4uRgEAAAAI4AQAAQAAAAQyMDE5AN8G3nTyQdgIVu5GdvJB2AgmQ0lRLk5BU0RBUUdTOlRTTEEuSVFfVk9MVU1FLjA4LzAyLzIwMTkBAAAAEMaiAQIAAAAINS44NDQyMTIApLx/U/JB2AijSsFy8kHYCC1DSVEuTkFTREFRR1M6Q0FLRS5JUV9MQVNUU0FMRVBSSUNFLjE3LzA0LzIwMjABAAAACOAEAAIAAAAFMTguNzIAAeh9U/JB2Agbw2BZ8kHYCEBDSVEuTllTRTpNQU5VLklRX1RPVEFMX0RFQlRfTk9OX0NVUlJFTlQuMjAwMC4zMC8wNC8yMDIwLi5GLkdCUC5DAQAAAN1rDQACAAAABzQ5Mi43OTUBCAAAAAUAAAABMQEAAAAKMjAxODYzMjAwMwMAAAACNTUCAAAABTI1MjI0BAAAAAExBwAAAAk0LzMwLzIwMjAIAAAACTgvMTYvMjAyMAkAAAABMLxYB0vyQdgInu6XWfJB2Ag6Q0lRLk5ZU0U6TUFOVS5JUV9DQVBFWF9NRURJQU5fRVNULjYwMDAuMzAvMDQvMjAyMC4uRi5HQlAuQwEAAADdaw0AAgAAAAgtMTgyLjE1MQEOAAAABQAAAAIxMQEAAAABMAIAAAAHMzYxNzg4NQMAAAAG</t>
  </si>
  <si>
    <t>MTA0MDkxBAAAAAEzBgAAAAEwBwAAAAI1NQgAAAABMQkAAAABMQoAAAABMAsAAAALMTE4MTc2MDc2NDcMAAAAAjEyDQAAAAg1LzEvMjAyMBAAAAAJOC8xNi8yMDIw6pbKTPJB2Ah+9KpZ8kHYCCBDSVEuLklRX0xBU1RTQUxFUFJJQ0UuMTkvMTAvMjAxOAUAAAAAAAAACAAAABQoSW52YWxpZCBJZGVudGlmaWVyKee0NlHyQdgIVvZoc/JB2Ag6Q0lRLk5ZU0U6S08uSVFfUkVWRU5VRV9NRURJQU5fRVNULjEwMDIuMzEvMTIvMjAxOS4uRi5VU0QuQwEAAAASaAAAAgAAAAszODUyNS45MzYyNQEOAAAABQAAAAEzAQAAAAEwAgAAAAoxMDAxNDE2NDIwAwAAAAYxMDAxODEEAAAAATIGAAAAATAHAAAAAzE2MAgAAAABMQkAAAABMQoAAAABMAsAAAALMTE2NzAzMTQ1MjMMAAAAATENAAAACDEvMS8yMDIwEAAAAAk4LzE2LzIwMjDzSBh48kHYCHZK83jyQdgIJ0NJUS4kQUVEVVNELklRX0xBU1RTQUxFUFJJQ0UuMDEvMDEvMjAxOQEAAAAl61oAAgAAAAUzLjY3MwBbk+JN8kHYCNOqXnbyQdgIM0NJUS5OWVNFOktPLklRX1BSRUZfRVFVSVRZLjEwMDAuMzEvMTIvMjAxOS4uRi5VU0QuQwEAAAASaAAAAwAAAAAAhNQXePJB2Aj6HfV48kHYCDBDSVFBVkcuJEFFRFVTRC5JUV9MQVNUU0FMRVBSSUNFLjQzMzc0LjAxLzEwLzIwMTkBAAAAJetaAAIAAAAIMy42NzMwMTkAR2AXePJB2AgvOwF58kHYCC5DSVEuTFNFOlNGT1IuSVFf</t>
  </si>
  <si>
    <t>RUJJVERBLjk5Ny4zMS8xMi8yMDE5Li5GLkdCUC5DAQAAAMtT5CEDAAAAAAAeIhh48kHYCP0e7njyQdgIIENJUS4uSVFfTEFTVFNBTEVQUklDRS4wNy8wOS8yMDE4BQAAAAAAAAAIAAAAFChJbnZhbGlkIElkZW50aWZpZXIpCAM3UfJB2AiEAWxz8kHYCDJDSVEuTllTRTpLTy5JUV9UT1RBTF9MSUFCLjIwMDAuMzEvMTIvMjAxOS4uRi5VU0QuQwEAAAASaAAAAgAAAAU2Njc1MAEIAAAABQAAAAExAQAAAAoxOTg4ODAxNTI2AwAAAAMxNjACAAAABDEyNzYEAAAAATEHAAAACjEyLzMxLzIwMTkIAAAACTgvMTYvMjAyMAkAAAABMITUF3jyQdgI3gj2ePJB2Ag3Q0lRLk5ZU0U6TUFOVS5JUV9FUVVJVFlfTUVUSE9ELjEwMDAuMzAvMDQvMjAyMC4uRi5HQlAuQwEAAADdaw0AAwAAAAAAvFgHS/JB2Ajn3Y9Z8kHYCDFDSVEuTFNFOlNGT1IuSVFfVE9UQUxfQ0EuMTAwMC4zMC8wNC8yMDIwLi5GLkdCUC5DAQAAAMtT5CECAAAABzE5Mi40NTkBCAAAAAUAAAABMQEAAAAKMjAyMjU5OTc5OQMAAAACNTUCAAAABDEwMDgEAAAAATEHAAAACTQvMzAvMjAyMAgAAAAJOC8xNi8yMDIwCQAAAAEwyTEHS/JB2AgVhpNZ8kHYCDFDSVFBVkcuJVRDTVNZMDIuSVFfTEFTVFNBTEVQUklDRS40MDI5OC4zMC8wNC8yMDIwAQAAABEfKAICAAAAETAuOTU3Njg4OTI0NDMwMjI4AKokJVXyQdgIJvPRWvJB2AgpQ0lRLk5ZU0U6TUFOVS5JUV9M</t>
  </si>
  <si>
    <t>QVNUU0FMRVBSSUNFLjEzLzAzLzIwMjABAAAA3WsNAAIAAAAFMTQuMzMAAeh9U/JB2AjEBl5Z8kHYCDpDSVEuTkFTREFRR1M6VFNMQS5JUV9FUVVJVFlfTUVUSE9ELjk5Ny4zMS8xMi8yMDE5Li5GLlVTRC5DAQAAABDGogEDAAAAAABHYBd48kHYCNSO/3jyQdgILUNJUS5OQVNEQVFHUzpUU0xBLklRX0xBU1RTQUxFUFJJQ0UuMzAvMDQvMjAxNQEAAAAQxqIBAgAAAAYyMjYuMDUApLx/U/JB2AgLeR9x8kHYCDFDSVEuTllTRTpSQUNFLklRX1RPVEFMX0NBLjk5OS4zMS8xMi8yMDE5Li5GLkVVUi5DAQAAAD2CsBACAAAACDIwODEuMDc3AQgAAAAFAAAAATEBAAAACjE5NDc0NDQxOTADAAAAAjUwAgAAAAQxMDA4BAAAAAExBwAAAAoxMi8zMS8yMDE5CAAAAAk4LzE2LzIwMjAJAAAAATA7hhd48kHYCIEP/HjyQdgIMENJUS5MU0U6VFNDTy5JUV9DT1NUX1JFVi45OTYuMzEvMTIvMjAxOS4uRi5HQlAuQwEAAAAwUAYAAgAAAAU1NDg1NwEIAAAABQAAAAExAQAAAAoxNzkxNDY4MTQ2AwAAAAI1NQIAAAABMQQAAAABMQcAAAAKMTIvMzEvMjAxOQgAAAAJOC8xNi8yMDIwCQAAAAEwHvsXePJB2Aig3PB48kHYCCRDSVEuXlNQWC5JUV9MQVNUU0FMRVBSSUNFLjE5LzEwLzIwMTgBAAAAm7goAAIAAAAQMjc2Ny43ODA0ODc0NDU2NwCKxTdR8kHYCKuWE3PyQdgILUNJUS5OQVNEQVFHUzpUU0xBLklRX0xBU1RTQUxFUFJJQ0Uu</t>
  </si>
  <si>
    <t>MDcvMDkvMjAxOAEAAAAQxqIBAgAAAAYyNjMuMjQAQ5iFUvJB2AgRmxJx8kHYCD1DSVEuTllTRTpLTy5JUV9UT1RBTF9ERUJUX05PTl9DVVJSRU5ULjk5OS4zMS8xMi8yMDE5Li5GLlVTRC5DAQAAABJoAAACAAAABTMxMjIxAQgAAAAFAAAAATEBAAAACjE5NDY0MzA3NzkDAAAAAzE2MAIAAAAFMjUyMjQEAAAAATEHAAAACjEyLzMxLzIwMTkIAAAACTgvMTYvMjAyMAkAAAABMBytF3jyQdgIUn/3ePJB2AgrQ0lRLkxTRTpUU0NPLklRX0VCVC45OTkuMzAvMDQvMjAyMC4uRi5HQlAuQwEAAAAwUAYAAgAAAAQxNjc0AQgAAAAFAAAAATEBAAAACjE5Njg3MzY1NjMDAAAAAjU1AgAAAAMxMzkEAAAAATEHAAAACTQvMzAvMjAyMAgAAAAJOC8xNi8yMDIwCQAAAAEwyTEHS/JB2AjGFaZZ8kHYCDBDSVFBVkcuJEFFRFVTRC5JUV9MQVNUU0FMRVBSSUNFLjQzMzczLjMwLzA5LzIwMTkBAAAAJetaAAIAAAAIMy42NzMwMTkAR2AXePJB2AgvOwF58kHYCCRDSVEuXlNQWC5JUV9MQVNUU0FMRVBSSUNFLjA5LzA4LzIwMTkBAAAAm7goAAIAAAAQMjkxOC42NDU2MDIwNTcwOQB8q4VR8kHYCPOFEnPyQdgILkNJUS5MU0U6VFNDTy5JUV9DQVBFWC4xMDAwLjMwLzA0LzIwMjAuLkYuR0JQLkMBAAAAMFAGAAIAAAAFLTEwMDMBCAAAAAUAAAABMQEAAAAKMjAyNjUwNzMwOQMAAAACNTUCAAAABDIwMjEEAAAAATEHAAAACTQvMzAvMjAy</t>
  </si>
  <si>
    <t>MAgAAAAJOC8xNi8yMDIwCQAAAAEwyTEHS/JB2AhkaatZ8kHYCCtDSVEuTFNFOlNGT1IuSVFfR1AuMTAwMC4zMS8xMi8yMDE5Li5GLkdCUC5DAQAAAMtT5CECAAAACTYzLjcwOTcyNQEIAAAABQAAAAExAQAAAAoxOTYxMTE2MjcxAwAAAAI1NQIAAAACMTAEAAAAATEHAAAACjEyLzMxLzIwMTkIAAAACTgvMTYvMjAyMAkAAAABMB4iGHjyQdgIl7XwePJB2AgpQ0lRLk5ZU0U6S08uSVFfRklTQ0FMX1EuNTAwLjMwLzA0LzIwMjAuLkYBAAAAEmgAAAMAAAACUTEA/DokVfJB2AhyPIpZ8kHYCB9DSVEuTllTRTpNQU5VLklRX0NPVU5UUllfT0ZfSU5DAQAAAN1rDQADAAAADkNheW1hbiBJc2xhbmRzAPw6JFXyQdgIRIqDWfJB2AgmQ0lRLk5BU0RBUUdTOkNBS0UuSVFfVk9MVU1FLjExLzAxLzIwMTkBAAAACOAEAAIAAAAIMC42MTcwMTkApLx/U/JB2Aj9E8By8kHYCCFDSVEuTFNFOlNGT1IuSVFfVk9MVU1FLjA2LzAzLzIwMjABAAAAy1PkIQIAAAAIMC4zNDkyMTkAlf0kVfJB2Aj/I3dZ8kHYCC1DSVEuTkFTREFRR1M6VFNMQS5JUV9MQVNUU0FMRVBSSUNFLjI4LzAyLzIwMjABAAAAEMaiAQIAAAAGNjY3Ljk5AAHofVPyQdgI+JFdWfJB2Ag7Q0lRLk5BU0RBUUdTOkNBS0UuSVFfQ0FTSF9TVF9JTlZFU1QuOTk2LjMwLzA0LzIwMjAuLkYuVVNELkMBAAAACOAEAAIAAAAGNDMuODU0AQgAAAAFAAAAATEBAAAACjE4Nzcx</t>
  </si>
  <si>
    <t>NDQ0MzgDAAAAAzE2MAIAAAAEMTAwMgQAAAABMQcAAAAJNC8zMC8yMDIwCAAAAAk4LzE2LzIwMjAJAAAAATADScpM8kHYCCk4k1nyQdgIJkNJUS5OQVNEQVFHUzpDQUtFLklRX1ZPTFVNRS4wMy8wNC8yMDIwAQAAAAjgBAACAAAACDIuMzUxNjE0AJX9JFXyQdgIyKJ6WfJB2Ag1Q0lRLk5BU0RBUUdTOkNBS0UuSVFfVE9UQUxfQ0wuOTk5LjMxLzEyLzIwMTkuLkYuVVNELkMBAAAACOAEAAIAAAAHMzk3Ljk1MQEIAAAABQAAAAExAQAAAAoxOTQ4MTc2NjgwAwAAAAMxNjACAAAABDEwMDkEAAAAATEHAAAACjEyLzMxLzIwMTkIAAAACTgvMTYvMjAyMAkAAAABMBytF3jyQdgItI/4ePJB2AgpQ0lRLk5ZU0U6UkFDRS5JUV9MQVNUU0FMRVBSSUNFLjIxLzA2LzIwMTkBAAAAPYKwEAIAAAAGMTYyLjIxAMGqflPyQdgIirAncfJB2Ag2Q0lRLkxTRTpUU0NPLklRX0RBX01FRElBTl9FU1QuMTAwMi4zMC8wNC8yMDIwLi5GLkdCUC5DAQAAADBQBgACAAAABjE5NzguMgEOAAAABQAAAAEzAQAAAAEwAgAAAAoxMDAwMjY0NTAwAwAAAAYxMTQxOTAEAAAAATMGAAAAATAHAAAAAjU1CAAAAAExCQAAAAExCgAAAAEwCwAAAAsxMTg5MjM1NjUwNQwAAAABMQ0AAAAINS8xLzIwMjAQAAAACTgvMTYvMjAyMKR/B0vyQdgI/UepWfJB2AgpQ0lRLk5ZU0U6UkFDRS5JUV9MQVNUU0FMRVBSSUNFLjEwLzAxLzIwMjABAAAAPYKwEAIAAAAG</t>
  </si>
  <si>
    <t>MTcxLjMxAAgPflPyQdgISuVbWfJB2AgzQ0lRQVZHLklRNDM5NDM4MjcuSVFfTEFTVFNBTEVQUklDRS40MDE3OC4zMS8xMi8yMDE5AQAAAJOHngICAAAAEDIuMDI4MDYwOTEwMDIzNjgA2C3edPJB2Agau0p28kHYCDZDSVEuTFNFOlNGT1IuSVFfRVNUX0VQU19HUk9XVEhfNVlSX05VTS42MDAwLjMwLzA0LzIwMjABAAAAy1PkIQEAAAABMQCxryRV8kHYCKo0f1nyQdgIPENJUS5OWVNFOlJBQ0UuSVFfTUVESUFOX1RBUkdFVF9QUklDRS42MDAwLjMwLzA0LzIwMjAuLi5FVVIuQwEAAAA9grAQAgAAAAcxNjEuMjE3AQ4AAAAFAAAAATcBAAAACTMxMzk3NDk4MQIAAAAKMTAwMzIyNTEyNQMAAAAGMTAwMTYyBAAAAAMyNTUGAAAAATAHAAAAAjUwCAAAAAExCQAAAAExCgAAAAEwCwAAAAsxMTg5MzA3NTYzMgwAAAABOA0AAAAINS8xLzIwMjAQAAAACTgvMTYvMjAyMKR/B0vyQdgIIhuPWfJB2AgZQ0lRLi5JUV9WT0xVTUUuMjcvMDkvMjAxOQUAAAAAAAAACAAAABQoSW52YWxpZCBJZGVudGlmaWVyKdk5tVPyQdgITA27cvJB2AgZQ0lRLi5JUV9WT0xVTUUuMTEvMTAvMjAxOQUAAAAAAAAACAAAABQoSW52YWxpZCBJZGVudGlmaWVyKdk5tVPyQdgIRjS7cvJB2Ag5Q0lRLk5BU0RBUUdTOkNBS0UuSVFfVE9UQUxfQVNTRVRTLjk5Ny4zMS8xMi8yMDE5Li5GLlVTRC5DAQAAAAjgBAACAAAACDEyMzMuMzQ2AQgAAAAFAAAA</t>
  </si>
  <si>
    <t>ATEBAAAACjE4NzcxNDQ0MzgDAAAAAzE2MAIAAAAEMTAwNwQAAAABMQcAAAAKMTIvMzEvMjAxOQgAAAAJOC8xNi8yMDIwCQAAAAEwO4YXePJB2Ah5/fp48kHYCCZDSVEuTkFTREFRR1M6Q0FLRS5JUV9WT0xVTUUuMDUvMDcvMjAxOQEAAAAI4AQAAgAAAAcwLjQxNjM4AJX9JFXyQdgI067AcvJB2AgnQ0lRLiRBRURNWE4uSVFfTEFTVFNBTEVQUklDRS4zMC8wNC8yMDIwAQAAACXrWgACAAAACzAuMTU0MDA2Nzc2AKokJVXyQdgIxV2FWfJB2AgpQ0lRLk5ZU0U6UkFDRS5JUV9MQVNUU0FMRVBSSUNFLjAyLzAzLzIwMTgBAAAAPYKwEAIAAAAGMTIxLjExACgrQnXyQdgI0V1XdvJB2AgjQ0lRLiVUQ01TWTAyLklRX0xBU1RTQUxFUFJJQ0UuNDM1ODUBAAAAER8oAgIAAAAEMi4yNwCj1iRV8kHYCOXohFnyQdgIOENJUS5OQVNEQVFHUzpUU0xBLklRX1BSRUZfRVFVSVRZLjk5OS4zMS8xMi8yMDE5Li5GLlVTRC5DAQAAABDGogEDAAAAAAAe+xd48kHYCPr29HjyQdgINENJUS5OWVNFOktPLklRX0VRVUlUWV9NRVRIT0QuOTk4LjMwLzA0LzIwMjAuLkYuVVNELkMBAAAAEmgAAAIAAAAFMjA4NTYBCAAAAAUAAAABMQEAAAAKMjAxNjc5MTI1MAMAAAADMTYwAgAAAAQzMDYzBAAAAAExBwAAAAk0LzMwLzIwMjAIAAAACTgvMTYvMjAyMAkAAAABMANJykzyQdgI0SuQWfJB2AgkQ0lRLl5TUFguSVFfTEFTVFNBTEVQUklDRS4y</t>
  </si>
  <si>
    <t>OC8wMi8yMDE1AQAAAJu4KAACAAAAEDIxMDQuNTAzMjQ5MzI0MzQA2C3edPJB2Ah9oEZ28kHYCD9DSVEuTkFTREFRR1M6VFNMQS5JUV9UT1RBTF9ERUJUX0NVUlJFTlQuOTk5LjMwLzA0LzIwMjAuLkYuVVNELkMBAAAAEMaiAQIAAAAEMjcxMgEIAAAABQAAAAExAQAAAAoyMDEzOTA3NDYzAwAAAAMxNjACAAAABTI1MjIzBAAAAAExBwAAAAk0LzMwLzIwMjAIAAAACTgvMTYvMjAyMAkAAAABMLxYB0vyQdgIHWmWWfJB2AgtQ0lRLk5BU0RBUUdTOlRTTEEuSVFfTEFTVFNBTEVQUklDRS4wMS8wMi8yMDE5AQAAABDGogECAAAABjMxMi4yMQCkvH9T8kHYCAdHI3HyQdgIRENJUS5OQVNEQVFHUzpDQUtFLklRX01JTk9SSVRZX0lOVEVSRVNUX1RPVEFMLjk5OS4zMC8wNC8yMDIwLi5GLlVTRC5DAQAAAAjgBAADAAAAAAD/b8pM8kHYCEp0mVnyQdgIJENJUS5eU1BYLklRX0xBU1RTQUxFUFJJQ0UuMzEvMTIvMjAxOQEAAACbuCgAAgAAABAzMjMwLjc4MTk1MDA5MDQzAEkFM1LyQdgI/JAHc/JB2AgwQ0lRLk5BU0RBUUdTOlRTTEEuSVFfRklTQ0FMX1kuMTAwMC4zMC8wNC8yMDIwLi5GAQAAABDGogEBAAAABDIwMTkA/DokVfJB2AiG7olZ8kHYCC1DSVEuTkFTREFRR1M6Q0FLRS5JUV9MQVNUU0FMRVBSSUNFLjAzLzA4LzIwMTgBAAAACOAEAAIAAAAFNDkuNjkAOr+FUvJB2AgWkQ9x8kHYCC1DSVEuTllTRTpSQUNFLklR</t>
  </si>
  <si>
    <t>X0VCSVQuOTk2LjMwLzA0LzIwMjAuLkYuRVVSLkMBAAAAPYKwEAIAAAAHNDg2LjM0NgEIAAAABQAAAAExAQAAAAoxODc2MDQzMzEzAwAAAAI1MAIAAAADNDAwBAAAAAExBwAAAAk0LzMwLzIwMjAIAAAACTgvMTYvMjAyMAkAAAABMNkKB0vyQdgIDgWlWfJB2AgZQ0lRLi5JUV9WT0xVTUUuMDkvMDgvMjAxOQUAAAAAAAAACAAAABQoSW52YWxpZCBJZGVudGlmaWVyKdk5tVPyQdgIV+a6cvJB2AgzQ0lRLk5BU0RBUUdTOlRTTEEuSVFfREFfQ0YuMjAwMC4zMS8xMi8yMDE5Li5GLlVTRC5DAQAAABDGogECAAAABzIwMjYuNzUBCAAAAAUAAAABMQEAAAAKMTk4OTQ1MzEzMAMAAAADMTYwAgAAAAQyMTYwBAAAAAExBwAAAAoxMi8zMS8yMDE5CAAAAAk4LzE2LzIwMjAJAAAAATDaFJZ38kHYCJaS53jyQdgIMkNJUS5MU0U6VFNDTy5JUV9UT1RBTF9MSUFCLjk5Ni4zMS8xMi8yMDE5Li5GLkdCUC5DAQAAADBQBgACAAAABTM3MTQzAQgAAAAFAAAAATEBAAAACjE3OTE0NjgxNDYDAAAAAjU1AgAAAAQxMjc2BAAAAAExBwAAAAoxMi8zMS8yMDE5CAAAAAk4LzE2LzIwMjAJAAAAATCE1Bd48kHYCD9G9XjyQdgIPkNJUS5OQVNEQVFHUzpUU0xBLklRX0NBUEVYX01FRElBTl9FU1QuMTAwMy4zMS8xMi8yMDE5Li5GLlVTRC5DAQAAABDGogECAAAABy0yNjc2LjUBDgAAAAUAAAABMwEAAAABMAIAAAAKMTAwMTU1NjY0MQMAAAAG</t>
  </si>
  <si>
    <t>MTA0MDkxBAAAAAEyBgAAAAEwBwAAAAMxNjAIAAAAATEJAAAAATEKAAAAATALAAAACzExNzI3MzYwOTE4DAAAAAExDQAAAAgxLzEvMjAyMBAAAAAJOC8xNi8yMDIwOzyWd/JB2Ag50OZ48kHYCChDSVEuTllTRTpNQU5VLklRX0VQU19FU1QuNjAwMC4zMS8xMi8yMDE5AQAAAN1rDQACAAAABjAuMDM3OAEOAAAABQAAAAIxMQEAAAAJMjE1MDU1Mzg1AgAAAAczNjE3ODg0AwAAAAYxMDAxNzMEAAAAATMGAAAAATAHAAAAAjU1CAAAAAEwCQAAAAExCgAAAAEwCwAAAAsxMTY5MjU0MTMwMgwAAAACMTINAAAACDEvMS8yMDIwEAAAAAoxMi8zMS8yMDE5KCtCdfJB2AjuGkx28kHYCDZDSVEuTFNFOlRTQ08uSVFfQ0FTSF9TVF9JTlZFU1QuOTk4LjMxLzEyLzIwMTkuLkYuR0JQLkMBAAAAMFAGAAIAAAAENTg4NwEIAAAABQAAAAExAQAAAAoxODg4NTI1MDc0AwAAAAI1NQIAAAAEMTAwMgQAAAABMQcAAAAKMTIvMzEvMjAxOQgAAAAJOC8xNi8yMDIwCQAAAAEwO4YXePJB2AhH+fx48kHYCC9DSVEuTllTRTpSQUNFLklRX1RPVEFMX1JFVjpDVVJSRU5DWS4uMzAvMDQvMjAyMAEAAAA9grAQAwAAAANFVVIBCAAAAAUAAAABMQEAAAAKMjAzMzE2OTkwMgMAAAACNTACAAAAAjI4BAAAAAEwBwAAAAk0LzMwLzIwMjAIAAAACTMvMzEvMjAyMAkAAAABMLGvJFXyQdgIysmBWfJB2AgvQ0lRLk5ZU0U6UkFDRS5JUV9DQVBFWC4yMDAw</t>
  </si>
  <si>
    <t>LjMwLzA0LzIwMjAuLkYuRVVSLkMBAAAAPYKwEAIAAAAILTM1Mi4xNTQBCAAAAAUAAAABMQEAAAAKMjAxNTY0Mjk1NAMAAAACNTACAAAABDIwMjEEAAAAATEHAAAACTQvMzAvMjAyMAgAAAAJOC8xNi8yMDIwCQAAAAEw2QoHS/JB2AhkaatZ8kHYCClDSVEuTllTRTpSQUNFLklRX0xBU1RTQUxFUFJJQ0UuMDUvMTAvMjAxOAEAAAA9grAQAgAAAAYxMzIuMjgAQ5iFUvJB2Ahz4xRx8kHYCChDSVEuTFNFOlNGT1IuSVFfTEFTVFNBTEVQUklDRS4zMS8wOC8yMDE4AQAAAMtT5CEDAAAAAADoNX5T8kHYCFiTKnHyQdgIMUNJUS5OWVNFOk1BTlUuSVFfQ09TVF9SRVYuOTk4LjMxLzEyLzIwMTkuLkYuR0JQLkMBAAAA3WsNAAIAAAAGNzguODAyAQgAAAAFAAAAATEBAAAACjE5ODU4NDUwNDUDAAAAAjU1AgAAAAExBAAAAAExBwAAAAoxMi8zMS8yMDE5CAAAAAk4LzE2LzIwMjAJAAAAATAe+xd48kHYCH4q8XjyQdgIJ0NJUS4kQUVEUExOLklRX0xBU1RTQUxFUFJJQ0UuMzEvMTIvMjAxOAEAAAAl61oAAgAAAAswLjk3OTUxODkwOAD+A0J18kHYCNh9S3byQdgIKENJUS5MU0U6VFNDTy5JUV9MQVNUU0FMRVBSSUNFLjMxLzEwLzIwMTUBAAAAMFAGAAIAAAAFMS44MzMAuZR/U/JB2Aj/qiJx8kHYCDlDSVEuTFNFOlNGT1IuSVFfQ0FQRVhfTUVESUFOX0VTVC4xMDAzLjMwLzA0LzIwMjAuLkYuR0JQLkMBAAAAy1PkIQIAAAAR</t>
  </si>
  <si>
    <t>LTguNDAxNDgzNjcxNjQ3NDIBDgAAAAUAAAABMwEAAAABMAIAAAAKMTAwNDYzMDY3MQMAAAAGMTA0MDkxBAAAAAEzBgAAAAEwBwAAAAI1NQgAAAABMQkAAAABMQoAAAABMAsAAAALMTE4NDgyMDM0NDYMAAAAATENAAAACDUvMS8yMDIwEAAAAAk4LzE2LzIwMjCkfwdL8kHYCJKmqlnyQdgIMkNJUS5MU0U6VFNDTy5JUV9MVF9JTlZFU1QuMjAwMC4zMS8xMi8yMDE5Li5GLkdCUC5DAQAAADBQBgACAAAAAzQ2NwEIAAAABQAAAAExAQAAAAoxOTg2NzkzMjQwAwAAAAI1NQIAAAAEMTA1NAQAAAABMQcAAAAKMTIvMzEvMjAxOQgAAAAJOC8xNi8yMDIwCQAAAAEwO4YXePJB2AjYifp48kHYCClDSVEuTllTRTpNQU5VLklRX0xBU1RTQUxFUFJJQ0UuMTUvMDYvMjAxOAEAAADdaw0AAgAAAAQyMC45ACnmhVLyQdgIKf8KcfJB2AgoQ0lRLkxTRTpUU0NPLklRX0xBU1RTQUxFUFJJQ0UuMjkvMDYvMjAxOAEAAAAwUAYAAgAAAAUyLjU2NwA6v4VS8kHYCNsPDHHyQdgIMENJUS5MU0U6VFNDTy5JUV9UT1RBTF9DQS45OTkuMzEvMTIvMjAxOS4uRi5HQlAuQwEAAAAwUAYAAgAAAAUxMzc0OQEIAAAABQAAAAExAQAAAAoxOTY4NzM2NTU5AwAAAAI1NQIAAAAEMTAwOAQAAAABMQcAAAAKMTIvMzEvMjAxOQgAAAAJOC8xNi8yMDIwCQAAAAEwO4YXePJB2AiJNvx48kHYCCdDSVEuTllTRTpLTy5JUV9MQVNUU0FMRVBSSUNFLjEyLzAx</t>
  </si>
  <si>
    <t>LzIwMTgBAAAAEmgAAAIAAAAFNDYuMTUAKCtCdfJB2AjnoFt28kHYCCZDSVEuTkFTREFRR1M6Q0FLRS5JUV9WT0xVTUUuMDIvMDMvMjAxOAEAAAAI4AQAAgAAAAgxLjAzNzAwNgAoK0J18kHYCPc2V3byQdgILkNJUS5OWVNFOlJBQ0UuSVFfQ0FQRVguOTk2LjMwLzA0LzIwMjAuLkYuRVVSLkMBAAAAPYKwEAIAAAAHLTE4NC45MQEIAAAABQAAAAExAQAAAAoxODc2MDQzMzEzAwAAAAI1MAIAAAAEMjAyMQQAAAABMQcAAAAJNC8zMC8yMDIwCAAAAAk4LzE2LzIwMjAJAAAAATDZCgdL8kHYCD0srFnyQdgIIkNJUS5OWVNFOk1BTlUuSVFfVk9MVU1FLjI5LzA2LzIwMTgBAAAA3WsNAAIAAAAIMC4wMTM4MTIAOr+FUvJB2AjVNgxx8kHYCCxDSVEuTFNFOlNGT1IuSVFfRUJULjEwMDMuMzAvMDQvMjAyMC4uRi5HQlAuQwEAAADLU+QhAwAAAAAA2QoHS/JB2AgELKVZ8kHYCD9DSVEuTkFTREFRR1M6VFNMQS5JUV9FQklUREFfTUVESUFOX0VTVC42MDAwLjMxLzEyLzIwMTkuLkYuVVNELkMBAAAAEMaiAQIAAAAENDA1NwEOAAAABQAAAAIxMQEAAAABMAIAAAAIMTUzNTc2ODUDAAAABjEwMDE4OAQAAAABMgYAAAABMAcAAAADMTYwCAAAAAExCQAAAAExCgAAAAEwCwAAAAsxMTcyNTY2NjcwMgwAAAACMTINAAAACDEvMS8yMDIwEAAAAAk4LzE2LzIwMjDzSBh48kHYCNEI73jyQdgIL0NJUS5MU0U6U0ZPUi5JUV9JTkNfVEFY</t>
  </si>
  <si>
    <t>Ljk5OC4zMC8wNC8yMDIwLi5GLkdCUC5DAQAAAMtT5CEDAAAAAADJMQdL8kHYCHUmp1nyQdgIJ0NJUS4kQUVEVVpTLklRX0xBU1RTQUxFUFJJQ0UuMzAvMDQvMjAyMAEAAAAl61oAAgAAAAswLjAwMDM2MjU4NgCqJCVV8kHYCJ2MglnyQdgIKkNJUS5OWVNFOktPLklRX1NHQS45OTcuMzAvMDQvMjAyMC4uRi5VU0QuQwEAAAASaAAAAgAAAAUxNTQwMQEIAAAABQAAAAExAQAAAAoxOTQ2NDMwNzgyAwAAAAMxNjACAAAAAjIzBAAAAAExBwAAAAk0LzMwLzIwMjAIAAAACTgvMTYvMjAyMAkAAAABMANJykzyQdgIQOmgWfJB2Ag+Q0lRLk5BU0RBUUdTOlRTTEEuSVFfQ0FQRVhfTUVESUFOX0VTVC4xMDAxLjMxLzEyLzIwMTkuLkYuVVNELkMBAAAAEMaiAQIAAAAFLTE1MDABDgAAAAUAAAABMwEAAAABMAIAAAAKMTAwMDg3Mjk1OAMAAAAGMTA0MDkxBAAAAAEyBgAAAAEwBwAAAAMxNjAIAAAAATEJAAAAATEKAAAAATALAAAACzExNzI3MzYwOTkwDAAAAAExDQAAAAgxLzEvMjAyMBAAAAAJOC8xNi8yMDIwOzyWd/JB2Aj5M+Z48kHYCD9DSVEuTkFTREFRR1M6Q0FLRS5JUV9UT1RBTF9ERUJUX0NVUlJFTlQuOTk3LjMxLzEyLzIwMTkuLkYuVVNELkMBAAAACOAEAAMAAAAAABytF3jyQdgIcQT5ePJB2AgvQ0lRLk5ZU0U6TUFOVS5JUV9MQVNUU0FMRVBSSUNFLjMwLzA2LzIwMTcuR0JQLkMBAAAA3WsNAAIAAAAKMTIuNDAw</t>
  </si>
  <si>
    <t>MjEyNQADScpM8kHYCJR/YHbyQdgIOUNJUS5OQVNEQVFHUzpDQUtFLklRX1BSRUZfRVFVSVRZLjIwMDAuMzAvMDQvMjAyMC4uRi5VU0QuQwEAAAAI4AQAAwAAAAAA/2/KTPJB2Aja+ZpZ8kHYCDxDSVEuTkFTREFRR1M6Q0FLRS5JUV9FU1RfRVBTX0dST1dUSF81WVJfSElHSC42MDAwLjMwLzA0LzIwMjABAAAACOAEAAIAAAACMTUBDgAAAAUAAAABNwEAAAAHMjU5OTY5NQIAAAAGMjczODg4AwAAAAYxMDAxNjkEAAAAATIGAAAAATAHAAAAATAIAAAAATAJAAAAATEKAAAAATALAAAACzExODg1NDY5MjU5DAAAAAE4DQAAAAg1LzEvMjAyMBAAAAAJNC8zMC8yMDIwsa8kVfJB2AiiW39Z8kHYCC1DSVEuTkFTREFRR1M6Q0FLRS5JUV9MQVNUU0FMRVBSSUNFLjI0LzA0LzIwMjABAAAACOAEAAIAAAAGMTguNTk1AAHofVPyQdgIljdhWfJB2Ag/Q0lRLk5BU0RBUUdTOlRTTEEuSVFfRUJJVERBX01FRElBTl9FU1QuNjAwMS4zMS8xMi8yMDE5Li5GLlVTRC5DAQAAABDGogEDAAAAAADzSBh48kHYCJQv73jyQdgIJ0NJUS4kQUVESVNLLklRX0xBU1RTQUxFUFJJQ0UuMzAvMDQvMjAxOQEAAAAl61oAAgAAAAswLjAzMDI0MDQwOACqJCVV8kHYCESKg1nyQdgIJ0NJUS5OWVNFOktPLklRX0xBU1RTQUxFUFJJQ0UuMzEvMDgvMjAxOAEAAAASaAAAAgAAAAU0NC41NwDoNX5T8kHYCFm6KnHyQdgIIUNJUS5MU0U6VFNDTy5JUV9W</t>
  </si>
  <si>
    <t>T0xVTUUuMDYvMDkvMjAxOQEAAAAwUAYAAgAAAAgxOS40NDE1MwCV/SRV8kHYCFiNvnLyQdgIIENJUS4uSVFfTEFTVFNBTEVQUklDRS4yMC8xMi8yMDE5BQAAAAAAAAAIAAAAFChJbnZhbGlkIElkZW50aWZpZXIp5/k2UvJB2AgLSSFz8kHYCCFDSVEuTFNFOlNGT1IuSVFfVk9MVU1FLjIzLzAyLzIwMTgBAAAAy1PkIQMAAAAAACgrQnXyQdgIbR9YdvJB2AgpQ0lRLk5ZU0U6S08uSVFfRklTQ0FMX1EuNTAwLjMxLzEyLzIwMTkuLkYBAAAAEmgAAAMAAAACUTMA3wbedPJB2Ah9oEZ28kHYCC5DSVEuTllTRTpNQU5VLklRX1BSSUNFX1ZPTF9ISVNUXzVZUi4zMS8xMi8yMDE5AQAAAN1rDQACAAAABzI0LjA2NzgA69/ddPJB2Ag/PEd28kHYCChDSVEuTFNFOlNGT1IuSVFfTEFTVFNBTEVQUklDRS4zMS8wMy8yMDE1AQAAAMtT5CEDAAAAAABBUkJ18kHYCAMQUHbyQdgIJ0NJUS4kQUVEQ09QLklRX0xBU1RTQUxFUFJJQ0UuMzAvMDQvMjAyMAEAAAAl61oAAgAAAAswLjAwMDkzNTM5MQCqJCVV8kHYCDHYg1nyQdgII0NJUS5MU0U6VFNDTy5JUV9CRVRBXzJZUi4zMS8xMi8yMDE5AQAAADBQBgACAAAAETAuODAzMzcyODg3Mjc2MzE1AN8G3nTyQdgIVmNHdvJB2AgrQ0lRLkxTRTpUU0NPLklRX05JLjEwMDAuMzEvMTIvMjAxOS4uRi5HQlAuQwEAAAAwUAYAAgAAAAQxMzIyAQgAAAAFAAAAATEBAAAACjE5Njg3MzY1NjMD</t>
  </si>
  <si>
    <t>AAAAAjU1AgAAAAIxNQQAAAABMQcAAAAKMTIvMzEvMjAxOQgAAAAJOC8xNi8yMDIwCQAAAAEw3O2Vd/JB2Ag/yuh48kHYCC1DSVEuTkFTREFRR1M6Q0FLRS5JUV9MQVNUU0FMRVBSSUNFLjE2LzAzLzIwMTgBAAAACOAEAAIAAAAFNDcuODUAKCtCdfJB2AiK/lV28kHYCDdDSVEuTllTRTpNQU5VLklRX05JX01FRElBTl9FU1QuMTAwMi4zMS8xMi8yMDE5Li5GLkdCUC5DAQAAAN1rDQACAAAAATQBDgAAAAUAAAABMwEAAAABMAIAAAAKMTAwMzA5MjQzMAMAAAAGMTAwMjUxBAAAAAEzBgAAAAEwBwAAAAI1NQgAAAABMQkAAAABMQoAAAABMAsAAAALMTE2OTI1Mzg4OTUMAAAAATENAAAACDEvMS8yMDIwEAAAAAk4LzE2LzIwMjDaFJZ38kHYCCQ/6XjyQdgIIUNJUS5MU0U6VFNDTy5JUV9WT0xVTUUuMzEvMDgvMjAxOAEAAAAwUAYAAgAAAAg0My4xMzE3NwBDmIVS8kHYCETYEXHyQdgIO0NJUS5MU0U6U0ZPUi5JUV9SRVZFTlVFX01FRElBTl9FU1QuMTAwMS4zMS8xMi8yMDE5Li5GLkdCUC5DAQAAAMtT5CECAAAAEDIyMi4zNjY4ODE4ODk3MTMBDgAAAAUAAAABMwEAAAABMAIAAAAKMTAwNDMxNjA1MAMAAAAGMTAwMTgxBAAAAAEzBgAAAAEwBwAAAAI1NQgAAAABMQkAAAABMQoAAAABMAsAAAALMTE2OTgxODY0NTMMAAAAATENAAAACDEvMS8yMDIwEAAAAAk4LzE2LzIwMjDzSBh48kHYCJTV8njyQdgIIUNJUS5MU0U6</t>
  </si>
  <si>
    <t>VFNDTy5JUV9WT0xVTUUuMTQvMTIvMjAxOAEAAAAwUAYAAgAAAAgyOC40NDcyMQDH4n9T8kHYCG6wIHHyQdgIJENJUS5eU1BYLklRX0xBU1RTQUxFUFJJQ0UuMzEvMDcvMjAxNQEAAACbuCgAAgAAABAyMTAzLjgzNTM2NTEzNzA2AKCeN1HyQdgIo8gIc/JB2AgoQ0lRLkxTRTpUU0NPLklRX0xBU1RTQUxFUFJJQ0UuMTQvMDkvMjAxOAEAAAAwUAYAAgAAAAUyLjM0MwBDmIVS8kHYCOw2E3HyQdgIKUNJUS5OQVNEQVFHUzpUU0xBLklRX1NQX0xDX0xULi4zMC8wNC8yMDIwAQAAABDGogEDAAAAAkIrAPw6JFXyQdgIOrGDWfJB2AgxQ0lRQVZHLiVUQ01TWTAxLklRX0xBU1RTQUxFUFJJQ0UuNDAxNzguMzEvMTIvMjAxOQEAAAAOHygCAgAAABEwLjc0Mzk3ODQwODYzNjU0NQDYLd508kHYCAYJS3byQdgIMUNJUUFWRy4lVENNU00wMy5JUV9MQVNUU0FMRVBSSUNFLjQwMjk4LjMwLzA0LzIwMjABAAAACB8oAgIAAAARMC42MDAyMzE5MDcyMzcxMDUAqiQlVfJB2Agm89Fa8kHYCClDSVEuTllTRTpNQU5VLklRX0xBU1RTQUxFUFJJQ0UuMDcvMDkvMjAxOAEAAADdaw0AAgAAAAQyNS40AEOYhVLyQdgIHXQScfJB2Ag3Q0lRLk5BU0RBUUdTOkNBS0UuSVFfVE9UQUxfTElBQi45OTkuMzEvMTIvMjAxOS4uRi5VU0QuQwEAAAAI4AQAAgAAAAY3MTkuNTMBCAAAAAUAAAABMQEAAAAKMTk0ODE3NjY4MAMAAAADMTYwAgAAAAQx</t>
  </si>
  <si>
    <t>Mjc2BAAAAAExBwAAAAoxMi8zMS8yMDE5CAAAAAk4LzE2LzIwMjAJAAAAATCE1Bd48kHYCBC79XjyQdgINkNJUS5OQVNEQVFHUzpDQUtFLklRX1RPVEFMX0NBLjEwMDAuMzEvMTIvMjAxOS4uRi5VU0QuQwEAAAAI4AQAAgAAAAYxOTUuMjMBCAAAAAUAAAABMQEAAAAKMTk0ODE3NjY3NQMAAAADMTYwAgAAAAQxMDA4BAAAAAExBwAAAAoxMi8zMS8yMDE5CAAAAAk4LzE2LzIwMjAJAAAAATA7hhd48kHYCGtd/HjyQdgIKENJUS5MU0U6U0ZPUi5JUV9MQVNUU0FMRVBSSUNFLjAyLzA4LzIwMTkBAAAAy1PkIQIAAAAFMS41MDUA0YN+U/JB2AivDSlx8kHYCC9DSVEuTllTRTpLTy5JUV9JTkNfVEFYLjEwMDAuMzAvMDQvMjAyMC4uRi5VU0QuQwEAAAASaAAAAgAAAAQxODAxAQgAAAAFAAAAATEBAAAACjIwMTY3OTEyNDUDAAAAAzE2MAIAAAACNzUEAAAAATEHAAAACTQvMzAvMjAyMAgAAAAJOC8xNi8yMDIwCQAAAAEwA0nKTPJB2AiK2KZZ8kHYCDpDSVEuTFNFOlRTQ08uSVFfVE9UQUxfREVCVF9DVVJSRU5ULjk5OC4zMC8wNC8yMDIwLi5GLkdCUC5DAQAAADBQBgACAAAABDE0NzkBCAAAAAUAAAABMQEAAAAKMTk2ODczNjU1OQMAAAACNTUCAAAABTI1MjIzBAAAAAExBwAAAAk0LzMwLzIwMjAIAAAACTgvMTYvMjAyMAkAAAABMMkxB0vyQdgIEJCWWfJB2AgtQ0lRLkxTRTpUU0NPLklRX0VCSVQuMjAwMC4zMC8wNC8y</t>
  </si>
  <si>
    <t>MDIwLi5GLkdCUC5DAQAAADBQBgACAAAABDI5MDMBCAAAAAUAAAABMQEAAAAKMjAyNjUwNzM4OAMAAAACNTUCAAAAAzQwMAQAAAABMQcAAAAJNC8zMC8yMDIwCAAAAAk4LzE2LzIwMjAJAAAAATDJMQdL8kHYCFZDpFnyQdgINkNJUS5OQVNEQVFHUzpUU0xBLklRX1RPVEFMX0NMLjEwMDAuMzEvMTIvMjAxOS4uRi5VU0QuQwEAAAAQxqIBAgAAAAg5OTkyLjEzNgEIAAAABQAAAAExAQAAAAoxOTQ1ODczNTQ2AwAAAAMxNjACAAAABDEwMDkEAAAAATEHAAAACjEyLzMxLzIwMTkIAAAACTgvMTYvMjAyMAkAAAABMBytF3jyQdgIpLb4ePJB2Ag2Q0lRLk5ZU0U6UkFDRS5JUV9UT1RBTF9SRUNFSVYuMjAwMC4zMS8xMi8yMDE5Li5GLkVVUi5DAQAAAD2CsBACAAAABzMyMC45MDkBCAAAAAUAAAABMQEAAAAKMTk5MDQyMzY4NwMAAAACNTACAAAABDEwMDEEAAAAATEHAAAACjEyLzMxLzIwMTkIAAAACTgvMTYvMjAyMAkAAAABMNoUlnfyQdgIZa7kePJB2AgyQ0lRLk5BU0RBUUdTOlRTTEEuSVFfRUJJVC4xMDAwLjMxLzEyLzIwMTkuLkYuVVNELkMBAAAAEMaiAQIAAAAHLTI1Mi44NAEIAAAABQAAAAExAQAAAAoxOTQ1ODczNTQ2AwAAAAMxNjACAAAAAzQwMAQAAAABMQcAAAAKMTIvMzEvMjAxOQgAAAAJOC8xNi8yMDIwCQAAAAEwHiIYePJB2AhMSux48kHYCClDSVEuTllTRTpSQUNFLklRX0xBU1RTQUxFUFJJQ0UuMzEv</t>
  </si>
  <si>
    <t>MDUvMjAxOQEAAAA9grAQAgAAAAYxNDMuMDIAwap+U/JB2Ai4tCxx8kHYCDZDSVEuTllTRTpLTy5JUV9DQVNIX1NUX0lOVkVTVC4xMDAwLjMwLzA0LzIwMjAuLkYuVVNELkMBAAAAEmgAAAIAAAAFMTExODUBCAAAAAUAAAABMQEAAAAKMjAxNjc5MTI0NQMAAAADMTYwAgAAAAQxMDAyBAAAAAExBwAAAAk0LzMwLzIwMjAIAAAACTgvMTYvMjAyMAkAAAABMANJykzyQdgIq8eQWfJB2AgzQ0lRLk5ZU0U6S08uSVFfU0hBUkVTT1VUU1RBTkRJTkdfT1VULjMxLzEyLzIwMTguVVNEAQAAABJoAAACAAAACzQzMDEuNTYzMzE4AANJykzyQdgIXWlhdvJB2Ag0Q0lRLkxTRTpUU0NPLklRX1NIQVJFU09VVFNUQU5ESU5HX09VVC4zMC8wNC8yMDIwLkdCUAEAAAAwUAYAAgAAAAs5ODM4Ljk3NjY4NQCzQ8Na8kHYCF4w0VryQdgIJUNJUS5eQ09NUC5JUV9MQVNUU0FMRVBSSUNFLjMxLzEyLzIwMTUBAAAAibgoAAIAAAAHNTAwNy40MQCgnjdR8kHYCDlOCnPyQdgIPUNJUS5OWVNFOktPLklRX1RPVEFMX0RFQlRfTk9OX0NVUlJFTlQuOTk2LjMwLzA0LzIwMjAuLkYuVVNELkMBAAAAEmgAAAIAAAAFMjg1NDMBCAAAAAUAAAABMQEAAAAKMTg3NTc5NzgwOQMAAAADMTYwAgAAAAUyNTIyNAQAAAABMQcAAAAJNC8zMC8yMDIwCAAAAAk4LzE2LzIwMjAJAAAAATADScpM8kHYCJ/ZmFnyQdgIPkNJUS5MU0U6U0ZPUi5JUV9UT1RBTF9E</t>
  </si>
  <si>
    <t>RUJUX05PTl9DVVJSRU5ULjk5Ni4zMC8wNC8yMDIwLi5GLkdCUC5DAQAAAMtT5CEDAAAAAADZCgdL8kHYCJ/ZmFnyQdgIOUNJUS5OQVNEQVFHUzpDQUtFLklRX1BSRVBBSURfRVhQLjIwMDAuMzEvMTIvMjAxOS4uRi5VU0QuQwEAAAAI4AQAAgAAAAYzOC44OTUBCAAAAAUAAAABMQEAAAAKMTk5MTMyNzA0MAMAAAADMTYwAgAAAAQxMjEyBAAAAAExBwAAAAoxMi8zMS8yMDE5CAAAAAk4LzE2LzIwMjAJAAAAATDaFJZ38kHYCD8j5XjyQdgIJENJUS5eU1BYLklRX0xBU1RTQUxFUFJJQ0UuMDcvMDYvMjAxOQEAAACbuCgAAgAAABAyODczLjM0MjAwMTY0NjI1AHyrhVHyQdgIB60Sc/JB2AgsQ0lRLk5ZU0U6S08uSVFfREFfQ0YuOTk2LjMwLzA0LzIwMjAuLkYuVVNELkMBAAAAEmgAAAIAAAAEMTk3MAEIAAAABQAAAAExAQAAAAoxODc1Nzk3ODA5AwAAAAMxNjACAAAABDIxNjAEAAAAATEHAAAACTQvMzAvMjAyMAgAAAAJOC8xNi8yMDIwCQAAAAEwA0nKTPJB2AigWKpZ8kHYCD9DSVEuTllTRTpNQU5VLklRX1RPVEFMX0RFQlRfTk9OX0NVUlJFTlQuOTk5LjMxLzEyLzIwMTkuLkYuR0JQLkMBAAAA3WsNAAIAAAAHNDg2LjY5NAEIAAAABQAAAAExAQAAAAoxOTg1ODQ1MDI5AwAAAAI1NQIAAAAFMjUyMjQEAAAAATEHAAAACjEyLzMxLzIwMTkIAAAACTgvMTYvMjAyMAkAAAABMBytF3jyQdgIUn/3ePJB2Ag5Q0lRLk5Z</t>
  </si>
  <si>
    <t>U0U6S08uSVFfRUJJVERBX01FRElBTl9FU1QuMTAwMS4zMC8wNC8yMDIwLi5GLlVTRC5DAQAAABJoAAACAAAACTEwODQ1LjAyMQEOAAAABQAAAAEzAQAAAAEwAgAAAAoxMDAxNDE2NDIwAwAAAAYxMDAxODgEAAAAATIGAAAAATAHAAAAAzE2MAgAAAABMQkAAAABMQoAAAABMAsAAAALMTE4ODQzMTcxMzIMAAAAATENAAAACDUvMS8yMDIwEAAAAAk4LzE2LzIwMjD/b8pM8kHYCOxHolnyQdgIIUNJUS5MU0U6VFNDTy5JUV9WT0xVTUUuMTAvMDUvMjAxOQEAAAAwUAYAAgAAAAgxMy41MjQ5MQCV/SRV8kHYCIcYvnLyQdgIMkNJUS5MU0U6VFNDTy5JUV9MVF9JTlZFU1QuMTAwMC4zMS8xMi8yMDE5Li5GLkdCUC5DAQAAADBQBgACAAAAAzYyMQEIAAAABQAAAAExAQAAAAoxOTY4NzM2NTYzAwAAAAI1NQIAAAAEMTA1NAQAAAABMQcAAAAKMTIvMzEvMjAxOQgAAAAJOC8xNi8yMDIwCQAAAAEwO4YXePJB2AifYfp48kHYCCRDSVEuXkFTWC5JUV9MQVNUU0FMRVBSSUNFLjI4LzA5LzIwMTgBAAAAH1PrAQIAAAALNDEyNy45MTA2MDIAisU3UfJB2AiegBtz8kHYCCRDSVEuXkFTWC5JUV9MQVNUU0FMRVBSSUNFLjA0LzAxLzIwMTkBAAAAH1PrAQIAAAAKMzczMy41NDgyNwCKxTdR8kHYCK/kGnPyQdgINUNJUS5MU0U6U0ZPUi5JUV9JTlRFUkVTVF9FWFAuMjAwMC4zMC8wNC8yMDIwLi5GLkdCUC5DAQAAAMtT5CECAAAABS01</t>
  </si>
  <si>
    <t>LjM4AQgAAAAFAAAAATEBAAAACjIwMjI1OTk4ODcDAAAAAjU1AgAAAAI4MgQAAAABMQcAAAAJNC8zMC8yMDIwCAAAAAk4LzE2LzIwMjAJAAAAATDJMQdL8kHYCAyhrFnyQdgIJ0NJUS4kQUVESVNLLklRX0xBU1RTQUxFUFJJQ0UuMzEvMTIvMjAxOAEAAAAl61oAAgAAAAswLjAzMTU2ODU0MwD+A0J18kHYCO4aTHbyQdgIIUNJUS5MU0U6U0ZPUi5JUV9WT0xVTUUuMTEvMDEvMjAxOQEAAADLU+QhAgAAAAgwLjIwMDQwOACkvH9T8kHYCPNrvHLyQdgIN0NJUS5OWVNFOk1BTlUuSVFfQ0FTSF9TVF9JTlZFU1QuOTk5LjMwLzA0LzIwMjAuLkYuR0JQLkMBAAAA3WsNAAIAAAAHMjQyLjAyMgEIAAAABQAAAAExAQAAAAoxOTg1ODQ1MDI5AwAAAAI1NQIAAAAEMTAwMgQAAAABMQcAAAAJNC8zMC8yMDIwCAAAAAk4LzE2LzIwMjAJAAAAATC8WAdL8kHYCB/DklnyQdgIJkNJUS5OQVNEQVFHUzpDQUtFLklRX1ZPTFVNRS4yOS8wNi8yMDE4AQAAAAjgBAACAAAACDAuNzM4OTc2ADq/hVLyQdgI1TYMcfJB2AgiQ0lRLk5ZU0U6S08uSVFfQkVUQV8yWVIuMzAvMDQvMjAyMAEAAAASaAAAAgAAABEwLjkxODA1NzkxMjM4MDQ3OACxryRV8kHYCH0VilnyQdgILkNJUS5OWVNFOk1BTlUuSVFfREFfQ0YuOTk4LjMxLzEyLzIwMTkuLkYuR0JQLkMBAAAA3WsNAAIAAAAHMTM0LjY2MgEIAAAABQAAAAExAQAAAAoxOTg1ODQ1MDQ1AwAA</t>
  </si>
  <si>
    <t>AAI1NQIAAAAEMjE2MAQAAAABMQcAAAAKMTIvMzEvMjAxOQgAAAAJOC8xNi8yMDIwCQAAAAEw2hSWd/JB2AhwHud48kHYCCdDSVEuJEFFREdCUC5JUV9MQVNUU0FMRVBSSUNFLjI1LzAyLzIwMTcBAAAAJetaAAIAAAALNC41ODg5NTEyMjkAFSLKTPJB2AgD01528kHYCChDSVEuTFNFOlRTQ08uSVFfTEFTVFNBTEVQUklDRS4yOC8xMi8yMDE4AQAAADBQBgACAAAABTEuOTIxAMfif1PyQdgIGzYicfJB2AghQ0lRLkxTRTpTRk9SLklRX1ZPTFVNRS4yMi8xMS8yMDE5AQAAAMtT5CECAAAACDAuMDg3NTQ1AJX9JFXyQdgIt3y9cvJB2AgrQ0lRLkxTRTpUU0NPLklRX0VCVC45OTcuMzAvMDQvMjAyMC4uRi5HQlAuQwEAAAAwUAYAAgAAAAMxNDUBCAAAAAUAAAABMQEAAAAKMTg4ODUyNTA3NAMAAAACNTUCAAAAAzEzOQQAAAABMQcAAAAJNC8zMC8yMDIwCAAAAAk4LzE2LzIwMjAJAAAAATDJMQdL8kHYCLZjplnyQdgIHUNJUS4kQUVEWldMLklRX0xBU1RTQUxFUFJJQ0UuAQAAACXrWgACAAAACzAuMDExMzg5NzY3AGUcw1ryQdgI/VDwcPJB2AgmQ0lRLk5BU0RBUUdTOkNBS0UuSVFfVk9MVU1FLjE3LzA4LzIwMTgBAAAACOAEAAIAAAAIMC42NzgzODMAOr+FUvJB2AjwyBBx8kHYCCdDSVEuTllTRTpLTy5JUV9MQVNUU0FMRVBSSUNFLjMxLzAzLzIwMjABAAAAEmgAAAIAAAAFNDQuMjUAAeh9U/JB2Ait6WBZ8kHYCB1D</t>
  </si>
  <si>
    <t>SVEuTllTRTpLTy5JUV9DT1VOVFJZX09GX0lOQwEAAAASaAAAAwAAAA1Vbml0ZWQgU3RhdGVzAPw6JFXyQdgIOrGDWfJB2AgoQ0lRLkxTRTpUU0NPLklRX0xBU1RTQUxFUFJJQ0UuMDYvMDcvMjAxOAEAAAAwUAYAAgAAAAUyLjYwMQA6v4VS8kHYCK3SDHHyQdgIL0NJUS5OWVNFOktPLklRX1RBUkdFVF9QUklDRV9OVU0uNjAwMC4zMS8xMi8yMDE5AQAAABJoAAABAAAAAjIyAP4DQnXyQdgIBddOdvJB2AgxQ0lRLk5ZU0U6UkFDRS5JUV9DT1NUX1JFVi45OTYuMzAvMDQvMjAyMC4uRi5FVVIuQwEAAAA9grAQAgAAAAgxNDk4LjgwNgEIAAAABQAAAAExAQAAAAoxODc2MDQzMzEzAwAAAAI1MAIAAAABMQQAAAABMQcAAAAJNC8zMC8yMDIwCAAAAAk4LzE2LzIwMjAJAAAAATDZCgdL8kHYCKZjn1nyQdgIJkNJUS5OQVNEQVFHUzpDQUtFLklRX1ZPTFVNRS4xMy8wOS8yMDE5AQAAAAjgBAACAAAACDAuNjg0MTA0AJX9JFXyQdgIxdXAcvJB2AgoQ0lRLkxTRTpTRk9SLklRX0xBU1RTQUxFUFJJQ0UuMzAvMTEvMjAxNQEAAADLU+QhAwAAAAAAuZR/U/JB2Ajm0SJx8kHYCCdDSVEuTllTRTpLTy5JUV9MQVNUU0FMRVBSSUNFLjA0LzEwLzIwMTkBAAAAEmgAAAIAAAAFNTQuNTQABV1+U/JB2Ajsyitx8kHYCEBDSVEuTllTRTpNQU5VLklRX01JTk9SSVRZX0lOVEVSRVNUX1RPVEFMLjk5OS4zMC8wNC8yMDIwLi5GLkdCUC5D</t>
  </si>
  <si>
    <t>AQAAAN1rDQADAAAAAAC8WAdL8kHYCEp0mVnyQdgIJ0NJUS5OWVNFOktPLklRX0xBU1RTQUxFUFJJQ0UuMTUvMDIvMjAxOQEAAAASaAAAAgAAAAU0NS4yNACkvH9T8kHYCMPiI3HyQdgIO0NJUS5MU0U6U0ZPUi5JUV9SRVZFTlVFX01FRElBTl9FU1QuMTAwMi4zMS8xMi8yMDE5Li5GLkdCUC5DAQAAAMtT5CECAAAAEDMzNi4yMjgxODAwNzcwNzMBDgAAAAUAAAABMwEAAAABMAIAAAAKMTAwNDMxNjA1MQMAAAAGMTAwMTgxBAAAAAEzBgAAAAEwBwAAAAI1NQgAAAABMQkAAAABMQoAAAABMAsAAAALMTE2OTgxODY0NDEMAAAAATENAAAACDEvMS8yMDIwEAAAAAk4LzE2LzIwMjDzSBh48kHYCIgj83jyQdgIO0NJUS5OQVNEQVFHUzpDQUtFLklRX0RBX01FRElBTl9FU1QuNjAwMS4zMS8xMi8yMDE5Li5GLlVTRC5DAQAAAAjgBAADAAAAAADaFJZ38kHYCGsu6HjyQdgIOENJUS5OQVNEQVFHUzpDQUtFLklRX0VBUk5JTkdfQ08uMjAwMC4zMC8wNC8yMDIwLi5GLlVTRC5DAQAAAAjgBAACAAAABzEyNy4yOTMBCAAAAAUAAAABMQEAAAAKMjAyMTU4MjcwNAMAAAADMTYwAgAAAAE3BAAAAAExBwAAAAk0LzMwLzIwMjAIAAAACTgvMTYvMjAyMAkAAAABMP9vykzyQdgI8RWtWfJB2AgwQ0lRLk5BU0RBUUdTOkNBS0UuSVFfRklTQ0FMX1kuMTAwMC4zMS8xMi8yMDE5Li5GAQAAAAjgBAABAAAABDIwMTgA3wbedPJB2AhW7kZ2</t>
  </si>
  <si>
    <t>8kHYCDVDSVEuTllTRTpLTy5JUV9DQVNIX1NUX0lOVkVTVC45OTcuMzAvMDQvMjAyMC4uRi5VU0QuQwEAAAASaAAAAgAAAAUyMjIwMQEIAAAABQAAAAExAQAAAAoxOTQ2NDMwNzgyAwAAAAMxNjACAAAABDEwMDIEAAAAATEHAAAACTQvMzAvMjAyMAgAAAAJOC8xNi8yMDIwCQAAAAEwA0nKTPJB2Ag8EZNZ8kHYCCZDSVEuTkFTREFRR1M6VFNMQS5JUV9WT0xVTUUuMDEvMTEvMjAxOQEAAAAQxqIBAgAAAAg2LjM4MzkyOQCj1iRV8kHYCEs0wnLyQdgIK0NJUS5MU0U6VFNDTy5JUV9OSS4yMDAwLjMxLzEyLzIwMTkuLkYuR0JQLkMBAAAAMFAGAAIAAAAEMTMwOAEIAAAABQAAAAExAQAAAAoxOTg2NzkzMjQwAwAAAAI1NQIAAAACMTUEAAAAATEHAAAACjEyLzMxLzIwMTkIAAAACTgvMTYvMjAyMAkAAAABMNztlXfyQdgIOfHoePJB2AgoQ0lRLiVUQ01TWTEwLklRX0xBU1RTQUxFUFJJQ0UuMzEvMTIvMjAxOQEAAAAdHygCAgAAAAQxLjkyAEFSQnXyQdgI2H1LdvJB2AghQ0lRLkxTRTpTRk9SLklRX1ZPTFVNRS4xNi8xMS8yMDE4AQAAAMtT5CECAAAACDAuMTQ1ODMxAMfif1PyQdgItcodcfJB2Ag6Q0lRLk5BU0RBUUdTOlRTTEEuSVFfVE9UQUxfQVNTRVRTLjEwMDAuMzAvMDQvMjAyMC4uRi5VU0QuQwEAAAAQxqIBAgAAAAUzNDMwOQEIAAAABQAAAAExAQAAAAoyMDEzOTA3NDYwAwAAAAMxNjACAAAABDEwMDcEAAAA</t>
  </si>
  <si>
    <t>ATEHAAAACTQvMzAvMjAyMAgAAAAJOC8xNi8yMDIwCQAAAAEwvFgHS/JB2AjSb5RZ8kHYCC1DSVEuTkFTREFRR1M6Q0FLRS5JUV9MQVNUU0FMRVBSSUNFLjMxLzA1LzIwMTYBAAAACOAEAAIAAAAFNDkuODcAwap+U/JB2AiBMCRx8kHYCCFDSVEuTFNFOlRTQ08uSVFfVk9MVU1FLjExLzAxLzIwMTkBAAAAMFAGAAIAAAAIMjcuNDc1NDkApLx/U/JB2AiSyr1y8kHYCClDSVEuTllTRTpNQU5VLklRX0xBU1RTQUxFUFJJQ0UuMjIvMDIvMjAxOQEAAADdaw0AAgAAAAQyMS4yAKS8f1PyQdgI1QkkcfJB2AgnQ0lRLiRBRURRQVIuSVFfTEFTVFNBTEVQUklDRS4zMC8wNC8yMDE5AQAAACXrWgACAAAACzEuMDA5MDEwNDk0AKokJVXyQdgIftqCWfJB2AgmQ0lRLk5BU0RBUUdTOlRTTEEuSVFfVk9MVU1FLjEyLzA0LzIwMTkBAAAAEMaiAQIAAAAINi43NDU5NzQAuZR/U/JB2AiMmMFy8kHYCCxDSVEuTFNFOlNGT1IuSVFfU0dBLjEwMDAuMzEvMTIvMjAxOS4uRi5HQlAuQwEAAADLU+QhAgAAAAk0My4xMTk0MzYBCAAAAAUAAAABMQEAAAAKMTk2MTExNjI3MQMAAAACNTUCAAAAAjIzBAAAAAExBwAAAAoxMi8zMS8yMDE5CAAAAAk4LzE2LzIwMjAJAAAAATAeIhh48kHYCGXL73jyQdgIOkNJUS5OWVNFOk1BTlUuSVFfQ0FQRVhfTUVESUFOX0VTVC4xMDAzLjMwLzA0LzIwMjAuLkYuR0JQLkMBAAAA3WsNAAIAAAAELTE1MAEO</t>
  </si>
  <si>
    <t>AAAABQAAAAEzAQAAAAEwAgAAAAoxMDAzNzI4MjAxAwAAAAYxMDQwOTEEAAAAATMGAAAAATAHAAAAAjU1CAAAAAExCQAAAAExCgAAAAEwCwAAAAsxMTgxNzYwNjg0OAwAAAABMQ0AAAAINS8xLzIwMjAQAAAACTgvMTYvMjAyMOqWykzyQdgIkqaqWfJB2AglQ0lRLl5DT01QLklRX0xBU1RTQUxFUFJJQ0UuMTEvMDUvMjAxOAEAAACJuCgAAgAAAAc3NDAyLjg4AIrFN1HyQdgIaE4Yc/JB2AghQ0lRLkxTRTpTRk9SLklRX1ZPTFVNRS4yMC8wMy8yMDIwAQAAAMtT5CECAAAACDEuMDEzNTMyAJX9JFXyQdgI/yN3WfJB2AgpQ0lRLk5ZU0U6S08uSVFfQ09TVF9CT1JST1dJTkcuLjMwLzA0LzIwMjABAAAAEmgAAAIAAAAGMS44NjI5AQgAAAAFAAAAATEBAAAACjIwMzAzNzY4OTcDAAAAAzE2MAIAAAAFMjE2ODEEAAAAATAHAAAACTQvMzAvMjAyMAgAAAAJMy8yNy8yMDIwCQAAAAEwsa8kVfJB2AiZvn5Z8kHYCClDSVEuTllTRTpSQUNFLklRX0xBU1RTQUxFUFJJQ0UuMjYvMTAvMjAxOAEAAAA9grAQAgAAAAYxMTYuMTcAQ5iFUvJB2AjtjxZx8kHYCCdDSVEuTllTRTpLTy5JUV9MQVNUU0FMRVBSSUNFLjE1LzExLzIwMTkBAAAAEmgAAAIAAAAFNTIuNjcA6DV+U/JB2AiUKS1x8kHYCCRDSVEuXlNQWC5JUV9MQVNUU0FMRVBSSUNFLjIxLzA2LzIwMTkBAAAAm7goAAIAAAAQMjk1MC40NTUwMTMyMTA2NAB8q4VR8kHYCAet</t>
  </si>
  <si>
    <t>EnPyQdgIIkNJUS5OWVNFOk1BTlUuSVFfVk9MVU1FLjE1LzA2LzIwMTgBAAAA3WsNAAIAAAAHMC4wNDE0MgAp5oVS8kHYCCn/CnHyQdgIKkNJUS5OWVNFOktPLklRX0VCVC45OTguMzEvMTIvMjAxOS4uRi5VU0QuQwEAAAASaAAAAgAAAAQ4MTM2AQgAAAAFAAAAATEBAAAACjE5NDY0MzA3ODIDAAAAAzE2MAIAAAADMTM5BAAAAAExBwAAAAoxMi8zMS8yMDE5CAAAAAk4LzE2LzIwMjAJAAAAATDc7ZV38kHYCLvE6njyQdgINUNJUUFWRy4kQUVEVVNELklRX0xBU1RTQUxFUFJJQ0UuMzEvMTIvMjAxOC4zMS8xMi8yMDE5AQAAACXrWgACAAAACDMuNjczMDEyAOqWykzyQdgIG3SLWfJB2Ag6Q0lRLk5BU0RBUUdTOkNBS0UuSVFfSU5URVJFU1RfRVhQLjIwMDAuMzEvMTIvMjAxOS4uRi5VU0QuQwEAAAAI4AQAAgAAAAYtMS42OTkBCAAAAAUAAAABMQEAAAAKMTk5MTMyNzA0MAMAAAADMTYwAgAAAAI4MgQAAAABMQcAAAAKMTIvMzEvMjAxOQgAAAAJOC8xNi8yMDIwCQAAAAEw2hSWd/JB2AhJ/OR48kHYCCVDSVEuXkNPTVAuSVFfTEFTVFNBTEVQUklDRS4yNS8wNS8yMDE4AQAAAIm4KAACAAAABzc0MzMuODYAisU3UfJB2Ah1Jxhz8kHYCC1DSVEuTkFTREFRR1M6Q0FLRS5JUV9MQVNUU0FMRVBSSUNFLjIzLzAzLzIwMTgBAAAACOAEAAIAAAAFNDcuMjQAKCtCdfJB2Ah29FJ28kHYCChDSVEuTFNFOlNGT1IuSVFfTEFT</t>
  </si>
  <si>
    <t>VFNBTEVQUklDRS4zMS8xMC8yMDE5AQAAAMtT5CECAAAABDEuNjYAAeh9U/JB2Ahm7C1x8kHYCDxDSVEuTllTRTpNQU5VLklRX1JFVkVOVUVfTUVESUFOX0VTVC4xMDAxLjMwLzA0LzIwMjAuLkYuR0JQLkMBAAAA3WsNAAIAAAADNTI2AQ4AAAAFAAAAATMBAAAAATACAAAACjEwMDMwOTI0MjMDAAAABjEwMDE4MQQAAAABMwYAAAABMAcAAAACNTUIAAAAATEJAAAAATEKAAAAATALAAAACzExODY4NjI2MDY5DAAAAAExDQAAAAg1LzEvMjAyMBAAAAAJOC8xNi8yMDIwpH8HS/JB2AgyaZ1Z8kHYCDNDSVEuTllTRTpSQUNFLklRX1RPVEFMX1JFVi4xMDAwLjMxLzEyLzIwMTkuLkYuRVVSLkMBAAAAPYKwEAIAAAAIMzQyMC4zMjEBCAAAAAUAAAABMQEAAAAKMTk0NzQ0NDE4MwMAAAACNTACAAAAAjI4BAAAAAExBwAAAAoxMi8zMS8yMDE5CAAAAAk4LzE2LzIwMjAJAAAAATAe+xd48kHYCDdi8njyQdgINkNJUS5OQVNEQVFHUzpDQUtFLklRX0xUX0lOVkVTVC45OTguMzAvMDQvMjAyMC4uRi5VU0QuQwEAAAAI4AQAAgAAAAY1OS41MjEBCAAAAAUAAAABMQEAAAAKMjAyMTU4MTQwOQMAAAADMTYwAgAAAAQxMDU0BAAAAAExBwAAAAk0LzMwLzIwMjAIAAAACTgvMTYvMjAyMAkAAAABMANJykzyQdgIg6eVWfJB2AgtQ0lRLk5BU0RBUUdTOkNBS0UuSVFfTEFTVFNBTEVQUklDRS4xMy8xMi8yMDE5AQAAAAjgBAACAAAABTM5</t>
  </si>
  <si>
    <t>Ljg1AOg1flPyQdgIWBMucfJB2AgZQ0lRLi5JUV9WT0xVTUUuMTQvMDYvMjAxOQUAAAAAAAAACAAAABQoSW52YWxpZCBJZGVudGlmaWVyKdk5tVPyQdgIUr+6cvJB2AhAQ0lRLk5BU0RBUUdTOlRTTEEuSVFfUkVWRU5VRV9NRURJQU5fRVNULjEwMDEuMzAvMDQvMjAyMC4uRi5VU0QuQwEAAAAQxqIBAgAAAAsyNzY5My45NDc3NgEOAAAABQAAAAEzAQAAAAEwAgAAAAoxMDAwODcyOTYzAwAAAAYxMDAxODEEAAAAATIGAAAAATAHAAAAAzE2MAgAAAABMQkAAAABMQoAAAABMAsAAAALMTE5MDA4MjI1OTIMAAAAATENAAAACDUvMS8yMDIwEAAAAAk4LzE2LzIwMjCkfwdL8kHYCENCnVnyQdgIIUNJUS5MU0U6VFNDTy5JUV9WT0xVTUUuMTMvMDMvMjAyMAEAAAAwUAYAAgAAAAg3Ni42MDQ3NQCV/SRV8kHYCG4MeFnyQdgI</t>
  </si>
  <si>
    <t>No</t>
  </si>
  <si>
    <t>Beta Analysis</t>
  </si>
  <si>
    <t>Selected Guideline Public Companies</t>
  </si>
  <si>
    <t>Market Value of Common Equity</t>
  </si>
  <si>
    <t>Book Value of Debt to Equity</t>
  </si>
  <si>
    <t>Book Value of Debt to Capital (Wd)</t>
  </si>
  <si>
    <t xml:space="preserve"> TTM Income Taxes</t>
  </si>
  <si>
    <t xml:space="preserve"> TTM Pre-Tax Income</t>
  </si>
  <si>
    <t>Effective Income Tax Rate (2)</t>
  </si>
  <si>
    <t>Summary Analysis</t>
  </si>
  <si>
    <t>Max</t>
  </si>
  <si>
    <t>Min</t>
  </si>
  <si>
    <t>Mean</t>
  </si>
  <si>
    <t>Median</t>
  </si>
  <si>
    <t>Excluding outliers</t>
  </si>
  <si>
    <t>Relevered beta calculation (Practitioner's method)</t>
  </si>
  <si>
    <t>Selected Unlevered (Asset) beta</t>
  </si>
  <si>
    <t>Target debt to capital</t>
  </si>
  <si>
    <t>Relevered (Equity) beta</t>
  </si>
  <si>
    <t>Weighted Average Cost of Capital</t>
  </si>
  <si>
    <t>Additional risk premium based on perceived uncertainties associated with operating forecast</t>
  </si>
  <si>
    <t>Risk premium specific to an investment in the subject Country (4)</t>
  </si>
  <si>
    <t>Re = Rf + Be (Rm - Rf) + SP + ARP + CRP</t>
  </si>
  <si>
    <t>USD</t>
  </si>
  <si>
    <t>Country Risk Premium</t>
  </si>
  <si>
    <t>Rd = Pre-tax Rd x (1 - T)</t>
  </si>
  <si>
    <t>Footnotes:</t>
  </si>
  <si>
    <t>Source: Capital IQ.</t>
  </si>
  <si>
    <t>Effective tax rates for the selected  guideline companies are normalised at the domicile statutory rate if the effective tax rate is a) below 0%, or b) above 55%, in order to offset the use of NOL carryforwards, R&amp;D tax credits, etc.</t>
  </si>
  <si>
    <t>The estimated Equity Risk Premium (ERP), which equals Rm - Rf, incorporates perspective provided by recent long-term market return studies and historical data compiled by Morningstar (formerly Ibbotson Associates).</t>
  </si>
  <si>
    <t>The estimated Country Risk Premium (CRP), estimates risk associated with investing in foreign countries, over and above that considered in the Rf and ERP.</t>
  </si>
  <si>
    <t>Market Approach: Guideline Public Company Method - Indication Of Value</t>
  </si>
  <si>
    <t>Company</t>
  </si>
  <si>
    <t>Preliminary</t>
  </si>
  <si>
    <t>Add:</t>
  </si>
  <si>
    <t>Cash-Adjusted</t>
  </si>
  <si>
    <t>Less: Interest-</t>
  </si>
  <si>
    <t xml:space="preserve">Selected </t>
  </si>
  <si>
    <t>Adjustment</t>
  </si>
  <si>
    <t>Adjusted</t>
  </si>
  <si>
    <t>Financial</t>
  </si>
  <si>
    <t>Enterprise</t>
  </si>
  <si>
    <t>Cash &amp; Cash</t>
  </si>
  <si>
    <t>Bearing</t>
  </si>
  <si>
    <t>Equity</t>
  </si>
  <si>
    <t>Valuation Multiples</t>
  </si>
  <si>
    <t>Weighting</t>
  </si>
  <si>
    <t>Multiple</t>
  </si>
  <si>
    <t>Factor</t>
  </si>
  <si>
    <t xml:space="preserve">Statistic (1) </t>
  </si>
  <si>
    <t>Value (2)</t>
  </si>
  <si>
    <t>Equivalents</t>
  </si>
  <si>
    <t>Value (Minority)</t>
  </si>
  <si>
    <t>Debt</t>
  </si>
  <si>
    <t>FYE + 1:</t>
  </si>
  <si>
    <t>Cash-Adjusted Enterprise Value / Revenue</t>
  </si>
  <si>
    <t>Cash-Adjusted Enterprise Value / EBITDA</t>
  </si>
  <si>
    <t>Cash-Adjusted Enterprise Value / EBIT</t>
  </si>
  <si>
    <t>FYE:</t>
  </si>
  <si>
    <t>Price / Revenue</t>
  </si>
  <si>
    <t>Price / Pre-Tax Cash Flow</t>
  </si>
  <si>
    <t>Price / Earnings</t>
  </si>
  <si>
    <t>Price / Equity</t>
  </si>
  <si>
    <t>Add: Control Premium</t>
  </si>
  <si>
    <t>Add: Interest-Bearing Debt</t>
  </si>
  <si>
    <t>Income statement items are taken from Income Statement as of December 31, 2018 for the trailing and next twelve months.</t>
  </si>
  <si>
    <t>Valuation Multiple x Financial Statistic.</t>
  </si>
  <si>
    <t>Non-Cash, Debt-Free Working Capital ("NCDFWC") Requirements</t>
  </si>
  <si>
    <t>Non-cash, debt-free working capital</t>
  </si>
  <si>
    <t>Current Assets (1)</t>
  </si>
  <si>
    <t>Receivables Turnover (Days)</t>
  </si>
  <si>
    <t>Inventory Turnover (Days)</t>
  </si>
  <si>
    <t>Other Current Assets</t>
  </si>
  <si>
    <t>Current Liabilities (1)</t>
  </si>
  <si>
    <t>Payables Turnover (Days)</t>
  </si>
  <si>
    <t>Accrued Expenses</t>
  </si>
  <si>
    <t>Other Current Liabilities (Exc. Current Debt)</t>
  </si>
  <si>
    <t>Total Current Liabilities</t>
  </si>
  <si>
    <t>Working Capital Requirement based on (2)</t>
  </si>
  <si>
    <t>Guidelines</t>
  </si>
  <si>
    <t>NCDFWC as a % of Revenue</t>
  </si>
  <si>
    <t>Net Change in NCDFWC</t>
  </si>
  <si>
    <t>NA</t>
  </si>
  <si>
    <t>Net Change in NCDFWC as % of Net Change in Revenue</t>
  </si>
  <si>
    <t>&lt;&lt; Report table format for guideline transactions</t>
  </si>
  <si>
    <t>Market Approach: Guideline Transaction Method - Indication of Value</t>
  </si>
  <si>
    <t>Disclosed financial information for completed transactions</t>
  </si>
  <si>
    <t>Exclude as outlier?</t>
  </si>
  <si>
    <t>Date</t>
  </si>
  <si>
    <t>Target</t>
  </si>
  <si>
    <t>Acquiror name</t>
  </si>
  <si>
    <t>EV</t>
  </si>
  <si>
    <t>Revenue</t>
  </si>
  <si>
    <t>EBITDA</t>
  </si>
  <si>
    <t>EBITDA margin</t>
  </si>
  <si>
    <t>EV / Revenue</t>
  </si>
  <si>
    <t>EV / EBITDA</t>
  </si>
  <si>
    <t>-</t>
  </si>
  <si>
    <t>Market Approach: Guideline Public Company Method - Comparative Valuation Multiples</t>
  </si>
  <si>
    <t>EBITDA Margin</t>
  </si>
  <si>
    <t>EBIT Margin</t>
  </si>
  <si>
    <t>Enterprise Value / Revenue</t>
  </si>
  <si>
    <t>Enterprise Value / EBITDA</t>
  </si>
  <si>
    <t>Enterprise Value / EBIT</t>
  </si>
  <si>
    <t>Price/Revenue</t>
  </si>
  <si>
    <t>Price/Earnings</t>
  </si>
  <si>
    <t>Price/Book</t>
  </si>
  <si>
    <t>Last Fiscal Year End</t>
  </si>
  <si>
    <t>Enterprise Value</t>
  </si>
  <si>
    <t>FYE -1</t>
  </si>
  <si>
    <t>FYE+3</t>
  </si>
  <si>
    <t>75th Percentile</t>
  </si>
  <si>
    <t>25th Percentile</t>
  </si>
  <si>
    <t>Revenue Growth (2 year CAGR)</t>
  </si>
  <si>
    <t>EBITDA Growth (2 Year CAGR)</t>
  </si>
  <si>
    <t>EBITDA margin FYE</t>
  </si>
  <si>
    <t>FYE+1</t>
  </si>
  <si>
    <t>FYE+2</t>
  </si>
  <si>
    <t>Example linear regression</t>
  </si>
  <si>
    <t>Ticker Symbol</t>
  </si>
  <si>
    <t>Market Price</t>
  </si>
  <si>
    <t>Preferred Stock</t>
  </si>
  <si>
    <t>Adjusted Market Value of Stockholders' Equity</t>
  </si>
  <si>
    <t>Minority Interest</t>
  </si>
  <si>
    <t>Total Interest-Bearing Debt</t>
  </si>
  <si>
    <t>Less: Cash &amp; Cash Equivalents</t>
  </si>
  <si>
    <t>Less: Investments in Associated Companies</t>
  </si>
  <si>
    <t>Market Value of Cash-Adjusted Enterprise Value</t>
  </si>
  <si>
    <t>Market Capitalisation (Local Currency)</t>
  </si>
  <si>
    <t>Enterprise Value 
(Local Currency)</t>
  </si>
  <si>
    <t>Local Currency</t>
  </si>
  <si>
    <t>Guideline Companies: Revenue and EBITDA Growth Trends</t>
  </si>
  <si>
    <t>Projected</t>
  </si>
  <si>
    <t>Historical Growth</t>
  </si>
  <si>
    <t>Projected Growth</t>
  </si>
  <si>
    <t/>
  </si>
  <si>
    <t>2 Year CAGR</t>
  </si>
  <si>
    <t>Last FYE</t>
  </si>
  <si>
    <t>FYE + 1</t>
  </si>
  <si>
    <t>FYE + 2</t>
  </si>
  <si>
    <t>FYE + 3</t>
  </si>
  <si>
    <t>FYE - 3</t>
  </si>
  <si>
    <t>FYE -2</t>
  </si>
  <si>
    <t>3 Year CAGR</t>
  </si>
  <si>
    <t>Guideline Companies: EBITDA and EBIT margins</t>
  </si>
  <si>
    <t>EBIT</t>
  </si>
  <si>
    <t>Guideline Companies: Capital Exenditures</t>
  </si>
  <si>
    <t>Working Capital as % of Revenue</t>
  </si>
  <si>
    <t>Company name</t>
  </si>
  <si>
    <t>Calculation is:</t>
  </si>
  <si>
    <t>Total Current assets</t>
  </si>
  <si>
    <t>Row 210 CIQL</t>
  </si>
  <si>
    <t>Cash and equivalents</t>
  </si>
  <si>
    <t>Row 202 CIQL</t>
  </si>
  <si>
    <t>( Total Current Liabilities - Current Debt)</t>
  </si>
  <si>
    <t>Row 244-236 CIQL</t>
  </si>
  <si>
    <t>/</t>
  </si>
  <si>
    <t>Fixed Asset Survivor Curve: Estimation of Depreciation Related to New versus Existing Assets (Tax Basis)</t>
  </si>
  <si>
    <t>Beginning Net Book Value of Assets</t>
  </si>
  <si>
    <t>Estimated Remaining Economic Useful Life (2)</t>
  </si>
  <si>
    <t>Beginning Net Book Value of Existing Asset Class</t>
  </si>
  <si>
    <t>Capital Expenditures:</t>
  </si>
  <si>
    <t xml:space="preserve">Forecast Capital Expenditures </t>
  </si>
  <si>
    <t>Straight Line</t>
  </si>
  <si>
    <t>Economic</t>
  </si>
  <si>
    <t>Weight</t>
  </si>
  <si>
    <t>Useful Life (3)</t>
  </si>
  <si>
    <t>Depreciation Expense</t>
  </si>
  <si>
    <t>Annual Depreciation Related to New Assets:</t>
  </si>
  <si>
    <t>Incremental Depreciation Related to New Assets</t>
  </si>
  <si>
    <t>Incremental Depreciation Related to Existing Assets</t>
  </si>
  <si>
    <t>Total Depreciation For All Assets</t>
  </si>
  <si>
    <t>Asset Balance</t>
  </si>
  <si>
    <t>Opening Balance</t>
  </si>
  <si>
    <t>Intangible Capex</t>
  </si>
  <si>
    <t>Ending Net Book Value</t>
  </si>
  <si>
    <t>Useful Life</t>
  </si>
  <si>
    <t>Weighted</t>
  </si>
  <si>
    <t>Capital Expenditures per Management:</t>
  </si>
  <si>
    <t>(years)</t>
  </si>
  <si>
    <t>Total CapX</t>
  </si>
  <si>
    <t>CapX %</t>
  </si>
  <si>
    <t>Asset 1</t>
  </si>
  <si>
    <t>Asset 2</t>
  </si>
  <si>
    <t>Asset 3</t>
  </si>
  <si>
    <t>Asset 4</t>
  </si>
  <si>
    <t>Asset 5</t>
  </si>
  <si>
    <t>Asset 6</t>
  </si>
  <si>
    <t>Total Capital Expenditures</t>
  </si>
  <si>
    <t>Market Approach: Guideline Public Company Method - Business Descriptions</t>
  </si>
  <si>
    <t>Guideline public companies - detailed descriptions</t>
  </si>
  <si>
    <t>Name</t>
  </si>
  <si>
    <t>Industry</t>
  </si>
  <si>
    <t>Summary Description</t>
  </si>
  <si>
    <t>Market Approach: Guideline Public Company Method - Comparative Historical Financial Ratios</t>
  </si>
  <si>
    <t>Liquidity Ratios</t>
  </si>
  <si>
    <t>Leverage Ratios</t>
  </si>
  <si>
    <t>Operating Efficiency Ratios</t>
  </si>
  <si>
    <t>Profitability Ratios</t>
  </si>
  <si>
    <t>Revenue Growth</t>
  </si>
  <si>
    <t>Net Income Growth</t>
  </si>
  <si>
    <t>EBITDA Growth</t>
  </si>
  <si>
    <t>Equity Growth</t>
  </si>
  <si>
    <t>Current Ratio</t>
  </si>
  <si>
    <t>Quick Ratio</t>
  </si>
  <si>
    <t>Interest Coverage Before Tax</t>
  </si>
  <si>
    <t>Interest Coverage After Tax</t>
  </si>
  <si>
    <t>Long-Term Debt / Equity</t>
  </si>
  <si>
    <t>Total Debt / Invested Capital</t>
  </si>
  <si>
    <t>Total Debt / Total Assets</t>
  </si>
  <si>
    <t>Total Liabilities / Equity</t>
  </si>
  <si>
    <t>Total Debt / Total Market Capitalization</t>
  </si>
  <si>
    <t>Revenue / Total Assets</t>
  </si>
  <si>
    <t>Revenue / Receivables</t>
  </si>
  <si>
    <t>Receivable Turnover (Days)</t>
  </si>
  <si>
    <t>COGS / Inventory</t>
  </si>
  <si>
    <t>COGS / Payables</t>
  </si>
  <si>
    <t>Payable Turnover (Days)</t>
  </si>
  <si>
    <t>Return on Assets</t>
  </si>
  <si>
    <t>Return on Equity</t>
  </si>
  <si>
    <t>Return on Invested Capital</t>
  </si>
  <si>
    <t>Return on Market Value of Equity</t>
  </si>
  <si>
    <t>Pretax Profit Margin</t>
  </si>
  <si>
    <t>Net Profit Margin</t>
  </si>
  <si>
    <t>Previous Fiscal Year</t>
  </si>
  <si>
    <t>Latest Fiscal Year</t>
  </si>
  <si>
    <t>Three-year Historic CAGR</t>
  </si>
  <si>
    <t>Other Assets</t>
  </si>
  <si>
    <t>Long-Term Investments</t>
  </si>
  <si>
    <t>Investment in Affiliates</t>
  </si>
  <si>
    <t>Investment in Restricted Equity Securities</t>
  </si>
  <si>
    <t>Goodwill</t>
  </si>
  <si>
    <t>Intangible Assets, Net</t>
  </si>
  <si>
    <t>Noncurrent Notes Receivable</t>
  </si>
  <si>
    <t>Noncurrent Related Party Note Receivable</t>
  </si>
  <si>
    <t>Deferred Income Taxes</t>
  </si>
  <si>
    <t>Deferred Loan Origination Fees, Net</t>
  </si>
  <si>
    <t>Other</t>
  </si>
  <si>
    <t>Total Other Assets</t>
  </si>
  <si>
    <t>Property, Plant &amp; Equipment</t>
  </si>
  <si>
    <t>Item I</t>
  </si>
  <si>
    <t>Item II</t>
  </si>
  <si>
    <t>Item III</t>
  </si>
  <si>
    <t>Item IV</t>
  </si>
  <si>
    <t>Gross Property, Plant &amp; Equipment</t>
  </si>
  <si>
    <t>Less: Depreciation</t>
  </si>
  <si>
    <t>Net Property, Plant &amp; Equipment</t>
  </si>
  <si>
    <t>Current Assets</t>
  </si>
  <si>
    <t>Cash &amp; Equivalents</t>
  </si>
  <si>
    <t>Accounts Receivable, Net</t>
  </si>
  <si>
    <t>Trade &amp; Other</t>
  </si>
  <si>
    <t>Related Party</t>
  </si>
  <si>
    <t>Notes Receivable, Current Portion</t>
  </si>
  <si>
    <t>Inventories</t>
  </si>
  <si>
    <t>Income Tax Receivable</t>
  </si>
  <si>
    <t>Prepaid Expenses &amp; Other</t>
  </si>
  <si>
    <t>Total Current Assets</t>
  </si>
  <si>
    <t>Total Assets</t>
  </si>
  <si>
    <t>Liabilities &amp; Equity</t>
  </si>
  <si>
    <t>Notes Payable</t>
  </si>
  <si>
    <t>Current Installments of Long-Term Debt</t>
  </si>
  <si>
    <t>Accounts Payable</t>
  </si>
  <si>
    <t>Income Taxes Payable</t>
  </si>
  <si>
    <t>Taxes, Other than Income</t>
  </si>
  <si>
    <t>Capital Leases</t>
  </si>
  <si>
    <t>Other Current Liabilities</t>
  </si>
  <si>
    <t>Deferred Revenue, Current</t>
  </si>
  <si>
    <t>Long-Term Liabilities</t>
  </si>
  <si>
    <t>Deferred Revenue, Noncurrent</t>
  </si>
  <si>
    <t>Other Long-Term Liabilities</t>
  </si>
  <si>
    <t>Long Term Debt, Noncurrent</t>
  </si>
  <si>
    <t>Total Long-Term Liabilities</t>
  </si>
  <si>
    <t>Total Liabilities</t>
  </si>
  <si>
    <t>Shareholders' Equity</t>
  </si>
  <si>
    <t xml:space="preserve">Common Stock </t>
  </si>
  <si>
    <t>Treasury Stock</t>
  </si>
  <si>
    <t>Additional Paid in Capital</t>
  </si>
  <si>
    <t>Accumulated Other Comprehensive Income</t>
  </si>
  <si>
    <t>Receivable from Shareholder</t>
  </si>
  <si>
    <t>Retained Earnings</t>
  </si>
  <si>
    <t>Total Shareholders' Equity</t>
  </si>
  <si>
    <t>Total Liabilities &amp; Equity</t>
  </si>
  <si>
    <t>Revenue:</t>
  </si>
  <si>
    <t>Cost of Revenue:</t>
  </si>
  <si>
    <t>Operating Expenses:</t>
  </si>
  <si>
    <t>Total Operating Expenses</t>
  </si>
  <si>
    <t>Net Gain (Loss) on Dispositions of Assets</t>
  </si>
  <si>
    <t>Equity in Earnings (Loss) of Affiliates</t>
  </si>
  <si>
    <t>Special Items</t>
  </si>
  <si>
    <t>Other Expense</t>
  </si>
  <si>
    <t>Total Other Income (Expense)</t>
  </si>
  <si>
    <t>Provision for Income Taxes (Benefit)</t>
  </si>
  <si>
    <t>Income (Loss) Before Extraordinary Items</t>
  </si>
  <si>
    <t>Preferred Dividends</t>
  </si>
  <si>
    <t>Income (Loss) Available to Common</t>
  </si>
  <si>
    <t>Extraordinary Items</t>
  </si>
  <si>
    <t>Discontinued Operations</t>
  </si>
  <si>
    <t>Net Income (Loss)</t>
  </si>
  <si>
    <t>2004 (1)</t>
  </si>
  <si>
    <t>2005 (1)</t>
  </si>
  <si>
    <t>2006 (1)</t>
  </si>
  <si>
    <t>2007 (1)</t>
  </si>
  <si>
    <t>2008 (2)</t>
  </si>
  <si>
    <t>2009 (3)</t>
  </si>
  <si>
    <t>2010 (4)</t>
  </si>
  <si>
    <t>2011 (5)</t>
  </si>
  <si>
    <t>2012 (6)</t>
  </si>
  <si>
    <t>2013 (7)</t>
  </si>
  <si>
    <t>2014 (1)</t>
  </si>
  <si>
    <t>2015 (1)</t>
  </si>
  <si>
    <t>2016 (1)</t>
  </si>
  <si>
    <t>2017 (1)</t>
  </si>
  <si>
    <t>2018 (1)</t>
  </si>
  <si>
    <t>2019 (1)</t>
  </si>
  <si>
    <t>Market Capitalization of</t>
  </si>
  <si>
    <t>Size Premium (Return</t>
  </si>
  <si>
    <t>Smallest Company</t>
  </si>
  <si>
    <t>Largest Company</t>
  </si>
  <si>
    <t>in Excess of CAPM)</t>
  </si>
  <si>
    <t>Decile</t>
  </si>
  <si>
    <t>3-5</t>
  </si>
  <si>
    <t>6-8</t>
  </si>
  <si>
    <t>9-10</t>
  </si>
  <si>
    <t>Breakdown of Deciles 1-10</t>
  </si>
  <si>
    <t>1st</t>
  </si>
  <si>
    <t>2nd</t>
  </si>
  <si>
    <t>3rd</t>
  </si>
  <si>
    <t>4th</t>
  </si>
  <si>
    <t>5th</t>
  </si>
  <si>
    <t>6th</t>
  </si>
  <si>
    <t>7th</t>
  </si>
  <si>
    <t>8th</t>
  </si>
  <si>
    <t>9th</t>
  </si>
  <si>
    <t>10th</t>
  </si>
  <si>
    <t>Breakdown of the 10th Decile</t>
  </si>
  <si>
    <t>10a</t>
  </si>
  <si>
    <t>10w</t>
  </si>
  <si>
    <t>10x</t>
  </si>
  <si>
    <t>10b</t>
  </si>
  <si>
    <t>10y</t>
  </si>
  <si>
    <t>10z</t>
  </si>
  <si>
    <t>Selected Ibbotson SBBI Valuation Yearbook</t>
  </si>
  <si>
    <t>Value of Equity</t>
  </si>
  <si>
    <t>Selected Decile</t>
  </si>
  <si>
    <t>Selected Size Premium</t>
  </si>
  <si>
    <t>Footnote:</t>
  </si>
  <si>
    <t>2004-2016 Ibbotson SBBI Valuation Yearbook, Morningstar, Inc.
2017-2019 SBBI Valuation Yearbook, Duff &amp; Phelps</t>
  </si>
  <si>
    <t>Moody's rating</t>
  </si>
  <si>
    <t>Abu Dhabi</t>
  </si>
  <si>
    <t>Aa2</t>
  </si>
  <si>
    <t>Albania</t>
  </si>
  <si>
    <t>B1</t>
  </si>
  <si>
    <t>A1</t>
  </si>
  <si>
    <t>Andorra (Principality of)</t>
  </si>
  <si>
    <t>Baa3</t>
  </si>
  <si>
    <t>A2</t>
  </si>
  <si>
    <t>Angola</t>
  </si>
  <si>
    <t>B3</t>
  </si>
  <si>
    <t>A3</t>
  </si>
  <si>
    <t>Ca</t>
  </si>
  <si>
    <t>Aa1</t>
  </si>
  <si>
    <t>Armenia</t>
  </si>
  <si>
    <t>Ba3</t>
  </si>
  <si>
    <t>Aruba</t>
  </si>
  <si>
    <t>Baa1</t>
  </si>
  <si>
    <t>Aa3</t>
  </si>
  <si>
    <t>Aaa</t>
  </si>
  <si>
    <t>Azerbaijan</t>
  </si>
  <si>
    <t>Ba2</t>
  </si>
  <si>
    <t>B2</t>
  </si>
  <si>
    <t>Bahamas</t>
  </si>
  <si>
    <t>Bahrain</t>
  </si>
  <si>
    <t>Ba1</t>
  </si>
  <si>
    <t>Bangladesh</t>
  </si>
  <si>
    <t>Barbados</t>
  </si>
  <si>
    <t>Caa1</t>
  </si>
  <si>
    <t>Belarus</t>
  </si>
  <si>
    <t>Baa2</t>
  </si>
  <si>
    <t>Belize</t>
  </si>
  <si>
    <t>Benin</t>
  </si>
  <si>
    <t>Bermuda</t>
  </si>
  <si>
    <t>Bolivia</t>
  </si>
  <si>
    <t>Bosnia and Herzegovina</t>
  </si>
  <si>
    <t>Botswana</t>
  </si>
  <si>
    <t>NR</t>
  </si>
  <si>
    <t>Burkina Faso</t>
  </si>
  <si>
    <t>Cambodia</t>
  </si>
  <si>
    <t>Cameroon</t>
  </si>
  <si>
    <t>Cape Verde</t>
  </si>
  <si>
    <t>Cayman Islands</t>
  </si>
  <si>
    <t>Colombia</t>
  </si>
  <si>
    <t>Congo (Republic of)</t>
  </si>
  <si>
    <t>Caa2</t>
  </si>
  <si>
    <t>Cook Islands</t>
  </si>
  <si>
    <t>Costa Rica</t>
  </si>
  <si>
    <t>Cuba</t>
  </si>
  <si>
    <t>Cyprus</t>
  </si>
  <si>
    <t>Dominican Republic</t>
  </si>
  <si>
    <t>Ecuador</t>
  </si>
  <si>
    <t>Caa3</t>
  </si>
  <si>
    <t>El Salvador</t>
  </si>
  <si>
    <t>Estonia</t>
  </si>
  <si>
    <t>Ethiopia</t>
  </si>
  <si>
    <t>Fiji</t>
  </si>
  <si>
    <t>Finland</t>
  </si>
  <si>
    <t>Gabon</t>
  </si>
  <si>
    <t>Georgia</t>
  </si>
  <si>
    <t>Ghana</t>
  </si>
  <si>
    <t>Greece</t>
  </si>
  <si>
    <t>Guatemala</t>
  </si>
  <si>
    <t>Guernsey (States of)</t>
  </si>
  <si>
    <t>Honduras</t>
  </si>
  <si>
    <t>Iraq</t>
  </si>
  <si>
    <t>Isle of Man</t>
  </si>
  <si>
    <t>Jamaica</t>
  </si>
  <si>
    <t>Jersey (States of)</t>
  </si>
  <si>
    <t>Jordan</t>
  </si>
  <si>
    <t>Kazakhstan</t>
  </si>
  <si>
    <t>Kuwait</t>
  </si>
  <si>
    <t>Kyrgyzstan</t>
  </si>
  <si>
    <t>Laos</t>
  </si>
  <si>
    <t>Latvia</t>
  </si>
  <si>
    <t>Lebanon</t>
  </si>
  <si>
    <t>Liechtenstein</t>
  </si>
  <si>
    <t>Lithuania</t>
  </si>
  <si>
    <t>Macedonia</t>
  </si>
  <si>
    <t>Maldives</t>
  </si>
  <si>
    <t>Mali</t>
  </si>
  <si>
    <t>Malta</t>
  </si>
  <si>
    <t>Mauritius</t>
  </si>
  <si>
    <t>Moldova</t>
  </si>
  <si>
    <t>Mongolia</t>
  </si>
  <si>
    <t>Montenegro</t>
  </si>
  <si>
    <t>Montserrat</t>
  </si>
  <si>
    <t>Mozambique</t>
  </si>
  <si>
    <t>Namibia</t>
  </si>
  <si>
    <t>Nicaragua</t>
  </si>
  <si>
    <t>Niger</t>
  </si>
  <si>
    <t>Oman</t>
  </si>
  <si>
    <t>Pakistan</t>
  </si>
  <si>
    <t>Panama</t>
  </si>
  <si>
    <t>Papua New Guinea</t>
  </si>
  <si>
    <t>Paraguay</t>
  </si>
  <si>
    <t>Peru</t>
  </si>
  <si>
    <t>Portugal</t>
  </si>
  <si>
    <t>Ras Al Khaimah (Emirate of)</t>
  </si>
  <si>
    <t>Rwanda</t>
  </si>
  <si>
    <t>Senegal</t>
  </si>
  <si>
    <t>Serbia</t>
  </si>
  <si>
    <t>Sharjah</t>
  </si>
  <si>
    <t>Slovakia</t>
  </si>
  <si>
    <t>Slovenia</t>
  </si>
  <si>
    <t>Solomon Islands</t>
  </si>
  <si>
    <t>St. Maarten</t>
  </si>
  <si>
    <t>St. Vincent &amp; the Grenadines</t>
  </si>
  <si>
    <t>Suriname</t>
  </si>
  <si>
    <t>Swaziland</t>
  </si>
  <si>
    <t>Tajikistan</t>
  </si>
  <si>
    <t>Tanzania</t>
  </si>
  <si>
    <t>Togo</t>
  </si>
  <si>
    <t>Tunisia</t>
  </si>
  <si>
    <t>Uganda</t>
  </si>
  <si>
    <t>Ukraine</t>
  </si>
  <si>
    <t>United Arab Emirates</t>
  </si>
  <si>
    <t>Uruguay</t>
  </si>
  <si>
    <t>Uzbekistan</t>
  </si>
  <si>
    <t>Venezuela</t>
  </si>
  <si>
    <t>Algeria</t>
  </si>
  <si>
    <t>Brunei</t>
  </si>
  <si>
    <t>Gambia</t>
  </si>
  <si>
    <t>Guinea</t>
  </si>
  <si>
    <t>Guinea-Bissau</t>
  </si>
  <si>
    <t>Guyana</t>
  </si>
  <si>
    <t>Haiti</t>
  </si>
  <si>
    <t>Iran</t>
  </si>
  <si>
    <t>Korea, D.P.R.</t>
  </si>
  <si>
    <t>Liberia</t>
  </si>
  <si>
    <t>Libya</t>
  </si>
  <si>
    <t>Madagascar</t>
  </si>
  <si>
    <t>Malawi</t>
  </si>
  <si>
    <t>Myanmar</t>
  </si>
  <si>
    <t>Sierra Leone</t>
  </si>
  <si>
    <t>Somalia</t>
  </si>
  <si>
    <t>Sudan</t>
  </si>
  <si>
    <t>Syria</t>
  </si>
  <si>
    <t>Zimbabwe</t>
  </si>
  <si>
    <t>First Listing Date</t>
  </si>
  <si>
    <t>Number of shares outstanding</t>
  </si>
  <si>
    <t>Average daily trading volume over last year</t>
  </si>
  <si>
    <t>Average daily trading volume / Total shares outstanding</t>
  </si>
  <si>
    <t>Afghanistan</t>
  </si>
  <si>
    <t>EUR</t>
  </si>
  <si>
    <t>Anguilla</t>
  </si>
  <si>
    <t>INR</t>
  </si>
  <si>
    <t>CAD</t>
  </si>
  <si>
    <t>Gibraltar</t>
  </si>
  <si>
    <t>Ivory Coast</t>
  </si>
  <si>
    <t>Macau</t>
  </si>
  <si>
    <t>Monaco</t>
  </si>
  <si>
    <t>Saint Lucia</t>
  </si>
  <si>
    <t>Samoa</t>
  </si>
  <si>
    <t>Vanuatu</t>
  </si>
  <si>
    <t>Yemen</t>
  </si>
  <si>
    <t>SAR</t>
  </si>
  <si>
    <t>Capital structure summary - Debt/Equity</t>
  </si>
  <si>
    <t>Capital structure summary - Debt/Capital</t>
  </si>
  <si>
    <t>Guideline Companies</t>
  </si>
  <si>
    <t>FYE -3</t>
  </si>
  <si>
    <t>5Yr Average</t>
  </si>
  <si>
    <t>2Yr Average</t>
  </si>
  <si>
    <t>Net Income</t>
  </si>
  <si>
    <t>Model Code</t>
  </si>
  <si>
    <t>Input</t>
  </si>
  <si>
    <t>Prepared by:</t>
  </si>
  <si>
    <t>Link</t>
  </si>
  <si>
    <t>Model Purpose:</t>
  </si>
  <si>
    <t>Formula</t>
  </si>
  <si>
    <t xml:space="preserve">Last Updated: </t>
  </si>
  <si>
    <t>Deviant</t>
  </si>
  <si>
    <t>Blank cell</t>
  </si>
  <si>
    <t>Disclaimer</t>
  </si>
  <si>
    <t>Total Operating Expense</t>
  </si>
  <si>
    <t>Operating income</t>
  </si>
  <si>
    <t>Price/BV</t>
  </si>
  <si>
    <t>Price/LTM Earnings</t>
  </si>
  <si>
    <t>EV/Revenue</t>
  </si>
  <si>
    <t>EV/EBIT</t>
  </si>
  <si>
    <t>Total debt</t>
  </si>
  <si>
    <t>LTM EBITDA</t>
  </si>
  <si>
    <t>LTM</t>
  </si>
  <si>
    <t>General Company Data</t>
  </si>
  <si>
    <t>Summary Forecast Outputs</t>
  </si>
  <si>
    <t>Direct Costs</t>
  </si>
  <si>
    <t>Net Margin</t>
  </si>
  <si>
    <t>Gross Margin</t>
  </si>
  <si>
    <t>Capex</t>
  </si>
  <si>
    <t>Sales Volumes</t>
  </si>
  <si>
    <t>Model Workings &gt;&gt;</t>
  </si>
  <si>
    <t>Model Summary &gt;&gt;</t>
  </si>
  <si>
    <t>Income Statement Calculations</t>
  </si>
  <si>
    <t>Revenue share (%)</t>
  </si>
  <si>
    <t xml:space="preserve">Cost of goods sold </t>
  </si>
  <si>
    <t>Selling, general and admin expenses</t>
  </si>
  <si>
    <t xml:space="preserve">Staff salaries </t>
  </si>
  <si>
    <t>Commission</t>
  </si>
  <si>
    <t>Rent</t>
  </si>
  <si>
    <t>Legal and professional fee</t>
  </si>
  <si>
    <t>Travelling &amp; communication</t>
  </si>
  <si>
    <t>Printing &amp; Stationary</t>
  </si>
  <si>
    <t>Sundry expenses</t>
  </si>
  <si>
    <t>Total G&amp;A expenses</t>
  </si>
  <si>
    <t>Selling, general and admin expenses as % of revenue</t>
  </si>
  <si>
    <t xml:space="preserve">Satff salaries </t>
  </si>
  <si>
    <t>Existing Revenue</t>
  </si>
  <si>
    <t>Total Revenue from Existing Streams</t>
  </si>
  <si>
    <t>Growth (%)</t>
  </si>
  <si>
    <t>Existing Revenue Streams</t>
  </si>
  <si>
    <t>COGS as a % of Revenue</t>
  </si>
  <si>
    <t>KPIs</t>
  </si>
  <si>
    <t>Revenue growth</t>
  </si>
  <si>
    <t>Net margin</t>
  </si>
  <si>
    <t>Total COGS on Existing Streams</t>
  </si>
  <si>
    <t>Total Cost of Goods Sold</t>
  </si>
  <si>
    <t>Total Revenues</t>
  </si>
  <si>
    <t>Pipeline Revenue Streams - Confirmed</t>
  </si>
  <si>
    <t>Potential Revenue Streams - Unconfirmed</t>
  </si>
  <si>
    <t>Pipeline Revenues</t>
  </si>
  <si>
    <t>Potential Revenues</t>
  </si>
  <si>
    <t>Total Revenue from Pipeline Streams</t>
  </si>
  <si>
    <t>Total Revenue from Potential Streams</t>
  </si>
  <si>
    <t xml:space="preserve">Revenue Schedule </t>
  </si>
  <si>
    <t>COGS on Existing Revenue</t>
  </si>
  <si>
    <t>COGS on Pipeline Revenue</t>
  </si>
  <si>
    <t>Total COGS on Pipeline Streams</t>
  </si>
  <si>
    <t>Total COGS on  Potential Streams</t>
  </si>
  <si>
    <t xml:space="preserve">Date of last update: </t>
  </si>
  <si>
    <t xml:space="preserve">Requested by: </t>
  </si>
  <si>
    <t>Business description</t>
  </si>
  <si>
    <t xml:space="preserve">Country of headquarters </t>
  </si>
  <si>
    <t xml:space="preserve">LTM Revenue </t>
  </si>
  <si>
    <t>LTM EBIT</t>
  </si>
  <si>
    <t xml:space="preserve">LTM EV </t>
  </si>
  <si>
    <t xml:space="preserve">5yr monthly Beta </t>
  </si>
  <si>
    <t>S.No.</t>
  </si>
  <si>
    <t>Market Cap. (USD Mn)</t>
  </si>
  <si>
    <t>Table 1: General Information,Market &amp; Sizing</t>
  </si>
  <si>
    <t>Effective Tax Rate</t>
  </si>
  <si>
    <t>Financial Period</t>
  </si>
  <si>
    <t>Last Twelve Months</t>
  </si>
  <si>
    <t>Enterprise Value as at</t>
  </si>
  <si>
    <t xml:space="preserve">1yr Weekly Beta </t>
  </si>
  <si>
    <t>Timeline Architecture</t>
  </si>
  <si>
    <t>Column Counter</t>
  </si>
  <si>
    <t>Time Stamp</t>
  </si>
  <si>
    <t>Stream 1</t>
  </si>
  <si>
    <t>Stream 2</t>
  </si>
  <si>
    <t>Stream 3</t>
  </si>
  <si>
    <t>Stream 4</t>
  </si>
  <si>
    <t>Revenue Streams</t>
  </si>
  <si>
    <t>Pipeline Revenue</t>
  </si>
  <si>
    <t>Potential Revenue</t>
  </si>
  <si>
    <t>Input product/service/client name below</t>
  </si>
  <si>
    <t>Revenue Build up: Price x Volume (if applicable)</t>
  </si>
  <si>
    <t>Price/Average Price per unit</t>
  </si>
  <si>
    <t>Income Statement</t>
  </si>
  <si>
    <t>COGS</t>
  </si>
  <si>
    <t>Balance Sheet</t>
  </si>
  <si>
    <t>Finance Cost</t>
  </si>
  <si>
    <t>Finance cost - Interest</t>
  </si>
  <si>
    <t>Bank Charges</t>
  </si>
  <si>
    <t>Total Finance Cost</t>
  </si>
  <si>
    <t>Balance Sheet Calculations</t>
  </si>
  <si>
    <t>Comp 1</t>
  </si>
  <si>
    <t>Comp 2</t>
  </si>
  <si>
    <t>Comp 3</t>
  </si>
  <si>
    <t>Comp 4</t>
  </si>
  <si>
    <t>Comp 5</t>
  </si>
  <si>
    <t>Comp 6</t>
  </si>
  <si>
    <t>Comp 7</t>
  </si>
  <si>
    <t>Comp 8</t>
  </si>
  <si>
    <t>Comp 9</t>
  </si>
  <si>
    <t>Comp 10</t>
  </si>
  <si>
    <t>Net Working Capital - Balance</t>
  </si>
  <si>
    <t>Total Net Working Capital</t>
  </si>
  <si>
    <t>Net Working Capital - Days</t>
  </si>
  <si>
    <t>Current Liabilities</t>
  </si>
  <si>
    <t>Total Net Working Capital Days</t>
  </si>
  <si>
    <t>References</t>
  </si>
  <si>
    <t>G&amp;A</t>
  </si>
  <si>
    <t>Transactions Data</t>
  </si>
  <si>
    <t>Target Name</t>
  </si>
  <si>
    <t>Acquiror Name</t>
  </si>
  <si>
    <t>XX</t>
  </si>
  <si>
    <t>Sources: Refinitiv EIKON</t>
  </si>
  <si>
    <t>Avg. weekly trading volume</t>
  </si>
  <si>
    <t>Debt to Equity Ratio</t>
  </si>
  <si>
    <t>Table 2A: Historical &amp; Forecast Financials</t>
  </si>
  <si>
    <t>Net Income in USD Millions</t>
  </si>
  <si>
    <t>Table 2B: Historical &amp; Forecast Financials</t>
  </si>
  <si>
    <t>Table 2C: Historical &amp; Forecast Margins</t>
  </si>
  <si>
    <t>EV/EBITDA</t>
  </si>
  <si>
    <t>Table 4A: Valuation Metrics</t>
  </si>
  <si>
    <t>Table 4B: Valuation Metrics</t>
  </si>
  <si>
    <t>Short Business Description</t>
  </si>
  <si>
    <t>CAGR</t>
  </si>
  <si>
    <t>Valuation Model</t>
  </si>
  <si>
    <t>Project Name:</t>
  </si>
  <si>
    <t xml:space="preserve">Implied FY23 EV/EBITDA </t>
  </si>
  <si>
    <t>Mid</t>
  </si>
  <si>
    <t>+/- 5% range</t>
  </si>
  <si>
    <t>Client Name:</t>
  </si>
  <si>
    <t>Discounted Cash Flow analysis - Management case</t>
  </si>
  <si>
    <t>Cost of debt</t>
  </si>
  <si>
    <t>Cost of debt net of tax</t>
  </si>
  <si>
    <t>Debt ratio</t>
  </si>
  <si>
    <t>Cost of equity</t>
  </si>
  <si>
    <t>USD treasury risk free rate</t>
  </si>
  <si>
    <t>USD inflation</t>
  </si>
  <si>
    <t>AED inflation</t>
  </si>
  <si>
    <t>Adjusted risk free rate</t>
  </si>
  <si>
    <t>Equity risk premium</t>
  </si>
  <si>
    <t>Relevered beta</t>
  </si>
  <si>
    <t>Country risk premium (weighted)</t>
  </si>
  <si>
    <t>Size risk premium</t>
  </si>
  <si>
    <t>Equity ratio</t>
  </si>
  <si>
    <t>Sources</t>
  </si>
  <si>
    <t>Ashwath Damodaran - The expected return of the market in excess of the risk-free rate (3)</t>
  </si>
  <si>
    <t xml:space="preserve">Additional company specific risk premium </t>
  </si>
  <si>
    <t>Beta, Capital Asset Pricing Model ("CAPM") &amp; Weighted Average Cost of Capital ("WACC") Analysis</t>
  </si>
  <si>
    <t>Terminal year</t>
  </si>
  <si>
    <t>Earnings before interest and tax ("EBIT")</t>
  </si>
  <si>
    <t xml:space="preserve">Income tax </t>
  </si>
  <si>
    <t>Net operating profit after tax ("NOPAT")</t>
  </si>
  <si>
    <t>Capex as a % of revenue</t>
  </si>
  <si>
    <t>NWC as a % of revenue</t>
  </si>
  <si>
    <t>Free cash flow to the firm ("FCFF")</t>
  </si>
  <si>
    <t xml:space="preserve">Partial period factor </t>
  </si>
  <si>
    <t>Discount period</t>
  </si>
  <si>
    <t>Present value factor (High)</t>
  </si>
  <si>
    <t>Present value factor (Low)</t>
  </si>
  <si>
    <t>Present value of FCFF (High)</t>
  </si>
  <si>
    <t>Present value of FCFF (Low)</t>
  </si>
  <si>
    <t>Present value of explicit cash flows</t>
  </si>
  <si>
    <t>Terminal growth rate</t>
  </si>
  <si>
    <t>Residual value at Terminal Year</t>
  </si>
  <si>
    <t>Present value factor</t>
  </si>
  <si>
    <t xml:space="preserve">Terminal value </t>
  </si>
  <si>
    <t xml:space="preserve">Indicated Enterprise Value from Operations </t>
  </si>
  <si>
    <t>Indicated Equity Value</t>
  </si>
  <si>
    <t>FYE 2023 Revenue Multiple</t>
  </si>
  <si>
    <t>FYE 2023 EBITDA Multiple</t>
  </si>
  <si>
    <t>Draft note</t>
  </si>
  <si>
    <t>draft.toggle</t>
  </si>
  <si>
    <t>DRAFT Analysis; Subject to Change</t>
  </si>
  <si>
    <t>Depreciation as a % of revenue</t>
  </si>
  <si>
    <t>depreciation.assumption</t>
  </si>
  <si>
    <t>hist.nwc</t>
  </si>
  <si>
    <t>WACC (high)</t>
  </si>
  <si>
    <t>wacc.high</t>
  </si>
  <si>
    <t>WACC (mid-point)</t>
  </si>
  <si>
    <t>wacc.mid</t>
  </si>
  <si>
    <t>WACC (low)</t>
  </si>
  <si>
    <t>wacc.low</t>
  </si>
  <si>
    <t>Synergy percentage</t>
  </si>
  <si>
    <t>synergy.percentage</t>
  </si>
  <si>
    <t>Capex Additions</t>
  </si>
  <si>
    <t>Existing Capex</t>
  </si>
  <si>
    <t>Assets &amp; Depreciation</t>
  </si>
  <si>
    <t>Equity value calculation</t>
  </si>
  <si>
    <t>Section Divider - Model Summary</t>
  </si>
  <si>
    <t>Model Inputs</t>
  </si>
  <si>
    <t>Equity Risk Premium</t>
  </si>
  <si>
    <t>Corporate Tax Rate</t>
  </si>
  <si>
    <t>TTM Price</t>
  </si>
  <si>
    <t>Table 5: Valuation Metrics</t>
  </si>
  <si>
    <t>Diluted Shares Outstanding</t>
  </si>
  <si>
    <t>Exchange rate (CUR/AED)</t>
  </si>
  <si>
    <t>Working Capital as a % of Revenue</t>
  </si>
  <si>
    <t>Table 2D: Historical Ratios</t>
  </si>
  <si>
    <t>In USD Millions</t>
  </si>
  <si>
    <t>December 2022</t>
  </si>
  <si>
    <t>Model Output &gt;&gt;</t>
  </si>
  <si>
    <t>Section Divider - Model Output</t>
  </si>
  <si>
    <t>Section Divider - Model Workings</t>
  </si>
  <si>
    <t>Total gross block</t>
  </si>
  <si>
    <t>Total accumulated depreciation</t>
  </si>
  <si>
    <t>Closing balance</t>
  </si>
  <si>
    <t>Total Capex</t>
  </si>
  <si>
    <t>Total depreciation charge</t>
  </si>
  <si>
    <t>Cost</t>
  </si>
  <si>
    <t>Opening balance of fixed assets</t>
  </si>
  <si>
    <t>Gross Block A - 30 Years UEL</t>
  </si>
  <si>
    <t>Closing balance of fixed assets</t>
  </si>
  <si>
    <t>Accumulated Depreciation</t>
  </si>
  <si>
    <t>Gross Block A</t>
  </si>
  <si>
    <t>Gross Block B</t>
  </si>
  <si>
    <t>Gross Block C</t>
  </si>
  <si>
    <t>Gross Block D</t>
  </si>
  <si>
    <t>Total Accumulated Depreciation</t>
  </si>
  <si>
    <t>Net Book Value</t>
  </si>
  <si>
    <t>Total Net Book Value</t>
  </si>
  <si>
    <t>Depreciation Charge</t>
  </si>
  <si>
    <t>Total Depreciation Charge</t>
  </si>
  <si>
    <t>years</t>
  </si>
  <si>
    <t>Opening balance</t>
  </si>
  <si>
    <t>Accumulated depreciation</t>
  </si>
  <si>
    <t>Depreciation charge - existing assets</t>
  </si>
  <si>
    <t>Depreciation charge - year 1 Capex</t>
  </si>
  <si>
    <t>Depreciation charge - year 2 Capex</t>
  </si>
  <si>
    <t>Depreciation charge - year 3 Capex</t>
  </si>
  <si>
    <t>Depreciation charge - year 4 Capex</t>
  </si>
  <si>
    <t>Depreciation charge - year 5 Capex</t>
  </si>
  <si>
    <t>NBV - Gross Block A</t>
  </si>
  <si>
    <t>GROSS BLOCK A - (30 years)</t>
  </si>
  <si>
    <t>GROSS BLOCK B - (20 years)</t>
  </si>
  <si>
    <t>NBV - Gross Block B</t>
  </si>
  <si>
    <t>GROSS BLOCK C - (10 years)</t>
  </si>
  <si>
    <t>NBV - Gross Block C</t>
  </si>
  <si>
    <t>NBV - Gross Block D</t>
  </si>
  <si>
    <t>GROSS BLOCK D - (5 years)</t>
  </si>
  <si>
    <t>Ending balance - Accumulated Depreciation</t>
  </si>
  <si>
    <t>Total depreciation charge for the year</t>
  </si>
  <si>
    <t>Gross Block B - 20 Years UEL</t>
  </si>
  <si>
    <t>Gross Block C - 10 Years UEL</t>
  </si>
  <si>
    <t>Gross Block D - 5 Years UEL</t>
  </si>
  <si>
    <t>Currency Exchange Rates</t>
  </si>
  <si>
    <t>Last Updated</t>
  </si>
  <si>
    <t>Base Currency</t>
  </si>
  <si>
    <t>Price Currency</t>
  </si>
  <si>
    <t>&lt;&lt; Base Currency</t>
  </si>
  <si>
    <t>GROSS BLOCK A - 30 Years</t>
  </si>
  <si>
    <t>GROSS BLOCK B - 20 Years</t>
  </si>
  <si>
    <t>GROSS BLOCK C - 10 Years</t>
  </si>
  <si>
    <t>GROSS BLOCK D - 5 Years</t>
  </si>
  <si>
    <t>IMPORTANT NOTE: Pasted cells from rows 20-129 are hardcoded from the EIKON template provided to you. DO NOT change the data in these cells.</t>
  </si>
  <si>
    <t>&lt;Enter date&gt;</t>
  </si>
  <si>
    <t>&lt;Enter name of requestor&gt;</t>
  </si>
  <si>
    <t>Revenues</t>
  </si>
  <si>
    <t>Valuation Date:  March 31, 2023</t>
  </si>
  <si>
    <t xml:space="preserve">Enterprise Value </t>
  </si>
  <si>
    <t>Cost of Revenues</t>
  </si>
  <si>
    <t>Net Interest Expense</t>
  </si>
  <si>
    <t xml:space="preserve">Operating  Income (Loss) </t>
  </si>
  <si>
    <t>Depreciation &amp; Amortisation</t>
  </si>
  <si>
    <t>Other Income</t>
  </si>
  <si>
    <t>Earnings (Loss) Before Interest &amp; Taxes - EBIT</t>
  </si>
  <si>
    <t>Earnings (Loss) Before Taxes - EBT</t>
  </si>
  <si>
    <t>SHEET TO BE UPDATED</t>
  </si>
  <si>
    <t>Cash Flow Statement</t>
  </si>
  <si>
    <t>Cash flow from operating activities</t>
  </si>
  <si>
    <t>+</t>
  </si>
  <si>
    <t>Lease amortisation</t>
  </si>
  <si>
    <t>Lease repayment</t>
  </si>
  <si>
    <t>Taxes (excl. revolver savings)</t>
  </si>
  <si>
    <t>Provision for end of service benefits</t>
  </si>
  <si>
    <t>Payment towards end of service benefits</t>
  </si>
  <si>
    <t>Operating cash flow before working capital changes</t>
  </si>
  <si>
    <t>Working capital changes</t>
  </si>
  <si>
    <t>Changes in working capital</t>
  </si>
  <si>
    <t>Total working capital changes</t>
  </si>
  <si>
    <t>Cash flow from investing activities</t>
  </si>
  <si>
    <t>Additions to PPE</t>
  </si>
  <si>
    <t>Cash flow from financing activities</t>
  </si>
  <si>
    <t>Capital injections</t>
  </si>
  <si>
    <t>Loan additions</t>
  </si>
  <si>
    <t>Finance cost (debt)</t>
  </si>
  <si>
    <t>Changes in revolving facility</t>
  </si>
  <si>
    <t>Finance cost (revolver), net of tax benefit</t>
  </si>
  <si>
    <t xml:space="preserve">Total cash flow </t>
  </si>
  <si>
    <t>Opening cash balance</t>
  </si>
  <si>
    <t>Closing balance of cash</t>
  </si>
  <si>
    <t>Gain on Sale of Assets</t>
  </si>
  <si>
    <t>Proceeds from sale of assets</t>
  </si>
  <si>
    <t>EV - Currency conversion</t>
  </si>
  <si>
    <t>Loan repayments</t>
  </si>
  <si>
    <t>Share buy-backs</t>
  </si>
  <si>
    <t>Sample Client Company - Valuation of Sample Target Ltd as at December 31, 2022</t>
  </si>
  <si>
    <t>Valuation Date:  December 31, 2019</t>
  </si>
  <si>
    <t>'Client Name' - Guideline Public Company Method</t>
  </si>
  <si>
    <t>FY2020 Forecast EBITDA</t>
  </si>
  <si>
    <t>Enterprise Value of 'Client Name'</t>
  </si>
  <si>
    <t>'Client Name' - Guideline Transaction Method</t>
  </si>
  <si>
    <t>AED '000s</t>
  </si>
  <si>
    <t>FY2024 Forecast EBITDA</t>
  </si>
  <si>
    <t>Provided by client (PBC) &gt;&gt;</t>
  </si>
  <si>
    <t>Section Divider - PBC</t>
  </si>
  <si>
    <t>Comp 11</t>
  </si>
  <si>
    <t>Comp 12</t>
  </si>
  <si>
    <t>Comp 13</t>
  </si>
  <si>
    <t>Comp 14</t>
  </si>
  <si>
    <t>Comp 15</t>
  </si>
  <si>
    <t>Comp 16</t>
  </si>
  <si>
    <t>Comp 17</t>
  </si>
  <si>
    <t>Comp 18</t>
  </si>
  <si>
    <t>Comp 19</t>
  </si>
  <si>
    <t>Comp 20</t>
  </si>
  <si>
    <t>Comp 21</t>
  </si>
  <si>
    <t>Comp 22</t>
  </si>
  <si>
    <t>Comp 23</t>
  </si>
  <si>
    <t>Comp 24</t>
  </si>
  <si>
    <t>Comp 25</t>
  </si>
  <si>
    <t>Comp 26</t>
  </si>
  <si>
    <t>Comp 27</t>
  </si>
  <si>
    <t>Comp 28</t>
  </si>
  <si>
    <t>Comp 29</t>
  </si>
  <si>
    <t>Comp 30</t>
  </si>
  <si>
    <t>Debt to Equity</t>
  </si>
  <si>
    <t>Debt/Capital</t>
  </si>
  <si>
    <t>Table 1B: Trading &amp; Capital Structure Information</t>
  </si>
  <si>
    <t>Table 1C: Additional Capital Structure Information</t>
  </si>
  <si>
    <t>Total Debt</t>
  </si>
  <si>
    <t>Total Preferred Equity</t>
  </si>
  <si>
    <t>Month End Stock Price</t>
  </si>
  <si>
    <t>Total Shares Outstanding</t>
  </si>
  <si>
    <t>Total Capital</t>
  </si>
  <si>
    <t>Book Value of Debt to Capital (wd)</t>
  </si>
  <si>
    <t>INCOME STATEMENT</t>
  </si>
  <si>
    <t>Revenue Breakdown 1</t>
  </si>
  <si>
    <t>Total Revenue</t>
  </si>
  <si>
    <t>Revenue Breakdown 2</t>
  </si>
  <si>
    <t>Profitability</t>
  </si>
  <si>
    <t>Key Metrics</t>
  </si>
  <si>
    <t>Gross margins</t>
  </si>
  <si>
    <t>OPEX as a % sales</t>
  </si>
  <si>
    <t>D&amp;A as a % of sales</t>
  </si>
  <si>
    <t>BALANCE SHEET</t>
  </si>
  <si>
    <t>Net Working Capital Days</t>
  </si>
  <si>
    <t>NWC Days</t>
  </si>
  <si>
    <t>Net Working Capital Balance</t>
  </si>
  <si>
    <t>NWC as a % of sales</t>
  </si>
  <si>
    <t>NWC Balance</t>
  </si>
  <si>
    <t>Expansion Capex</t>
  </si>
  <si>
    <t>Maintenance Capex</t>
  </si>
  <si>
    <t>VALUATION SUMMARY</t>
  </si>
  <si>
    <t>DCF Approach</t>
  </si>
  <si>
    <t>Transactions Approach</t>
  </si>
  <si>
    <t>Multiples Approach (EV/EBITDA)</t>
  </si>
  <si>
    <t>Difference</t>
  </si>
  <si>
    <t>Equity Value</t>
  </si>
  <si>
    <t>ytd.months</t>
  </si>
  <si>
    <t>Current Year to Date months</t>
  </si>
  <si>
    <t>Estimate</t>
  </si>
  <si>
    <t>Potential Revenue Stream - Probability of Achievement</t>
  </si>
  <si>
    <t>Year-to-Go Estimate</t>
  </si>
  <si>
    <t>ytg.approach</t>
  </si>
  <si>
    <t>Management FY Estimate</t>
  </si>
  <si>
    <t>YTG Forecast Adjustment</t>
  </si>
  <si>
    <t>ytg.mgt</t>
  </si>
  <si>
    <t>YTD Actualized</t>
  </si>
  <si>
    <t>ytg.actual</t>
  </si>
  <si>
    <t>Add: Cash</t>
  </si>
  <si>
    <t>Less: Net Debt</t>
  </si>
  <si>
    <t>Change in NWC</t>
  </si>
  <si>
    <t>NWC as a % of Sales</t>
  </si>
  <si>
    <t>Benchmark NWC as a % of sales</t>
  </si>
  <si>
    <t>Management Case</t>
  </si>
  <si>
    <t>EV - Unit conversion</t>
  </si>
  <si>
    <t>All amounts in USD '000s</t>
  </si>
  <si>
    <t>Existing Stream 1</t>
  </si>
  <si>
    <t>Existing Stream 2</t>
  </si>
  <si>
    <t>Existing Stream 3</t>
  </si>
  <si>
    <t>Existing Stream 4</t>
  </si>
  <si>
    <t>Pipeline Stream 1</t>
  </si>
  <si>
    <t>Pipeline Stream 2</t>
  </si>
  <si>
    <t>Pipeline Stream 3</t>
  </si>
  <si>
    <t>Pipeline Stream 4</t>
  </si>
  <si>
    <t>Potential Stream 1</t>
  </si>
  <si>
    <t>Potential Stream 2</t>
  </si>
  <si>
    <t>Potential Stream 3</t>
  </si>
  <si>
    <t>Potential Stream 4</t>
  </si>
  <si>
    <t>Historical Income Statement</t>
  </si>
  <si>
    <t>Historical Balance Sheet</t>
  </si>
  <si>
    <t>Historical Financial Information</t>
  </si>
  <si>
    <t>Catch Up Approach</t>
  </si>
  <si>
    <t>FY23 Annualized</t>
  </si>
  <si>
    <t>FY23 Check</t>
  </si>
  <si>
    <t>Existing Business Revenues</t>
  </si>
  <si>
    <t>Pipeline Business Revenues</t>
  </si>
  <si>
    <t>Potential Business Revenues</t>
  </si>
  <si>
    <t>Equity Adjustments</t>
  </si>
  <si>
    <t>Cash as at Valuation Date</t>
  </si>
  <si>
    <t>Net Debt as at Valuation Date</t>
  </si>
  <si>
    <t>FYE 2024 Revenue Multiple</t>
  </si>
  <si>
    <t>FYE 2024 EBITDA Multiple</t>
  </si>
  <si>
    <t>Section Divider - GPC Analysis</t>
  </si>
  <si>
    <t>Guideline Public Company Analysis</t>
  </si>
  <si>
    <t>Revenue Drivers</t>
  </si>
  <si>
    <t>Price Growth &gt;&gt;</t>
  </si>
  <si>
    <t>Volume Growth &gt;&gt;</t>
  </si>
  <si>
    <t>Depreciation charge - year 0 Capex</t>
  </si>
  <si>
    <t>Operating Expenses Assumptions</t>
  </si>
  <si>
    <t>Cost Assumptions</t>
  </si>
  <si>
    <t>December 2023</t>
  </si>
  <si>
    <t>Exclude outliers?</t>
  </si>
  <si>
    <t>2023 SBBI Valuation Yearbook, Duff &amp; Phelps: 10th decile</t>
  </si>
  <si>
    <t>Adj. Default Spread</t>
  </si>
  <si>
    <t>Sovereign CDS Spread</t>
  </si>
  <si>
    <t>Antigua &amp; Barbuda</t>
  </si>
  <si>
    <t>British Virgin Islands</t>
  </si>
  <si>
    <t>Channel Islands</t>
  </si>
  <si>
    <t>Congo (Democratic Republic</t>
  </si>
  <si>
    <t>Curaçao</t>
  </si>
  <si>
    <t>Falkland Islands</t>
  </si>
  <si>
    <t>French Guiana</t>
  </si>
  <si>
    <t>Greenland</t>
  </si>
  <si>
    <t>Martinique</t>
  </si>
  <si>
    <t>Netherlands Antilles</t>
  </si>
  <si>
    <t>Palestinian Authority</t>
  </si>
  <si>
    <t>Reunion</t>
  </si>
  <si>
    <t>South Korea</t>
  </si>
  <si>
    <t>Trinidad &amp;' Tobago</t>
  </si>
  <si>
    <t>Turks &amp; Caicos Islands</t>
  </si>
  <si>
    <t>Primary Location</t>
  </si>
  <si>
    <t>www.imf.org/en/Countries/USA</t>
  </si>
  <si>
    <t>www.imf.org/en/Countries/ARE</t>
  </si>
  <si>
    <t>Links</t>
  </si>
  <si>
    <t>US 30 Year Treasury Bond Yields</t>
  </si>
  <si>
    <t>IMF Forecast</t>
  </si>
  <si>
    <t>ICE corporate bond yields</t>
  </si>
  <si>
    <t>home.treasury.gov/resource-center/data-chart-center/interest-rates/TextView?type=daily_treasury_yield_curve&amp;field_tdr_date_value=2024</t>
  </si>
  <si>
    <t>Valify - UAE Valuation Services</t>
  </si>
  <si>
    <t>Valify UAE</t>
  </si>
  <si>
    <t>Valify Comparable Company Analysis</t>
  </si>
  <si>
    <t>This valuation model (the "Model") is confidential and has been prepared exclusively for &lt;Client Name&gt; for the purpose of a potential acquisition of &lt;Target Name&gt; (the “Target”) (“Project XYZ”). It should not be used, reproduced or circulated for any other purpose, in whole or in part, without our prior written consent. To the fullest extent permitted by law, we do not accept or assume responsibility to anyone other than center3 for our work, our report and other communications, or for any opinions we have formed. We do not accept any responsibility for any loss or damages arising out of the use of this Model by the addressee(s) for any purpose other than for internal management purposes, within the scope of Project XYZ. The management of center3 ("Management") confirms that, to the best of its knowledge, all the factual information provided was accurate and that there were no material omissions. We reserve the right to alter our valuation conclusions in the event that any information that was not made available to us and / or were not made aware of at the time of the preparation of the Model which may have a material impact on the valuation conclusion of the Target.
All the operating inputs used in the Model for the purposes of the valuation are based on the information provided by the Target and Management. We have not verified or carried out an audit of such information provided to us by the Target and Management and therefore the scope of our work and the reliability of our output is limited to the extent and accuracy of information provided to us for this purpose.
Further, this Model has not been audited and therefore no representation, warranty, or undertaking (whether express or implied) is made and no responsibility is taken or accepted by Valify ("GT") and its directors, officers, employees, agent or advisers as to the adequacy, accuracy, completeness or reasonableness of the Model and Valifyexcludes all liability thereof.
Our valuation conclusion specified in the model has been prepared in line with the International Valuation Standards issued by the International Valuation Standards Council (IVSC). All opinions expressed in the model are made based on the information provided to us. 
©2023 Valify UAE. All rights reserved.</t>
  </si>
  <si>
    <t>Valify - Valuation Services</t>
  </si>
  <si>
    <t>Report-Use Summary</t>
  </si>
  <si>
    <t>Valify Case</t>
  </si>
  <si>
    <t>Valify Flags on Management Forecasts</t>
  </si>
  <si>
    <t>Flag Label</t>
  </si>
  <si>
    <t>Screening Criteria</t>
  </si>
  <si>
    <t>Flag</t>
  </si>
  <si>
    <t>Suggested sensitivity</t>
  </si>
  <si>
    <t>Revenue sensitivities:</t>
  </si>
  <si>
    <t>Aggressive revenue growth flag</t>
  </si>
  <si>
    <t>&gt;5% growth p.a.</t>
  </si>
  <si>
    <t>Cap to historical/market growth rate</t>
  </si>
  <si>
    <t>Declining revenue growth flag</t>
  </si>
  <si>
    <t>&lt;0% growth p.a.</t>
  </si>
  <si>
    <t>Market revenue growth rate check</t>
  </si>
  <si>
    <t>More than 5% difference in growth rates</t>
  </si>
  <si>
    <t>Adopt market growth rate</t>
  </si>
  <si>
    <t>Revenue Dependency</t>
  </si>
  <si>
    <t>&gt;70% of revenue is existing business</t>
  </si>
  <si>
    <t>&lt;Add warning message on the report&gt;</t>
  </si>
  <si>
    <t>&gt;70% of revenue is pipeline business</t>
  </si>
  <si>
    <t>&gt;70% of revenue is potential business</t>
  </si>
  <si>
    <t>Cost Sensitivities</t>
  </si>
  <si>
    <t>COGS decline</t>
  </si>
  <si>
    <t>COGS as a % of revenue declining &gt;2%</t>
  </si>
  <si>
    <t>Rationale?</t>
  </si>
  <si>
    <t>If not, adopt historical/market</t>
  </si>
  <si>
    <t>Market profitability check</t>
  </si>
  <si>
    <t>COGS rising</t>
  </si>
  <si>
    <t>If COGS in Year 5 &gt; COGS in Year 1</t>
  </si>
  <si>
    <t>Operating Expenses</t>
  </si>
  <si>
    <t>Employee Cost</t>
  </si>
  <si>
    <t>Staff utilization</t>
  </si>
  <si>
    <t>Constant staff vs aggressive revenue growth</t>
  </si>
  <si>
    <t>Salary increment check</t>
  </si>
  <si>
    <t>Depreciation Review</t>
  </si>
  <si>
    <t>&gt; 20% of the business</t>
  </si>
  <si>
    <t>Finance cost</t>
  </si>
  <si>
    <t>Finance Cost Review</t>
  </si>
  <si>
    <t>EBITDA Margin - Market rate check</t>
  </si>
  <si>
    <t>More than 5% difference</t>
  </si>
  <si>
    <t>Adopt market rate</t>
  </si>
  <si>
    <t>NWC Market rate check</t>
  </si>
  <si>
    <t>Heavy Investor check</t>
  </si>
  <si>
    <t>If Annual Capex &gt; 20% of revenue</t>
  </si>
  <si>
    <t>ROA on capex</t>
  </si>
  <si>
    <t>If ROA on Capex is less than 5%</t>
  </si>
  <si>
    <t>Unit Label</t>
  </si>
  <si>
    <t>Average Annual Revenue Growth</t>
  </si>
  <si>
    <t>Revenue across forecast</t>
  </si>
  <si>
    <t>Action</t>
  </si>
  <si>
    <t>Negative revenue growth flag</t>
  </si>
  <si>
    <t>Market Capitalisation (USD)</t>
  </si>
  <si>
    <t>Enterprise Value (USD)</t>
  </si>
  <si>
    <t>Capital Expenditure</t>
  </si>
  <si>
    <t>Working Capital</t>
  </si>
  <si>
    <t>Revenue (USD Mn)</t>
  </si>
  <si>
    <t>EBITDA (USD Mn)</t>
  </si>
  <si>
    <t>Screening Data</t>
  </si>
  <si>
    <t>Market/Criteria</t>
  </si>
  <si>
    <t>Subject Company</t>
  </si>
  <si>
    <t>Revenue Contribution</t>
  </si>
  <si>
    <t>Base Stayer</t>
  </si>
  <si>
    <t>Change Maker</t>
  </si>
  <si>
    <t>Hope Leaner</t>
  </si>
  <si>
    <t>5% corridor</t>
  </si>
  <si>
    <t>COGS as % of Revenue</t>
  </si>
  <si>
    <t>COGS as a % of revenue</t>
  </si>
  <si>
    <t>COGS Historical check</t>
  </si>
  <si>
    <t>Average Forecasted EBITDA Margin</t>
  </si>
  <si>
    <t>Average NWC as a % of sales</t>
  </si>
  <si>
    <t>Capex as a % of Revenue</t>
  </si>
  <si>
    <t>Avg. Depreciation as a % of Revenue</t>
  </si>
  <si>
    <t>Avg. Finance Cost as a % of Revenue</t>
  </si>
  <si>
    <t>Average annual salary growth</t>
  </si>
  <si>
    <t>Report Inputs</t>
  </si>
  <si>
    <t>Valuer Type</t>
  </si>
  <si>
    <t>Valuer Name</t>
  </si>
  <si>
    <t>Purpose</t>
  </si>
  <si>
    <t>Purpose Detail</t>
  </si>
  <si>
    <t>Subject Company short name</t>
  </si>
  <si>
    <t>Information Currency</t>
  </si>
  <si>
    <t>If Operational currency is diff from information currency - forex risk</t>
  </si>
  <si>
    <t>Currency denomination (units)</t>
  </si>
  <si>
    <t>General Business Information</t>
  </si>
  <si>
    <t>Primary Business Industry</t>
  </si>
  <si>
    <t>primary.industry</t>
  </si>
  <si>
    <t>[Enter business industry name from AD list]</t>
  </si>
  <si>
    <t>Secondary Business Industry</t>
  </si>
  <si>
    <t>Secondary business main operating regions</t>
  </si>
  <si>
    <t>Primary business main operating region</t>
  </si>
  <si>
    <t>primary.location</t>
  </si>
  <si>
    <t>Primary Business Nature</t>
  </si>
  <si>
    <t>Secondary Business Nature</t>
  </si>
  <si>
    <t>Development Phase</t>
  </si>
  <si>
    <t>secondary.industry</t>
  </si>
  <si>
    <t>secondary.location</t>
  </si>
  <si>
    <t>primarybus.nature</t>
  </si>
  <si>
    <t>secondarybus.nature</t>
  </si>
  <si>
    <t>Revenue Stream 1</t>
  </si>
  <si>
    <t>Revenue Stream 2</t>
  </si>
  <si>
    <t>Revenue Stream 3</t>
  </si>
  <si>
    <t>Revenue Stream 4</t>
  </si>
  <si>
    <t>Potential Revenue Stream 1</t>
  </si>
  <si>
    <t>Potential Revenue Stream 2</t>
  </si>
  <si>
    <t>Potential Revenue Stream 3</t>
  </si>
  <si>
    <t>Potential Revenue Stream 4</t>
  </si>
  <si>
    <t>Schedule A</t>
  </si>
  <si>
    <t>Schedule B.1.</t>
  </si>
  <si>
    <t>Schedule B.2.</t>
  </si>
  <si>
    <t>Total Existing Revenue (value)</t>
  </si>
  <si>
    <t>Existing Revenue Stream 1 - contribution %</t>
  </si>
  <si>
    <t>Existing Revenue Stream 2 - contribution %</t>
  </si>
  <si>
    <t>Existing Revenue Stream 3 - contribution %</t>
  </si>
  <si>
    <t>Existing Revenue Stream 4 - contribution %</t>
  </si>
  <si>
    <t>Total Pipeline Revenues  (value)</t>
  </si>
  <si>
    <t>Pipeline Stream 1 - contribution %</t>
  </si>
  <si>
    <t>Pipeline Stream 2 - contribution %</t>
  </si>
  <si>
    <t>Pipeline Stream 3 - contribution %</t>
  </si>
  <si>
    <t>Pipeline Stream 4 - contribution %</t>
  </si>
  <si>
    <t>Total Potential Revenues (value)</t>
  </si>
  <si>
    <t>Potential Revenue Stream 1 - contribution %</t>
  </si>
  <si>
    <t>Potential Revenue Stream 2 - contribution %</t>
  </si>
  <si>
    <t>Potential Revenue Stream 3 - contribution %</t>
  </si>
  <si>
    <t>Potential Revenue Stream 4 - contribution %</t>
  </si>
  <si>
    <t>Gross Margins</t>
  </si>
  <si>
    <t>Office expenses</t>
  </si>
  <si>
    <t>Valify Questionnaire Form</t>
  </si>
  <si>
    <t>December, 2023</t>
  </si>
  <si>
    <t>Topic</t>
  </si>
  <si>
    <t>Question phrase</t>
  </si>
  <si>
    <t>Notes for IT</t>
  </si>
  <si>
    <t>Cell name</t>
  </si>
  <si>
    <t>Value</t>
  </si>
  <si>
    <t>Units</t>
  </si>
  <si>
    <t xml:space="preserve">General </t>
  </si>
  <si>
    <t>Purpose of the exercise</t>
  </si>
  <si>
    <t>Introduction</t>
  </si>
  <si>
    <t>B</t>
  </si>
  <si>
    <t>Valuer Designation</t>
  </si>
  <si>
    <t>Drop-down selection</t>
  </si>
  <si>
    <t xml:space="preserve">Purpose  </t>
  </si>
  <si>
    <t>Purpose detail check</t>
  </si>
  <si>
    <t>Yes/No</t>
  </si>
  <si>
    <t>Purpose detail</t>
  </si>
  <si>
    <t>If above answer is yes, please share purpose details here.</t>
  </si>
  <si>
    <t>Company Information</t>
  </si>
  <si>
    <t>Check</t>
  </si>
  <si>
    <t>What is the official name of the subject company to be valued?</t>
  </si>
  <si>
    <t>If yes, autofill Client Name</t>
  </si>
  <si>
    <t>subject.name</t>
  </si>
  <si>
    <t>Short Name</t>
  </si>
  <si>
    <t>Enter a short name for the subject company.</t>
  </si>
  <si>
    <t>short.name</t>
  </si>
  <si>
    <t>Dates Information</t>
  </si>
  <si>
    <t>Next fiscal year end date</t>
  </si>
  <si>
    <t>proj.yearend</t>
  </si>
  <si>
    <t>date format</t>
  </si>
  <si>
    <t>Valuation Date</t>
  </si>
  <si>
    <t>Allow only month-end dates</t>
  </si>
  <si>
    <t>val.date</t>
  </si>
  <si>
    <t>Need not ask, but auto-fill (based on provided formula) &amp; confirm</t>
  </si>
  <si>
    <t>ytg.months</t>
  </si>
  <si>
    <t>Valuation Header</t>
  </si>
  <si>
    <t>val.header</t>
  </si>
  <si>
    <t>Year-to-Go Approach</t>
  </si>
  <si>
    <t>Currency Information</t>
  </si>
  <si>
    <t>Operational Currency</t>
  </si>
  <si>
    <t>What is the major operational currency for the business?</t>
  </si>
  <si>
    <t>Please select the currency of the financial information you will provide.</t>
  </si>
  <si>
    <t>Presentation Currency</t>
  </si>
  <si>
    <t>Currency Denomination (Units)</t>
  </si>
  <si>
    <t>Business Information</t>
  </si>
  <si>
    <t>Industry - Primary Business</t>
  </si>
  <si>
    <t>List Capital IQ industries/Ashwath Damodaran beta industries</t>
  </si>
  <si>
    <t>Auto &amp; Truck</t>
  </si>
  <si>
    <t>Sub-industry - Primary Business</t>
  </si>
  <si>
    <t>If relevant, specify a sub-industry for your primary business.</t>
  </si>
  <si>
    <t>Enter text</t>
  </si>
  <si>
    <t>Nature of Primary Business</t>
  </si>
  <si>
    <t>Retailer</t>
  </si>
  <si>
    <t>Primary Business description (key words)</t>
  </si>
  <si>
    <t>Please select the main operating region for the business.</t>
  </si>
  <si>
    <t>Other operating regions - Primary</t>
  </si>
  <si>
    <t>Allow upto 3 input options for geographies and respective "Average revenue contribution"</t>
  </si>
  <si>
    <t>Secondary Business Check</t>
  </si>
  <si>
    <t>Industry - Secondary Business</t>
  </si>
  <si>
    <t>Select the most relevant industry for the company's secondary business operations</t>
  </si>
  <si>
    <t>Sub-industry - Secondary Business</t>
  </si>
  <si>
    <t>If relevant, specify a sub-industry for your secondary business.</t>
  </si>
  <si>
    <t>Nature of Secondary Business</t>
  </si>
  <si>
    <t>Please select one or more from the below that most accurately describe the nature of your secondary business(es):</t>
  </si>
  <si>
    <t>Secondary Business description (key words)</t>
  </si>
  <si>
    <t>Main Operating regions - Secondary</t>
  </si>
  <si>
    <t>Please select the main operating region for the secondary business.</t>
  </si>
  <si>
    <t>Other operating regions - Secondary</t>
  </si>
  <si>
    <t>Which of the below best describe the current development stage of the business?</t>
  </si>
  <si>
    <t>Growth</t>
  </si>
  <si>
    <t>Existing Business check</t>
  </si>
  <si>
    <t>Does the company have operating and financial history?</t>
  </si>
  <si>
    <t>If yes, please share the company's financial statements (to the extent available) for the last 3 years using the provided "Historical Financial Information" template. If you have financial information for less than 3 years, or incomplete statements, please use the provided template to populate the data which is available.</t>
  </si>
  <si>
    <t>Existing Revenues</t>
  </si>
  <si>
    <t>Select your revenue categorization style.</t>
  </si>
  <si>
    <t xml:space="preserve">If subscription services, do not classify by clients but rather any different servic elines </t>
  </si>
  <si>
    <t>Add prompts to align existing, pipeline and potential revenues</t>
  </si>
  <si>
    <t>(if No, populate 0 &amp; skip)</t>
  </si>
  <si>
    <t>If the pipeline revenues reflect a pivot or diversification pivot into a new business line, please return to Business Information section and add "Secondary Business" information.</t>
  </si>
  <si>
    <t>Add 5 years in question</t>
  </si>
  <si>
    <t>Add note for zero if not in 5 years</t>
  </si>
  <si>
    <t>Probability for Potential Stream 1</t>
  </si>
  <si>
    <t>%</t>
  </si>
  <si>
    <t>Probability for Potential Stream 2</t>
  </si>
  <si>
    <t>Probability for Potential Stream 3</t>
  </si>
  <si>
    <t>Probability for Potential Stream 4</t>
  </si>
  <si>
    <t>Data check</t>
  </si>
  <si>
    <t>If the potential revenues reflect a pivot or diversification pivot into a new business line, please return to Business Information section and add "Secondary Business" information.</t>
  </si>
  <si>
    <t>Current Year</t>
  </si>
  <si>
    <t>Year 1</t>
  </si>
  <si>
    <t>Year 2</t>
  </si>
  <si>
    <t>Year 3</t>
  </si>
  <si>
    <t>Year 4</t>
  </si>
  <si>
    <t>Year 5</t>
  </si>
  <si>
    <t>Add commentary to explain that the price &amp; volume requests are for sustainable averages.</t>
  </si>
  <si>
    <t>Forecast using Average Price</t>
  </si>
  <si>
    <t>Forecast using Price growth</t>
  </si>
  <si>
    <t>Price Growth</t>
  </si>
  <si>
    <t>If exact prices are entered in above section, auto-calculate growth rates here</t>
  </si>
  <si>
    <t>Expected sales volumes</t>
  </si>
  <si>
    <t>Forecast using Volume growth</t>
  </si>
  <si>
    <t>Forecast using Average Volume</t>
  </si>
  <si>
    <t>Volume Growth</t>
  </si>
  <si>
    <t>Option 1: I can provide operating expense information for the current &amp; forecast period</t>
  </si>
  <si>
    <t>Option 2: I have operating expenses for current year, and would like Valify to forecast growth with revenues and inflation.</t>
  </si>
  <si>
    <t>Option 1:</t>
  </si>
  <si>
    <t>Option to give total Opex</t>
  </si>
  <si>
    <t>Staff Commission (if any)</t>
  </si>
  <si>
    <t>Rent expense</t>
  </si>
  <si>
    <t>Option 2:</t>
  </si>
  <si>
    <t>Enter fixed/variable expense tag</t>
  </si>
  <si>
    <t>Is this expense a fixed cost or variable (changes with sales levels)?</t>
  </si>
  <si>
    <t>Fixed/Variable</t>
  </si>
  <si>
    <t>A. Capital Expenditure Plan by Useful Life</t>
  </si>
  <si>
    <t>These include assets like building, heavy machinery, etc. which can have a 30 years long useful life.</t>
  </si>
  <si>
    <t>Add note that if minimal or no Capex, business growth will be capped at a valuation level (subject to industry)</t>
  </si>
  <si>
    <t>These include assets like plant &amp; equipment, renovations, etc. which can have a 20 years long useful life.</t>
  </si>
  <si>
    <t>These include assets like light equipment, appliances, furniture, etc. which can have a 10 years useful life.</t>
  </si>
  <si>
    <t>These include assets like tools, printers, appliances, etc. which can have a 5 years useful life.</t>
  </si>
  <si>
    <t>B. Total Annual Capex Value</t>
  </si>
  <si>
    <t>C. Capex as a % of revenue</t>
  </si>
  <si>
    <t>Please enter the % of capital expenditure planned to spend against earned revenues.</t>
  </si>
  <si>
    <t>Net Working Capital</t>
  </si>
  <si>
    <t>Trade Receivables Days</t>
  </si>
  <si>
    <t>Customer credit terms - Please enter how many days of credit does the business give, on average, to its customers? If customers pay in advance, enter a negative value for the days inputs.</t>
  </si>
  <si>
    <t>Make a restricted number selection</t>
  </si>
  <si>
    <t>Other Receivables Days</t>
  </si>
  <si>
    <t>If there is anyone else who owes money to the business, on average, how many days would they take to pay back?</t>
  </si>
  <si>
    <t xml:space="preserve">Inventory Days </t>
  </si>
  <si>
    <t>In how many days does the business turn its stock inventory, on average? If the business is a service-provider, please enter 0 days.</t>
  </si>
  <si>
    <t xml:space="preserve">Prepaid Expenses &amp; Other Days </t>
  </si>
  <si>
    <t>If the business makes prepayments on expenses, on average, how many days in advance do they pay?</t>
  </si>
  <si>
    <t xml:space="preserve">Trade Payables Days </t>
  </si>
  <si>
    <t>Supplier credit terms - Please enter how many days of credit does the business receive, on average, from its suppliers &amp; vendors? If the business pays in advance, enter a negative value for the days inputs.</t>
  </si>
  <si>
    <t>Salaries Payable</t>
  </si>
  <si>
    <t>In how many days does the business pay salaries to its employees?</t>
  </si>
  <si>
    <t xml:space="preserve">Accrued Expenses Days </t>
  </si>
  <si>
    <t>If the business makes delayed payments on other expenses, on average, how many days late do they pay?</t>
  </si>
  <si>
    <t xml:space="preserve">Tax Payables Days </t>
  </si>
  <si>
    <t xml:space="preserve">In how many days does the business settle tax expenses? </t>
  </si>
  <si>
    <t xml:space="preserve">Other Payables Days </t>
  </si>
  <si>
    <t>If the business owes money to anyone else, on average, how many days would it take to pay back?</t>
  </si>
  <si>
    <t>Checkbox</t>
  </si>
  <si>
    <t>I am unsure of the days, please auto-fill  adopting a general credit term standard estimate.</t>
  </si>
  <si>
    <t>If you don't know - check with accountant for historical trend.</t>
  </si>
  <si>
    <t>Make it clear that we want days not currency value of balance</t>
  </si>
  <si>
    <t>client.company</t>
  </si>
  <si>
    <t>Valuation Approach Test</t>
  </si>
  <si>
    <t>Decision Action</t>
  </si>
  <si>
    <t>Client Company Name (long)</t>
  </si>
  <si>
    <t>Client Company Name</t>
  </si>
  <si>
    <t>valuer.name</t>
  </si>
  <si>
    <t>Valuation Purpose</t>
  </si>
  <si>
    <t>val.purpose</t>
  </si>
  <si>
    <t>Subject Company Short Name</t>
  </si>
  <si>
    <t>Subject Company Name:</t>
  </si>
  <si>
    <t>subject.company</t>
  </si>
  <si>
    <t>subject.shortname</t>
  </si>
  <si>
    <t>Valuation Approach</t>
  </si>
  <si>
    <t>DCF Method</t>
  </si>
  <si>
    <t>CCF Method</t>
  </si>
  <si>
    <t>VC Method</t>
  </si>
  <si>
    <t>Market Multiples Method</t>
  </si>
  <si>
    <t>Transaction Multiples Method</t>
  </si>
  <si>
    <t>Switch (Yes/No)</t>
  </si>
  <si>
    <t>Message on Liquidation Method &amp; close further questions</t>
  </si>
  <si>
    <t>Message &amp; ANBV Method, ask further questions</t>
  </si>
  <si>
    <t>Does the business anticipate growth in the next 3-5 years?</t>
  </si>
  <si>
    <t>Multiples Valuation Approach - Discount Adjustment</t>
  </si>
  <si>
    <t>5-Year Exit EBITDA</t>
  </si>
  <si>
    <t>Adjustments to Free cash flow</t>
  </si>
  <si>
    <t>Free Cash Flow (post-tax)</t>
  </si>
  <si>
    <t>Normalized Sustainable Free Cash Flow (post-tax)</t>
  </si>
  <si>
    <t>Estimated Sustainable Free Cash Flow of Following Year</t>
  </si>
  <si>
    <t>Capitalization Rate</t>
  </si>
  <si>
    <t>Mid-period Adjustment Factor</t>
  </si>
  <si>
    <t>Add lease &amp; IFRS component for cash rent</t>
  </si>
  <si>
    <t>NOTE: Populate this sheet using GPC source</t>
  </si>
  <si>
    <t>GPC Inputs</t>
  </si>
  <si>
    <t>Chad</t>
  </si>
  <si>
    <t>Congo</t>
  </si>
  <si>
    <t>Equatorial Guinea</t>
  </si>
  <si>
    <t>Euro area</t>
  </si>
  <si>
    <t>European Union</t>
  </si>
  <si>
    <t>Guam</t>
  </si>
  <si>
    <t>Kosovo</t>
  </si>
  <si>
    <t>Lesotho</t>
  </si>
  <si>
    <t>Mauritania</t>
  </si>
  <si>
    <t>Micronesia</t>
  </si>
  <si>
    <t>Puerto Rico</t>
  </si>
  <si>
    <t>Republic of the Congo</t>
  </si>
  <si>
    <t>Seychelles</t>
  </si>
  <si>
    <t>Tonga</t>
  </si>
  <si>
    <t>Trinidad And Tobago</t>
  </si>
  <si>
    <t>Tax Rate (%)</t>
  </si>
  <si>
    <t>Source: Trading Economics</t>
  </si>
  <si>
    <t>Last Updated:</t>
  </si>
  <si>
    <t>Tax Expense</t>
  </si>
  <si>
    <t>Average Revenue contribution from secondary business (in %)</t>
  </si>
  <si>
    <t>Number of firms</t>
  </si>
  <si>
    <t>Beta </t>
  </si>
  <si>
    <t>D/E Ratio</t>
  </si>
  <si>
    <t>Effective Tax rate</t>
  </si>
  <si>
    <t>Unlevered beta</t>
  </si>
  <si>
    <t>Cash/Firm value</t>
  </si>
  <si>
    <t>Unlevered beta corrected for cash</t>
  </si>
  <si>
    <t>HiLo Risk</t>
  </si>
  <si>
    <t>Standard deviation of equity</t>
  </si>
  <si>
    <t>Standard deviation in operating income (last 10 years)</t>
  </si>
  <si>
    <t>Advertising</t>
  </si>
  <si>
    <t>Aerospace/Defense</t>
  </si>
  <si>
    <t>Air Transport</t>
  </si>
  <si>
    <t>Apparel</t>
  </si>
  <si>
    <t>Auto Parts</t>
  </si>
  <si>
    <t>Bank (Money Center)</t>
  </si>
  <si>
    <t>Banks (Regional)</t>
  </si>
  <si>
    <t>Beverage (Alcoholic)</t>
  </si>
  <si>
    <t>Beverage (Soft)</t>
  </si>
  <si>
    <t>Broadcasting</t>
  </si>
  <si>
    <t>Brokerage &amp; Investment Banking</t>
  </si>
  <si>
    <t>Building Materials</t>
  </si>
  <si>
    <t>Business &amp; Consumer Services</t>
  </si>
  <si>
    <t>Cable TV</t>
  </si>
  <si>
    <t>Chemical (Basic)</t>
  </si>
  <si>
    <t>Chemical (Diversified)</t>
  </si>
  <si>
    <t>Chemical (Specialty)</t>
  </si>
  <si>
    <t>Coal &amp; Related Energy</t>
  </si>
  <si>
    <t>Computer Services</t>
  </si>
  <si>
    <t>Computers/Peripherals</t>
  </si>
  <si>
    <t>Construction Supplies</t>
  </si>
  <si>
    <t>Diversified</t>
  </si>
  <si>
    <t>Drugs (Biotechnology)</t>
  </si>
  <si>
    <t>Drugs (Pharmaceutical)</t>
  </si>
  <si>
    <t>Education</t>
  </si>
  <si>
    <t>Electrical Equipment</t>
  </si>
  <si>
    <t>Electronics (Consumer &amp; Office)</t>
  </si>
  <si>
    <t>Electronics (General)</t>
  </si>
  <si>
    <t>Engineering/Construction</t>
  </si>
  <si>
    <t>Entertainment</t>
  </si>
  <si>
    <t>Environmental &amp; Waste Services</t>
  </si>
  <si>
    <t>Farming/Agriculture</t>
  </si>
  <si>
    <t>Financial Svcs. (Non-bank &amp; Insuran</t>
  </si>
  <si>
    <t>Food Processing</t>
  </si>
  <si>
    <t>Food Wholesalers</t>
  </si>
  <si>
    <t>Furn/Home Furnishings</t>
  </si>
  <si>
    <t>Green &amp; Renewable Energy</t>
  </si>
  <si>
    <t>Healthcare Products</t>
  </si>
  <si>
    <t>Healthcare Support Services</t>
  </si>
  <si>
    <t>Heathcare Information and Technol</t>
  </si>
  <si>
    <t>Homebuilding</t>
  </si>
  <si>
    <t>Hospitals/Healthcare Facilities</t>
  </si>
  <si>
    <t>Hotel/Gaming</t>
  </si>
  <si>
    <t>Household Products</t>
  </si>
  <si>
    <t>Information Services</t>
  </si>
  <si>
    <t>Insurance (General)</t>
  </si>
  <si>
    <t>Insurance (Life)</t>
  </si>
  <si>
    <t>Insurance (Prop/Cas.)</t>
  </si>
  <si>
    <t>Investments &amp; Asset Management</t>
  </si>
  <si>
    <t>Machinery</t>
  </si>
  <si>
    <t>Metals &amp; Mining</t>
  </si>
  <si>
    <t>Office Equipment &amp; Services</t>
  </si>
  <si>
    <t>Oil/Gas (Integrated)</t>
  </si>
  <si>
    <t>Oil/Gas (Production and Exploratio</t>
  </si>
  <si>
    <t>Oil/Gas Distribution</t>
  </si>
  <si>
    <t>Oilfield Svcs/Equip.</t>
  </si>
  <si>
    <t>Packaging &amp; Container</t>
  </si>
  <si>
    <t>Paper/Forest Products</t>
  </si>
  <si>
    <t>Power</t>
  </si>
  <si>
    <t>Precious Metals</t>
  </si>
  <si>
    <t>Publishing &amp; Newspapers</t>
  </si>
  <si>
    <t>R.E.I.T.</t>
  </si>
  <si>
    <t>Real Estate (Development)</t>
  </si>
  <si>
    <t>Real Estate (General/Diversified)</t>
  </si>
  <si>
    <t>Real Estate (Operations &amp; Services)</t>
  </si>
  <si>
    <t>Recreation</t>
  </si>
  <si>
    <t>Reinsurance</t>
  </si>
  <si>
    <t>Restaurant/Dining</t>
  </si>
  <si>
    <t>Retail (Automotive)</t>
  </si>
  <si>
    <t>Retail (Building Supply)</t>
  </si>
  <si>
    <t>Retail (Distributors)</t>
  </si>
  <si>
    <t>Retail (General)</t>
  </si>
  <si>
    <t>Retail (Grocery and Food)</t>
  </si>
  <si>
    <t>Retail (REITs)</t>
  </si>
  <si>
    <t>Retail (Special Lines)</t>
  </si>
  <si>
    <t>Rubber&amp; Tires</t>
  </si>
  <si>
    <t>Semiconductor</t>
  </si>
  <si>
    <t>Semiconductor Equip</t>
  </si>
  <si>
    <t>Shipbuilding &amp; Marine</t>
  </si>
  <si>
    <t>Shoe</t>
  </si>
  <si>
    <t>Software (Entertainment)</t>
  </si>
  <si>
    <t>Software (Internet)</t>
  </si>
  <si>
    <t>Software (System &amp; Application)</t>
  </si>
  <si>
    <t>Steel</t>
  </si>
  <si>
    <t>Telecom (Wireless)</t>
  </si>
  <si>
    <t>Telecom. Equipment</t>
  </si>
  <si>
    <t>Telecom. Services</t>
  </si>
  <si>
    <t>Tobacco</t>
  </si>
  <si>
    <t>Transportation</t>
  </si>
  <si>
    <t>Transportation (Railroads)</t>
  </si>
  <si>
    <t>Trucking</t>
  </si>
  <si>
    <t>Utility (General)</t>
  </si>
  <si>
    <t>Utility (Water)</t>
  </si>
  <si>
    <t>Grand Total</t>
  </si>
  <si>
    <t>Total Market (without financials)</t>
  </si>
  <si>
    <t>Industry Name</t>
  </si>
  <si>
    <t>[Enter business country name from AD list]</t>
  </si>
  <si>
    <t>secondaryrev.contribution</t>
  </si>
  <si>
    <t>Primary Business Tax Region</t>
  </si>
  <si>
    <t>Primary Business Revenue Contribution</t>
  </si>
  <si>
    <t>Secondary Business Revenue Contribution</t>
  </si>
  <si>
    <t>Corporate Tax Expense</t>
  </si>
  <si>
    <t>Total Tax Expense</t>
  </si>
  <si>
    <t>Secondary Business Tax Region</t>
  </si>
  <si>
    <t>Profit before taxes</t>
  </si>
  <si>
    <t>Net profit</t>
  </si>
  <si>
    <t>Aerial Arts India</t>
  </si>
  <si>
    <t>Samina Burhani</t>
  </si>
  <si>
    <t>Aerial Arts</t>
  </si>
  <si>
    <t>Pole Dance</t>
  </si>
  <si>
    <t>Corporate Clients</t>
  </si>
  <si>
    <t>Business Events</t>
  </si>
  <si>
    <t>A</t>
  </si>
  <si>
    <t>Business Owner (Sample)</t>
  </si>
  <si>
    <r>
      <t xml:space="preserve">We understand that you seek a fair valuation of a business. At Valify, we are committed to providing a swift &amp; efficient self-valuation tool. </t>
    </r>
    <r>
      <rPr>
        <b/>
        <sz val="11"/>
        <color theme="1"/>
        <rFont val="Leelawadee"/>
        <family val="2"/>
      </rPr>
      <t xml:space="preserve">We would like to emphasize that the valuation estimates through Valify do not qualify as independent valuation advisory. </t>
    </r>
    <r>
      <rPr>
        <sz val="12"/>
        <rFont val="Leelawadee"/>
        <family val="2"/>
      </rPr>
      <t xml:space="preserve">
Independent valuation advisory comprises of independent appraisees conducting bespoke business analysis and providing unbiased and accurate representation of an asset's value. 
While our systems and methods are thorough and cover all major aspects of business valuation analysis, we do not appoint independent appriasees to conduct bespoke analysis of the subject business. We relymanjorly on your provided inputs regarding subject company information and validate the same through market references to determine the valuation range.
</t>
    </r>
    <r>
      <rPr>
        <b/>
        <sz val="11"/>
        <color theme="1"/>
        <rFont val="Leelawadee"/>
        <family val="2"/>
      </rPr>
      <t>By completing the below-set questionnaire, you consent to receive a valuation estimate on the subject company through the above-described self-valuation tool.</t>
    </r>
  </si>
  <si>
    <r>
      <t>Please mention 3-5 key words that describe the exact nature of the secondary business within the industry. These key words will be used to screen the most relevant comparable companies in the market for benchmarking analysis. For example, to describe Tesla Motors, you would sa</t>
    </r>
    <r>
      <rPr>
        <sz val="11"/>
        <rFont val="Leelawadee"/>
        <family val="2"/>
      </rPr>
      <t>y- "B2C</t>
    </r>
    <r>
      <rPr>
        <sz val="12"/>
        <rFont val="Leelawadee"/>
        <family val="2"/>
      </rPr>
      <t>" "electric vehicle", "car manufacturer".</t>
    </r>
  </si>
  <si>
    <t>Average Annual Revenue in USD Mn</t>
  </si>
  <si>
    <t>Stretching</t>
  </si>
  <si>
    <t>YTD</t>
  </si>
  <si>
    <t>Growth % &gt;&gt;</t>
  </si>
  <si>
    <t>A. Capex by UEL</t>
  </si>
  <si>
    <t>B. Total Annual Capex</t>
  </si>
  <si>
    <t>C. Capex as a % of Revenue</t>
  </si>
  <si>
    <t>Salaries</t>
  </si>
  <si>
    <t>NWC as at Valuation Date</t>
  </si>
  <si>
    <t>Valuation Inputs</t>
  </si>
  <si>
    <t>Related Party Balances - trade/non-trade</t>
  </si>
  <si>
    <t>I DO NOT have price &amp; volume data for existing business.</t>
  </si>
  <si>
    <t>Select this Option - I have price &amp; volume data for pipeline business lines.</t>
  </si>
  <si>
    <t>Select this Option - I have price &amp; volume data for potential business lines.</t>
  </si>
  <si>
    <t>I DO NOT have price &amp; volume data for potential business.</t>
  </si>
  <si>
    <t>Select this Option - I have 5-year forecasts for operating expenses</t>
  </si>
  <si>
    <t>Complete forecast option</t>
  </si>
  <si>
    <t>Opex Growth Option</t>
  </si>
  <si>
    <t>Advances from Customers</t>
  </si>
  <si>
    <t>Advances to Suppliers</t>
  </si>
  <si>
    <t>Year -1</t>
  </si>
  <si>
    <t>Year -2</t>
  </si>
  <si>
    <t>Historical Financials Provided</t>
  </si>
  <si>
    <t>Loans</t>
  </si>
  <si>
    <t>If the business has any loans on their books , please confirm the exact outstanding amount of the loan as at the Valuation Date.</t>
  </si>
  <si>
    <t>Dues from Related Parties (asset)</t>
  </si>
  <si>
    <t>Dues to Related Parties (liability)</t>
  </si>
  <si>
    <t>Trade</t>
  </si>
  <si>
    <t>Non-Trade</t>
  </si>
  <si>
    <t>#</t>
  </si>
  <si>
    <t>Working Capital Balances</t>
  </si>
  <si>
    <t>Year -3</t>
  </si>
  <si>
    <t>FY21</t>
  </si>
  <si>
    <t>Historical</t>
  </si>
  <si>
    <t>Finance Costs</t>
  </si>
  <si>
    <t>Legend</t>
  </si>
  <si>
    <t>Salary growth</t>
  </si>
  <si>
    <t>Depreciation as a % of Revenue</t>
  </si>
  <si>
    <t>Finance Cost  as a % of Revenue</t>
  </si>
  <si>
    <t>Management Forecast</t>
  </si>
  <si>
    <t>Valify Sensitivity</t>
  </si>
  <si>
    <t>Revenue Cases</t>
  </si>
  <si>
    <t>Revenue - Management</t>
  </si>
  <si>
    <t>Revenue - Valify</t>
  </si>
  <si>
    <t>Names &amp; Dates</t>
  </si>
  <si>
    <t>Current Date</t>
  </si>
  <si>
    <t>Client Company Short Name</t>
  </si>
  <si>
    <t>Last fiscal year end</t>
  </si>
  <si>
    <t>Output</t>
  </si>
  <si>
    <t>Management Case EV - Low</t>
  </si>
  <si>
    <t>Management Case EV - High</t>
  </si>
  <si>
    <t>Valify Case EV - Low</t>
  </si>
  <si>
    <t>Valify Case EV - High</t>
  </si>
  <si>
    <t>Management Case implied multiple</t>
  </si>
  <si>
    <t>Valify Case implied multiple</t>
  </si>
  <si>
    <t>Market Multiple</t>
  </si>
  <si>
    <t>Business Overview</t>
  </si>
  <si>
    <t>Business model description</t>
  </si>
  <si>
    <t>Revenue stream names</t>
  </si>
  <si>
    <t>Last FYE Revenues</t>
  </si>
  <si>
    <t>Operating Regions</t>
  </si>
  <si>
    <t>Expansion plans</t>
  </si>
  <si>
    <t>Pipelines contracts</t>
  </si>
  <si>
    <t>Sensitivity Analysis</t>
  </si>
  <si>
    <t>Revenue Analysis</t>
  </si>
  <si>
    <t>Historical Revenue CAGR</t>
  </si>
  <si>
    <t>Historical Revenue  Yr-3</t>
  </si>
  <si>
    <t>Historical Revenue Year -1</t>
  </si>
  <si>
    <t>YTD Date</t>
  </si>
  <si>
    <t>YTD Revenues</t>
  </si>
  <si>
    <t>YTD Revenue status</t>
  </si>
  <si>
    <t>Projected Revenue CAGR</t>
  </si>
  <si>
    <t>Last Projected Year</t>
  </si>
  <si>
    <t>Projected Existing Revenue share</t>
  </si>
  <si>
    <t>Projected Pipeline Revenue share</t>
  </si>
  <si>
    <t>Projected Potential Revenue share</t>
  </si>
  <si>
    <t>Business Forecast Profile</t>
  </si>
  <si>
    <t>Profile description</t>
  </si>
  <si>
    <t>Profitiability Analysis</t>
  </si>
  <si>
    <t>Subject Company Name</t>
  </si>
  <si>
    <t>Valuer First Name</t>
  </si>
  <si>
    <t>Innovate or Decline</t>
  </si>
  <si>
    <t>Agreement Date</t>
  </si>
  <si>
    <t>Aerial Arts India XXXXXXXXXXXXXXXXX</t>
  </si>
  <si>
    <t>AAI XXXXXXXXXXX</t>
  </si>
  <si>
    <t>Character Limit: Long - 35, Short - 15</t>
  </si>
  <si>
    <t>XXXXXXXXXXXXXXXXXXXXXXXXXXXXXXXXXXX</t>
  </si>
  <si>
    <t>Page 6: Executive Summary</t>
  </si>
  <si>
    <t>Page 2: Message from your advisory partner</t>
  </si>
  <si>
    <t>Page 3: Message from your advisory partner</t>
  </si>
  <si>
    <t>Scope of work</t>
  </si>
  <si>
    <t>Excel Report Issues:</t>
  </si>
  <si>
    <t>Bold</t>
  </si>
  <si>
    <t>Bullets</t>
  </si>
  <si>
    <t>Character limits</t>
  </si>
  <si>
    <t>Information we relied on</t>
  </si>
  <si>
    <t xml:space="preserve">Disclaimer </t>
  </si>
  <si>
    <t>Exercise Background</t>
  </si>
  <si>
    <t>Valuation Methodology</t>
  </si>
  <si>
    <t>Valuation Conclusion</t>
  </si>
  <si>
    <t>Market EV/EBITDA Multiple (FY26)</t>
  </si>
  <si>
    <t>Implied EV/EBITDA Multiple - Management Case</t>
  </si>
  <si>
    <t>Enterprise Valuation - Management</t>
  </si>
  <si>
    <t>EBITDA - Management</t>
  </si>
  <si>
    <t>Enterprise Valuation - Valify Sensitized</t>
  </si>
  <si>
    <t>EBITDA - Valify Sensitized</t>
  </si>
  <si>
    <t>Implied EV/EBITDA Multiple - Valify Sensitized</t>
  </si>
  <si>
    <t>Valify Sensitized</t>
  </si>
  <si>
    <t>Peer Multiples Analysis</t>
  </si>
  <si>
    <t>Page 8: Company Overview</t>
  </si>
  <si>
    <t>About the Company</t>
  </si>
  <si>
    <t>Key Facts</t>
  </si>
  <si>
    <t>Company Revenue &amp; Profits</t>
  </si>
  <si>
    <t>Key Recent Business Updates</t>
  </si>
  <si>
    <t xml:space="preserve">Regional Exposure: </t>
  </si>
  <si>
    <t xml:space="preserve">Business Development: </t>
  </si>
  <si>
    <t>Dominant Stream</t>
  </si>
  <si>
    <t>Revenue Share</t>
  </si>
  <si>
    <t>Second Dominant Stream</t>
  </si>
  <si>
    <t>Significantly Exceeded</t>
  </si>
  <si>
    <t>Slightly Exceeded</t>
  </si>
  <si>
    <t>Slightly Lower</t>
  </si>
  <si>
    <t>Significantly Lower</t>
  </si>
  <si>
    <t>Threshold</t>
  </si>
  <si>
    <t>YTD Status Labels</t>
  </si>
  <si>
    <t>Historical Dominant Revenue Stream</t>
  </si>
  <si>
    <t>Historical Dominant Revenue stream share</t>
  </si>
  <si>
    <t>Projected Dominant Revenue Stream</t>
  </si>
  <si>
    <t>Projected Dominant Revenue stream share</t>
  </si>
  <si>
    <t>Existing</t>
  </si>
  <si>
    <t>Pipeline</t>
  </si>
  <si>
    <t>Potential</t>
  </si>
  <si>
    <t>A message from your advisory partner</t>
  </si>
  <si>
    <t>Page 9: Valify Case Sensitivities</t>
  </si>
  <si>
    <t>Executive Summary</t>
  </si>
  <si>
    <t>Company Overview</t>
  </si>
  <si>
    <t>Valify Case Sensitivities</t>
  </si>
  <si>
    <t>XXX</t>
  </si>
  <si>
    <t>Page 11: Revenue Analysis</t>
  </si>
  <si>
    <t>Profiability Analysis</t>
  </si>
  <si>
    <t>Page 12: Profitability Analysis</t>
  </si>
  <si>
    <t>Margins</t>
  </si>
  <si>
    <t>Costs</t>
  </si>
  <si>
    <t>Total Costs</t>
  </si>
  <si>
    <t>Page 13: Working Capital &amp; Capex</t>
  </si>
  <si>
    <t>Working Capital &amp; Capex</t>
  </si>
  <si>
    <t>DCF Valuation</t>
  </si>
  <si>
    <t>Page 15: DCF Valuation</t>
  </si>
  <si>
    <t>Page 16: DCF Valuation</t>
  </si>
  <si>
    <t>.</t>
  </si>
  <si>
    <t xml:space="preserve">Add: Depreciation </t>
  </si>
  <si>
    <t>Less: Capex</t>
  </si>
  <si>
    <t xml:space="preserve">Less: Change in net working capital </t>
  </si>
  <si>
    <t>Notes:</t>
  </si>
  <si>
    <t>Partial period discounting factor - check</t>
  </si>
  <si>
    <t>Market EV/EBITDA Multiple (FYE)</t>
  </si>
  <si>
    <t>Selected multiple from GPC's (undiscounted) - FYE</t>
  </si>
  <si>
    <t>Page 1: Cover</t>
  </si>
  <si>
    <t>*</t>
  </si>
  <si>
    <t>Page 1</t>
  </si>
  <si>
    <t>Page 2</t>
  </si>
  <si>
    <t>Page 6</t>
  </si>
  <si>
    <t>Scope of Work</t>
  </si>
  <si>
    <t>Methodology</t>
  </si>
  <si>
    <t>Adjusted NBV Method</t>
  </si>
  <si>
    <t>Page 8</t>
  </si>
  <si>
    <t>Business Description</t>
  </si>
  <si>
    <t>Business Divisions:</t>
  </si>
  <si>
    <t>Operating Geographies:</t>
  </si>
  <si>
    <t>Potential Business</t>
  </si>
  <si>
    <t>Secondary</t>
  </si>
  <si>
    <t>Industry Classification</t>
  </si>
  <si>
    <t>Secondary business:</t>
  </si>
  <si>
    <t>Primarily Geography</t>
  </si>
  <si>
    <t>Secondary business</t>
  </si>
  <si>
    <t>Operational Currency:</t>
  </si>
  <si>
    <t>Historic Revenue</t>
  </si>
  <si>
    <t>Projected revenues</t>
  </si>
  <si>
    <t>Projected Revenue support</t>
  </si>
  <si>
    <t>Page 12: Profits</t>
  </si>
  <si>
    <t>Page 11: Revenues</t>
  </si>
  <si>
    <t>Risk Assumptions</t>
  </si>
  <si>
    <t>Penetration risk</t>
  </si>
  <si>
    <t>New venture, region or products</t>
  </si>
  <si>
    <t>Risky contracts</t>
  </si>
  <si>
    <t>Vendor Dependency</t>
  </si>
  <si>
    <t>Key customer risk</t>
  </si>
  <si>
    <t>more than 50% business from 1 customer</t>
  </si>
  <si>
    <t>if you have only 1 supplier</t>
  </si>
  <si>
    <t>Large/long-term risky contracts?</t>
  </si>
  <si>
    <t>Niche Nature</t>
  </si>
  <si>
    <t>Specific Risk Premium Compuation Matrix</t>
  </si>
  <si>
    <t>Risk Factor</t>
  </si>
  <si>
    <t>Risk Premium</t>
  </si>
  <si>
    <t>Total Specific Risk</t>
  </si>
  <si>
    <t>update</t>
  </si>
  <si>
    <t>What is the official name of your company?</t>
  </si>
  <si>
    <t>Notes to Farooq:</t>
  </si>
  <si>
    <t>Make disclaimer visible throughout as a button</t>
  </si>
  <si>
    <t>Move row 23 as part of disclaimer</t>
  </si>
  <si>
    <t>How many months have passed since the start of new financial year of the business?</t>
  </si>
  <si>
    <t>Description notes are missing on website</t>
  </si>
  <si>
    <t>Website has picked up an older version - please update.</t>
  </si>
  <si>
    <t>Date boxes are not looking good</t>
  </si>
  <si>
    <t>Year to Go: months left in the year</t>
  </si>
  <si>
    <t>Year to Date: months completed in current year</t>
  </si>
  <si>
    <t>update text &amp; header</t>
  </si>
  <si>
    <t>First question in figma 1.1 is horizantal but website is vertical MCQs</t>
  </si>
  <si>
    <t xml:space="preserve">Please select one or more from the below that most accurately describe the nature of your business(es): </t>
  </si>
  <si>
    <t>Not on figma design - other operating regions rev contribution\</t>
  </si>
  <si>
    <t>If "No" for row 52 question, then grey out this question</t>
  </si>
  <si>
    <t>To add average annual rev and development phase for primary business</t>
  </si>
  <si>
    <t>Check linking</t>
  </si>
  <si>
    <t>Website does not provide sufficient input areas for all 6 information requested in this point.</t>
  </si>
  <si>
    <t>Allocated</t>
  </si>
  <si>
    <t>Is the subject company exploring a new ventures, products or locations over the next 5 years?</t>
  </si>
  <si>
    <t>Is there dependency on a single supplier? Select yes if the company does not alternative suppliers to support their operations.</t>
  </si>
  <si>
    <t>Niche Risk</t>
  </si>
  <si>
    <t>Penetration Risk</t>
  </si>
  <si>
    <t>Vendor Risk</t>
  </si>
  <si>
    <t>Key Customer Risk</t>
  </si>
  <si>
    <t xml:space="preserve">On average, does more than 50% of business source from less than 3 major customers? </t>
  </si>
  <si>
    <t>Is there high market uncertainity/volatility in the specific business niche? Select "Yes" if it is difficult to make business predictions in Company's niche.</t>
  </si>
  <si>
    <t>Update Text</t>
  </si>
  <si>
    <t>Remove question</t>
  </si>
  <si>
    <t>Website error/missing</t>
  </si>
  <si>
    <t>D</t>
  </si>
  <si>
    <t>Structural change</t>
  </si>
  <si>
    <t>Message</t>
  </si>
  <si>
    <t>Notes from Lazure/Amiri/Shazpha/Burhan</t>
  </si>
  <si>
    <t>Notes from Raaj</t>
  </si>
  <si>
    <t>Going Concern</t>
  </si>
  <si>
    <t>Is the business expected to continue in the foreseeable future?</t>
  </si>
  <si>
    <t>If "No", follow  Column O</t>
  </si>
  <si>
    <t>Pop Up Message: "Hello! Please note that Valify generates valuations for going-concern businesses only. Since the specified business is not expected to continue in future, we cannot consider any future cash flows to contribute to the business value. Thus, the most appropriate way to value such a business would be the net gain from liquidating assets. This is known as the liquidation method of business valuation, which requires a case-by-case asset analysis."</t>
  </si>
  <si>
    <t>Remove this question</t>
  </si>
  <si>
    <t>Do any of the business shareholders separately control the key business assets (such as land, building &amp; plant) OR are the key assets regularly revalued to fair value?</t>
  </si>
  <si>
    <t>If "Yes", follow  Column O</t>
  </si>
  <si>
    <r>
      <t xml:space="preserve">Pop Up Message: "Hello! Please note that Valify generates valuations for </t>
    </r>
    <r>
      <rPr>
        <sz val="11"/>
        <color rgb="FFFF0000"/>
        <rFont val="Leelawadee"/>
        <family val="2"/>
      </rPr>
      <t>fully</t>
    </r>
    <r>
      <rPr>
        <sz val="11"/>
        <rFont val="Leelawadee"/>
        <family val="2"/>
      </rPr>
      <t xml:space="preserve"> </t>
    </r>
    <r>
      <rPr>
        <sz val="11"/>
        <color rgb="FFFF0000"/>
        <rFont val="Leelawadee"/>
        <family val="2"/>
      </rPr>
      <t>independent</t>
    </r>
    <r>
      <rPr>
        <sz val="11"/>
        <rFont val="Leelawadee"/>
        <family val="2"/>
      </rPr>
      <t xml:space="preserve"> businesses only. Since the specified business assets are primarily owned/controlled by the shareholders, future business value would depend on their continued provision of these assets. While Valify will assist in generating an estimated valuation based on future cash flows and market multiples, it is recommended to corroborate our analysis with an adjusted NBV valuation which will determine the fair value of assets &amp; liabilities.</t>
    </r>
  </si>
  <si>
    <t>Forecasts</t>
  </si>
  <si>
    <t>Can you provide financial forecasts of the business for 3-5 years?</t>
  </si>
  <si>
    <t>Replace with this question</t>
  </si>
  <si>
    <t>Which of the options best describe the current development stage of the business?</t>
  </si>
  <si>
    <t>Follow  Column O</t>
  </si>
  <si>
    <t>Please select your role with the subject company.</t>
  </si>
  <si>
    <t>Consultant</t>
  </si>
  <si>
    <t>Please enter your full name &amp; designation.</t>
  </si>
  <si>
    <t>remove this question</t>
  </si>
  <si>
    <t>What is your designation relevant to this exercise? 
(Note: While the Valify tool is developed for anyone to use, for optimal results, we recommend the self-valuation exercise to be run by either a project manager who deeply understands the business operations, or a finance professional.)</t>
  </si>
  <si>
    <t>What is your primary purpose for conducting this exercise?
A. Vendor Valuation: Select this if you are the seller (or potential seller) of share in a business.
B. Target Valuation: Select this if you are an investor looking to value a target business to buy
C. Management Valuation: Select this if you represent the business management and would like a valuation for internal decision-making.
D. Other (please specify)</t>
  </si>
  <si>
    <t>Can you be more specific about your valuation purpose?</t>
  </si>
  <si>
    <t>If above answer is Yes, only then open this hidden question</t>
  </si>
  <si>
    <t>Are you seeking a valuation of your own company?</t>
  </si>
  <si>
    <t>Autofill with Company Name, with option to overwrite</t>
  </si>
  <si>
    <t>What is the next financial year end for the business?</t>
  </si>
  <si>
    <t>Country-wise reference</t>
  </si>
  <si>
    <t>Please enter the date as at which you wish to conduct this valuation. Please note that this may not necessarily be today's date. The valuation date is typically the date to which you have the latest actual business financial performance which is ideally the most recent month-end.</t>
  </si>
  <si>
    <t>Read IT notes</t>
  </si>
  <si>
    <t>delete question</t>
  </si>
  <si>
    <t xml:space="preserve">update entire text </t>
  </si>
  <si>
    <t>Include the descriptions for each option which are currently not on the website.</t>
  </si>
  <si>
    <r>
      <t xml:space="preserve">We will now forecast business performance for the remaining months of this year ("Year to Go"). In the coming sections, we will gather current year budgets of the business, which will serve as a basis for estimating remaining months' performance. Please select the forecast approach you prefer:
NOTE: Some businesses are volatile and it is difficult to forecast performance and budgets cannot be maintained. In such cases, you can use a reasonable annual revenue target as a starting point, and proportion for remaining months (Select option 2). Don't worry about the risk of uncertainity - this will be captured at a later stage.
</t>
    </r>
    <r>
      <rPr>
        <b/>
        <sz val="11"/>
        <color theme="1"/>
        <rFont val="Leelawadee"/>
        <family val="2"/>
      </rPr>
      <t xml:space="preserve">1. YTD Annualized (Default): </t>
    </r>
    <r>
      <rPr>
        <sz val="12"/>
        <rFont val="Leelawadee"/>
        <family val="2"/>
      </rPr>
      <t xml:space="preserve">Select this option if you prefer to forecast performance of upcoming months based on previous months of the year (at the same rate as previous months).
</t>
    </r>
    <r>
      <rPr>
        <b/>
        <sz val="11"/>
        <color theme="1"/>
        <rFont val="Leelawadee"/>
        <family val="2"/>
      </rPr>
      <t xml:space="preserve">2. Management Monthly Budget: </t>
    </r>
    <r>
      <rPr>
        <sz val="12"/>
        <rFont val="Leelawadee"/>
        <family val="2"/>
      </rPr>
      <t xml:space="preserve"> Select this option if you prefer the remaining months to be forecasted in line with the original monthly budgets, irrespective of previous months' actual performance.
</t>
    </r>
    <r>
      <rPr>
        <b/>
        <sz val="11"/>
        <color theme="1"/>
        <rFont val="Leelawadee"/>
        <family val="2"/>
      </rPr>
      <t>3. Catch-up Approach:</t>
    </r>
    <r>
      <rPr>
        <sz val="12"/>
        <rFont val="Leelawadee"/>
        <family val="2"/>
      </rPr>
      <t xml:space="preserve"> Select this option if the business has under-performed or over-performed the budget in previous months, and you expect the business to catch up in coming months and meet the annual targets budgeted for the current year.</t>
    </r>
  </si>
  <si>
    <t>Keep YTD Annualized as the default selection</t>
  </si>
  <si>
    <t>ppt video or perhaps default option\</t>
  </si>
  <si>
    <t>Please select the currency in which you wish to process the valuation.</t>
  </si>
  <si>
    <t>update for units dropdown, and read notes for IT</t>
  </si>
  <si>
    <t>Please select the unit of currency (eg: "USD million" or "AED 000s"), in which you would like us to generate the analysis. 
To ensure clean, legible outputs, it is best to avoid unit metrics unless the business financials are within 4 digits.</t>
  </si>
  <si>
    <t xml:space="preserve">If "Units" Selected, add grey text next to the answer box "Eg: 200,000 will appear as "200,000"". If "000s" Selected, add grey text next to the answer box "Eg: 200,000 will appear as "200K". If "Mn" Selected, add grey text next to the answer box "Eg: 200,000 will appear as "0.2 Mn"". </t>
  </si>
  <si>
    <t xml:space="preserve">Update </t>
  </si>
  <si>
    <t>moved before primary business</t>
  </si>
  <si>
    <t>Average Annual Revenue</t>
  </si>
  <si>
    <t>What is the approximate average annual revenue of the company over last 3-5 years in USD Mn. If historic revenue is volatile, mention the most recent actual or estimate annual revenue. If actual revenue is unavailable, mention a revenue estimate. (Note: This question is purely for size reference only, thus an estimation is sufficient.)</t>
  </si>
  <si>
    <t>Select the most relevant industry for the company's primary business operations (main business).</t>
  </si>
  <si>
    <t>Dropdowns are missing from the website - please rectify</t>
  </si>
  <si>
    <r>
      <t>Please mention 3-5 key words that describe the exact nature of the business within the industry. These key words will be used to screen the most relevant comparable companies in the market for benchmarking analysis. For example, to describe Tesla Motors, you would say - "</t>
    </r>
    <r>
      <rPr>
        <sz val="11"/>
        <rFont val="Leelawadee"/>
        <family val="2"/>
      </rPr>
      <t>B2C</t>
    </r>
    <r>
      <rPr>
        <sz val="12"/>
        <rFont val="Leelawadee"/>
        <family val="2"/>
      </rPr>
      <t>" "electric vehicle", "car manufacturer".</t>
    </r>
  </si>
  <si>
    <t>Add shared services option (Hazel-Lazure cost sharing)
Add note that this is not a pitch but a business classification</t>
  </si>
  <si>
    <t>Main operating region - Primary</t>
  </si>
  <si>
    <t>Please select up to 3 other operating regions for the business, if relevant. If so, enter approximate revenue contribution from each added region.</t>
  </si>
  <si>
    <t>Does the business currently have(or intend to venture into) an alternative business line? If yes, answer the below 3 questions.</t>
  </si>
  <si>
    <t>Please select up to 3 other operating regions for the secondary business, if relevant. If so, enter approximate revenue contribution from each added region.</t>
  </si>
  <si>
    <t>This question was missed on the website</t>
  </si>
  <si>
    <t>Revenue contribution - Secondary Business</t>
  </si>
  <si>
    <t>Please estimate the avearge revenue contribution from secondary business (in %)</t>
  </si>
  <si>
    <t>Update header text</t>
  </si>
  <si>
    <t>Historical Data</t>
  </si>
  <si>
    <t>Upload button missing - please see IT notes</t>
  </si>
  <si>
    <t>Add upload button for Hist.Fin template</t>
  </si>
  <si>
    <t xml:space="preserve">Update text. </t>
  </si>
  <si>
    <t>Now let us move ahead to building the business forecasts over next 5 years, to support the valuation estimation. In the next section, we will ask you to share information regarding the key drivers of revenues &amp; costs and make reasonable assumptions of how these drivers are expected to move in the next 5 years. 
If you have prepared the forecast information using our template, upload it here. [Add Excel template and upload button. Template should feed into questionnaire responses with overwrite option.]</t>
  </si>
  <si>
    <t>Add upload button for forecast template</t>
  </si>
  <si>
    <t>update text</t>
  </si>
  <si>
    <t>"Existing revenues" are revenue streams that are historically and currently operational. 
Please identify such existing revenue streams for the subject company, and list them into 4 main categories. You can categorize the revenue streams based on  products/services, major clients or  regions of operations. Add the names of these categories below.
It is recommended to follow any one type of categorisation (either by product/service, clients or region). Avoid combining multiple categorisations for optimal analysis.</t>
  </si>
  <si>
    <t>Drop-down data of this question needs to be added on website</t>
  </si>
  <si>
    <t>"Pipeline revenues" are new revenue streams that are confirmed/signed to become operational in the next 5 years.  Does the business have any such pipeline revenues? If yes, please identify and add names of such pipeline revenue categories for the below.
Note: Example - signed contract with a big new client for next 2 years of service.</t>
  </si>
  <si>
    <t>"Potential revenues" are new revenue streams that are not yet confirmed, but the business may achieve in the next 5 years.  Does the business have any such potential revenues? If yes, please identify and add names of such potential revenue categories for the below.
Note: Example - An ongoing bid for a new service contract for next 2 years which is not yet won or signed OR a manufacturer looking to enter retail market by opening stores in the future.</t>
  </si>
  <si>
    <t>Since the potential revenues are uncertain, please share an expected probability of achieving these over next 5 years? If you are unsure about this, it is recommended to consider a 50%-50% probability of achievement.</t>
  </si>
  <si>
    <t xml:space="preserve">We are now about to collect forecast information on revenues of the above-mentioned business lines. A typical revenue build-up includes 2 key drivers: 
1. Price: subscription fees, average goods price, one-time consulting charge, etc.
2. Volumes: sales volumes, service subscribers, number of customers, etc.
Please confirm if you currently possess a revenue buildup with such price x volume data for each of the above-mentioned business lines?  </t>
  </si>
  <si>
    <t>Autofill: If answer is "Yes", populate all 3 green boxes below with "I have price &amp; volume data for existing business lines.", if no populate all 3 with "I DO NOT have price &amp; volume data for existing business.")</t>
  </si>
  <si>
    <t>I have price &amp; volume data for some business lines</t>
  </si>
  <si>
    <t>Display the below hidden question only if above row answer is "I have price &amp; volume data for some business lines")</t>
  </si>
  <si>
    <t>This was missed in the website, I have now moved it above the schedules</t>
  </si>
  <si>
    <t>If answer is "I have price &amp; volume data for existing business.", display schedule AP from Column G reference, else display Schedule BP.</t>
  </si>
  <si>
    <t>If answer is "I have price &amp; volume data for existing business.", display schedule AF from Column G reference, else display Schedule BF.</t>
  </si>
  <si>
    <t>Schedule A - Price x Volume</t>
  </si>
  <si>
    <t>Update header in column G</t>
  </si>
  <si>
    <t>AE</t>
  </si>
  <si>
    <t>EXISTING BUSINESS REVENUES - Price x Volume</t>
  </si>
  <si>
    <t>Add sub-header and adjacent question which was missed out in the website</t>
  </si>
  <si>
    <t>Price</t>
  </si>
  <si>
    <t>Prices are often difficult to forecast. The intention here is to ascertain a long-term sustainable average. However, if you are unable to determine specific price levels, we recommend opting for "Forecast using Price Growth".</t>
  </si>
  <si>
    <t>If answer is "Forecast using Average Price", display AE1 (Reference in Column G), else display AE2</t>
  </si>
  <si>
    <t>Update text</t>
  </si>
  <si>
    <t>AE1</t>
  </si>
  <si>
    <t>Price or Average revenue per unit (in information currency)</t>
  </si>
  <si>
    <t>AE2</t>
  </si>
  <si>
    <t>Volumes</t>
  </si>
  <si>
    <t>Sales volumes can be difficult to forecast. The intention here is to ascertain a long-term sustainable average. However, if you are unable to determine volume levels, we recommend opting for the below "Volume Growth approach".</t>
  </si>
  <si>
    <t>If answer is "Forecast using Average Price", display AE3 (Reference in Column G), else display AE4</t>
  </si>
  <si>
    <t>AE3</t>
  </si>
  <si>
    <t>AE4</t>
  </si>
  <si>
    <t>AP</t>
  </si>
  <si>
    <t>PIPELINE BUSINESS REVENUES - Price x Volume</t>
  </si>
  <si>
    <t>If answer is "Forecast using Average Price", display AP1 (Reference in Column G), else display AP2</t>
  </si>
  <si>
    <t>AP1</t>
  </si>
  <si>
    <t>AP2</t>
  </si>
  <si>
    <t>If answer is "Forecast using Average Price", display AP3 (Reference in Column G), else display AP4</t>
  </si>
  <si>
    <t>AP3</t>
  </si>
  <si>
    <t>AP4</t>
  </si>
  <si>
    <t>AF</t>
  </si>
  <si>
    <t>POTENTIAL BUSINESS REVENUES - Price x Volume</t>
  </si>
  <si>
    <t>If answer is "Forecast using Average Price", display AF1 (Reference in Column G), else display AF2</t>
  </si>
  <si>
    <t>AF1</t>
  </si>
  <si>
    <t>AF2</t>
  </si>
  <si>
    <t>If answer is "Forecast using Average Price", display AF3 (Reference in Column G), else display AF4</t>
  </si>
  <si>
    <t>AF3</t>
  </si>
  <si>
    <t>AF4</t>
  </si>
  <si>
    <t>Data tables in this section have been re-shuffled.</t>
  </si>
  <si>
    <t>Schedule B - No Price x Volume</t>
  </si>
  <si>
    <t>BE</t>
  </si>
  <si>
    <t>Existing Business</t>
  </si>
  <si>
    <t>Update Text and question</t>
  </si>
  <si>
    <t>Please select most appropriate option.</t>
  </si>
  <si>
    <t>If answer is A, display BE1, else display BE2</t>
  </si>
  <si>
    <t>I can only provide consolidated total revenue for existing business.</t>
  </si>
  <si>
    <t>A. I can provide specific revenue estimates for each existing business line</t>
  </si>
  <si>
    <t>B. I can only provide consolidated total revenue for existing business.</t>
  </si>
  <si>
    <t>BE1</t>
  </si>
  <si>
    <t>BE2</t>
  </si>
  <si>
    <t>BP</t>
  </si>
  <si>
    <t>Pipeline Business</t>
  </si>
  <si>
    <t>If answer is A, display BP1, else display BP2</t>
  </si>
  <si>
    <t>B. I can only provide consolidated total revenue for pipeline business.</t>
  </si>
  <si>
    <t>A. I can provide specific revenue estimates for each pipeline business line</t>
  </si>
  <si>
    <t>BP1</t>
  </si>
  <si>
    <t>BP2</t>
  </si>
  <si>
    <t>BF</t>
  </si>
  <si>
    <t>If answer is A, display BF1, else display BF2</t>
  </si>
  <si>
    <t>B. I can only provide consolidated total revenue for potential business.</t>
  </si>
  <si>
    <t>A. I can provide specific revenue estimates for each potential business line</t>
  </si>
  <si>
    <t>BF1</t>
  </si>
  <si>
    <t>BF2</t>
  </si>
  <si>
    <t>Thank you for your inputs on the revenue build up. We are now moving ahead to the costs &amp; profitability analysis. For all the revenue streams mentioned in previous section, please share the current gross margins, and how they are expected to move over next 5 years using schedule below.</t>
  </si>
  <si>
    <t>Build button to autofill Years 1-5 based on current Year data</t>
  </si>
  <si>
    <t>Utilities</t>
  </si>
  <si>
    <t>Years 1-5: Enter suggested growth rate (if any)</t>
  </si>
  <si>
    <t xml:space="preserve">Update text </t>
  </si>
  <si>
    <t xml:space="preserve">We are now moving ahead to analyse &amp; forecast capital expenditure for the business. Please share the subject company's budget for growth &amp; expansion over next 5 years, by selecting from below 3 options: 
A. The company has determined specific long-term and short-term assets they will require over the 5 years.
B. The company has set an annual budget for expansion over next 5 years
C. You prefer to estimate capital expenditure spend in proportion with the sales made over next 5 years. </t>
  </si>
  <si>
    <t>If answer is A, display A section, if answer is B, display B section, else display C section</t>
  </si>
  <si>
    <t>Only allow % without cap on 100</t>
  </si>
  <si>
    <t>In this final section of the forecast segment, we will analyze working capital of the business. For this, please enter the customer and supplier credit terms (in days) and other working capital days in the below schedules. 
(i) If, for any of the below elements, you have a range rather than a specific number, please enter the average days.
(ii) If you are unsure about the days, select the option below to adopt our recommended general credit term standards.</t>
  </si>
  <si>
    <t>Error on website - These are the standard days which have been currently added to website as plain text. They are meant to be autofilled in above tables on selection of the checkbox only.</t>
  </si>
  <si>
    <t>What is the available cash balance of the business on the Valuation Date? This should include bank balances and any cash like items.</t>
  </si>
  <si>
    <t>Show in currency &amp; units mentioned in section 1.4</t>
  </si>
  <si>
    <t>If the business has any related party balances (such as loans or other dues to &amp; from related parties), please confirm whether these are trade or non-trade in nature. 
Trade balances are related to daily business operations and working capital. 
Non-trade balances are related to long-term investing and financing decisions or other non-operational reasons.</t>
  </si>
  <si>
    <t>If trade, show note - "Include these in NWC days under Other Payable Days", if non-trade, collect amount in adjacent column</t>
  </si>
  <si>
    <t>If trade, show note - "Include these in NWC days under Other Receivable Days", if non-trade, collect amount in adjacent column</t>
  </si>
  <si>
    <t>New section</t>
  </si>
  <si>
    <r>
      <t xml:space="preserve">Does the business contain large or long-term contracts of risky nature? 
</t>
    </r>
    <r>
      <rPr>
        <i/>
        <sz val="11"/>
        <rFont val="Leelawadee"/>
        <family val="2"/>
      </rPr>
      <t>Note: For example, an annual master agreement without any order forecasts for a high-value client.</t>
    </r>
  </si>
  <si>
    <t>Cyclicality</t>
  </si>
  <si>
    <t>Is the business cyclical in nature?</t>
  </si>
  <si>
    <t>val.currency</t>
  </si>
  <si>
    <t>Early-stage / Pre-revenue</t>
  </si>
  <si>
    <t>Start-up</t>
  </si>
  <si>
    <t>Mature Growth</t>
  </si>
  <si>
    <t>Primary Business Sub-Industry</t>
  </si>
  <si>
    <t>primary.subindustry</t>
  </si>
  <si>
    <t>Matured</t>
  </si>
  <si>
    <t>Other Operating Regions - Primary</t>
  </si>
  <si>
    <t>Country Name</t>
  </si>
  <si>
    <t>Average Revenue Contribution (%)</t>
  </si>
  <si>
    <t>Other Operating Region 1</t>
  </si>
  <si>
    <t>Other Operating Region 2</t>
  </si>
  <si>
    <t>Other Operating Region 3</t>
  </si>
  <si>
    <t>Secondary Business Sub-Industry</t>
  </si>
  <si>
    <t>secondary.subindustry</t>
  </si>
  <si>
    <t>Secondary Business Description</t>
  </si>
  <si>
    <t>secondarybus.desc</t>
  </si>
  <si>
    <t>Other Operating Regions - Secondary</t>
  </si>
  <si>
    <t>Forex Risk</t>
  </si>
  <si>
    <t>Form Response</t>
  </si>
  <si>
    <t>Close sections 2-6 in questionnaire</t>
  </si>
  <si>
    <t>This and the question below have been flipped for chronological consistency</t>
  </si>
  <si>
    <t>Primary Business Decription</t>
  </si>
  <si>
    <t>primary.bus.desc</t>
  </si>
  <si>
    <t>Product/Service</t>
  </si>
  <si>
    <t>If exact volumes are entered in above section, auto-calculate growth rates here</t>
  </si>
  <si>
    <t>If contributions are entered in below section, auto-calculate exact revenues here</t>
  </si>
  <si>
    <t>Option 1</t>
  </si>
  <si>
    <t xml:space="preserve">Add YTD Column </t>
  </si>
  <si>
    <t>&lt;&lt; Growth rates &gt;&gt;</t>
  </si>
  <si>
    <t>Autofill for Years 1-5 based on Current Year &amp; allow overwrite</t>
  </si>
  <si>
    <t>Add YTD column &amp; read notes</t>
  </si>
  <si>
    <t>Coming to operating expenses, such as staff salaries, rent, office expenses, utilities, etc., please select the relevant option based on the data you can provide. If you only have total operating expenses (without breakdowns), you may use "Office expenses" in the below schedules to populate total.</t>
  </si>
  <si>
    <t>This question is put as plain text on website, please rectify and add as radio button. I have now added one more option (3).</t>
  </si>
  <si>
    <t>Enter only total</t>
  </si>
  <si>
    <t>If "Enter only totals" is selected, hide breakdown rows.</t>
  </si>
  <si>
    <t>Add total opex option and read IT notes</t>
  </si>
  <si>
    <t>Add missing bullet labels "A/B/C" on website, and selection dropdown.</t>
  </si>
  <si>
    <t>Enter only totals here</t>
  </si>
  <si>
    <t>Current Year column not on website</t>
  </si>
  <si>
    <t>Non-trade amount</t>
  </si>
  <si>
    <t>Early growth/Pre-revenue</t>
  </si>
  <si>
    <t>Benchmark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</si>
</sst>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1">
    <numFmt numFmtId="43" formatCode="_-* #,##0.00_-;\-* #,##0.00_-;_-* &quot;-&quot;??_-;_-@_-"/>
    <numFmt numFmtId="164" formatCode="&quot;$&quot;#,##0.00_);[Red]\(&quot;$&quot;#,##0.0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0.0%"/>
    <numFmt numFmtId="170" formatCode="_(* #,##0.0_);_(* \(#,##0.0\);_(* &quot;-&quot;?_);_(@_)"/>
    <numFmt numFmtId="171" formatCode="_(* #,##0.0\ \x_);_(* \(#,##0.0\ \x\);_(* &quot;-&quot;??_);_(@_)"/>
    <numFmt numFmtId="172" formatCode="#,##0.00_)&quot;yrs&quot;"/>
    <numFmt numFmtId="173" formatCode="[$-409]mmmm\ d\,\ yyyy;@"/>
    <numFmt numFmtId="174" formatCode="_(* 0.00%_);_(* \(0.00%\);_(@_)"/>
    <numFmt numFmtId="175" formatCode="_(* 0.0%_);_(* \(0.0%\);_(@_)"/>
    <numFmt numFmtId="176" formatCode="[$-409]mmm\ d\,\ \'yy;@"/>
    <numFmt numFmtId="177" formatCode="_(* #,##0.00_);_(* \(#,##0.00\);_(* &quot;-&quot;_);_(@_)"/>
    <numFmt numFmtId="178" formatCode="_(* #,##0.00_);_(* \(#,##0.00\);_(* &quot;-&quot;?_);_(@_)"/>
    <numFmt numFmtId="179" formatCode="\(0\)"/>
    <numFmt numFmtId="180" formatCode="00000"/>
    <numFmt numFmtId="181" formatCode="_-[$£-809]* #,##0_-;\-[$£-809]* #,##0_-;_-[$£-809]* &quot;-&quot;_-;_-@_-"/>
    <numFmt numFmtId="182" formatCode="mmm\ dd\,\ \'yy"/>
    <numFmt numFmtId="183" formatCode="_(&quot;$&quot;* #,##0.000_);_(&quot;$&quot;* \(#,##0.000\);_(&quot;$&quot;* &quot;-&quot;_);_(@_)"/>
    <numFmt numFmtId="184" formatCode="_(* #,##0.000_);_(* \(#,##0.000\);_(* &quot;-&quot;???_);_(@_)"/>
    <numFmt numFmtId="185" formatCode="_(* #,##0.0_);_(* \(#,##0.0\);_(* &quot;-&quot;_);_(@_)"/>
    <numFmt numFmtId="186" formatCode="#,##0;\(#,##0\);\-"/>
    <numFmt numFmtId="187" formatCode="#,##0.0;\(#,##0.0\);\-"/>
    <numFmt numFmtId="188" formatCode="#,##0.00;\(#,##0.00\);\-"/>
    <numFmt numFmtId="189" formatCode="[$-409]d\-mmm\-yy;@"/>
    <numFmt numFmtId="190" formatCode="0.0"/>
    <numFmt numFmtId="191" formatCode="_(* #,##0.0\x_);_(* \(#,##0.0\x\);_(* &quot;-&quot;??_);_(@_)"/>
    <numFmt numFmtId="192" formatCode="_(* #,##0.0_);_(* \(#,##0.0\);_(* &quot;-&quot;??_);_(@_)"/>
    <numFmt numFmtId="193" formatCode="_(* #,##0_);_(* \(#,##0\);_(* &quot;-&quot;??_);_(@_)"/>
    <numFmt numFmtId="194" formatCode="_(* #,##0.00\x_);_(* \(#,##0.00\x\);_(* &quot;-&quot;??_);_(@_)"/>
    <numFmt numFmtId="195" formatCode="_-* #,##0.0_-;\-* #,##0.0_-;_-* &quot;-&quot;?_-;_-@_-"/>
    <numFmt numFmtId="196" formatCode="_(* #,##0.000_);_(* \(#,##0.000\);_(* &quot;-&quot;??_);_(@_)"/>
    <numFmt numFmtId="197" formatCode="#,##0;\(#,##0\);\-;@"/>
    <numFmt numFmtId="198" formatCode="_-* #,##0.0_-;\-* #,##0.0_-;_-* &quot;-&quot;??_-;_-@_-"/>
    <numFmt numFmtId="199" formatCode="_-[$$-409]* #,##0.000_ ;_-[$$-409]* \-#,##0.000\ ;_-[$$-409]* &quot;-&quot;??_ ;_-@_ "/>
    <numFmt numFmtId="200" formatCode="#,##0_);\(#,##0\);&quot;-  &quot;;&quot; &quot;@&quot; &quot;"/>
    <numFmt numFmtId="201" formatCode="mmm\ yyyy_);&quot;Error &lt;0  &quot;;dd\ mmm\ yyyy_);&quot;  &quot;@"/>
    <numFmt numFmtId="202" formatCode="dd\ mmm\ yy"/>
    <numFmt numFmtId="203" formatCode="_-* #,##0_-;\-* #,##0_-;_-* &quot;-&quot;??_-;_-@_-"/>
  </numFmts>
  <fonts count="277">
    <font>
      <sz val="12"/>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0"/>
      <name val="Arial"/>
      <family val="2"/>
    </font>
    <font>
      <sz val="10"/>
      <name val="Arial"/>
      <family val="2"/>
    </font>
    <font>
      <sz val="12"/>
      <name val="Arial"/>
      <family val="2"/>
    </font>
    <font>
      <sz val="8"/>
      <name val="Arial"/>
      <family val="2"/>
    </font>
    <font>
      <sz val="8"/>
      <color indexed="12"/>
      <name val="Arial"/>
      <family val="2"/>
    </font>
    <font>
      <sz val="10"/>
      <name val="Times New Roman"/>
      <family val="1"/>
    </font>
    <font>
      <i/>
      <sz val="10"/>
      <name val="Arial"/>
      <family val="2"/>
    </font>
    <font>
      <sz val="10"/>
      <color indexed="8"/>
      <name val="Arial"/>
      <family val="2"/>
    </font>
    <font>
      <b/>
      <i/>
      <u/>
      <sz val="10"/>
      <name val="Arial"/>
      <family val="2"/>
    </font>
    <font>
      <i/>
      <sz val="9"/>
      <name val="Arial"/>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sz val="11"/>
      <color indexed="19"/>
      <name val="Calibri"/>
      <family val="2"/>
    </font>
    <font>
      <sz val="10"/>
      <color indexed="8"/>
      <name val="MS Sans Serif"/>
      <family val="2"/>
    </font>
    <font>
      <b/>
      <sz val="11"/>
      <color indexed="63"/>
      <name val="Calibri"/>
      <family val="2"/>
    </font>
    <font>
      <b/>
      <sz val="18"/>
      <color indexed="62"/>
      <name val="Cambria"/>
      <family val="2"/>
    </font>
    <font>
      <b/>
      <sz val="11"/>
      <color indexed="8"/>
      <name val="Calibri"/>
      <family val="2"/>
    </font>
    <font>
      <b/>
      <u val="singleAccounting"/>
      <sz val="10"/>
      <name val="Arial"/>
      <family val="2"/>
    </font>
    <font>
      <b/>
      <sz val="12"/>
      <color rgb="FF4F2D7F"/>
      <name val="Arial"/>
      <family val="2"/>
    </font>
    <font>
      <b/>
      <sz val="14"/>
      <color rgb="FF4F2D7F"/>
      <name val="Arial"/>
      <family val="2"/>
    </font>
    <font>
      <sz val="12"/>
      <name val="Arial"/>
      <family val="2"/>
    </font>
    <font>
      <sz val="11"/>
      <color theme="1"/>
      <name val="Arial"/>
      <family val="2"/>
      <scheme val="minor"/>
    </font>
    <font>
      <u/>
      <sz val="7.5"/>
      <color indexed="12"/>
      <name val="Arial"/>
      <family val="2"/>
    </font>
    <font>
      <u/>
      <sz val="12"/>
      <color theme="11"/>
      <name val="Arial"/>
      <family val="2"/>
    </font>
    <font>
      <u/>
      <sz val="10"/>
      <color rgb="FF4F367F"/>
      <name val="Arial"/>
      <family val="2"/>
    </font>
    <font>
      <u/>
      <sz val="12"/>
      <color theme="10"/>
      <name val="Arial"/>
      <family val="2"/>
    </font>
    <font>
      <sz val="9"/>
      <color indexed="81"/>
      <name val="Tahoma"/>
      <family val="2"/>
    </font>
    <font>
      <b/>
      <sz val="9"/>
      <color indexed="81"/>
      <name val="Tahoma"/>
      <family val="2"/>
    </font>
    <font>
      <u/>
      <sz val="12"/>
      <color theme="10"/>
      <name val="Arial"/>
      <family val="2"/>
    </font>
    <font>
      <sz val="8"/>
      <color theme="1"/>
      <name val="Arial"/>
      <family val="2"/>
    </font>
    <font>
      <sz val="10"/>
      <name val="Helv"/>
    </font>
    <font>
      <sz val="8"/>
      <color indexed="8"/>
      <name val="Arial"/>
      <family val="2"/>
    </font>
    <font>
      <sz val="10"/>
      <color rgb="FF800000"/>
      <name val="Arial"/>
      <family val="2"/>
      <scheme val="major"/>
    </font>
    <font>
      <b/>
      <sz val="9"/>
      <color theme="3"/>
      <name val="Arial"/>
      <family val="2"/>
      <scheme val="major"/>
    </font>
    <font>
      <sz val="9"/>
      <color theme="3"/>
      <name val="Arial"/>
      <family val="2"/>
      <scheme val="major"/>
    </font>
    <font>
      <sz val="10"/>
      <color rgb="FF00684F"/>
      <name val="Arial"/>
      <family val="2"/>
      <scheme val="major"/>
    </font>
    <font>
      <b/>
      <sz val="12"/>
      <color rgb="FF00684F"/>
      <name val="Arial"/>
      <family val="2"/>
      <scheme val="major"/>
    </font>
    <font>
      <sz val="12"/>
      <color rgb="FF4F2D7F"/>
      <name val="Arial"/>
      <family val="2"/>
      <scheme val="major"/>
    </font>
    <font>
      <sz val="10"/>
      <color rgb="FFFF0000"/>
      <name val="Arial"/>
      <family val="2"/>
      <scheme val="major"/>
    </font>
    <font>
      <sz val="10"/>
      <color theme="0" tint="-0.34998626667073579"/>
      <name val="Arial"/>
      <family val="2"/>
      <scheme val="major"/>
    </font>
    <font>
      <b/>
      <sz val="8"/>
      <color rgb="FF000000"/>
      <name val="Arial"/>
      <family val="2"/>
      <scheme val="major"/>
    </font>
    <font>
      <b/>
      <sz val="8"/>
      <name val="Arial"/>
      <family val="2"/>
      <scheme val="major"/>
    </font>
    <font>
      <b/>
      <sz val="8"/>
      <color theme="3"/>
      <name val="Arial"/>
      <family val="2"/>
      <scheme val="major"/>
    </font>
    <font>
      <sz val="8"/>
      <color rgb="FF383838"/>
      <name val="Arial"/>
      <family val="2"/>
      <scheme val="major"/>
    </font>
    <font>
      <sz val="8"/>
      <color theme="1"/>
      <name val="Arial"/>
      <family val="2"/>
      <scheme val="major"/>
    </font>
    <font>
      <sz val="8"/>
      <color theme="0"/>
      <name val="Arial"/>
      <family val="2"/>
      <scheme val="major"/>
    </font>
    <font>
      <b/>
      <sz val="8"/>
      <color theme="1"/>
      <name val="Arial"/>
      <family val="2"/>
      <scheme val="major"/>
    </font>
    <font>
      <sz val="10"/>
      <name val="Arial"/>
      <family val="2"/>
      <scheme val="major"/>
    </font>
    <font>
      <sz val="8"/>
      <color indexed="8"/>
      <name val="Arial"/>
      <family val="2"/>
      <scheme val="major"/>
    </font>
    <font>
      <b/>
      <sz val="8"/>
      <color rgb="FF383838"/>
      <name val="Arial"/>
      <family val="2"/>
      <scheme val="major"/>
    </font>
    <font>
      <sz val="8"/>
      <color rgb="FF00684F"/>
      <name val="Arial"/>
      <family val="2"/>
      <scheme val="major"/>
    </font>
    <font>
      <sz val="9"/>
      <name val="Arial"/>
      <family val="2"/>
      <scheme val="major"/>
    </font>
    <font>
      <sz val="8"/>
      <name val="Arial"/>
      <family val="2"/>
      <scheme val="major"/>
    </font>
    <font>
      <i/>
      <sz val="8"/>
      <name val="Arial"/>
      <family val="2"/>
      <scheme val="major"/>
    </font>
    <font>
      <sz val="8"/>
      <color rgb="FF800000"/>
      <name val="Arial"/>
      <family val="2"/>
      <scheme val="major"/>
    </font>
    <font>
      <b/>
      <sz val="8"/>
      <color rgb="FF800000"/>
      <name val="Arial"/>
      <family val="2"/>
      <scheme val="major"/>
    </font>
    <font>
      <b/>
      <u/>
      <sz val="8"/>
      <name val="Arial"/>
      <family val="2"/>
      <scheme val="major"/>
    </font>
    <font>
      <sz val="8"/>
      <color rgb="FFFF0000"/>
      <name val="Arial"/>
      <family val="2"/>
      <scheme val="major"/>
    </font>
    <font>
      <b/>
      <i/>
      <u/>
      <sz val="8"/>
      <name val="Arial"/>
      <family val="2"/>
      <scheme val="major"/>
    </font>
    <font>
      <i/>
      <sz val="8"/>
      <color rgb="FFFF0000"/>
      <name val="Arial"/>
      <family val="2"/>
      <scheme val="major"/>
    </font>
    <font>
      <sz val="8"/>
      <color rgb="FF4F2D7F"/>
      <name val="Arial"/>
      <family val="2"/>
      <scheme val="major"/>
    </font>
    <font>
      <b/>
      <u val="singleAccounting"/>
      <sz val="8"/>
      <color rgb="FF800000"/>
      <name val="Arial"/>
      <family val="2"/>
      <scheme val="major"/>
    </font>
    <font>
      <b/>
      <sz val="9"/>
      <color rgb="FF00684F"/>
      <name val="Arial"/>
      <family val="2"/>
      <scheme val="major"/>
    </font>
    <font>
      <b/>
      <u val="singleAccounting"/>
      <sz val="8"/>
      <name val="Arial"/>
      <family val="2"/>
      <scheme val="major"/>
    </font>
    <font>
      <b/>
      <sz val="8"/>
      <color indexed="8"/>
      <name val="Arial"/>
      <family val="2"/>
      <scheme val="major"/>
    </font>
    <font>
      <u val="singleAccounting"/>
      <sz val="8"/>
      <color indexed="8"/>
      <name val="Arial"/>
      <family val="2"/>
      <scheme val="major"/>
    </font>
    <font>
      <b/>
      <u val="doubleAccounting"/>
      <sz val="8"/>
      <name val="Arial"/>
      <family val="2"/>
      <scheme val="major"/>
    </font>
    <font>
      <b/>
      <sz val="8"/>
      <color rgb="FF00684F"/>
      <name val="Arial"/>
      <family val="2"/>
      <scheme val="major"/>
    </font>
    <font>
      <sz val="9"/>
      <color rgb="FF00684F"/>
      <name val="Arial"/>
      <family val="2"/>
      <scheme val="major"/>
    </font>
    <font>
      <u/>
      <sz val="8"/>
      <name val="Arial"/>
      <family val="2"/>
      <scheme val="major"/>
    </font>
    <font>
      <b/>
      <u val="doubleAccounting"/>
      <sz val="8"/>
      <color indexed="8"/>
      <name val="Arial"/>
      <family val="2"/>
      <scheme val="major"/>
    </font>
    <font>
      <b/>
      <sz val="8"/>
      <name val="Arial Narrow"/>
      <family val="2"/>
    </font>
    <font>
      <sz val="8"/>
      <name val="Arial Narrow"/>
      <family val="2"/>
    </font>
    <font>
      <b/>
      <i/>
      <sz val="8"/>
      <color rgb="FF800000"/>
      <name val="Arial"/>
      <family val="2"/>
      <scheme val="major"/>
    </font>
    <font>
      <sz val="9"/>
      <name val="Geneva"/>
      <family val="2"/>
    </font>
    <font>
      <sz val="8"/>
      <color theme="1"/>
      <name val="Arial"/>
      <family val="2"/>
      <scheme val="minor"/>
    </font>
    <font>
      <b/>
      <u/>
      <sz val="8"/>
      <color theme="1"/>
      <name val="Arial"/>
      <family val="2"/>
      <scheme val="major"/>
    </font>
    <font>
      <b/>
      <sz val="8"/>
      <color rgb="FF7030A0"/>
      <name val="Arial"/>
      <family val="2"/>
      <scheme val="major"/>
    </font>
    <font>
      <sz val="8"/>
      <color rgb="FF7030A0"/>
      <name val="Arial"/>
      <family val="2"/>
      <scheme val="major"/>
    </font>
    <font>
      <b/>
      <sz val="8"/>
      <color theme="3"/>
      <name val="Arial"/>
      <family val="2"/>
    </font>
    <font>
      <u/>
      <sz val="8"/>
      <color rgb="FF7030A0"/>
      <name val="Arial"/>
      <family val="2"/>
      <scheme val="major"/>
    </font>
    <font>
      <sz val="10"/>
      <color rgb="FF0000CC"/>
      <name val="Arial"/>
      <family val="2"/>
    </font>
    <font>
      <sz val="10"/>
      <color indexed="10"/>
      <name val="Arial"/>
      <family val="2"/>
    </font>
    <font>
      <sz val="11"/>
      <color rgb="FF000000"/>
      <name val="Calibri"/>
      <family val="2"/>
    </font>
    <font>
      <b/>
      <sz val="8"/>
      <color rgb="FF00B050"/>
      <name val="Arial"/>
      <family val="2"/>
      <scheme val="major"/>
    </font>
    <font>
      <sz val="8"/>
      <color theme="1"/>
      <name val="Leelawadee"/>
      <family val="2"/>
    </font>
    <font>
      <b/>
      <sz val="10"/>
      <color rgb="FF003399"/>
      <name val="Leelawadee"/>
      <family val="2"/>
    </font>
    <font>
      <b/>
      <sz val="8"/>
      <color theme="1"/>
      <name val="Leelawadee"/>
      <family val="2"/>
    </font>
    <font>
      <b/>
      <sz val="8"/>
      <color theme="0"/>
      <name val="Leelawadee"/>
      <family val="2"/>
    </font>
    <font>
      <sz val="8"/>
      <color indexed="12"/>
      <name val="Leelawadee"/>
      <family val="2"/>
    </font>
    <font>
      <b/>
      <sz val="8"/>
      <color rgb="FFFF0000"/>
      <name val="Leelawadee"/>
      <family val="2"/>
    </font>
    <font>
      <b/>
      <sz val="8"/>
      <color rgb="FF003399"/>
      <name val="Leelawadee"/>
      <family val="2"/>
    </font>
    <font>
      <sz val="8"/>
      <name val="Leelawadee"/>
      <family val="2"/>
    </font>
    <font>
      <sz val="8"/>
      <color rgb="FF003399"/>
      <name val="Leelawadee"/>
      <family val="2"/>
    </font>
    <font>
      <b/>
      <sz val="8"/>
      <color theme="1" tint="0.499984740745262"/>
      <name val="Leelawadee"/>
      <family val="2"/>
    </font>
    <font>
      <b/>
      <i/>
      <sz val="8"/>
      <color theme="0"/>
      <name val="Leelawadee"/>
      <family val="2"/>
    </font>
    <font>
      <sz val="12"/>
      <name val="Leelawadee"/>
      <family val="2"/>
    </font>
    <font>
      <sz val="8"/>
      <color indexed="8"/>
      <name val="Leelawadee"/>
      <family val="2"/>
    </font>
    <font>
      <i/>
      <sz val="8"/>
      <name val="Leelawadee"/>
      <family val="2"/>
    </font>
    <font>
      <b/>
      <u/>
      <sz val="8"/>
      <name val="Leelawadee"/>
      <family val="2"/>
    </font>
    <font>
      <u/>
      <sz val="8"/>
      <name val="Leelawadee"/>
      <family val="2"/>
    </font>
    <font>
      <b/>
      <sz val="8"/>
      <color rgb="FF00B050"/>
      <name val="Leelawadee"/>
      <family val="2"/>
    </font>
    <font>
      <b/>
      <sz val="8"/>
      <color theme="3"/>
      <name val="Leelawadee"/>
      <family val="2"/>
    </font>
    <font>
      <b/>
      <sz val="8"/>
      <name val="Leelawadee"/>
      <family val="2"/>
    </font>
    <font>
      <b/>
      <sz val="8"/>
      <color rgb="FF00CCE2"/>
      <name val="Leelawadee"/>
      <family val="2"/>
    </font>
    <font>
      <b/>
      <sz val="8"/>
      <color theme="0" tint="-0.499984740745262"/>
      <name val="Leelawadee"/>
      <family val="2"/>
    </font>
    <font>
      <b/>
      <sz val="8"/>
      <color rgb="FF0070C0"/>
      <name val="Leelawadee"/>
      <family val="2"/>
    </font>
    <font>
      <b/>
      <sz val="8"/>
      <color rgb="FF383838"/>
      <name val="Leelawadee"/>
      <family val="2"/>
    </font>
    <font>
      <b/>
      <u/>
      <sz val="8"/>
      <color theme="0"/>
      <name val="Leelawadee"/>
      <family val="2"/>
    </font>
    <font>
      <b/>
      <sz val="9"/>
      <color rgb="FF003399"/>
      <name val="Leelawadee"/>
      <family val="2"/>
    </font>
    <font>
      <sz val="9"/>
      <name val="Leelawadee"/>
      <family val="2"/>
    </font>
    <font>
      <sz val="10"/>
      <name val="Leelawadee"/>
      <family val="2"/>
    </font>
    <font>
      <sz val="9"/>
      <color rgb="FF003399"/>
      <name val="Leelawadee"/>
      <family val="2"/>
    </font>
    <font>
      <sz val="9"/>
      <color theme="3"/>
      <name val="Leelawadee"/>
      <family val="2"/>
    </font>
    <font>
      <b/>
      <sz val="9"/>
      <color theme="0"/>
      <name val="Leelawadee"/>
      <family val="2"/>
    </font>
    <font>
      <sz val="9"/>
      <color theme="0"/>
      <name val="Leelawadee"/>
      <family val="2"/>
    </font>
    <font>
      <sz val="12"/>
      <color theme="0"/>
      <name val="Leelawadee"/>
      <family val="2"/>
    </font>
    <font>
      <sz val="10"/>
      <color theme="0"/>
      <name val="Leelawadee"/>
      <family val="2"/>
    </font>
    <font>
      <b/>
      <sz val="10"/>
      <color theme="0"/>
      <name val="Leelawadee"/>
      <family val="2"/>
    </font>
    <font>
      <b/>
      <sz val="10"/>
      <name val="Leelawadee"/>
      <family val="2"/>
    </font>
    <font>
      <sz val="8"/>
      <color theme="3"/>
      <name val="Leelawadee"/>
      <family val="2"/>
    </font>
    <font>
      <sz val="8"/>
      <color theme="0" tint="-0.14999847407452621"/>
      <name val="Leelawadee"/>
      <family val="2"/>
    </font>
    <font>
      <sz val="8"/>
      <color rgb="FF0000FF"/>
      <name val="Leelawadee"/>
      <family val="2"/>
    </font>
    <font>
      <b/>
      <sz val="8"/>
      <color rgb="FF0000FF"/>
      <name val="Leelawadee"/>
      <family val="2"/>
    </font>
    <font>
      <b/>
      <sz val="20"/>
      <color rgb="FFFF0000"/>
      <name val="Leelawadee"/>
      <family val="2"/>
    </font>
    <font>
      <b/>
      <u/>
      <sz val="8"/>
      <color theme="1"/>
      <name val="Leelawadee"/>
      <family val="2"/>
    </font>
    <font>
      <b/>
      <sz val="8"/>
      <color rgb="FF7030A0"/>
      <name val="Leelawadee"/>
      <family val="2"/>
    </font>
    <font>
      <sz val="8"/>
      <color rgb="FF7030A0"/>
      <name val="Leelawadee"/>
      <family val="2"/>
    </font>
    <font>
      <i/>
      <sz val="8"/>
      <color theme="1"/>
      <name val="Leelawadee"/>
      <family val="2"/>
    </font>
    <font>
      <sz val="8"/>
      <color theme="0"/>
      <name val="Leelawadee"/>
      <family val="2"/>
    </font>
    <font>
      <b/>
      <u/>
      <sz val="8"/>
      <color rgb="FF7030A0"/>
      <name val="Leelawadee"/>
      <family val="2"/>
    </font>
    <font>
      <b/>
      <i/>
      <sz val="8"/>
      <color theme="1"/>
      <name val="Leelawadee"/>
      <family val="2"/>
    </font>
    <font>
      <b/>
      <i/>
      <u/>
      <sz val="8"/>
      <color theme="1"/>
      <name val="Leelawadee"/>
      <family val="2"/>
    </font>
    <font>
      <sz val="8"/>
      <color rgb="FF800000"/>
      <name val="Leelawadee"/>
      <family val="2"/>
    </font>
    <font>
      <b/>
      <sz val="8"/>
      <color rgb="FF4F2D7F"/>
      <name val="Leelawadee"/>
      <family val="2"/>
    </font>
    <font>
      <b/>
      <sz val="8"/>
      <color rgb="FF00684F"/>
      <name val="Leelawadee"/>
      <family val="2"/>
    </font>
    <font>
      <sz val="8"/>
      <color rgb="FF00684F"/>
      <name val="Leelawadee"/>
      <family val="2"/>
    </font>
    <font>
      <b/>
      <i/>
      <sz val="8"/>
      <color theme="3"/>
      <name val="Leelawadee"/>
      <family val="2"/>
    </font>
    <font>
      <b/>
      <i/>
      <sz val="8"/>
      <color rgb="FF7030A0"/>
      <name val="Leelawadee"/>
      <family val="2"/>
    </font>
    <font>
      <sz val="8"/>
      <color rgb="FF000000"/>
      <name val="Leelawadee"/>
      <family val="2"/>
    </font>
    <font>
      <b/>
      <sz val="8"/>
      <color rgb="FF000000"/>
      <name val="Leelawadee"/>
      <family val="2"/>
    </font>
    <font>
      <b/>
      <sz val="8"/>
      <color rgb="FF009B76"/>
      <name val="Leelawadee"/>
      <family val="2"/>
    </font>
    <font>
      <u/>
      <sz val="8"/>
      <color theme="10"/>
      <name val="Leelawadee"/>
      <family val="2"/>
    </font>
    <font>
      <sz val="8"/>
      <color rgb="FFFFFFFF"/>
      <name val="Leelawadee"/>
      <family val="2"/>
    </font>
    <font>
      <b/>
      <u val="singleAccounting"/>
      <sz val="8"/>
      <color theme="1"/>
      <name val="Leelawadee"/>
      <family val="2"/>
    </font>
    <font>
      <b/>
      <sz val="8"/>
      <color indexed="62"/>
      <name val="Leelawadee"/>
      <family val="2"/>
    </font>
    <font>
      <sz val="8"/>
      <color rgb="FF383838"/>
      <name val="Leelawadee"/>
      <family val="2"/>
    </font>
    <font>
      <b/>
      <i/>
      <sz val="8"/>
      <name val="Leelawadee"/>
      <family val="2"/>
    </font>
    <font>
      <b/>
      <sz val="8"/>
      <color rgb="FF800000"/>
      <name val="Leelawadee"/>
      <family val="2"/>
    </font>
    <font>
      <b/>
      <i/>
      <u/>
      <sz val="8"/>
      <name val="Leelawadee"/>
      <family val="2"/>
    </font>
    <font>
      <sz val="8"/>
      <color rgb="FFFF0000"/>
      <name val="Leelawadee"/>
      <family val="2"/>
    </font>
    <font>
      <i/>
      <sz val="8"/>
      <color rgb="FFFF0000"/>
      <name val="Leelawadee"/>
      <family val="2"/>
    </font>
    <font>
      <b/>
      <sz val="8"/>
      <color rgb="FFC00000"/>
      <name val="Leelawadee"/>
      <family val="2"/>
    </font>
    <font>
      <sz val="8"/>
      <color theme="0" tint="-0.34998626667073579"/>
      <name val="Leelawadee"/>
      <family val="2"/>
    </font>
    <font>
      <sz val="8"/>
      <color rgb="FF4F2D7F"/>
      <name val="Leelawadee"/>
      <family val="2"/>
    </font>
    <font>
      <sz val="8"/>
      <color rgb="FFC00000"/>
      <name val="Leelawadee"/>
      <family val="2"/>
    </font>
    <font>
      <sz val="8"/>
      <color theme="1" tint="0.34998626667073579"/>
      <name val="Leelawadee"/>
      <family val="2"/>
    </font>
    <font>
      <b/>
      <u val="singleAccounting"/>
      <sz val="8"/>
      <color rgb="FF800000"/>
      <name val="Leelawadee"/>
      <family val="2"/>
    </font>
    <font>
      <b/>
      <i/>
      <u/>
      <sz val="8"/>
      <color rgb="FF800000"/>
      <name val="Leelawadee"/>
      <family val="2"/>
    </font>
    <font>
      <b/>
      <i/>
      <sz val="8"/>
      <color rgb="FF800000"/>
      <name val="Leelawadee"/>
      <family val="2"/>
    </font>
    <font>
      <i/>
      <sz val="8"/>
      <color rgb="FF800000"/>
      <name val="Leelawadee"/>
      <family val="2"/>
    </font>
    <font>
      <u val="singleAccounting"/>
      <sz val="8"/>
      <color rgb="FF800000"/>
      <name val="Leelawadee"/>
      <family val="2"/>
    </font>
    <font>
      <b/>
      <u/>
      <sz val="8"/>
      <color theme="3"/>
      <name val="Leelawadee"/>
      <family val="2"/>
    </font>
    <font>
      <sz val="8"/>
      <color rgb="FF660066"/>
      <name val="Leelawadee"/>
      <family val="2"/>
    </font>
    <font>
      <u/>
      <sz val="8"/>
      <color theme="1"/>
      <name val="Leelawadee"/>
      <family val="2"/>
    </font>
    <font>
      <i/>
      <sz val="8"/>
      <color theme="9"/>
      <name val="Leelawadee"/>
      <family val="2"/>
    </font>
    <font>
      <i/>
      <sz val="8"/>
      <color theme="3"/>
      <name val="Leelawadee"/>
      <family val="2"/>
    </font>
    <font>
      <b/>
      <i/>
      <sz val="8"/>
      <color theme="9"/>
      <name val="Leelawadee"/>
      <family val="2"/>
    </font>
    <font>
      <sz val="11"/>
      <color theme="1"/>
      <name val="Leelawadee"/>
      <family val="2"/>
    </font>
    <font>
      <b/>
      <sz val="11"/>
      <color theme="0"/>
      <name val="Leelawadee"/>
      <family val="2"/>
    </font>
    <font>
      <sz val="11"/>
      <color theme="0"/>
      <name val="Leelawadee"/>
      <family val="2"/>
    </font>
    <font>
      <b/>
      <sz val="11"/>
      <color theme="1"/>
      <name val="Leelawadee"/>
      <family val="2"/>
    </font>
    <font>
      <b/>
      <sz val="8"/>
      <color theme="4"/>
      <name val="Leelawadee"/>
      <family val="2"/>
    </font>
    <font>
      <sz val="8"/>
      <color theme="4"/>
      <name val="Leelawadee"/>
      <family val="2"/>
    </font>
    <font>
      <u/>
      <sz val="8"/>
      <color theme="1" tint="0.34998626667073579"/>
      <name val="Leelawadee"/>
      <family val="2"/>
    </font>
    <font>
      <b/>
      <sz val="8"/>
      <color theme="1" tint="0.34998626667073579"/>
      <name val="Leelawadee"/>
      <family val="2"/>
    </font>
    <font>
      <u val="singleAccounting"/>
      <sz val="8"/>
      <color indexed="8"/>
      <name val="Leelawadee"/>
      <family val="2"/>
    </font>
    <font>
      <b/>
      <u val="doubleAccounting"/>
      <sz val="8"/>
      <name val="Leelawadee"/>
      <family val="2"/>
    </font>
    <font>
      <sz val="8"/>
      <color theme="0" tint="-0.249977111117893"/>
      <name val="Leelawadee"/>
      <family val="2"/>
    </font>
    <font>
      <u/>
      <sz val="8"/>
      <color theme="0" tint="-0.249977111117893"/>
      <name val="Leelawadee"/>
      <family val="2"/>
    </font>
    <font>
      <b/>
      <sz val="8"/>
      <color theme="0" tint="-0.249977111117893"/>
      <name val="Leelawadee"/>
      <family val="2"/>
    </font>
    <font>
      <b/>
      <sz val="8"/>
      <color indexed="8"/>
      <name val="Leelawadee"/>
      <family val="2"/>
    </font>
    <font>
      <sz val="8"/>
      <color rgb="FF00CCE2"/>
      <name val="Leelawadee"/>
      <family val="2"/>
    </font>
    <font>
      <u/>
      <sz val="8"/>
      <color rgb="FFC00000"/>
      <name val="Leelawadee"/>
      <family val="2"/>
    </font>
    <font>
      <sz val="8"/>
      <color theme="1" tint="4.9989318521683403E-2"/>
      <name val="Leelawadee"/>
      <family val="2"/>
    </font>
    <font>
      <b/>
      <i/>
      <u/>
      <sz val="8"/>
      <color rgb="FFFF0000"/>
      <name val="Leelawadee"/>
      <family val="2"/>
    </font>
    <font>
      <i/>
      <sz val="8"/>
      <color indexed="8"/>
      <name val="Leelawadee"/>
      <family val="2"/>
    </font>
    <font>
      <i/>
      <sz val="8"/>
      <color theme="0"/>
      <name val="Leelawadee"/>
      <family val="2"/>
    </font>
    <font>
      <i/>
      <sz val="8"/>
      <color rgb="FF4F2D7F"/>
      <name val="Leelawadee"/>
      <family val="2"/>
    </font>
    <font>
      <sz val="10"/>
      <color theme="0" tint="-0.34998626667073579"/>
      <name val="Leelawadee"/>
      <family val="2"/>
    </font>
    <font>
      <b/>
      <sz val="14"/>
      <color theme="0" tint="-0.34998626667073579"/>
      <name val="Leelawadee"/>
      <family val="2"/>
    </font>
    <font>
      <sz val="10"/>
      <color rgb="FF800000"/>
      <name val="Leelawadee"/>
      <family val="2"/>
    </font>
    <font>
      <sz val="12"/>
      <color rgb="FF00684F"/>
      <name val="Leelawadee"/>
      <family val="2"/>
    </font>
    <font>
      <sz val="10"/>
      <color rgb="FF00684F"/>
      <name val="Leelawadee"/>
      <family val="2"/>
    </font>
    <font>
      <i/>
      <sz val="10"/>
      <name val="Leelawadee"/>
      <family val="2"/>
    </font>
    <font>
      <b/>
      <i/>
      <sz val="10"/>
      <name val="Leelawadee"/>
      <family val="2"/>
    </font>
    <font>
      <b/>
      <i/>
      <u/>
      <sz val="10"/>
      <name val="Leelawadee"/>
      <family val="2"/>
    </font>
    <font>
      <i/>
      <sz val="9"/>
      <name val="Leelawadee"/>
      <family val="2"/>
    </font>
    <font>
      <b/>
      <u val="singleAccounting"/>
      <sz val="10"/>
      <color theme="0"/>
      <name val="Leelawadee"/>
      <family val="2"/>
    </font>
    <font>
      <i/>
      <u/>
      <sz val="11"/>
      <color theme="1"/>
      <name val="Leelawadee"/>
      <family val="2"/>
    </font>
    <font>
      <i/>
      <sz val="11"/>
      <color theme="1"/>
      <name val="Leelawadee"/>
      <family val="2"/>
    </font>
    <font>
      <sz val="11"/>
      <color rgb="FFFF0000"/>
      <name val="Leelawadee"/>
      <family val="2"/>
    </font>
    <font>
      <b/>
      <sz val="11"/>
      <color theme="3"/>
      <name val="Leelawadee"/>
      <family val="2"/>
    </font>
    <font>
      <sz val="11"/>
      <name val="Leelawadee"/>
      <family val="2"/>
    </font>
    <font>
      <sz val="11"/>
      <color theme="3"/>
      <name val="Leelawadee"/>
      <family val="2"/>
    </font>
    <font>
      <b/>
      <sz val="11"/>
      <color theme="1" tint="0.499984740745262"/>
      <name val="Leelawadee"/>
      <family val="2"/>
    </font>
    <font>
      <sz val="11"/>
      <color rgb="FF4F2D7F"/>
      <name val="Leelawadee"/>
      <family val="2"/>
    </font>
    <font>
      <sz val="11"/>
      <color rgb="FF00684F"/>
      <name val="Leelawadee"/>
      <family val="2"/>
    </font>
    <font>
      <sz val="11"/>
      <color theme="0" tint="-0.34998626667073579"/>
      <name val="Leelawadee"/>
      <family val="2"/>
    </font>
    <font>
      <b/>
      <i/>
      <sz val="10"/>
      <color rgb="FF0070C0"/>
      <name val="Leelawadee"/>
      <family val="2"/>
    </font>
    <font>
      <b/>
      <sz val="11"/>
      <color rgb="FFFF0000"/>
      <name val="Leelawadee"/>
      <family val="2"/>
    </font>
    <font>
      <u/>
      <sz val="12"/>
      <color theme="10"/>
      <name val="Leelawadee"/>
      <family val="2"/>
    </font>
    <font>
      <sz val="12"/>
      <color rgb="FF212529"/>
      <name val="Leelawadee"/>
      <family val="2"/>
    </font>
    <font>
      <b/>
      <sz val="12"/>
      <color theme="0"/>
      <name val="Leelawadee"/>
      <family val="2"/>
    </font>
    <font>
      <sz val="12"/>
      <color rgb="FF000000"/>
      <name val="Calibri"/>
      <family val="2"/>
    </font>
    <font>
      <b/>
      <i/>
      <sz val="10"/>
      <color theme="0"/>
      <name val="Verdana"/>
      <family val="2"/>
    </font>
    <font>
      <sz val="8"/>
      <color rgb="FF00B050"/>
      <name val="Leelawadee"/>
      <family val="2"/>
    </font>
    <font>
      <sz val="11"/>
      <color rgb="FF0070C0"/>
      <name val="Leelawadee"/>
      <family val="2"/>
    </font>
    <font>
      <i/>
      <sz val="11"/>
      <name val="Leelawadee"/>
      <family val="2"/>
    </font>
    <font>
      <sz val="11"/>
      <color theme="0" tint="-4.9989318521683403E-2"/>
      <name val="Leelawadee"/>
      <family val="2"/>
    </font>
    <font>
      <u/>
      <sz val="11"/>
      <color theme="1"/>
      <name val="Leelawadee"/>
      <family val="2"/>
    </font>
    <font>
      <sz val="11"/>
      <color theme="4"/>
      <name val="Leelawadee"/>
      <family val="2"/>
    </font>
    <font>
      <sz val="11"/>
      <color theme="0" tint="-0.249977111117893"/>
      <name val="Leelawadee"/>
      <family val="2"/>
    </font>
    <font>
      <sz val="11"/>
      <color rgb="FF138CD7"/>
      <name val="Leelawadee"/>
      <family val="2"/>
    </font>
    <font>
      <i/>
      <u/>
      <sz val="8"/>
      <name val="Leelawadee"/>
      <family val="2"/>
    </font>
    <font>
      <i/>
      <u/>
      <sz val="8"/>
      <color theme="0"/>
      <name val="Leelawadee"/>
      <family val="2"/>
    </font>
    <font>
      <sz val="10"/>
      <color rgb="FFFF0000"/>
      <name val="Leelawadee"/>
      <family val="2"/>
    </font>
    <font>
      <b/>
      <sz val="10"/>
      <color theme="1"/>
      <name val="Leelawadee"/>
      <family val="2"/>
    </font>
    <font>
      <i/>
      <sz val="8"/>
      <color theme="0" tint="-0.249977111117893"/>
      <name val="Leelawadee"/>
      <family val="2"/>
    </font>
    <font>
      <b/>
      <sz val="10"/>
      <color rgb="FF00CCE2"/>
      <name val="Leelawadee"/>
      <family val="2"/>
    </font>
    <font>
      <b/>
      <u/>
      <sz val="10"/>
      <name val="Leelawadee"/>
      <family val="2"/>
    </font>
    <font>
      <b/>
      <sz val="11"/>
      <color rgb="FF0D0D0D"/>
      <name val="Leelawadee UI"/>
      <family val="2"/>
    </font>
    <font>
      <u/>
      <sz val="12"/>
      <name val="Arial"/>
      <family val="2"/>
    </font>
    <font>
      <b/>
      <sz val="10.5"/>
      <color rgb="FF000099"/>
      <name val="Leelawadee"/>
      <family val="2"/>
    </font>
    <font>
      <b/>
      <sz val="8"/>
      <color theme="1"/>
      <name val="Leelawadee"/>
      <family val="2"/>
      <charset val="222"/>
    </font>
    <font>
      <b/>
      <u/>
      <sz val="8"/>
      <color theme="1"/>
      <name val="Leelawadee"/>
      <family val="2"/>
      <charset val="222"/>
    </font>
    <font>
      <u/>
      <sz val="10"/>
      <name val="Leelawadee"/>
      <family val="2"/>
    </font>
    <font>
      <b/>
      <u/>
      <sz val="10"/>
      <name val="Leelawadee"/>
      <family val="2"/>
      <charset val="222"/>
    </font>
    <font>
      <b/>
      <sz val="10"/>
      <name val="Leelawadee"/>
      <family val="2"/>
      <charset val="222"/>
    </font>
    <font>
      <b/>
      <sz val="36"/>
      <color rgb="FF00CCE2"/>
      <name val="Leelawadee"/>
      <family val="2"/>
      <charset val="222"/>
    </font>
    <font>
      <b/>
      <sz val="12"/>
      <color theme="0"/>
      <name val="Leelawadee"/>
      <family val="2"/>
      <charset val="222"/>
    </font>
    <font>
      <b/>
      <sz val="14"/>
      <color theme="0"/>
      <name val="Leelawadee"/>
      <family val="2"/>
      <charset val="222"/>
    </font>
    <font>
      <sz val="10"/>
      <color theme="8"/>
      <name val="Leelawadee"/>
      <family val="2"/>
      <charset val="222"/>
    </font>
    <font>
      <sz val="10"/>
      <color theme="8"/>
      <name val="Leelawadee"/>
      <family val="2"/>
    </font>
    <font>
      <b/>
      <sz val="12"/>
      <color rgb="FF003399"/>
      <name val="Leelawadee"/>
      <family val="2"/>
      <charset val="222"/>
    </font>
    <font>
      <sz val="10"/>
      <color rgb="FF000000"/>
      <name val="Leelawadee"/>
      <family val="2"/>
      <charset val="222"/>
    </font>
    <font>
      <b/>
      <sz val="8"/>
      <name val="Leelawadee"/>
      <family val="2"/>
      <charset val="222"/>
    </font>
    <font>
      <b/>
      <sz val="11"/>
      <color rgb="FF00CCE2"/>
      <name val="Leelawadee"/>
      <family val="2"/>
    </font>
    <font>
      <b/>
      <sz val="11"/>
      <name val="Leelawadee"/>
      <family val="2"/>
    </font>
    <font>
      <b/>
      <sz val="9"/>
      <name val="Leelawadee"/>
      <family val="2"/>
    </font>
    <font>
      <b/>
      <sz val="11"/>
      <color rgb="FF0070C0"/>
      <name val="Leelawadee"/>
      <family val="2"/>
    </font>
    <font>
      <b/>
      <sz val="8"/>
      <color rgb="FF138CD7"/>
      <name val="Leelawadee"/>
      <family val="2"/>
    </font>
  </fonts>
  <fills count="63">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4" tint="0.79998168889431442"/>
        <bgColor indexed="64"/>
      </patternFill>
    </fill>
    <fill>
      <patternFill patternType="solid">
        <fgColor theme="0"/>
        <bgColor indexed="64"/>
      </patternFill>
    </fill>
    <fill>
      <patternFill patternType="solid">
        <fgColor rgb="FFFFFF99"/>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FF"/>
        <bgColor indexed="8"/>
      </patternFill>
    </fill>
    <fill>
      <patternFill patternType="solid">
        <fgColor theme="0" tint="-4.9989318521683403E-2"/>
        <bgColor indexed="8"/>
      </patternFill>
    </fill>
    <fill>
      <patternFill patternType="solid">
        <fgColor theme="5"/>
        <bgColor indexed="64"/>
      </patternFill>
    </fill>
    <fill>
      <patternFill patternType="solid">
        <fgColor theme="9"/>
        <bgColor indexed="64"/>
      </patternFill>
    </fill>
    <fill>
      <patternFill patternType="solid">
        <fgColor theme="0" tint="-0.249977111117893"/>
        <bgColor indexed="64"/>
      </patternFill>
    </fill>
    <fill>
      <patternFill patternType="solid">
        <fgColor rgb="FFCAF0F2"/>
        <bgColor indexed="64"/>
      </patternFill>
    </fill>
    <fill>
      <patternFill patternType="solid">
        <fgColor rgb="FF4F2D7F"/>
        <bgColor indexed="64"/>
      </patternFill>
    </fill>
    <fill>
      <patternFill patternType="solid">
        <fgColor theme="3"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rgb="FFE7E6E6"/>
        <bgColor indexed="64"/>
      </patternFill>
    </fill>
    <fill>
      <patternFill patternType="solid">
        <fgColor theme="7" tint="0.59999389629810485"/>
        <bgColor indexed="64"/>
      </patternFill>
    </fill>
    <fill>
      <patternFill patternType="solid">
        <fgColor rgb="FFD7EEF1"/>
        <bgColor indexed="64"/>
      </patternFill>
    </fill>
    <fill>
      <patternFill patternType="solid">
        <fgColor theme="7" tint="0.79998168889431442"/>
        <bgColor indexed="64"/>
      </patternFill>
    </fill>
    <fill>
      <patternFill patternType="solid">
        <fgColor rgb="FF00CCE2"/>
        <bgColor indexed="64"/>
      </patternFill>
    </fill>
    <fill>
      <patternFill patternType="solid">
        <fgColor rgb="FF00CCE2"/>
        <bgColor indexed="8"/>
      </patternFill>
    </fill>
    <fill>
      <patternFill patternType="solid">
        <fgColor rgb="FFFFFF00"/>
        <bgColor indexed="64"/>
      </patternFill>
    </fill>
    <fill>
      <patternFill patternType="solid">
        <fgColor rgb="FF003399"/>
        <bgColor indexed="64"/>
      </patternFill>
    </fill>
    <fill>
      <patternFill patternType="solid">
        <fgColor rgb="FF003399"/>
        <bgColor indexed="8"/>
      </patternFill>
    </fill>
    <fill>
      <patternFill patternType="solid">
        <fgColor theme="9" tint="-9.9978637043366805E-2"/>
        <bgColor indexed="64"/>
      </patternFill>
    </fill>
    <fill>
      <patternFill patternType="solid">
        <fgColor rgb="FF7030A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E7D1FB"/>
        <bgColor indexed="64"/>
      </patternFill>
    </fill>
    <fill>
      <patternFill patternType="solid">
        <fgColor theme="8" tint="0.59999389629810485"/>
        <bgColor indexed="64"/>
      </patternFill>
    </fill>
    <fill>
      <patternFill patternType="solid">
        <fgColor rgb="FFFFCCCC"/>
        <bgColor indexed="64"/>
      </patternFill>
    </fill>
    <fill>
      <patternFill patternType="solid">
        <fgColor theme="1"/>
        <bgColor indexed="64"/>
      </patternFill>
    </fill>
    <fill>
      <patternFill patternType="solid">
        <fgColor theme="1" tint="0.499984740745262"/>
        <bgColor indexed="64"/>
      </patternFill>
    </fill>
    <fill>
      <patternFill patternType="solid">
        <fgColor rgb="FF00B0F0"/>
        <bgColor indexed="64"/>
      </patternFill>
    </fill>
    <fill>
      <patternFill patternType="solid">
        <fgColor theme="6" tint="0.39997558519241921"/>
        <bgColor indexed="64"/>
      </patternFill>
    </fill>
    <fill>
      <patternFill patternType="solid">
        <fgColor rgb="FFD9D9D9"/>
        <bgColor indexed="64"/>
      </patternFill>
    </fill>
    <fill>
      <patternFill patternType="solid">
        <fgColor theme="6"/>
        <bgColor indexed="64"/>
      </patternFill>
    </fill>
    <fill>
      <patternFill patternType="solid">
        <fgColor theme="9" tint="-0.249977111117893"/>
        <bgColor indexed="64"/>
      </patternFill>
    </fill>
    <fill>
      <patternFill patternType="solid">
        <fgColor theme="1" tint="4.9989318521683403E-2"/>
        <bgColor indexed="64"/>
      </patternFill>
    </fill>
    <fill>
      <patternFill patternType="solid">
        <fgColor theme="7"/>
        <bgColor indexed="64"/>
      </patternFill>
    </fill>
    <fill>
      <patternFill patternType="solid">
        <fgColor rgb="FF92A4FC"/>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C000"/>
        <bgColor indexed="64"/>
      </patternFill>
    </fill>
  </fills>
  <borders count="1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thick">
        <color theme="1"/>
      </top>
      <bottom/>
      <diagonal/>
    </border>
    <border>
      <left style="mediumDashed">
        <color auto="1"/>
      </left>
      <right style="mediumDashed">
        <color auto="1"/>
      </right>
      <top style="mediumDashed">
        <color auto="1"/>
      </top>
      <bottom style="mediumDashed">
        <color auto="1"/>
      </bottom>
      <diagonal/>
    </border>
    <border>
      <left style="thin">
        <color rgb="FFFFFFFF"/>
      </left>
      <right style="thin">
        <color rgb="FFFFFFFF"/>
      </right>
      <top style="thin">
        <color rgb="FFFFFFFF"/>
      </top>
      <bottom/>
      <diagonal/>
    </border>
    <border>
      <left/>
      <right/>
      <top style="thin">
        <color rgb="FFFFFFFF"/>
      </top>
      <bottom/>
      <diagonal/>
    </border>
    <border>
      <left style="thin">
        <color rgb="FFFFFFFF"/>
      </left>
      <right/>
      <top style="thin">
        <color rgb="FFFFFFFF"/>
      </top>
      <bottom/>
      <diagonal/>
    </border>
    <border>
      <left/>
      <right style="thin">
        <color rgb="FFFFFFFF"/>
      </right>
      <top style="thin">
        <color rgb="FFFFFFFF"/>
      </top>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dotted">
        <color auto="1"/>
      </left>
      <right style="dotted">
        <color auto="1"/>
      </right>
      <top style="dotted">
        <color auto="1"/>
      </top>
      <bottom style="dotted">
        <color auto="1"/>
      </bottom>
      <diagonal/>
    </border>
    <border>
      <left style="dotted">
        <color theme="1"/>
      </left>
      <right style="dotted">
        <color theme="1"/>
      </right>
      <top style="dotted">
        <color theme="1"/>
      </top>
      <bottom style="dotted">
        <color theme="1"/>
      </bottom>
      <diagonal/>
    </border>
    <border>
      <left style="mediumDashed">
        <color theme="0" tint="-0.499984740745262"/>
      </left>
      <right/>
      <top style="mediumDashed">
        <color theme="0" tint="-0.499984740745262"/>
      </top>
      <bottom/>
      <diagonal/>
    </border>
    <border>
      <left/>
      <right style="mediumDashed">
        <color theme="0" tint="-0.499984740745262"/>
      </right>
      <top style="mediumDashed">
        <color theme="0" tint="-0.499984740745262"/>
      </top>
      <bottom/>
      <diagonal/>
    </border>
    <border>
      <left style="mediumDashed">
        <color theme="0" tint="-0.499984740745262"/>
      </left>
      <right/>
      <top/>
      <bottom/>
      <diagonal/>
    </border>
    <border>
      <left/>
      <right style="mediumDashed">
        <color theme="0" tint="-0.499984740745262"/>
      </right>
      <top/>
      <bottom/>
      <diagonal/>
    </border>
    <border>
      <left style="mediumDashed">
        <color theme="0" tint="-0.499984740745262"/>
      </left>
      <right/>
      <top/>
      <bottom style="mediumDashed">
        <color theme="0" tint="-0.499984740745262"/>
      </bottom>
      <diagonal/>
    </border>
    <border>
      <left/>
      <right style="mediumDashed">
        <color theme="0" tint="-0.499984740745262"/>
      </right>
      <top/>
      <bottom style="mediumDashed">
        <color theme="0" tint="-0.499984740745262"/>
      </bottom>
      <diagonal/>
    </border>
    <border>
      <left/>
      <right/>
      <top style="mediumDashed">
        <color theme="0" tint="-0.499984740745262"/>
      </top>
      <bottom/>
      <diagonal/>
    </border>
    <border>
      <left/>
      <right/>
      <top/>
      <bottom style="mediumDashed">
        <color theme="0" tint="-0.499984740745262"/>
      </bottom>
      <diagonal/>
    </border>
    <border>
      <left/>
      <right/>
      <top/>
      <bottom style="thin">
        <color rgb="FF00684F"/>
      </bottom>
      <diagonal/>
    </border>
    <border>
      <left/>
      <right style="thin">
        <color indexed="64"/>
      </right>
      <top/>
      <bottom/>
      <diagonal/>
    </border>
    <border>
      <left/>
      <right/>
      <top/>
      <bottom style="thin">
        <color rgb="FF5A5A5A"/>
      </bottom>
      <diagonal/>
    </border>
    <border>
      <left/>
      <right/>
      <top/>
      <bottom style="thin">
        <color theme="1" tint="0.24994659260841701"/>
      </bottom>
      <diagonal/>
    </border>
    <border>
      <left/>
      <right/>
      <top/>
      <bottom style="thin">
        <color theme="1" tint="0.14996795556505021"/>
      </bottom>
      <diagonal/>
    </border>
    <border>
      <left/>
      <right/>
      <top style="thin">
        <color theme="1" tint="0.14996795556505021"/>
      </top>
      <bottom/>
      <diagonal/>
    </border>
    <border>
      <left/>
      <right/>
      <top/>
      <bottom style="thin">
        <color theme="1" tint="0.14993743705557422"/>
      </bottom>
      <diagonal/>
    </border>
    <border>
      <left/>
      <right/>
      <top style="thin">
        <color theme="1" tint="0.14993743705557422"/>
      </top>
      <bottom/>
      <diagonal/>
    </border>
    <border>
      <left/>
      <right/>
      <top style="thin">
        <color theme="1" tint="0.14996795556505021"/>
      </top>
      <bottom style="thin">
        <color theme="1" tint="0.14996795556505021"/>
      </bottom>
      <diagonal/>
    </border>
    <border>
      <left style="hair">
        <color theme="1" tint="0.14993743705557422"/>
      </left>
      <right style="hair">
        <color theme="1" tint="0.14993743705557422"/>
      </right>
      <top style="hair">
        <color theme="1" tint="0.14993743705557422"/>
      </top>
      <bottom style="hair">
        <color theme="1" tint="0.14993743705557422"/>
      </bottom>
      <diagonal/>
    </border>
    <border>
      <left style="thin">
        <color theme="1" tint="0.14996795556505021"/>
      </left>
      <right/>
      <top style="thin">
        <color theme="1" tint="0.14996795556505021"/>
      </top>
      <bottom/>
      <diagonal/>
    </border>
    <border>
      <left style="thin">
        <color theme="1" tint="0.14996795556505021"/>
      </left>
      <right/>
      <top/>
      <bottom/>
      <diagonal/>
    </border>
    <border>
      <left style="thin">
        <color theme="1" tint="0.14996795556505021"/>
      </left>
      <right/>
      <top/>
      <bottom style="thin">
        <color theme="1" tint="0.14996795556505021"/>
      </bottom>
      <diagonal/>
    </border>
    <border>
      <left style="thin">
        <color theme="1" tint="0.14993743705557422"/>
      </left>
      <right/>
      <top style="thin">
        <color theme="1" tint="0.14996795556505021"/>
      </top>
      <bottom/>
      <diagonal/>
    </border>
    <border>
      <left style="thin">
        <color theme="1" tint="0.14993743705557422"/>
      </left>
      <right/>
      <top/>
      <bottom/>
      <diagonal/>
    </border>
    <border>
      <left style="thin">
        <color theme="1" tint="0.14993743705557422"/>
      </left>
      <right/>
      <top/>
      <bottom style="thin">
        <color theme="1" tint="0.14996795556505021"/>
      </bottom>
      <diagonal/>
    </border>
    <border>
      <left style="dotted">
        <color theme="0" tint="-0.499984740745262"/>
      </left>
      <right style="dotted">
        <color theme="0" tint="-0.499984740745262"/>
      </right>
      <top/>
      <bottom style="dotted">
        <color theme="0" tint="-0.499984740745262"/>
      </bottom>
      <diagonal/>
    </border>
    <border>
      <left style="dotted">
        <color theme="0" tint="-0.499984740745262"/>
      </left>
      <right style="dotted">
        <color theme="0" tint="-0.499984740745262"/>
      </right>
      <top style="dotted">
        <color theme="0" tint="-0.499984740745262"/>
      </top>
      <bottom style="thin">
        <color theme="1" tint="0.14996795556505021"/>
      </bottom>
      <diagonal/>
    </border>
    <border>
      <left style="dotted">
        <color theme="1" tint="0.14993743705557422"/>
      </left>
      <right style="dotted">
        <color theme="1" tint="0.14993743705557422"/>
      </right>
      <top style="dotted">
        <color theme="1" tint="0.14990691854609822"/>
      </top>
      <bottom style="dotted">
        <color theme="1" tint="0.14990691854609822"/>
      </bottom>
      <diagonal/>
    </border>
    <border>
      <left style="dotted">
        <color theme="1" tint="0.14993743705557422"/>
      </left>
      <right style="dotted">
        <color theme="1" tint="0.14993743705557422"/>
      </right>
      <top style="dotted">
        <color theme="1" tint="0.14990691854609822"/>
      </top>
      <bottom style="thin">
        <color theme="1" tint="0.1499069185460982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bottom style="thin">
        <color indexed="64"/>
      </bottom>
      <diagonal/>
    </border>
    <border>
      <left/>
      <right/>
      <top/>
      <bottom style="thick">
        <color theme="3" tint="0.59999389629810485"/>
      </bottom>
      <diagonal/>
    </border>
    <border>
      <left style="thin">
        <color rgb="FF4F2D7F"/>
      </left>
      <right/>
      <top style="thin">
        <color rgb="FF4F2D7F"/>
      </top>
      <bottom/>
      <diagonal/>
    </border>
    <border>
      <left/>
      <right/>
      <top style="thin">
        <color rgb="FF4F2D7F"/>
      </top>
      <bottom/>
      <diagonal/>
    </border>
    <border>
      <left/>
      <right style="thin">
        <color rgb="FF4F2D7F"/>
      </right>
      <top style="thin">
        <color rgb="FF4F2D7F"/>
      </top>
      <bottom/>
      <diagonal/>
    </border>
    <border>
      <left style="thin">
        <color rgb="FF4F2D7F"/>
      </left>
      <right/>
      <top/>
      <bottom style="thin">
        <color rgb="FF4F2D7F"/>
      </bottom>
      <diagonal/>
    </border>
    <border>
      <left/>
      <right/>
      <top/>
      <bottom style="thin">
        <color rgb="FF4F2D7F"/>
      </bottom>
      <diagonal/>
    </border>
    <border>
      <left/>
      <right style="thin">
        <color rgb="FF4F2D7F"/>
      </right>
      <top/>
      <bottom style="thin">
        <color rgb="FF4F2D7F"/>
      </bottom>
      <diagonal/>
    </border>
    <border>
      <left style="thin">
        <color rgb="FF4F2D7F"/>
      </left>
      <right/>
      <top/>
      <bottom/>
      <diagonal/>
    </border>
    <border>
      <left/>
      <right style="thin">
        <color rgb="FF4F2D7F"/>
      </right>
      <top/>
      <bottom/>
      <diagonal/>
    </border>
    <border>
      <left/>
      <right/>
      <top style="thin">
        <color rgb="FF4F2D7F"/>
      </top>
      <bottom style="thin">
        <color rgb="FF4F2D7F"/>
      </bottom>
      <diagonal/>
    </border>
    <border>
      <left style="thin">
        <color rgb="FF4F2D7F"/>
      </left>
      <right/>
      <top style="thin">
        <color rgb="FF7030A0"/>
      </top>
      <bottom style="thin">
        <color rgb="FF4F2D7F"/>
      </bottom>
      <diagonal/>
    </border>
    <border>
      <left/>
      <right/>
      <top style="thin">
        <color rgb="FF7030A0"/>
      </top>
      <bottom style="thin">
        <color rgb="FF4F2D7F"/>
      </bottom>
      <diagonal/>
    </border>
    <border>
      <left/>
      <right style="thin">
        <color rgb="FF4F2D7F"/>
      </right>
      <top style="thin">
        <color rgb="FF7030A0"/>
      </top>
      <bottom style="thin">
        <color rgb="FF4F2D7F"/>
      </bottom>
      <diagonal/>
    </border>
    <border>
      <left style="thin">
        <color indexed="64"/>
      </left>
      <right/>
      <top style="thin">
        <color rgb="FF4F2D7F"/>
      </top>
      <bottom/>
      <diagonal/>
    </border>
    <border>
      <left/>
      <right style="thin">
        <color indexed="64"/>
      </right>
      <top style="thin">
        <color rgb="FF4F2D7F"/>
      </top>
      <bottom/>
      <diagonal/>
    </border>
    <border>
      <left style="thin">
        <color indexed="64"/>
      </left>
      <right/>
      <top style="thin">
        <color indexed="64"/>
      </top>
      <bottom style="thin">
        <color rgb="FF4F2D7F"/>
      </bottom>
      <diagonal/>
    </border>
    <border>
      <left/>
      <right/>
      <top style="thin">
        <color indexed="64"/>
      </top>
      <bottom style="thin">
        <color rgb="FF4F2D7F"/>
      </bottom>
      <diagonal/>
    </border>
    <border>
      <left/>
      <right style="thin">
        <color indexed="64"/>
      </right>
      <top style="thin">
        <color indexed="64"/>
      </top>
      <bottom style="thin">
        <color rgb="FF4F2D7F"/>
      </bottom>
      <diagonal/>
    </border>
    <border>
      <left/>
      <right/>
      <top style="thin">
        <color indexed="64"/>
      </top>
      <bottom style="thin">
        <color indexed="64"/>
      </bottom>
      <diagonal/>
    </border>
    <border>
      <left style="thin">
        <color rgb="FF52277D"/>
      </left>
      <right style="thin">
        <color rgb="FF4F2D7F"/>
      </right>
      <top style="thin">
        <color rgb="FF52277D"/>
      </top>
      <bottom style="thin">
        <color rgb="FF4F2D7F"/>
      </bottom>
      <diagonal/>
    </border>
    <border>
      <left style="thin">
        <color rgb="FF4F2D7F"/>
      </left>
      <right style="thin">
        <color rgb="FF4F2D7F"/>
      </right>
      <top style="thin">
        <color rgb="FF52277D"/>
      </top>
      <bottom style="thin">
        <color rgb="FF4F2D7F"/>
      </bottom>
      <diagonal/>
    </border>
    <border>
      <left style="thin">
        <color rgb="FF4F2D7F"/>
      </left>
      <right style="thin">
        <color rgb="FF52277D"/>
      </right>
      <top style="thin">
        <color rgb="FF52277D"/>
      </top>
      <bottom style="thin">
        <color rgb="FF4F2D7F"/>
      </bottom>
      <diagonal/>
    </border>
    <border>
      <left style="thin">
        <color rgb="FF52277D"/>
      </left>
      <right/>
      <top/>
      <bottom/>
      <diagonal/>
    </border>
    <border>
      <left/>
      <right style="thin">
        <color rgb="FF52277D"/>
      </right>
      <top/>
      <bottom/>
      <diagonal/>
    </border>
    <border>
      <left style="thin">
        <color rgb="FF52277D"/>
      </left>
      <right/>
      <top style="thin">
        <color rgb="FF4F2D7F"/>
      </top>
      <bottom style="thin">
        <color rgb="FF4F2D7F"/>
      </bottom>
      <diagonal/>
    </border>
    <border>
      <left/>
      <right style="thin">
        <color rgb="FF52277D"/>
      </right>
      <top style="thin">
        <color rgb="FF4F2D7F"/>
      </top>
      <bottom style="thin">
        <color rgb="FF4F2D7F"/>
      </bottom>
      <diagonal/>
    </border>
    <border>
      <left style="thin">
        <color rgb="FF52277D"/>
      </left>
      <right/>
      <top/>
      <bottom style="thin">
        <color rgb="FF4F2D7F"/>
      </bottom>
      <diagonal/>
    </border>
    <border>
      <left/>
      <right style="thin">
        <color rgb="FF52277D"/>
      </right>
      <top/>
      <bottom style="thin">
        <color rgb="FF4F2D7F"/>
      </bottom>
      <diagonal/>
    </border>
    <border>
      <left style="thin">
        <color rgb="FF52277D"/>
      </left>
      <right/>
      <top/>
      <bottom style="thin">
        <color rgb="FF52277D"/>
      </bottom>
      <diagonal/>
    </border>
    <border>
      <left/>
      <right/>
      <top/>
      <bottom style="thin">
        <color rgb="FF52277D"/>
      </bottom>
      <diagonal/>
    </border>
    <border>
      <left/>
      <right style="thin">
        <color rgb="FF52277D"/>
      </right>
      <top/>
      <bottom style="thin">
        <color rgb="FF52277D"/>
      </bottom>
      <diagonal/>
    </border>
    <border>
      <left style="thin">
        <color rgb="FF52277D"/>
      </left>
      <right/>
      <top/>
      <bottom style="thin">
        <color indexed="64"/>
      </bottom>
      <diagonal/>
    </border>
    <border>
      <left/>
      <right/>
      <top style="thin">
        <color indexed="64"/>
      </top>
      <bottom style="medium">
        <color indexed="64"/>
      </bottom>
      <diagonal/>
    </border>
    <border>
      <left style="hair">
        <color theme="1" tint="0.14993743705557422"/>
      </left>
      <right/>
      <top style="hair">
        <color theme="1" tint="0.14993743705557422"/>
      </top>
      <bottom style="hair">
        <color theme="1" tint="0.14993743705557422"/>
      </bottom>
      <diagonal/>
    </border>
    <border>
      <left/>
      <right/>
      <top/>
      <bottom style="thick">
        <color theme="3" tint="0.79998168889431442"/>
      </bottom>
      <diagonal/>
    </border>
    <border>
      <left/>
      <right style="thin">
        <color indexed="64"/>
      </right>
      <top style="thin">
        <color theme="1" tint="0.14996795556505021"/>
      </top>
      <bottom/>
      <diagonal/>
    </border>
    <border>
      <left/>
      <right/>
      <top style="thin">
        <color theme="3"/>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theme="1" tint="4.9989318521683403E-2"/>
      </left>
      <right/>
      <top style="thin">
        <color theme="1" tint="4.9989318521683403E-2"/>
      </top>
      <bottom/>
      <diagonal/>
    </border>
    <border>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diagonal/>
    </border>
    <border>
      <left/>
      <right style="thin">
        <color theme="1" tint="4.9989318521683403E-2"/>
      </right>
      <top/>
      <bottom/>
      <diagonal/>
    </border>
    <border>
      <left style="thin">
        <color theme="1" tint="4.9989318521683403E-2"/>
      </left>
      <right/>
      <top/>
      <bottom style="thin">
        <color theme="1" tint="0.14996795556505021"/>
      </bottom>
      <diagonal/>
    </border>
    <border>
      <left/>
      <right style="thin">
        <color theme="1" tint="4.9989318521683403E-2"/>
      </right>
      <top/>
      <bottom style="thin">
        <color theme="1" tint="0.14996795556505021"/>
      </bottom>
      <diagonal/>
    </border>
    <border>
      <left style="thin">
        <color theme="1" tint="4.9989318521683403E-2"/>
      </left>
      <right/>
      <top/>
      <bottom style="thin">
        <color theme="1" tint="4.9989318521683403E-2"/>
      </bottom>
      <diagonal/>
    </border>
    <border>
      <left/>
      <right/>
      <top/>
      <bottom style="thin">
        <color theme="1" tint="4.9989318521683403E-2"/>
      </bottom>
      <diagonal/>
    </border>
    <border>
      <left/>
      <right style="thin">
        <color theme="1" tint="4.9989318521683403E-2"/>
      </right>
      <top/>
      <bottom style="thin">
        <color theme="1" tint="4.9989318521683403E-2"/>
      </bottom>
      <diagonal/>
    </border>
    <border>
      <left style="thin">
        <color theme="1" tint="4.9989318521683403E-2"/>
      </left>
      <right style="thin">
        <color theme="1" tint="4.9989318521683403E-2"/>
      </right>
      <top/>
      <bottom style="thin">
        <color theme="1" tint="4.9989318521683403E-2"/>
      </bottom>
      <diagonal/>
    </border>
    <border>
      <left/>
      <right/>
      <top/>
      <bottom style="thick">
        <color indexed="64"/>
      </bottom>
      <diagonal/>
    </border>
    <border>
      <left/>
      <right/>
      <top/>
      <bottom style="medium">
        <color rgb="FF003399"/>
      </bottom>
      <diagonal/>
    </border>
    <border>
      <left/>
      <right/>
      <top/>
      <bottom style="medium">
        <color indexed="64"/>
      </bottom>
      <diagonal/>
    </border>
    <border>
      <left style="thin">
        <color indexed="64"/>
      </left>
      <right/>
      <top style="thin">
        <color theme="1" tint="4.9989318521683403E-2"/>
      </top>
      <bottom/>
      <diagonal/>
    </border>
    <border>
      <left/>
      <right style="thin">
        <color indexed="64"/>
      </right>
      <top style="thin">
        <color theme="1" tint="4.9989318521683403E-2"/>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83">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4" borderId="0" applyNumberFormat="0" applyBorder="0" applyAlignment="0" applyProtection="0"/>
    <xf numFmtId="0" fontId="26" fillId="6" borderId="0" applyNumberFormat="0" applyBorder="0" applyAlignment="0" applyProtection="0"/>
    <xf numFmtId="0" fontId="26" fillId="3"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6" borderId="0" applyNumberFormat="0" applyBorder="0" applyAlignment="0" applyProtection="0"/>
    <xf numFmtId="0" fontId="26" fillId="4" borderId="0" applyNumberFormat="0" applyBorder="0" applyAlignment="0" applyProtection="0"/>
    <xf numFmtId="0" fontId="27" fillId="6"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8" borderId="0" applyNumberFormat="0" applyBorder="0" applyAlignment="0" applyProtection="0"/>
    <xf numFmtId="0" fontId="27" fillId="6" borderId="0" applyNumberFormat="0" applyBorder="0" applyAlignment="0" applyProtection="0"/>
    <xf numFmtId="0" fontId="27" fillId="3" borderId="0" applyNumberFormat="0" applyBorder="0" applyAlignment="0" applyProtection="0"/>
    <xf numFmtId="0" fontId="27" fillId="11"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1" applyNumberFormat="0" applyAlignment="0" applyProtection="0"/>
    <xf numFmtId="0" fontId="30" fillId="17" borderId="2" applyNumberFormat="0" applyAlignment="0" applyProtection="0"/>
    <xf numFmtId="168" fontId="17" fillId="0" borderId="0" applyFont="0" applyFill="0" applyBorder="0" applyAlignment="0" applyProtection="0"/>
    <xf numFmtId="167" fontId="17" fillId="0" borderId="0" applyFont="0" applyFill="0" applyBorder="0" applyAlignment="0" applyProtection="0"/>
    <xf numFmtId="165" fontId="17" fillId="0" borderId="0" applyFont="0" applyFill="0" applyBorder="0" applyAlignment="0" applyProtection="0"/>
    <xf numFmtId="0" fontId="31" fillId="0" borderId="0" applyNumberFormat="0" applyFill="0" applyBorder="0" applyAlignment="0" applyProtection="0"/>
    <xf numFmtId="0" fontId="32" fillId="6" borderId="0" applyNumberFormat="0" applyBorder="0" applyAlignment="0" applyProtection="0"/>
    <xf numFmtId="0" fontId="33" fillId="0" borderId="3" applyNumberFormat="0" applyFill="0" applyAlignment="0" applyProtection="0"/>
    <xf numFmtId="0" fontId="34" fillId="0" borderId="4" applyNumberFormat="0" applyFill="0" applyAlignment="0" applyProtection="0"/>
    <xf numFmtId="0" fontId="35" fillId="0" borderId="5" applyNumberFormat="0" applyFill="0" applyAlignment="0" applyProtection="0"/>
    <xf numFmtId="0" fontId="35" fillId="0" borderId="0" applyNumberFormat="0" applyFill="0" applyBorder="0" applyAlignment="0" applyProtection="0"/>
    <xf numFmtId="38" fontId="20" fillId="0" borderId="0" applyNumberFormat="0" applyFill="0" applyBorder="0" applyAlignment="0">
      <protection locked="0"/>
    </xf>
    <xf numFmtId="0" fontId="36" fillId="0" borderId="6" applyNumberFormat="0" applyFill="0" applyAlignment="0" applyProtection="0"/>
    <xf numFmtId="0" fontId="37" fillId="7" borderId="0" applyNumberFormat="0" applyBorder="0" applyAlignment="0" applyProtection="0"/>
    <xf numFmtId="0" fontId="38" fillId="4" borderId="7" applyNumberFormat="0" applyFont="0" applyAlignment="0" applyProtection="0"/>
    <xf numFmtId="0" fontId="39" fillId="16" borderId="8" applyNumberFormat="0" applyAlignment="0" applyProtection="0"/>
    <xf numFmtId="9" fontId="17" fillId="0" borderId="0" applyFont="0" applyFill="0" applyBorder="0" applyAlignment="0" applyProtection="0"/>
    <xf numFmtId="0" fontId="40" fillId="0" borderId="0" applyNumberFormat="0" applyFill="0" applyBorder="0" applyAlignment="0" applyProtection="0"/>
    <xf numFmtId="0" fontId="41" fillId="0" borderId="9" applyNumberFormat="0" applyFill="0" applyAlignment="0" applyProtection="0"/>
    <xf numFmtId="0" fontId="36" fillId="0" borderId="0" applyNumberFormat="0" applyFill="0" applyBorder="0" applyAlignment="0" applyProtection="0"/>
    <xf numFmtId="0" fontId="42" fillId="0" borderId="0" applyNumberFormat="0" applyFill="0">
      <alignment horizontal="centerContinuous"/>
    </xf>
    <xf numFmtId="0" fontId="16" fillId="18" borderId="0" applyNumberFormat="0" applyFont="0" applyBorder="0" applyAlignment="0"/>
    <xf numFmtId="166" fontId="23" fillId="0" borderId="0" applyFill="0" applyBorder="0">
      <alignment horizontal="right"/>
    </xf>
    <xf numFmtId="0" fontId="16" fillId="0" borderId="0" applyFill="0" applyBorder="0"/>
    <xf numFmtId="0" fontId="43" fillId="0" borderId="0" applyBorder="0">
      <alignment vertical="center"/>
    </xf>
    <xf numFmtId="0" fontId="44" fillId="0" borderId="10">
      <alignment vertical="center"/>
    </xf>
    <xf numFmtId="165" fontId="16" fillId="0" borderId="0" applyFill="0" applyBorder="0">
      <alignment horizontal="right"/>
    </xf>
    <xf numFmtId="171" fontId="23" fillId="0" borderId="0" applyFill="0" applyBorder="0">
      <alignment horizontal="right"/>
    </xf>
    <xf numFmtId="175" fontId="22" fillId="0" borderId="0" applyFill="0" applyBorder="0">
      <alignment horizontal="right"/>
    </xf>
    <xf numFmtId="173" fontId="16" fillId="0" borderId="0" applyFill="0" applyBorder="0"/>
    <xf numFmtId="0" fontId="25" fillId="0" borderId="0" applyFill="0" applyBorder="0"/>
    <xf numFmtId="0" fontId="24" fillId="0" borderId="0" applyFill="0" applyBorder="0"/>
    <xf numFmtId="176" fontId="16" fillId="0" borderId="0" applyFill="0" applyBorder="0"/>
    <xf numFmtId="170" fontId="23" fillId="0" borderId="0" applyFill="0" applyBorder="0">
      <alignment horizontal="right"/>
    </xf>
    <xf numFmtId="166" fontId="45" fillId="0" borderId="0" applyFont="0" applyFill="0" applyBorder="0" applyAlignment="0" applyProtection="0"/>
    <xf numFmtId="172" fontId="23" fillId="0" borderId="0" applyFill="0" applyBorder="0">
      <alignment horizontal="right"/>
    </xf>
    <xf numFmtId="168" fontId="46" fillId="0" borderId="0" applyFont="0" applyFill="0" applyBorder="0" applyAlignment="0" applyProtection="0"/>
    <xf numFmtId="0" fontId="47"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9" fillId="0" borderId="0" applyFill="0" applyBorder="0"/>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165" fontId="16" fillId="0" borderId="0" applyFill="0" applyBorder="0"/>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179" fontId="25" fillId="0" borderId="0" applyFill="0" applyBorder="0"/>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18" fillId="0" borderId="0"/>
    <xf numFmtId="9" fontId="21"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0" fontId="15" fillId="0" borderId="0"/>
    <xf numFmtId="9" fontId="16" fillId="0" borderId="0" applyFont="0" applyFill="0" applyBorder="0" applyAlignment="0" applyProtection="0"/>
    <xf numFmtId="0" fontId="18" fillId="0" borderId="0"/>
    <xf numFmtId="0" fontId="13" fillId="0" borderId="0"/>
    <xf numFmtId="0" fontId="54" fillId="0" borderId="0"/>
    <xf numFmtId="166" fontId="55" fillId="0" borderId="0" applyFont="0" applyFill="0" applyBorder="0" applyAlignment="0" applyProtection="0"/>
    <xf numFmtId="175" fontId="12" fillId="0" borderId="0" applyFont="0" applyFill="0" applyBorder="0" applyAlignment="0" applyProtection="0"/>
    <xf numFmtId="0" fontId="56" fillId="0" borderId="0" applyAlignment="0"/>
    <xf numFmtId="9" fontId="11" fillId="0" borderId="0" applyFont="0" applyFill="0" applyBorder="0" applyAlignment="0" applyProtection="0"/>
    <xf numFmtId="0" fontId="11" fillId="0" borderId="0"/>
    <xf numFmtId="165" fontId="11" fillId="0" borderId="0" applyFont="0" applyFill="0" applyBorder="0" applyAlignment="0" applyProtection="0"/>
    <xf numFmtId="175" fontId="11" fillId="0" borderId="0" applyFont="0" applyFill="0" applyBorder="0" applyAlignment="0" applyProtection="0"/>
    <xf numFmtId="0" fontId="16" fillId="0" borderId="0"/>
    <xf numFmtId="0" fontId="10" fillId="0" borderId="0"/>
    <xf numFmtId="0" fontId="9" fillId="0" borderId="0"/>
    <xf numFmtId="0" fontId="99" fillId="0" borderId="0"/>
    <xf numFmtId="9" fontId="99" fillId="0" borderId="0" applyFont="0" applyFill="0" applyBorder="0" applyAlignment="0" applyProtection="0"/>
    <xf numFmtId="0" fontId="8" fillId="0" borderId="0"/>
    <xf numFmtId="0" fontId="15" fillId="0" borderId="0"/>
    <xf numFmtId="168" fontId="8" fillId="0" borderId="0" applyFont="0" applyFill="0" applyBorder="0" applyAlignment="0" applyProtection="0"/>
    <xf numFmtId="9" fontId="8" fillId="0" borderId="0" applyFont="0" applyFill="0" applyBorder="0" applyAlignment="0" applyProtection="0"/>
    <xf numFmtId="0" fontId="7" fillId="0" borderId="0" applyNumberFormat="0" applyBorder="0" applyAlignment="0" applyProtection="0"/>
    <xf numFmtId="0" fontId="7" fillId="0" borderId="0"/>
    <xf numFmtId="168"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applyNumberFormat="0" applyBorder="0" applyAlignment="0" applyProtection="0"/>
    <xf numFmtId="168" fontId="6" fillId="0" borderId="0" applyFont="0" applyFill="0" applyBorder="0" applyAlignment="0" applyProtection="0"/>
    <xf numFmtId="9" fontId="6"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0" borderId="0"/>
    <xf numFmtId="200" fontId="54" fillId="0" borderId="0" applyFont="0" applyFill="0" applyBorder="0" applyProtection="0">
      <alignment vertical="top"/>
    </xf>
    <xf numFmtId="201" fontId="107" fillId="0" borderId="0" applyFont="0" applyFill="0" applyBorder="0" applyAlignment="0" applyProtection="0"/>
    <xf numFmtId="202" fontId="10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16" fillId="0" borderId="0"/>
    <xf numFmtId="170" fontId="5" fillId="0" borderId="0" applyFont="0" applyFill="0" applyBorder="0" applyAlignment="0" applyProtection="0"/>
    <xf numFmtId="0" fontId="108" fillId="0" borderId="0"/>
    <xf numFmtId="43" fontId="5" fillId="0" borderId="0" applyFont="0" applyFill="0" applyBorder="0" applyAlignment="0" applyProtection="0"/>
    <xf numFmtId="9" fontId="5" fillId="0" borderId="0" applyFont="0" applyFill="0" applyBorder="0" applyAlignment="0" applyProtection="0"/>
    <xf numFmtId="0" fontId="5" fillId="0" borderId="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1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0" fontId="55" fillId="0" borderId="0"/>
    <xf numFmtId="43" fontId="1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0" fontId="4" fillId="0" borderId="0"/>
    <xf numFmtId="9" fontId="4" fillId="0" borderId="0" applyFont="0" applyFill="0" applyBorder="0" applyAlignment="0" applyProtection="0"/>
    <xf numFmtId="0" fontId="50" fillId="0" borderId="0" applyNumberFormat="0" applyFill="0" applyBorder="0" applyAlignment="0" applyProtection="0"/>
    <xf numFmtId="0" fontId="3"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cellStyleXfs>
  <cellXfs count="2066">
    <xf numFmtId="0" fontId="0" fillId="0" borderId="0" xfId="0"/>
    <xf numFmtId="0" fontId="16" fillId="0" borderId="0" xfId="0" applyFont="1"/>
    <xf numFmtId="0" fontId="16" fillId="0" borderId="0" xfId="49"/>
    <xf numFmtId="37" fontId="16" fillId="0" borderId="0" xfId="49" applyNumberFormat="1" applyAlignment="1">
      <alignment horizontal="center"/>
    </xf>
    <xf numFmtId="0" fontId="57" fillId="0" borderId="0" xfId="49" applyFont="1"/>
    <xf numFmtId="0" fontId="58" fillId="0" borderId="0" xfId="51" applyFont="1" applyBorder="1" applyAlignment="1">
      <alignment horizontal="right" vertical="center"/>
    </xf>
    <xf numFmtId="0" fontId="60" fillId="0" borderId="0" xfId="49" applyFont="1"/>
    <xf numFmtId="0" fontId="59" fillId="0" borderId="0" xfId="50" applyFont="1" applyAlignment="1">
      <alignment horizontal="right" vertical="center"/>
    </xf>
    <xf numFmtId="0" fontId="59" fillId="0" borderId="31" xfId="50" applyFont="1" applyBorder="1">
      <alignment vertical="center"/>
    </xf>
    <xf numFmtId="0" fontId="59" fillId="0" borderId="31" xfId="50" applyFont="1" applyBorder="1" applyAlignment="1">
      <alignment horizontal="right" vertical="center"/>
    </xf>
    <xf numFmtId="0" fontId="61" fillId="0" borderId="0" xfId="50" applyFont="1">
      <alignment vertical="center"/>
    </xf>
    <xf numFmtId="0" fontId="62" fillId="21" borderId="13" xfId="50" applyFont="1" applyFill="1" applyBorder="1" applyAlignment="1">
      <alignment horizontal="right" vertical="center"/>
    </xf>
    <xf numFmtId="0" fontId="62" fillId="21" borderId="15" xfId="50" applyFont="1" applyFill="1" applyBorder="1" applyAlignment="1">
      <alignment horizontal="right" vertical="center"/>
    </xf>
    <xf numFmtId="0" fontId="63" fillId="0" borderId="0" xfId="49" applyFont="1"/>
    <xf numFmtId="0" fontId="64" fillId="0" borderId="0" xfId="49" applyFont="1"/>
    <xf numFmtId="0" fontId="64" fillId="0" borderId="0" xfId="49" applyFont="1" applyAlignment="1">
      <alignment horizontal="right"/>
    </xf>
    <xf numFmtId="186" fontId="67" fillId="21" borderId="0" xfId="112" applyNumberFormat="1" applyFont="1" applyFill="1" applyAlignment="1">
      <alignment horizontal="left" vertical="center"/>
    </xf>
    <xf numFmtId="186" fontId="68" fillId="21" borderId="0" xfId="112" applyNumberFormat="1" applyFont="1" applyFill="1" applyAlignment="1">
      <alignment horizontal="right" vertical="center"/>
    </xf>
    <xf numFmtId="186" fontId="60" fillId="0" borderId="0" xfId="49" applyNumberFormat="1" applyFont="1"/>
    <xf numFmtId="186" fontId="64" fillId="0" borderId="0" xfId="49" applyNumberFormat="1" applyFont="1"/>
    <xf numFmtId="186" fontId="69" fillId="21" borderId="0" xfId="112" applyNumberFormat="1" applyFont="1" applyFill="1" applyAlignment="1">
      <alignment horizontal="left" vertical="center"/>
    </xf>
    <xf numFmtId="186" fontId="69" fillId="21" borderId="0" xfId="112" applyNumberFormat="1" applyFont="1" applyFill="1" applyAlignment="1">
      <alignment horizontal="right" vertical="center"/>
    </xf>
    <xf numFmtId="186" fontId="70" fillId="0" borderId="0" xfId="50" applyNumberFormat="1" applyFont="1" applyAlignment="1">
      <alignment horizontal="left" vertical="center"/>
    </xf>
    <xf numFmtId="186" fontId="71" fillId="21" borderId="0" xfId="112" applyNumberFormat="1" applyFont="1" applyFill="1" applyAlignment="1">
      <alignment horizontal="left" vertical="center"/>
    </xf>
    <xf numFmtId="186" fontId="71" fillId="21" borderId="31" xfId="112" applyNumberFormat="1" applyFont="1" applyFill="1" applyBorder="1" applyAlignment="1">
      <alignment horizontal="left" vertical="center"/>
    </xf>
    <xf numFmtId="186" fontId="71" fillId="21" borderId="31" xfId="112" applyNumberFormat="1" applyFont="1" applyFill="1" applyBorder="1" applyAlignment="1">
      <alignment horizontal="right" vertical="center"/>
    </xf>
    <xf numFmtId="186" fontId="71" fillId="21" borderId="33" xfId="112" applyNumberFormat="1" applyFont="1" applyFill="1" applyBorder="1" applyAlignment="1">
      <alignment horizontal="left" vertical="center"/>
    </xf>
    <xf numFmtId="186" fontId="71" fillId="21" borderId="33" xfId="112" applyNumberFormat="1" applyFont="1" applyFill="1" applyBorder="1" applyAlignment="1">
      <alignment horizontal="right" vertical="center"/>
    </xf>
    <xf numFmtId="0" fontId="72" fillId="0" borderId="0" xfId="49" applyFont="1"/>
    <xf numFmtId="186" fontId="74" fillId="21" borderId="31" xfId="112" applyNumberFormat="1" applyFont="1" applyFill="1" applyBorder="1" applyAlignment="1">
      <alignment horizontal="left" vertical="center"/>
    </xf>
    <xf numFmtId="0" fontId="66" fillId="0" borderId="31" xfId="50" applyFont="1" applyBorder="1">
      <alignment vertical="center"/>
    </xf>
    <xf numFmtId="0" fontId="75" fillId="0" borderId="31" xfId="50" applyFont="1" applyBorder="1">
      <alignment vertical="center"/>
    </xf>
    <xf numFmtId="186" fontId="69" fillId="21" borderId="31" xfId="112" applyNumberFormat="1" applyFont="1" applyFill="1" applyBorder="1" applyAlignment="1">
      <alignment horizontal="left" vertical="center"/>
    </xf>
    <xf numFmtId="171" fontId="69" fillId="0" borderId="31" xfId="53" applyFont="1" applyBorder="1">
      <alignment horizontal="right"/>
    </xf>
    <xf numFmtId="186" fontId="69" fillId="21" borderId="34" xfId="112" applyNumberFormat="1" applyFont="1" applyFill="1" applyBorder="1" applyAlignment="1">
      <alignment horizontal="left" vertical="center"/>
    </xf>
    <xf numFmtId="186" fontId="69" fillId="21" borderId="34" xfId="112" applyNumberFormat="1" applyFont="1" applyFill="1" applyBorder="1" applyAlignment="1">
      <alignment horizontal="right" vertical="center"/>
    </xf>
    <xf numFmtId="0" fontId="76" fillId="0" borderId="0" xfId="51" applyFont="1" applyBorder="1">
      <alignment vertical="center"/>
    </xf>
    <xf numFmtId="0" fontId="76" fillId="0" borderId="31" xfId="50" applyFont="1" applyBorder="1">
      <alignment vertical="center"/>
    </xf>
    <xf numFmtId="0" fontId="76" fillId="0" borderId="0" xfId="50" applyFont="1">
      <alignment vertical="center"/>
    </xf>
    <xf numFmtId="0" fontId="78" fillId="0" borderId="0" xfId="49" applyFont="1"/>
    <xf numFmtId="0" fontId="77" fillId="0" borderId="0" xfId="49" applyFont="1"/>
    <xf numFmtId="0" fontId="66" fillId="0" borderId="0" xfId="49" applyFont="1"/>
    <xf numFmtId="186" fontId="68" fillId="21" borderId="0" xfId="49" applyNumberFormat="1" applyFont="1" applyFill="1" applyBorder="1"/>
    <xf numFmtId="0" fontId="66" fillId="23" borderId="0" xfId="49" applyFont="1" applyFill="1" applyBorder="1" applyAlignment="1">
      <alignment wrapText="1"/>
    </xf>
    <xf numFmtId="0" fontId="66" fillId="23" borderId="0" xfId="49" applyFont="1" applyFill="1" applyBorder="1" applyAlignment="1">
      <alignment horizontal="center" wrapText="1"/>
    </xf>
    <xf numFmtId="0" fontId="79" fillId="0" borderId="0" xfId="49" applyFont="1"/>
    <xf numFmtId="0" fontId="66" fillId="0" borderId="0" xfId="49" applyFont="1" applyAlignment="1">
      <alignment horizontal="center"/>
    </xf>
    <xf numFmtId="0" fontId="78" fillId="0" borderId="0" xfId="56" applyFont="1"/>
    <xf numFmtId="186" fontId="68" fillId="21" borderId="32" xfId="49" applyNumberFormat="1" applyFont="1" applyFill="1" applyBorder="1"/>
    <xf numFmtId="0" fontId="59" fillId="0" borderId="0" xfId="50" applyFont="1" applyBorder="1">
      <alignment vertical="center"/>
    </xf>
    <xf numFmtId="0" fontId="59" fillId="0" borderId="0" xfId="50" applyFont="1" applyBorder="1" applyAlignment="1">
      <alignment horizontal="right" vertical="center"/>
    </xf>
    <xf numFmtId="0" fontId="58" fillId="0" borderId="0" xfId="51" applyFont="1" applyBorder="1">
      <alignment vertical="center"/>
    </xf>
    <xf numFmtId="0" fontId="66" fillId="0" borderId="0" xfId="49" applyFont="1" applyFill="1" applyBorder="1"/>
    <xf numFmtId="0" fontId="77" fillId="0" borderId="0" xfId="49" applyFont="1" applyFill="1" applyBorder="1"/>
    <xf numFmtId="0" fontId="77" fillId="0" borderId="32" xfId="49" applyFont="1" applyFill="1" applyBorder="1"/>
    <xf numFmtId="0" fontId="77" fillId="0" borderId="31" xfId="49" applyFont="1" applyFill="1" applyBorder="1"/>
    <xf numFmtId="0" fontId="76" fillId="0" borderId="0" xfId="50" applyFont="1" applyBorder="1">
      <alignment vertical="center"/>
    </xf>
    <xf numFmtId="166" fontId="73" fillId="0" borderId="0" xfId="48" applyFont="1">
      <alignment horizontal="right"/>
    </xf>
    <xf numFmtId="0" fontId="77" fillId="23" borderId="0" xfId="49" applyFont="1" applyFill="1" applyBorder="1"/>
    <xf numFmtId="0" fontId="77" fillId="23" borderId="31" xfId="49" applyFont="1" applyFill="1" applyBorder="1"/>
    <xf numFmtId="0" fontId="66" fillId="23" borderId="0" xfId="49" applyFont="1" applyFill="1" applyBorder="1"/>
    <xf numFmtId="0" fontId="77" fillId="0" borderId="0" xfId="49" applyFont="1" applyFill="1"/>
    <xf numFmtId="0" fontId="59" fillId="0" borderId="27" xfId="50" applyFont="1" applyBorder="1">
      <alignment vertical="center"/>
    </xf>
    <xf numFmtId="0" fontId="59" fillId="0" borderId="27" xfId="50" applyFont="1" applyBorder="1" applyAlignment="1">
      <alignment horizontal="right" vertical="center"/>
    </xf>
    <xf numFmtId="0" fontId="66" fillId="23" borderId="0" xfId="49" applyFont="1" applyFill="1" applyBorder="1" applyAlignment="1">
      <alignment horizontal="center"/>
    </xf>
    <xf numFmtId="166" fontId="73" fillId="0" borderId="0" xfId="48" applyFont="1" applyFill="1" applyBorder="1">
      <alignment horizontal="right"/>
    </xf>
    <xf numFmtId="0" fontId="58" fillId="0" borderId="0" xfId="50" applyFont="1" applyBorder="1">
      <alignment vertical="center"/>
    </xf>
    <xf numFmtId="176" fontId="88" fillId="0" borderId="0" xfId="58" applyFont="1" applyAlignment="1">
      <alignment horizontal="center"/>
    </xf>
    <xf numFmtId="175" fontId="78" fillId="0" borderId="0" xfId="54" applyFont="1">
      <alignment horizontal="right"/>
    </xf>
    <xf numFmtId="165" fontId="77" fillId="0" borderId="0" xfId="52" applyFont="1">
      <alignment horizontal="right"/>
    </xf>
    <xf numFmtId="165" fontId="91" fillId="0" borderId="0" xfId="52" applyFont="1">
      <alignment horizontal="right"/>
    </xf>
    <xf numFmtId="0" fontId="77" fillId="0" borderId="0" xfId="49" quotePrefix="1" applyFont="1"/>
    <xf numFmtId="0" fontId="75" fillId="0" borderId="0" xfId="49" applyFont="1" applyFill="1"/>
    <xf numFmtId="170" fontId="73" fillId="0" borderId="0" xfId="59" applyFont="1" applyFill="1" applyBorder="1">
      <alignment horizontal="right"/>
    </xf>
    <xf numFmtId="175" fontId="78" fillId="0" borderId="0" xfId="54" applyFont="1" applyFill="1" applyBorder="1">
      <alignment horizontal="right"/>
    </xf>
    <xf numFmtId="0" fontId="78" fillId="0" borderId="0" xfId="49" applyFont="1" applyFill="1"/>
    <xf numFmtId="0" fontId="66" fillId="0" borderId="0" xfId="49" applyFont="1" applyFill="1" applyBorder="1" applyAlignment="1">
      <alignment horizontal="center"/>
    </xf>
    <xf numFmtId="170" fontId="73" fillId="0" borderId="0" xfId="59" applyFont="1" applyFill="1">
      <alignment horizontal="right"/>
    </xf>
    <xf numFmtId="175" fontId="78" fillId="0" borderId="0" xfId="54" applyFont="1" applyFill="1">
      <alignment horizontal="right"/>
    </xf>
    <xf numFmtId="0" fontId="78" fillId="0" borderId="0" xfId="56" applyFont="1" applyFill="1" applyBorder="1"/>
    <xf numFmtId="0" fontId="78" fillId="0" borderId="0" xfId="56" applyFont="1" applyFill="1"/>
    <xf numFmtId="0" fontId="78" fillId="0" borderId="0" xfId="49" applyFont="1" applyFill="1" applyBorder="1"/>
    <xf numFmtId="0" fontId="75" fillId="0" borderId="0" xfId="49" applyFont="1"/>
    <xf numFmtId="0" fontId="88" fillId="0" borderId="0" xfId="49" applyFont="1" applyAlignment="1">
      <alignment horizontal="center"/>
    </xf>
    <xf numFmtId="165" fontId="66" fillId="0" borderId="0" xfId="49" applyNumberFormat="1" applyFont="1"/>
    <xf numFmtId="166" fontId="66" fillId="0" borderId="0" xfId="49" applyNumberFormat="1" applyFont="1"/>
    <xf numFmtId="0" fontId="87" fillId="0" borderId="0" xfId="50" applyFont="1" applyBorder="1">
      <alignment vertical="center"/>
    </xf>
    <xf numFmtId="0" fontId="76" fillId="0" borderId="31" xfId="0" applyFont="1" applyBorder="1" applyAlignment="1">
      <alignment vertical="center"/>
    </xf>
    <xf numFmtId="0" fontId="59" fillId="0" borderId="31" xfId="0" applyFont="1" applyBorder="1" applyAlignment="1">
      <alignment vertical="center"/>
    </xf>
    <xf numFmtId="49" fontId="58" fillId="21" borderId="12" xfId="49" applyNumberFormat="1" applyFont="1" applyFill="1" applyBorder="1"/>
    <xf numFmtId="0" fontId="66" fillId="23" borderId="0" xfId="49" applyFont="1" applyFill="1" applyBorder="1" applyAlignment="1">
      <alignment horizontal="centerContinuous" wrapText="1"/>
    </xf>
    <xf numFmtId="0" fontId="66" fillId="23" borderId="0" xfId="49" quotePrefix="1" applyFont="1" applyFill="1" applyBorder="1" applyAlignment="1">
      <alignment horizontal="centerContinuous" wrapText="1"/>
    </xf>
    <xf numFmtId="176" fontId="66" fillId="23" borderId="0" xfId="58" applyFont="1" applyFill="1" applyBorder="1" applyAlignment="1">
      <alignment horizontal="center" wrapText="1"/>
    </xf>
    <xf numFmtId="186" fontId="74" fillId="21" borderId="0" xfId="49" applyNumberFormat="1" applyFont="1" applyFill="1" applyBorder="1"/>
    <xf numFmtId="186" fontId="68" fillId="21" borderId="0" xfId="52" applyNumberFormat="1" applyFont="1" applyFill="1" applyBorder="1">
      <alignment horizontal="right"/>
    </xf>
    <xf numFmtId="186" fontId="68" fillId="21" borderId="0" xfId="59" applyNumberFormat="1" applyFont="1" applyFill="1" applyBorder="1">
      <alignment horizontal="right"/>
    </xf>
    <xf numFmtId="186" fontId="68" fillId="21" borderId="0" xfId="48" applyNumberFormat="1" applyFont="1" applyFill="1" applyBorder="1">
      <alignment horizontal="right"/>
    </xf>
    <xf numFmtId="186" fontId="68" fillId="21" borderId="0" xfId="54" applyNumberFormat="1" applyFont="1" applyFill="1" applyBorder="1">
      <alignment horizontal="right"/>
    </xf>
    <xf numFmtId="186" fontId="74" fillId="21" borderId="0" xfId="52" applyNumberFormat="1" applyFont="1" applyFill="1" applyBorder="1" applyAlignment="1">
      <alignment horizontal="left"/>
    </xf>
    <xf numFmtId="186" fontId="74" fillId="21" borderId="31" xfId="49" applyNumberFormat="1" applyFont="1" applyFill="1" applyBorder="1"/>
    <xf numFmtId="186" fontId="68" fillId="21" borderId="31" xfId="49" applyNumberFormat="1" applyFont="1" applyFill="1" applyBorder="1"/>
    <xf numFmtId="186" fontId="74" fillId="21" borderId="31" xfId="49" applyNumberFormat="1" applyFont="1" applyFill="1" applyBorder="1" applyAlignment="1">
      <alignment horizontal="left"/>
    </xf>
    <xf numFmtId="186" fontId="74" fillId="21" borderId="35" xfId="52" applyNumberFormat="1" applyFont="1" applyFill="1" applyBorder="1">
      <alignment horizontal="right"/>
    </xf>
    <xf numFmtId="186" fontId="68" fillId="21" borderId="35" xfId="52" applyNumberFormat="1" applyFont="1" applyFill="1" applyBorder="1">
      <alignment horizontal="right"/>
    </xf>
    <xf numFmtId="186" fontId="74" fillId="21" borderId="32" xfId="52" applyNumberFormat="1" applyFont="1" applyFill="1" applyBorder="1">
      <alignment horizontal="right"/>
    </xf>
    <xf numFmtId="186" fontId="68" fillId="21" borderId="32" xfId="52" applyNumberFormat="1" applyFont="1" applyFill="1" applyBorder="1">
      <alignment horizontal="right"/>
    </xf>
    <xf numFmtId="0" fontId="66" fillId="23" borderId="0" xfId="49" applyFont="1" applyFill="1" applyBorder="1" applyAlignment="1">
      <alignment horizontal="right"/>
    </xf>
    <xf numFmtId="0" fontId="79" fillId="0" borderId="0" xfId="49" applyFont="1" applyFill="1"/>
    <xf numFmtId="0" fontId="77" fillId="0" borderId="0" xfId="51" applyFont="1" applyBorder="1">
      <alignment vertical="center"/>
    </xf>
    <xf numFmtId="0" fontId="77" fillId="0" borderId="0" xfId="51" applyFont="1" applyBorder="1" applyAlignment="1">
      <alignment horizontal="right" vertical="center"/>
    </xf>
    <xf numFmtId="0" fontId="77" fillId="0" borderId="0" xfId="50" applyFont="1" applyBorder="1">
      <alignment vertical="center"/>
    </xf>
    <xf numFmtId="0" fontId="77" fillId="0" borderId="0" xfId="50" applyFont="1" applyBorder="1" applyAlignment="1">
      <alignment horizontal="right" vertical="center"/>
    </xf>
    <xf numFmtId="0" fontId="77" fillId="0" borderId="31" xfId="50" applyFont="1" applyBorder="1">
      <alignment vertical="center"/>
    </xf>
    <xf numFmtId="0" fontId="77" fillId="0" borderId="31" xfId="50" applyFont="1" applyBorder="1" applyAlignment="1">
      <alignment horizontal="right" vertical="center"/>
    </xf>
    <xf numFmtId="0" fontId="92" fillId="0" borderId="0" xfId="50" applyFont="1">
      <alignment vertical="center"/>
    </xf>
    <xf numFmtId="0" fontId="66" fillId="0" borderId="0" xfId="49" applyFont="1" applyFill="1"/>
    <xf numFmtId="181" fontId="66" fillId="0" borderId="0" xfId="52" applyNumberFormat="1" applyFont="1" applyFill="1" applyBorder="1">
      <alignment horizontal="right"/>
    </xf>
    <xf numFmtId="166" fontId="89" fillId="0" borderId="0" xfId="48" applyFont="1" applyFill="1" applyBorder="1">
      <alignment horizontal="right"/>
    </xf>
    <xf numFmtId="170" fontId="89" fillId="0" borderId="0" xfId="59" applyFont="1" applyFill="1" applyBorder="1">
      <alignment horizontal="right"/>
    </xf>
    <xf numFmtId="181" fontId="77" fillId="0" borderId="0" xfId="52" applyNumberFormat="1" applyFont="1" applyFill="1" applyBorder="1">
      <alignment horizontal="right"/>
    </xf>
    <xf numFmtId="165" fontId="77" fillId="0" borderId="0" xfId="52" applyFont="1" applyFill="1" applyBorder="1">
      <alignment horizontal="right"/>
    </xf>
    <xf numFmtId="0" fontId="88" fillId="0" borderId="0" xfId="46" applyFont="1" applyFill="1">
      <alignment horizontal="centerContinuous"/>
    </xf>
    <xf numFmtId="175" fontId="84" fillId="0" borderId="0" xfId="54" applyFont="1" applyFill="1">
      <alignment horizontal="right"/>
    </xf>
    <xf numFmtId="175" fontId="82" fillId="0" borderId="0" xfId="54" applyFont="1" applyFill="1">
      <alignment horizontal="right"/>
    </xf>
    <xf numFmtId="165" fontId="78" fillId="0" borderId="0" xfId="52" applyFont="1" applyFill="1" applyBorder="1">
      <alignment horizontal="right"/>
    </xf>
    <xf numFmtId="0" fontId="88" fillId="0" borderId="0" xfId="49" applyFont="1" applyFill="1" applyAlignment="1">
      <alignment horizontal="center"/>
    </xf>
    <xf numFmtId="176" fontId="88" fillId="0" borderId="0" xfId="58" applyFont="1" applyFill="1" applyAlignment="1">
      <alignment horizontal="center"/>
    </xf>
    <xf numFmtId="176" fontId="77" fillId="0" borderId="0" xfId="49" applyNumberFormat="1" applyFont="1" applyFill="1" applyBorder="1"/>
    <xf numFmtId="166" fontId="82" fillId="0" borderId="0" xfId="48" applyFont="1" applyFill="1">
      <alignment horizontal="right"/>
    </xf>
    <xf numFmtId="166" fontId="73" fillId="0" borderId="0" xfId="48" applyFont="1" applyFill="1">
      <alignment horizontal="right"/>
    </xf>
    <xf numFmtId="166" fontId="90" fillId="0" borderId="0" xfId="48" applyFont="1" applyFill="1" applyBorder="1">
      <alignment horizontal="right"/>
    </xf>
    <xf numFmtId="0" fontId="83" fillId="0" borderId="0" xfId="57" applyFont="1" applyFill="1" applyBorder="1"/>
    <xf numFmtId="179" fontId="77" fillId="0" borderId="0" xfId="92" quotePrefix="1" applyFont="1" applyFill="1" applyBorder="1"/>
    <xf numFmtId="0" fontId="77" fillId="0" borderId="0" xfId="56" applyFont="1" applyFill="1" applyBorder="1"/>
    <xf numFmtId="0" fontId="77" fillId="0" borderId="0" xfId="56" quotePrefix="1" applyFont="1" applyFill="1" applyBorder="1"/>
    <xf numFmtId="0" fontId="78" fillId="0" borderId="0" xfId="56" quotePrefix="1" applyFont="1" applyFill="1" applyBorder="1"/>
    <xf numFmtId="0" fontId="66" fillId="0" borderId="0" xfId="49" applyFont="1" applyFill="1" applyAlignment="1">
      <alignment horizontal="center"/>
    </xf>
    <xf numFmtId="166" fontId="90" fillId="0" borderId="0" xfId="48" applyFont="1" applyFill="1">
      <alignment horizontal="right"/>
    </xf>
    <xf numFmtId="175" fontId="94" fillId="0" borderId="0" xfId="54" applyFont="1" applyFill="1">
      <alignment horizontal="right"/>
    </xf>
    <xf numFmtId="170" fontId="90" fillId="0" borderId="0" xfId="59" applyFont="1" applyFill="1">
      <alignment horizontal="right"/>
    </xf>
    <xf numFmtId="165" fontId="91" fillId="0" borderId="0" xfId="52" applyFont="1" applyFill="1">
      <alignment horizontal="right"/>
    </xf>
    <xf numFmtId="175" fontId="81" fillId="0" borderId="0" xfId="54" applyFont="1" applyFill="1">
      <alignment horizontal="right"/>
    </xf>
    <xf numFmtId="170" fontId="95" fillId="0" borderId="0" xfId="59" applyFont="1" applyFill="1">
      <alignment horizontal="right"/>
    </xf>
    <xf numFmtId="164" fontId="77" fillId="0" borderId="0" xfId="49" applyNumberFormat="1" applyFont="1" applyFill="1"/>
    <xf numFmtId="0" fontId="66" fillId="0" borderId="32" xfId="49" applyFont="1" applyFill="1" applyBorder="1"/>
    <xf numFmtId="166" fontId="89" fillId="0" borderId="32" xfId="48" applyFont="1" applyFill="1" applyBorder="1">
      <alignment horizontal="right"/>
    </xf>
    <xf numFmtId="0" fontId="66" fillId="0" borderId="31" xfId="49" applyFont="1" applyFill="1" applyBorder="1"/>
    <xf numFmtId="166" fontId="89" fillId="0" borderId="31" xfId="48" applyFont="1" applyFill="1" applyBorder="1">
      <alignment horizontal="right"/>
    </xf>
    <xf numFmtId="176" fontId="66" fillId="23" borderId="31" xfId="58" applyFont="1" applyFill="1" applyBorder="1" applyAlignment="1">
      <alignment horizontal="center"/>
    </xf>
    <xf numFmtId="181" fontId="77" fillId="0" borderId="0" xfId="49" applyNumberFormat="1" applyFont="1" applyFill="1" applyBorder="1"/>
    <xf numFmtId="166" fontId="77" fillId="0" borderId="0" xfId="49" applyNumberFormat="1" applyFont="1" applyFill="1" applyBorder="1"/>
    <xf numFmtId="181" fontId="66" fillId="26" borderId="32" xfId="52" applyNumberFormat="1" applyFont="1" applyFill="1" applyBorder="1">
      <alignment horizontal="right"/>
    </xf>
    <xf numFmtId="175" fontId="77" fillId="0" borderId="0" xfId="54" applyFont="1" applyFill="1" applyBorder="1">
      <alignment horizontal="right"/>
    </xf>
    <xf numFmtId="0" fontId="96" fillId="19" borderId="0" xfId="49" applyFont="1" applyFill="1"/>
    <xf numFmtId="0" fontId="97" fillId="19" borderId="0" xfId="49" applyFont="1" applyFill="1"/>
    <xf numFmtId="0" fontId="92" fillId="0" borderId="0" xfId="50" applyFont="1" applyBorder="1">
      <alignment vertical="center"/>
    </xf>
    <xf numFmtId="171" fontId="77" fillId="0" borderId="0" xfId="53" applyFont="1" applyFill="1" applyBorder="1">
      <alignment horizontal="right"/>
    </xf>
    <xf numFmtId="166" fontId="77" fillId="0" borderId="0" xfId="48" applyFont="1" applyFill="1" applyBorder="1">
      <alignment horizontal="right"/>
    </xf>
    <xf numFmtId="171" fontId="78" fillId="0" borderId="0" xfId="53" applyFont="1" applyFill="1" applyBorder="1">
      <alignment horizontal="right"/>
    </xf>
    <xf numFmtId="0" fontId="83" fillId="0" borderId="0" xfId="57" applyFont="1" applyFill="1"/>
    <xf numFmtId="0" fontId="86" fillId="0" borderId="0" xfId="46" applyFont="1" applyFill="1">
      <alignment horizontal="centerContinuous"/>
    </xf>
    <xf numFmtId="175" fontId="98" fillId="0" borderId="0" xfId="54" applyFont="1" applyFill="1">
      <alignment horizontal="right"/>
    </xf>
    <xf numFmtId="0" fontId="80" fillId="0" borderId="0" xfId="49" applyFont="1" applyFill="1"/>
    <xf numFmtId="181" fontId="80" fillId="0" borderId="0" xfId="52" applyNumberFormat="1" applyFont="1" applyFill="1">
      <alignment horizontal="right"/>
    </xf>
    <xf numFmtId="171" fontId="77" fillId="0" borderId="32" xfId="53" applyFont="1" applyFill="1" applyBorder="1">
      <alignment horizontal="right"/>
    </xf>
    <xf numFmtId="166" fontId="77" fillId="0" borderId="32" xfId="48" applyFont="1" applyFill="1" applyBorder="1">
      <alignment horizontal="right"/>
    </xf>
    <xf numFmtId="166" fontId="77" fillId="0" borderId="31" xfId="48" applyFont="1" applyFill="1" applyBorder="1">
      <alignment horizontal="right"/>
    </xf>
    <xf numFmtId="0" fontId="93" fillId="0" borderId="0" xfId="51" applyFont="1" applyBorder="1">
      <alignment vertical="center"/>
    </xf>
    <xf numFmtId="0" fontId="93" fillId="0" borderId="0" xfId="51" applyFont="1" applyBorder="1" applyAlignment="1">
      <alignment horizontal="right" vertical="center"/>
    </xf>
    <xf numFmtId="0" fontId="93" fillId="0" borderId="0" xfId="50" applyFont="1" applyBorder="1">
      <alignment vertical="center"/>
    </xf>
    <xf numFmtId="0" fontId="93" fillId="0" borderId="0" xfId="50" applyFont="1" applyBorder="1" applyAlignment="1">
      <alignment horizontal="right" vertical="center"/>
    </xf>
    <xf numFmtId="0" fontId="93" fillId="0" borderId="27" xfId="50" applyFont="1" applyBorder="1">
      <alignment vertical="center"/>
    </xf>
    <xf numFmtId="0" fontId="93" fillId="0" borderId="27" xfId="50" applyFont="1" applyBorder="1" applyAlignment="1">
      <alignment horizontal="right" vertical="center"/>
    </xf>
    <xf numFmtId="0" fontId="66" fillId="23" borderId="0" xfId="46" applyFont="1" applyFill="1" applyAlignment="1">
      <alignment horizontal="right"/>
    </xf>
    <xf numFmtId="186" fontId="81" fillId="0" borderId="32" xfId="112" applyNumberFormat="1" applyFont="1" applyBorder="1" applyAlignment="1">
      <alignment horizontal="left" vertical="center"/>
    </xf>
    <xf numFmtId="0" fontId="83" fillId="0" borderId="31" xfId="57" applyFont="1" applyFill="1" applyBorder="1"/>
    <xf numFmtId="179" fontId="77" fillId="0" borderId="31" xfId="92" quotePrefix="1" applyFont="1" applyFill="1" applyBorder="1"/>
    <xf numFmtId="0" fontId="77" fillId="0" borderId="31" xfId="56" applyFont="1" applyFill="1" applyBorder="1"/>
    <xf numFmtId="181" fontId="66" fillId="0" borderId="35" xfId="52" applyNumberFormat="1" applyFont="1" applyFill="1" applyBorder="1">
      <alignment horizontal="right"/>
    </xf>
    <xf numFmtId="166" fontId="77" fillId="0" borderId="0" xfId="105" applyFont="1" applyFill="1" applyBorder="1" applyAlignment="1">
      <alignment horizontal="right"/>
    </xf>
    <xf numFmtId="0" fontId="65" fillId="25" borderId="0" xfId="125" applyFont="1" applyFill="1" applyAlignment="1">
      <alignment horizontal="left" wrapText="1"/>
    </xf>
    <xf numFmtId="0" fontId="65" fillId="25" borderId="58" xfId="125" applyFont="1" applyFill="1" applyBorder="1" applyAlignment="1">
      <alignment horizontal="left" wrapText="1"/>
    </xf>
    <xf numFmtId="167" fontId="66" fillId="23" borderId="58" xfId="126" applyNumberFormat="1" applyFont="1" applyFill="1" applyBorder="1" applyAlignment="1">
      <alignment horizontal="right"/>
    </xf>
    <xf numFmtId="167" fontId="66" fillId="23" borderId="48" xfId="126" applyNumberFormat="1" applyFont="1" applyFill="1" applyBorder="1" applyAlignment="1">
      <alignment horizontal="right"/>
    </xf>
    <xf numFmtId="186" fontId="69" fillId="21" borderId="58" xfId="112" applyNumberFormat="1" applyFont="1" applyFill="1" applyBorder="1" applyAlignment="1">
      <alignment horizontal="left" vertical="center"/>
    </xf>
    <xf numFmtId="191" fontId="69" fillId="21" borderId="50" xfId="127" applyNumberFormat="1" applyFont="1" applyFill="1" applyBorder="1" applyAlignment="1">
      <alignment horizontal="right" vertical="center"/>
    </xf>
    <xf numFmtId="191" fontId="69" fillId="21" borderId="58" xfId="127" applyNumberFormat="1" applyFont="1" applyFill="1" applyBorder="1" applyAlignment="1">
      <alignment horizontal="right" vertical="center"/>
    </xf>
    <xf numFmtId="169" fontId="100" fillId="0" borderId="0" xfId="126" applyNumberFormat="1" applyFont="1"/>
    <xf numFmtId="167" fontId="66" fillId="23" borderId="31" xfId="126" applyNumberFormat="1" applyFont="1" applyFill="1" applyBorder="1" applyAlignment="1">
      <alignment horizontal="right"/>
    </xf>
    <xf numFmtId="186" fontId="101" fillId="21" borderId="0" xfId="112" applyNumberFormat="1" applyFont="1" applyFill="1" applyAlignment="1">
      <alignment horizontal="left" vertical="center"/>
    </xf>
    <xf numFmtId="194" fontId="69" fillId="21" borderId="0" xfId="127" applyNumberFormat="1" applyFont="1" applyFill="1" applyAlignment="1">
      <alignment horizontal="right" vertical="center"/>
    </xf>
    <xf numFmtId="186" fontId="69" fillId="21" borderId="0" xfId="112" applyNumberFormat="1" applyFont="1" applyFill="1" applyAlignment="1">
      <alignment horizontal="left" vertical="center" indent="1"/>
    </xf>
    <xf numFmtId="191" fontId="69" fillId="21" borderId="0" xfId="127" applyNumberFormat="1" applyFont="1" applyFill="1" applyAlignment="1">
      <alignment horizontal="right" vertical="center"/>
    </xf>
    <xf numFmtId="187" fontId="69" fillId="21" borderId="0" xfId="50" applyNumberFormat="1" applyFont="1" applyFill="1">
      <alignment vertical="center"/>
    </xf>
    <xf numFmtId="0" fontId="100" fillId="0" borderId="0" xfId="126" quotePrefix="1" applyFont="1" applyAlignment="1">
      <alignment horizontal="right"/>
    </xf>
    <xf numFmtId="171" fontId="69" fillId="0" borderId="31" xfId="53" applyFont="1" applyBorder="1" applyAlignment="1"/>
    <xf numFmtId="9" fontId="100" fillId="0" borderId="0" xfId="126" applyNumberFormat="1" applyFont="1" applyAlignment="1">
      <alignment horizontal="right"/>
    </xf>
    <xf numFmtId="195" fontId="66" fillId="0" borderId="31" xfId="50" applyNumberFormat="1" applyFont="1" applyBorder="1">
      <alignment vertical="center"/>
    </xf>
    <xf numFmtId="186" fontId="74" fillId="21" borderId="0" xfId="112" applyNumberFormat="1" applyFont="1" applyFill="1" applyAlignment="1">
      <alignment horizontal="left" vertical="center"/>
    </xf>
    <xf numFmtId="195" fontId="66" fillId="0" borderId="0" xfId="50" applyNumberFormat="1" applyFont="1" applyBorder="1">
      <alignment vertical="center"/>
    </xf>
    <xf numFmtId="191" fontId="82" fillId="21" borderId="0" xfId="127" applyNumberFormat="1" applyFont="1" applyFill="1" applyAlignment="1">
      <alignment horizontal="right" vertical="center"/>
    </xf>
    <xf numFmtId="0" fontId="100" fillId="0" borderId="0" xfId="126" applyFont="1"/>
    <xf numFmtId="0" fontId="103" fillId="24" borderId="0" xfId="125" applyFont="1" applyFill="1" applyAlignment="1">
      <alignment horizontal="left" vertical="center"/>
    </xf>
    <xf numFmtId="0" fontId="102" fillId="24" borderId="0" xfId="125" applyFont="1" applyFill="1" applyAlignment="1">
      <alignment horizontal="left"/>
    </xf>
    <xf numFmtId="192" fontId="19" fillId="0" borderId="0" xfId="127" applyNumberFormat="1" applyFont="1"/>
    <xf numFmtId="0" fontId="104" fillId="0" borderId="0" xfId="0" applyFont="1"/>
    <xf numFmtId="0" fontId="103" fillId="0" borderId="0" xfId="51" applyFont="1" applyBorder="1">
      <alignment vertical="center"/>
    </xf>
    <xf numFmtId="0" fontId="103" fillId="0" borderId="0" xfId="51" applyFont="1" applyBorder="1" applyAlignment="1">
      <alignment horizontal="right" vertical="center"/>
    </xf>
    <xf numFmtId="0" fontId="103" fillId="0" borderId="0" xfId="50" applyFont="1">
      <alignment vertical="center"/>
    </xf>
    <xf numFmtId="0" fontId="103" fillId="0" borderId="0" xfId="50" applyFont="1" applyAlignment="1">
      <alignment horizontal="right" vertical="center"/>
    </xf>
    <xf numFmtId="0" fontId="103" fillId="0" borderId="0" xfId="50" applyFont="1" applyBorder="1">
      <alignment vertical="center"/>
    </xf>
    <xf numFmtId="0" fontId="100" fillId="0" borderId="0" xfId="126" applyFont="1" applyBorder="1"/>
    <xf numFmtId="0" fontId="92" fillId="0" borderId="93" xfId="50" applyFont="1" applyBorder="1">
      <alignment vertical="center"/>
    </xf>
    <xf numFmtId="0" fontId="85" fillId="21" borderId="13" xfId="50" applyFont="1" applyFill="1" applyBorder="1" applyAlignment="1">
      <alignment horizontal="right" vertical="center"/>
    </xf>
    <xf numFmtId="0" fontId="85" fillId="21" borderId="15" xfId="50" applyFont="1" applyFill="1" applyBorder="1" applyAlignment="1">
      <alignment horizontal="right" vertical="center"/>
    </xf>
    <xf numFmtId="0" fontId="85" fillId="21" borderId="0" xfId="50" applyFont="1" applyFill="1" applyBorder="1" applyAlignment="1">
      <alignment horizontal="right" vertical="center"/>
    </xf>
    <xf numFmtId="0" fontId="105" fillId="24" borderId="0" xfId="125" applyFont="1" applyFill="1" applyAlignment="1">
      <alignment horizontal="left"/>
    </xf>
    <xf numFmtId="186" fontId="100" fillId="0" borderId="0" xfId="126" applyNumberFormat="1" applyFont="1"/>
    <xf numFmtId="191" fontId="82" fillId="35" borderId="0" xfId="127" applyNumberFormat="1" applyFont="1" applyFill="1" applyAlignment="1">
      <alignment horizontal="right" vertical="center"/>
    </xf>
    <xf numFmtId="166" fontId="109" fillId="21" borderId="58" xfId="105" applyFont="1" applyFill="1" applyBorder="1" applyAlignment="1">
      <alignment horizontal="right" vertical="center"/>
    </xf>
    <xf numFmtId="171" fontId="82" fillId="35" borderId="31" xfId="53" applyFont="1" applyFill="1" applyBorder="1" applyAlignment="1"/>
    <xf numFmtId="0" fontId="58" fillId="24" borderId="0" xfId="144" applyFont="1" applyFill="1" applyAlignment="1">
      <alignment horizontal="left" vertical="center"/>
    </xf>
    <xf numFmtId="0" fontId="59" fillId="24" borderId="0" xfId="144" applyFont="1" applyFill="1" applyAlignment="1">
      <alignment horizontal="left" vertical="center"/>
    </xf>
    <xf numFmtId="0" fontId="59" fillId="24" borderId="31" xfId="144" applyFont="1" applyFill="1" applyBorder="1" applyAlignment="1">
      <alignment horizontal="left" vertical="center"/>
    </xf>
    <xf numFmtId="0" fontId="58" fillId="24" borderId="0" xfId="144" applyFont="1" applyFill="1" applyAlignment="1">
      <alignment horizontal="left"/>
    </xf>
    <xf numFmtId="0" fontId="65" fillId="25" borderId="29" xfId="144" applyFont="1" applyFill="1" applyBorder="1" applyAlignment="1">
      <alignment horizontal="left" wrapText="1"/>
    </xf>
    <xf numFmtId="167" fontId="66" fillId="23" borderId="31" xfId="96" applyNumberFormat="1" applyFont="1" applyFill="1" applyBorder="1" applyAlignment="1">
      <alignment horizontal="right"/>
    </xf>
    <xf numFmtId="186" fontId="69" fillId="21" borderId="0" xfId="50" applyNumberFormat="1" applyFont="1" applyFill="1" applyAlignment="1">
      <alignment horizontal="right" vertical="center"/>
    </xf>
    <xf numFmtId="171" fontId="69" fillId="0" borderId="0" xfId="53" applyFont="1">
      <alignment horizontal="right"/>
    </xf>
    <xf numFmtId="9" fontId="69" fillId="21" borderId="0" xfId="143" applyFont="1" applyFill="1" applyAlignment="1">
      <alignment horizontal="right" vertical="center"/>
    </xf>
    <xf numFmtId="186" fontId="69" fillId="33" borderId="0" xfId="112" applyNumberFormat="1" applyFont="1" applyFill="1" applyAlignment="1">
      <alignment horizontal="right" vertical="center"/>
    </xf>
    <xf numFmtId="186" fontId="71" fillId="33" borderId="0" xfId="112" applyNumberFormat="1" applyFont="1" applyFill="1" applyAlignment="1">
      <alignment horizontal="right" vertical="center"/>
    </xf>
    <xf numFmtId="0" fontId="110" fillId="0" borderId="0" xfId="117" applyFont="1"/>
    <xf numFmtId="0" fontId="111" fillId="0" borderId="0" xfId="118" applyFont="1" applyAlignment="1">
      <alignment horizontal="left"/>
    </xf>
    <xf numFmtId="0" fontId="110" fillId="0" borderId="111" xfId="117" applyFont="1" applyBorder="1"/>
    <xf numFmtId="0" fontId="112" fillId="0" borderId="0" xfId="117" applyFont="1"/>
    <xf numFmtId="0" fontId="113" fillId="41" borderId="0" xfId="117" applyFont="1" applyFill="1" applyAlignment="1">
      <alignment horizontal="center"/>
    </xf>
    <xf numFmtId="192" fontId="114" fillId="20" borderId="57" xfId="119" applyNumberFormat="1" applyFont="1" applyFill="1" applyBorder="1" applyAlignment="1" applyProtection="1">
      <alignment horizontal="center" vertical="center"/>
      <protection locked="0"/>
    </xf>
    <xf numFmtId="9" fontId="114" fillId="0" borderId="0" xfId="120" applyFont="1" applyFill="1" applyBorder="1" applyAlignment="1" applyProtection="1">
      <alignment horizontal="center" vertical="center"/>
      <protection locked="0"/>
    </xf>
    <xf numFmtId="0" fontId="110" fillId="0" borderId="0" xfId="117" applyFont="1" applyAlignment="1">
      <alignment horizontal="center"/>
    </xf>
    <xf numFmtId="0" fontId="110" fillId="40" borderId="0" xfId="117" applyFont="1" applyFill="1"/>
    <xf numFmtId="0" fontId="110" fillId="29" borderId="0" xfId="117" applyFont="1" applyFill="1" applyAlignment="1">
      <alignment horizontal="center"/>
    </xf>
    <xf numFmtId="189" fontId="110" fillId="23" borderId="0" xfId="100" applyNumberFormat="1" applyFont="1" applyFill="1"/>
    <xf numFmtId="0" fontId="110" fillId="23" borderId="0" xfId="117" applyFont="1" applyFill="1" applyAlignment="1">
      <alignment horizontal="center"/>
    </xf>
    <xf numFmtId="0" fontId="115" fillId="0" borderId="0" xfId="117" applyFont="1"/>
    <xf numFmtId="0" fontId="116" fillId="0" borderId="0" xfId="0" applyFont="1"/>
    <xf numFmtId="0" fontId="117" fillId="0" borderId="0" xfId="0" applyFont="1"/>
    <xf numFmtId="0" fontId="118" fillId="0" borderId="0" xfId="0" applyFont="1"/>
    <xf numFmtId="0" fontId="119" fillId="0" borderId="0" xfId="0" applyFont="1"/>
    <xf numFmtId="0" fontId="117" fillId="0" borderId="110" xfId="0" applyFont="1" applyBorder="1"/>
    <xf numFmtId="0" fontId="120" fillId="38" borderId="0" xfId="0" applyFont="1" applyFill="1" applyAlignment="1">
      <alignment horizontal="left"/>
    </xf>
    <xf numFmtId="0" fontId="117" fillId="38" borderId="0" xfId="0" applyFont="1" applyFill="1"/>
    <xf numFmtId="0" fontId="113" fillId="38" borderId="0" xfId="0" applyFont="1" applyFill="1" applyAlignment="1">
      <alignment horizontal="right"/>
    </xf>
    <xf numFmtId="0" fontId="113" fillId="38" borderId="0" xfId="0" applyFont="1" applyFill="1" applyAlignment="1">
      <alignment horizontal="right" wrapText="1"/>
    </xf>
    <xf numFmtId="0" fontId="121" fillId="0" borderId="0" xfId="0" applyFont="1"/>
    <xf numFmtId="0" fontId="117" fillId="19" borderId="0" xfId="49" applyFont="1" applyFill="1" applyProtection="1">
      <protection locked="0"/>
    </xf>
    <xf numFmtId="0" fontId="117" fillId="0" borderId="0" xfId="49" applyFont="1" applyFill="1" applyProtection="1">
      <protection locked="0"/>
    </xf>
    <xf numFmtId="0" fontId="117" fillId="19" borderId="0" xfId="49" applyFont="1" applyFill="1"/>
    <xf numFmtId="0" fontId="123" fillId="19" borderId="0" xfId="49" applyFont="1" applyFill="1"/>
    <xf numFmtId="0" fontId="123" fillId="0" borderId="0" xfId="0" applyFont="1"/>
    <xf numFmtId="0" fontId="124" fillId="19" borderId="0" xfId="49" applyFont="1" applyFill="1"/>
    <xf numFmtId="185" fontId="117" fillId="19" borderId="0" xfId="105" applyNumberFormat="1" applyFont="1" applyFill="1"/>
    <xf numFmtId="0" fontId="124" fillId="19" borderId="0" xfId="49" applyFont="1" applyFill="1" applyProtection="1">
      <protection locked="0"/>
    </xf>
    <xf numFmtId="0" fontId="125" fillId="0" borderId="0" xfId="0" applyFont="1"/>
    <xf numFmtId="0" fontId="117" fillId="19" borderId="0" xfId="49" applyFont="1" applyFill="1" applyAlignment="1" applyProtection="1">
      <alignment horizontal="right"/>
      <protection locked="0"/>
    </xf>
    <xf numFmtId="0" fontId="124" fillId="0" borderId="0" xfId="0" applyFont="1"/>
    <xf numFmtId="0" fontId="125" fillId="0" borderId="0" xfId="0" applyFont="1" applyAlignment="1">
      <alignment horizontal="right"/>
    </xf>
    <xf numFmtId="0" fontId="124" fillId="22" borderId="0" xfId="0" applyFont="1" applyFill="1"/>
    <xf numFmtId="0" fontId="110" fillId="19" borderId="0" xfId="0" applyFont="1" applyFill="1" applyAlignment="1">
      <alignment horizontal="left"/>
    </xf>
    <xf numFmtId="9" fontId="117" fillId="0" borderId="0" xfId="0" applyNumberFormat="1" applyFont="1" applyAlignment="1">
      <alignment horizontal="center"/>
    </xf>
    <xf numFmtId="169" fontId="117" fillId="27" borderId="0" xfId="49" quotePrefix="1" applyNumberFormat="1" applyFont="1" applyFill="1" applyAlignment="1" applyProtection="1">
      <alignment horizontal="right"/>
      <protection locked="0"/>
    </xf>
    <xf numFmtId="169" fontId="117" fillId="27" borderId="0" xfId="49" quotePrefix="1" applyNumberFormat="1" applyFont="1" applyFill="1" applyProtection="1">
      <protection locked="0"/>
    </xf>
    <xf numFmtId="169" fontId="117" fillId="27" borderId="0" xfId="49" applyNumberFormat="1" applyFont="1" applyFill="1" applyProtection="1">
      <protection locked="0"/>
    </xf>
    <xf numFmtId="15" fontId="117" fillId="27" borderId="0" xfId="0" applyNumberFormat="1" applyFont="1" applyFill="1"/>
    <xf numFmtId="0" fontId="126" fillId="0" borderId="0" xfId="0" applyFont="1"/>
    <xf numFmtId="177" fontId="117" fillId="27" borderId="0" xfId="105" quotePrefix="1" applyNumberFormat="1" applyFont="1" applyFill="1" applyProtection="1">
      <protection locked="0"/>
    </xf>
    <xf numFmtId="185" fontId="117" fillId="19" borderId="0" xfId="105" applyNumberFormat="1" applyFont="1" applyFill="1" applyProtection="1">
      <protection locked="0"/>
    </xf>
    <xf numFmtId="0" fontId="120" fillId="41" borderId="0" xfId="0" applyFont="1" applyFill="1" applyAlignment="1">
      <alignment horizontal="left"/>
    </xf>
    <xf numFmtId="0" fontId="113" fillId="41" borderId="0" xfId="0" applyFont="1" applyFill="1" applyAlignment="1">
      <alignment horizontal="right"/>
    </xf>
    <xf numFmtId="167" fontId="113" fillId="41" borderId="31" xfId="0" applyNumberFormat="1" applyFont="1" applyFill="1" applyBorder="1"/>
    <xf numFmtId="167" fontId="113" fillId="41" borderId="31" xfId="0" applyNumberFormat="1" applyFont="1" applyFill="1" applyBorder="1" applyAlignment="1">
      <alignment horizontal="right"/>
    </xf>
    <xf numFmtId="167" fontId="113" fillId="41" borderId="0" xfId="0" applyNumberFormat="1" applyFont="1" applyFill="1"/>
    <xf numFmtId="0" fontId="127" fillId="0" borderId="0" xfId="0" applyFont="1"/>
    <xf numFmtId="0" fontId="128" fillId="0" borderId="110" xfId="0" applyFont="1" applyBorder="1"/>
    <xf numFmtId="0" fontId="121" fillId="0" borderId="110" xfId="0" applyFont="1" applyBorder="1"/>
    <xf numFmtId="0" fontId="129" fillId="0" borderId="0" xfId="0" applyFont="1"/>
    <xf numFmtId="0" fontId="117" fillId="0" borderId="58" xfId="0" applyFont="1" applyBorder="1"/>
    <xf numFmtId="0" fontId="123" fillId="0" borderId="58" xfId="0" applyFont="1" applyBorder="1" applyAlignment="1">
      <alignment horizontal="right"/>
    </xf>
    <xf numFmtId="0" fontId="128" fillId="0" borderId="58" xfId="0" applyFont="1" applyBorder="1" applyAlignment="1">
      <alignment horizontal="right"/>
    </xf>
    <xf numFmtId="0" fontId="117" fillId="0" borderId="0" xfId="0" applyFont="1" applyAlignment="1">
      <alignment horizontal="right"/>
    </xf>
    <xf numFmtId="166" fontId="117" fillId="0" borderId="0" xfId="105" applyFont="1" applyAlignment="1">
      <alignment horizontal="right"/>
    </xf>
    <xf numFmtId="166" fontId="117" fillId="0" borderId="0" xfId="0" applyNumberFormat="1" applyFont="1" applyAlignment="1">
      <alignment horizontal="right"/>
    </xf>
    <xf numFmtId="0" fontId="117" fillId="22" borderId="0" xfId="0" applyFont="1" applyFill="1" applyAlignment="1">
      <alignment horizontal="right"/>
    </xf>
    <xf numFmtId="0" fontId="110" fillId="19" borderId="0" xfId="0" applyFont="1" applyFill="1"/>
    <xf numFmtId="193" fontId="110" fillId="19" borderId="0" xfId="119" applyNumberFormat="1" applyFont="1" applyFill="1"/>
    <xf numFmtId="9" fontId="110" fillId="19" borderId="0" xfId="120" applyFont="1" applyFill="1" applyAlignment="1">
      <alignment horizontal="right"/>
    </xf>
    <xf numFmtId="193" fontId="110" fillId="0" borderId="0" xfId="0" applyNumberFormat="1" applyFont="1" applyAlignment="1">
      <alignment horizontal="right"/>
    </xf>
    <xf numFmtId="0" fontId="113" fillId="38" borderId="54" xfId="0" applyFont="1" applyFill="1" applyBorder="1"/>
    <xf numFmtId="0" fontId="113" fillId="38" borderId="55" xfId="0" applyFont="1" applyFill="1" applyBorder="1"/>
    <xf numFmtId="0" fontId="113" fillId="38" borderId="55" xfId="0" applyFont="1" applyFill="1" applyBorder="1" applyAlignment="1">
      <alignment horizontal="right"/>
    </xf>
    <xf numFmtId="0" fontId="113" fillId="38" borderId="53" xfId="0" applyFont="1" applyFill="1" applyBorder="1" applyAlignment="1">
      <alignment horizontal="right"/>
    </xf>
    <xf numFmtId="0" fontId="110" fillId="19" borderId="56" xfId="0" applyFont="1" applyFill="1" applyBorder="1"/>
    <xf numFmtId="169" fontId="110" fillId="19" borderId="0" xfId="120" applyNumberFormat="1" applyFont="1" applyFill="1" applyBorder="1" applyAlignment="1">
      <alignment horizontal="right"/>
    </xf>
    <xf numFmtId="169" fontId="110" fillId="22" borderId="0" xfId="120" applyNumberFormat="1" applyFont="1" applyFill="1" applyBorder="1" applyAlignment="1">
      <alignment horizontal="right"/>
    </xf>
    <xf numFmtId="169" fontId="110" fillId="0" borderId="0" xfId="120" applyNumberFormat="1" applyFont="1" applyBorder="1" applyAlignment="1">
      <alignment horizontal="right"/>
    </xf>
    <xf numFmtId="169" fontId="110" fillId="0" borderId="0" xfId="120" applyNumberFormat="1" applyFont="1" applyFill="1" applyBorder="1" applyAlignment="1">
      <alignment horizontal="right"/>
    </xf>
    <xf numFmtId="169" fontId="110" fillId="0" borderId="28" xfId="120" applyNumberFormat="1" applyFont="1" applyFill="1" applyBorder="1" applyAlignment="1">
      <alignment horizontal="right"/>
    </xf>
    <xf numFmtId="169" fontId="110" fillId="19" borderId="0" xfId="120" applyNumberFormat="1" applyFont="1" applyFill="1" applyBorder="1"/>
    <xf numFmtId="169" fontId="110" fillId="19" borderId="28" xfId="120" applyNumberFormat="1" applyFont="1" applyFill="1" applyBorder="1" applyAlignment="1">
      <alignment horizontal="right"/>
    </xf>
    <xf numFmtId="0" fontId="110" fillId="19" borderId="50" xfId="0" applyFont="1" applyFill="1" applyBorder="1"/>
    <xf numFmtId="0" fontId="110" fillId="19" borderId="58" xfId="0" applyFont="1" applyFill="1" applyBorder="1"/>
    <xf numFmtId="169" fontId="110" fillId="19" borderId="58" xfId="120" applyNumberFormat="1" applyFont="1" applyFill="1" applyBorder="1" applyAlignment="1">
      <alignment horizontal="right"/>
    </xf>
    <xf numFmtId="169" fontId="110" fillId="0" borderId="58" xfId="120" applyNumberFormat="1" applyFont="1" applyBorder="1" applyAlignment="1">
      <alignment horizontal="right"/>
    </xf>
    <xf numFmtId="169" fontId="110" fillId="0" borderId="58" xfId="120" applyNumberFormat="1" applyFont="1" applyFill="1" applyBorder="1" applyAlignment="1">
      <alignment horizontal="right"/>
    </xf>
    <xf numFmtId="169" fontId="110" fillId="0" borderId="48" xfId="120" applyNumberFormat="1" applyFont="1" applyFill="1" applyBorder="1" applyAlignment="1">
      <alignment horizontal="right"/>
    </xf>
    <xf numFmtId="0" fontId="128" fillId="0" borderId="0" xfId="0" applyFont="1" applyAlignment="1">
      <alignment horizontal="right"/>
    </xf>
    <xf numFmtId="0" fontId="130" fillId="0" borderId="0" xfId="0" applyFont="1"/>
    <xf numFmtId="186" fontId="127" fillId="0" borderId="102" xfId="112" applyNumberFormat="1" applyFont="1" applyBorder="1" applyAlignment="1">
      <alignment horizontal="left" vertical="center"/>
    </xf>
    <xf numFmtId="186" fontId="127" fillId="0" borderId="0" xfId="112" applyNumberFormat="1" applyFont="1" applyAlignment="1">
      <alignment horizontal="left" vertical="center"/>
    </xf>
    <xf numFmtId="186" fontId="127" fillId="0" borderId="0" xfId="112" applyNumberFormat="1" applyFont="1" applyAlignment="1">
      <alignment horizontal="right" vertical="center"/>
    </xf>
    <xf numFmtId="186" fontId="127" fillId="0" borderId="103" xfId="112" applyNumberFormat="1" applyFont="1" applyBorder="1" applyAlignment="1">
      <alignment horizontal="right" vertical="center"/>
    </xf>
    <xf numFmtId="186" fontId="110" fillId="0" borderId="102" xfId="112" applyNumberFormat="1" applyFont="1" applyBorder="1" applyAlignment="1">
      <alignment horizontal="left" vertical="center"/>
    </xf>
    <xf numFmtId="186" fontId="110" fillId="0" borderId="0" xfId="112" applyNumberFormat="1" applyFont="1" applyAlignment="1">
      <alignment horizontal="left" vertical="center"/>
    </xf>
    <xf numFmtId="186" fontId="110" fillId="0" borderId="0" xfId="112" applyNumberFormat="1" applyFont="1" applyAlignment="1">
      <alignment horizontal="right" vertical="center"/>
    </xf>
    <xf numFmtId="186" fontId="110" fillId="0" borderId="103" xfId="112" applyNumberFormat="1" applyFont="1" applyBorder="1" applyAlignment="1">
      <alignment horizontal="right" vertical="center"/>
    </xf>
    <xf numFmtId="186" fontId="131" fillId="36" borderId="0" xfId="112" applyNumberFormat="1" applyFont="1" applyFill="1" applyAlignment="1">
      <alignment horizontal="right" vertical="center"/>
    </xf>
    <xf numFmtId="186" fontId="112" fillId="0" borderId="104" xfId="112" applyNumberFormat="1" applyFont="1" applyBorder="1" applyAlignment="1">
      <alignment horizontal="left" vertical="center"/>
    </xf>
    <xf numFmtId="186" fontId="112" fillId="0" borderId="31" xfId="112" applyNumberFormat="1" applyFont="1" applyBorder="1" applyAlignment="1">
      <alignment horizontal="left" vertical="center"/>
    </xf>
    <xf numFmtId="186" fontId="112" fillId="0" borderId="31" xfId="112" applyNumberFormat="1" applyFont="1" applyBorder="1" applyAlignment="1">
      <alignment horizontal="right" vertical="center"/>
    </xf>
    <xf numFmtId="186" fontId="112" fillId="0" borderId="105" xfId="112" applyNumberFormat="1" applyFont="1" applyBorder="1" applyAlignment="1">
      <alignment horizontal="right" vertical="center"/>
    </xf>
    <xf numFmtId="186" fontId="112" fillId="0" borderId="106" xfId="112" applyNumberFormat="1" applyFont="1" applyBorder="1" applyAlignment="1">
      <alignment horizontal="left" vertical="center"/>
    </xf>
    <xf numFmtId="186" fontId="112" fillId="0" borderId="107" xfId="112" applyNumberFormat="1" applyFont="1" applyBorder="1" applyAlignment="1">
      <alignment horizontal="left" vertical="center"/>
    </xf>
    <xf numFmtId="186" fontId="112" fillId="0" borderId="107" xfId="112" applyNumberFormat="1" applyFont="1" applyBorder="1" applyAlignment="1">
      <alignment horizontal="right" vertical="center"/>
    </xf>
    <xf numFmtId="186" fontId="112" fillId="0" borderId="108" xfId="112" applyNumberFormat="1" applyFont="1" applyBorder="1" applyAlignment="1">
      <alignment horizontal="right" vertical="center"/>
    </xf>
    <xf numFmtId="0" fontId="117" fillId="0" borderId="106" xfId="0" applyFont="1" applyBorder="1"/>
    <xf numFmtId="0" fontId="117" fillId="0" borderId="107" xfId="0" applyFont="1" applyBorder="1"/>
    <xf numFmtId="166" fontId="117" fillId="0" borderId="107" xfId="105" applyFont="1" applyBorder="1" applyAlignment="1">
      <alignment horizontal="right"/>
    </xf>
    <xf numFmtId="166" fontId="117" fillId="0" borderId="108" xfId="105" applyFont="1" applyBorder="1" applyAlignment="1">
      <alignment horizontal="right"/>
    </xf>
    <xf numFmtId="0" fontId="117" fillId="0" borderId="102" xfId="0" applyFont="1" applyBorder="1"/>
    <xf numFmtId="166" fontId="117" fillId="0" borderId="0" xfId="105" applyFont="1" applyFill="1" applyBorder="1"/>
    <xf numFmtId="166" fontId="117" fillId="0" borderId="0" xfId="105" applyFont="1" applyFill="1" applyBorder="1" applyAlignment="1">
      <alignment horizontal="right"/>
    </xf>
    <xf numFmtId="166" fontId="117" fillId="0" borderId="103" xfId="105" applyFont="1" applyFill="1" applyBorder="1" applyAlignment="1">
      <alignment horizontal="right"/>
    </xf>
    <xf numFmtId="9" fontId="131" fillId="36" borderId="0" xfId="175" applyFont="1" applyFill="1" applyBorder="1" applyAlignment="1">
      <alignment horizontal="right" vertical="center"/>
    </xf>
    <xf numFmtId="9" fontId="117" fillId="0" borderId="0" xfId="98" applyFont="1" applyFill="1" applyBorder="1" applyAlignment="1">
      <alignment horizontal="right"/>
    </xf>
    <xf numFmtId="9" fontId="117" fillId="0" borderId="103" xfId="98" applyFont="1" applyFill="1" applyBorder="1" applyAlignment="1">
      <alignment horizontal="right"/>
    </xf>
    <xf numFmtId="186" fontId="110" fillId="0" borderId="104" xfId="112" applyNumberFormat="1" applyFont="1" applyBorder="1" applyAlignment="1">
      <alignment horizontal="left" vertical="center"/>
    </xf>
    <xf numFmtId="186" fontId="110" fillId="0" borderId="31" xfId="112" applyNumberFormat="1" applyFont="1" applyBorder="1" applyAlignment="1">
      <alignment horizontal="left" vertical="center"/>
    </xf>
    <xf numFmtId="186" fontId="110" fillId="0" borderId="31" xfId="112" applyNumberFormat="1" applyFont="1" applyBorder="1" applyAlignment="1">
      <alignment horizontal="right" vertical="center"/>
    </xf>
    <xf numFmtId="186" fontId="110" fillId="0" borderId="105" xfId="112" applyNumberFormat="1" applyFont="1" applyBorder="1" applyAlignment="1">
      <alignment horizontal="right" vertical="center"/>
    </xf>
    <xf numFmtId="186" fontId="132" fillId="0" borderId="106" xfId="112" applyNumberFormat="1" applyFont="1" applyBorder="1" applyAlignment="1">
      <alignment horizontal="left" vertical="center"/>
    </xf>
    <xf numFmtId="186" fontId="132" fillId="0" borderId="107" xfId="112" applyNumberFormat="1" applyFont="1" applyBorder="1" applyAlignment="1">
      <alignment horizontal="left" vertical="center"/>
    </xf>
    <xf numFmtId="186" fontId="132" fillId="0" borderId="107" xfId="112" applyNumberFormat="1" applyFont="1" applyBorder="1" applyAlignment="1">
      <alignment horizontal="right" vertical="center"/>
    </xf>
    <xf numFmtId="186" fontId="132" fillId="0" borderId="108" xfId="112" applyNumberFormat="1" applyFont="1" applyBorder="1" applyAlignment="1">
      <alignment horizontal="right" vertical="center"/>
    </xf>
    <xf numFmtId="166" fontId="117" fillId="0" borderId="103" xfId="0" applyNumberFormat="1" applyFont="1" applyBorder="1" applyAlignment="1">
      <alignment horizontal="right"/>
    </xf>
    <xf numFmtId="171" fontId="110" fillId="0" borderId="0" xfId="53" applyFont="1" applyFill="1" applyBorder="1">
      <alignment horizontal="right"/>
    </xf>
    <xf numFmtId="171" fontId="110" fillId="0" borderId="103" xfId="53" applyFont="1" applyFill="1" applyBorder="1">
      <alignment horizontal="right"/>
    </xf>
    <xf numFmtId="9" fontId="110" fillId="0" borderId="0" xfId="175" applyFont="1" applyFill="1" applyBorder="1" applyAlignment="1">
      <alignment horizontal="right" vertical="center"/>
    </xf>
    <xf numFmtId="9" fontId="110" fillId="0" borderId="103" xfId="175" applyFont="1" applyFill="1" applyBorder="1" applyAlignment="1">
      <alignment horizontal="right" vertical="center"/>
    </xf>
    <xf numFmtId="0" fontId="113" fillId="38" borderId="100" xfId="0" applyFont="1" applyFill="1" applyBorder="1"/>
    <xf numFmtId="0" fontId="113" fillId="38" borderId="100" xfId="0" applyFont="1" applyFill="1" applyBorder="1" applyAlignment="1">
      <alignment horizontal="right"/>
    </xf>
    <xf numFmtId="0" fontId="113" fillId="38" borderId="101" xfId="0" applyFont="1" applyFill="1" applyBorder="1" applyAlignment="1">
      <alignment horizontal="right"/>
    </xf>
    <xf numFmtId="186" fontId="117" fillId="0" borderId="102" xfId="0" applyNumberFormat="1" applyFont="1" applyBorder="1"/>
    <xf numFmtId="186" fontId="117" fillId="0" borderId="0" xfId="0" applyNumberFormat="1" applyFont="1" applyAlignment="1">
      <alignment horizontal="right"/>
    </xf>
    <xf numFmtId="186" fontId="117" fillId="0" borderId="103" xfId="0" applyNumberFormat="1" applyFont="1" applyBorder="1" applyAlignment="1">
      <alignment horizontal="right"/>
    </xf>
    <xf numFmtId="0" fontId="113" fillId="41" borderId="100" xfId="0" applyFont="1" applyFill="1" applyBorder="1"/>
    <xf numFmtId="0" fontId="113" fillId="41" borderId="100" xfId="0" applyFont="1" applyFill="1" applyBorder="1" applyAlignment="1">
      <alignment horizontal="right"/>
    </xf>
    <xf numFmtId="0" fontId="113" fillId="41" borderId="101" xfId="0" applyFont="1" applyFill="1" applyBorder="1" applyAlignment="1">
      <alignment horizontal="right"/>
    </xf>
    <xf numFmtId="0" fontId="113" fillId="38" borderId="99" xfId="0" applyFont="1" applyFill="1" applyBorder="1"/>
    <xf numFmtId="0" fontId="133" fillId="41" borderId="99" xfId="0" applyFont="1" applyFill="1" applyBorder="1"/>
    <xf numFmtId="0" fontId="134" fillId="24" borderId="0" xfId="174" applyFont="1" applyFill="1" applyAlignment="1">
      <alignment horizontal="left" vertical="center"/>
    </xf>
    <xf numFmtId="0" fontId="135" fillId="0" borderId="0" xfId="51" applyFont="1" applyBorder="1">
      <alignment vertical="center"/>
    </xf>
    <xf numFmtId="0" fontId="136" fillId="0" borderId="0" xfId="0" applyFont="1" applyAlignment="1">
      <alignment horizontal="left"/>
    </xf>
    <xf numFmtId="0" fontId="136" fillId="0" borderId="0" xfId="0" applyFont="1"/>
    <xf numFmtId="0" fontId="137" fillId="24" borderId="0" xfId="174" applyFont="1" applyFill="1" applyAlignment="1">
      <alignment horizontal="left" vertical="center"/>
    </xf>
    <xf numFmtId="0" fontId="135" fillId="0" borderId="0" xfId="50" applyFont="1">
      <alignment vertical="center"/>
    </xf>
    <xf numFmtId="0" fontId="137" fillId="24" borderId="31" xfId="174" applyFont="1" applyFill="1" applyBorder="1" applyAlignment="1">
      <alignment horizontal="left" vertical="center"/>
    </xf>
    <xf numFmtId="0" fontId="135" fillId="0" borderId="31" xfId="50" applyFont="1" applyBorder="1">
      <alignment vertical="center"/>
    </xf>
    <xf numFmtId="0" fontId="138" fillId="24" borderId="0" xfId="174" applyFont="1" applyFill="1" applyAlignment="1">
      <alignment horizontal="left" vertical="center"/>
    </xf>
    <xf numFmtId="0" fontId="135" fillId="0" borderId="0" xfId="50" applyFont="1" applyBorder="1">
      <alignment vertical="center"/>
    </xf>
    <xf numFmtId="0" fontId="139" fillId="42" borderId="0" xfId="174" applyFont="1" applyFill="1" applyAlignment="1">
      <alignment horizontal="left" vertical="center"/>
    </xf>
    <xf numFmtId="0" fontId="140" fillId="41" borderId="0" xfId="50" applyFont="1" applyFill="1" applyBorder="1">
      <alignment vertical="center"/>
    </xf>
    <xf numFmtId="0" fontId="141" fillId="41" borderId="0" xfId="0" applyFont="1" applyFill="1"/>
    <xf numFmtId="0" fontId="142" fillId="41" borderId="0" xfId="0" applyFont="1" applyFill="1" applyAlignment="1">
      <alignment horizontal="left"/>
    </xf>
    <xf numFmtId="0" fontId="142" fillId="41" borderId="0" xfId="0" applyFont="1" applyFill="1"/>
    <xf numFmtId="0" fontId="143" fillId="38" borderId="54" xfId="0" applyFont="1" applyFill="1" applyBorder="1" applyAlignment="1">
      <alignment horizontal="left"/>
    </xf>
    <xf numFmtId="0" fontId="143" fillId="38" borderId="55" xfId="0" applyFont="1" applyFill="1" applyBorder="1" applyAlignment="1">
      <alignment horizontal="right"/>
    </xf>
    <xf numFmtId="0" fontId="143" fillId="38" borderId="53" xfId="0" applyFont="1" applyFill="1" applyBorder="1" applyAlignment="1">
      <alignment horizontal="right"/>
    </xf>
    <xf numFmtId="166" fontId="136" fillId="0" borderId="56" xfId="105" applyFont="1" applyBorder="1" applyAlignment="1">
      <alignment horizontal="left"/>
    </xf>
    <xf numFmtId="185" fontId="136" fillId="33" borderId="0" xfId="105" applyNumberFormat="1" applyFont="1" applyFill="1" applyBorder="1"/>
    <xf numFmtId="185" fontId="136" fillId="0" borderId="0" xfId="105" applyNumberFormat="1" applyFont="1" applyBorder="1"/>
    <xf numFmtId="185" fontId="136" fillId="33" borderId="28" xfId="105" applyNumberFormat="1" applyFont="1" applyFill="1" applyBorder="1"/>
    <xf numFmtId="166" fontId="136" fillId="0" borderId="50" xfId="105" applyFont="1" applyBorder="1" applyAlignment="1">
      <alignment horizontal="left"/>
    </xf>
    <xf numFmtId="185" fontId="136" fillId="33" borderId="58" xfId="105" applyNumberFormat="1" applyFont="1" applyFill="1" applyBorder="1"/>
    <xf numFmtId="185" fontId="136" fillId="0" borderId="58" xfId="105" applyNumberFormat="1" applyFont="1" applyBorder="1"/>
    <xf numFmtId="185" fontId="136" fillId="33" borderId="48" xfId="105" applyNumberFormat="1" applyFont="1" applyFill="1" applyBorder="1"/>
    <xf numFmtId="166" fontId="136" fillId="36" borderId="50" xfId="105" applyFont="1" applyFill="1" applyBorder="1" applyAlignment="1">
      <alignment horizontal="left"/>
    </xf>
    <xf numFmtId="185" fontId="136" fillId="36" borderId="58" xfId="105" applyNumberFormat="1" applyFont="1" applyFill="1" applyBorder="1"/>
    <xf numFmtId="185" fontId="136" fillId="36" borderId="48" xfId="105" applyNumberFormat="1" applyFont="1" applyFill="1" applyBorder="1"/>
    <xf numFmtId="0" fontId="138" fillId="0" borderId="0" xfId="174" applyFont="1" applyAlignment="1">
      <alignment horizontal="left" vertical="center"/>
    </xf>
    <xf numFmtId="0" fontId="143" fillId="38" borderId="53" xfId="0" applyFont="1" applyFill="1" applyBorder="1" applyAlignment="1">
      <alignment horizontal="right" wrapText="1"/>
    </xf>
    <xf numFmtId="166" fontId="144" fillId="0" borderId="52" xfId="105" applyFont="1" applyBorder="1" applyAlignment="1">
      <alignment horizontal="left"/>
    </xf>
    <xf numFmtId="185" fontId="144" fillId="0" borderId="77" xfId="0" applyNumberFormat="1" applyFont="1" applyBorder="1"/>
    <xf numFmtId="166" fontId="117" fillId="0" borderId="0" xfId="105" applyFont="1"/>
    <xf numFmtId="185" fontId="117" fillId="0" borderId="0" xfId="105" applyNumberFormat="1" applyFont="1"/>
    <xf numFmtId="0" fontId="136" fillId="0" borderId="56" xfId="0" applyFont="1" applyBorder="1" applyAlignment="1">
      <alignment horizontal="left"/>
    </xf>
    <xf numFmtId="0" fontId="136" fillId="0" borderId="28" xfId="0" applyFont="1" applyBorder="1"/>
    <xf numFmtId="190" fontId="136" fillId="0" borderId="0" xfId="0" applyNumberFormat="1" applyFont="1"/>
    <xf numFmtId="190" fontId="136" fillId="0" borderId="28" xfId="0" applyNumberFormat="1" applyFont="1" applyBorder="1"/>
    <xf numFmtId="185" fontId="144" fillId="0" borderId="52" xfId="105" applyNumberFormat="1" applyFont="1" applyBorder="1" applyAlignment="1">
      <alignment horizontal="left"/>
    </xf>
    <xf numFmtId="185" fontId="144" fillId="0" borderId="77" xfId="105" applyNumberFormat="1" applyFont="1" applyBorder="1"/>
    <xf numFmtId="185" fontId="144" fillId="0" borderId="51" xfId="105" applyNumberFormat="1" applyFont="1" applyBorder="1"/>
    <xf numFmtId="9" fontId="136" fillId="0" borderId="0" xfId="98" applyFont="1" applyBorder="1"/>
    <xf numFmtId="9" fontId="136" fillId="0" borderId="28" xfId="98" applyFont="1" applyBorder="1"/>
    <xf numFmtId="0" fontId="136" fillId="0" borderId="50" xfId="0" applyFont="1" applyBorder="1" applyAlignment="1">
      <alignment horizontal="left"/>
    </xf>
    <xf numFmtId="9" fontId="136" fillId="0" borderId="58" xfId="98" applyFont="1" applyBorder="1"/>
    <xf numFmtId="9" fontId="136" fillId="0" borderId="48" xfId="98" applyFont="1" applyBorder="1"/>
    <xf numFmtId="9" fontId="136" fillId="0" borderId="0" xfId="98" applyFont="1"/>
    <xf numFmtId="9" fontId="143" fillId="38" borderId="55" xfId="0" applyNumberFormat="1" applyFont="1" applyFill="1" applyBorder="1" applyAlignment="1">
      <alignment horizontal="right"/>
    </xf>
    <xf numFmtId="9" fontId="143" fillId="38" borderId="53" xfId="0" applyNumberFormat="1" applyFont="1" applyFill="1" applyBorder="1" applyAlignment="1">
      <alignment horizontal="right"/>
    </xf>
    <xf numFmtId="166" fontId="136" fillId="22" borderId="0" xfId="105" applyFont="1" applyFill="1" applyBorder="1"/>
    <xf numFmtId="166" fontId="136" fillId="0" borderId="0" xfId="105" applyFont="1" applyBorder="1"/>
    <xf numFmtId="166" fontId="136" fillId="0" borderId="28" xfId="105" applyFont="1" applyBorder="1"/>
    <xf numFmtId="166" fontId="144" fillId="0" borderId="77" xfId="105" applyFont="1" applyBorder="1"/>
    <xf numFmtId="166" fontId="144" fillId="0" borderId="51" xfId="105" applyFont="1" applyBorder="1"/>
    <xf numFmtId="0" fontId="143" fillId="38" borderId="56" xfId="0" applyFont="1" applyFill="1" applyBorder="1" applyAlignment="1">
      <alignment horizontal="left"/>
    </xf>
    <xf numFmtId="9" fontId="143" fillId="38" borderId="28" xfId="0" applyNumberFormat="1" applyFont="1" applyFill="1" applyBorder="1" applyAlignment="1">
      <alignment horizontal="right"/>
    </xf>
    <xf numFmtId="0" fontId="136" fillId="22" borderId="0" xfId="0" applyFont="1" applyFill="1"/>
    <xf numFmtId="190" fontId="136" fillId="22" borderId="0" xfId="0" applyNumberFormat="1" applyFont="1" applyFill="1"/>
    <xf numFmtId="9" fontId="121" fillId="0" borderId="0" xfId="0" applyNumberFormat="1" applyFont="1"/>
    <xf numFmtId="0" fontId="145" fillId="0" borderId="0" xfId="0" applyFont="1"/>
    <xf numFmtId="0" fontId="128" fillId="0" borderId="59" xfId="0" applyFont="1" applyBorder="1"/>
    <xf numFmtId="0" fontId="117" fillId="0" borderId="59" xfId="0" applyFont="1" applyBorder="1"/>
    <xf numFmtId="0" fontId="117" fillId="0" borderId="0" xfId="0" applyFont="1" applyAlignment="1">
      <alignment horizontal="center"/>
    </xf>
    <xf numFmtId="0" fontId="117" fillId="0" borderId="0" xfId="49" applyFont="1"/>
    <xf numFmtId="0" fontId="117" fillId="0" borderId="110" xfId="0" applyFont="1" applyBorder="1" applyAlignment="1">
      <alignment horizontal="center"/>
    </xf>
    <xf numFmtId="0" fontId="123" fillId="0" borderId="0" xfId="49" applyFont="1"/>
    <xf numFmtId="0" fontId="128" fillId="0" borderId="0" xfId="49" applyFont="1"/>
    <xf numFmtId="0" fontId="146" fillId="0" borderId="0" xfId="49" applyFont="1"/>
    <xf numFmtId="0" fontId="117" fillId="0" borderId="0" xfId="49" applyFont="1" applyAlignment="1">
      <alignment horizontal="center"/>
    </xf>
    <xf numFmtId="0" fontId="128" fillId="22" borderId="96" xfId="49" applyFont="1" applyFill="1" applyBorder="1" applyAlignment="1">
      <alignment horizontal="center"/>
    </xf>
    <xf numFmtId="0" fontId="128" fillId="37" borderId="96" xfId="49" applyFont="1" applyFill="1" applyBorder="1"/>
    <xf numFmtId="169" fontId="117" fillId="22" borderId="97" xfId="98" applyNumberFormat="1" applyFont="1" applyFill="1" applyBorder="1" applyAlignment="1">
      <alignment horizontal="center"/>
    </xf>
    <xf numFmtId="166" fontId="117" fillId="37" borderId="97" xfId="105" applyFont="1" applyFill="1" applyBorder="1"/>
    <xf numFmtId="0" fontId="117" fillId="23" borderId="0" xfId="49" applyFont="1" applyFill="1" applyBorder="1"/>
    <xf numFmtId="166" fontId="117" fillId="23" borderId="0" xfId="49" applyNumberFormat="1" applyFont="1" applyFill="1" applyBorder="1"/>
    <xf numFmtId="0" fontId="117" fillId="23" borderId="58" xfId="49" applyFont="1" applyFill="1" applyBorder="1"/>
    <xf numFmtId="166" fontId="117" fillId="23" borderId="58" xfId="49" applyNumberFormat="1" applyFont="1" applyFill="1" applyBorder="1"/>
    <xf numFmtId="166" fontId="128" fillId="0" borderId="0" xfId="49" applyNumberFormat="1" applyFont="1"/>
    <xf numFmtId="0" fontId="128" fillId="0" borderId="55" xfId="49" applyFont="1" applyFill="1" applyBorder="1"/>
    <xf numFmtId="166" fontId="128" fillId="0" borderId="55" xfId="49" applyNumberFormat="1" applyFont="1" applyFill="1" applyBorder="1"/>
    <xf numFmtId="0" fontId="117" fillId="23" borderId="0" xfId="49" applyFont="1" applyFill="1"/>
    <xf numFmtId="0" fontId="128" fillId="0" borderId="55" xfId="49" applyFont="1" applyBorder="1"/>
    <xf numFmtId="166" fontId="128" fillId="0" borderId="55" xfId="105" applyFont="1" applyBorder="1"/>
    <xf numFmtId="166" fontId="128" fillId="0" borderId="55" xfId="49" applyNumberFormat="1" applyFont="1" applyBorder="1"/>
    <xf numFmtId="169" fontId="117" fillId="22" borderId="49" xfId="98" applyNumberFormat="1" applyFont="1" applyFill="1" applyBorder="1" applyAlignment="1">
      <alignment horizontal="center"/>
    </xf>
    <xf numFmtId="0" fontId="117" fillId="0" borderId="0" xfId="49" applyFont="1" applyBorder="1"/>
    <xf numFmtId="0" fontId="117" fillId="0" borderId="0" xfId="49" quotePrefix="1" applyFont="1"/>
    <xf numFmtId="169" fontId="117" fillId="0" borderId="0" xfId="98" applyNumberFormat="1" applyFont="1"/>
    <xf numFmtId="0" fontId="128" fillId="36" borderId="96" xfId="49" applyFont="1" applyFill="1" applyBorder="1" applyAlignment="1">
      <alignment horizontal="center"/>
    </xf>
    <xf numFmtId="169" fontId="117" fillId="36" borderId="97" xfId="98" applyNumberFormat="1" applyFont="1" applyFill="1" applyBorder="1" applyAlignment="1">
      <alignment horizontal="center"/>
    </xf>
    <xf numFmtId="169" fontId="117" fillId="36" borderId="49" xfId="98" applyNumberFormat="1" applyFont="1" applyFill="1" applyBorder="1" applyAlignment="1">
      <alignment horizontal="center"/>
    </xf>
    <xf numFmtId="0" fontId="128" fillId="0" borderId="0" xfId="49" applyFont="1" applyFill="1" applyBorder="1"/>
    <xf numFmtId="0" fontId="117" fillId="0" borderId="0" xfId="49" applyFont="1" applyFill="1" applyBorder="1"/>
    <xf numFmtId="0" fontId="117" fillId="0" borderId="0" xfId="49" applyFont="1" applyFill="1"/>
    <xf numFmtId="0" fontId="120" fillId="38" borderId="54" xfId="0" applyFont="1" applyFill="1" applyBorder="1" applyAlignment="1">
      <alignment horizontal="left"/>
    </xf>
    <xf numFmtId="0" fontId="117" fillId="38" borderId="55" xfId="0" applyFont="1" applyFill="1" applyBorder="1"/>
    <xf numFmtId="0" fontId="117" fillId="38" borderId="53" xfId="0" applyFont="1" applyFill="1" applyBorder="1"/>
    <xf numFmtId="0" fontId="113" fillId="38" borderId="54" xfId="0" applyFont="1" applyFill="1" applyBorder="1" applyAlignment="1">
      <alignment horizontal="right"/>
    </xf>
    <xf numFmtId="0" fontId="117" fillId="38" borderId="56" xfId="0" applyFont="1" applyFill="1" applyBorder="1"/>
    <xf numFmtId="0" fontId="117" fillId="38" borderId="28" xfId="0" applyFont="1" applyFill="1" applyBorder="1"/>
    <xf numFmtId="0" fontId="113" fillId="38" borderId="56" xfId="0" applyFont="1" applyFill="1" applyBorder="1" applyAlignment="1">
      <alignment horizontal="right"/>
    </xf>
    <xf numFmtId="166" fontId="147" fillId="0" borderId="0" xfId="105" applyFont="1" applyFill="1"/>
    <xf numFmtId="166" fontId="117" fillId="32" borderId="0" xfId="105" applyFont="1" applyFill="1"/>
    <xf numFmtId="166" fontId="148" fillId="0" borderId="55" xfId="105" applyFont="1" applyFill="1" applyBorder="1"/>
    <xf numFmtId="166" fontId="128" fillId="32" borderId="55" xfId="105" applyFont="1" applyFill="1" applyBorder="1"/>
    <xf numFmtId="0" fontId="147" fillId="0" borderId="0" xfId="49" applyFont="1" applyFill="1"/>
    <xf numFmtId="0" fontId="117" fillId="32" borderId="0" xfId="49" applyFont="1" applyFill="1"/>
    <xf numFmtId="166" fontId="147" fillId="0" borderId="0" xfId="49" applyNumberFormat="1" applyFont="1" applyFill="1"/>
    <xf numFmtId="166" fontId="148" fillId="0" borderId="0" xfId="105" applyFont="1" applyFill="1"/>
    <xf numFmtId="166" fontId="128" fillId="32" borderId="0" xfId="105" applyFont="1" applyFill="1"/>
    <xf numFmtId="0" fontId="117" fillId="0" borderId="55" xfId="49" applyFont="1" applyBorder="1"/>
    <xf numFmtId="166" fontId="147" fillId="0" borderId="55" xfId="105" applyFont="1" applyFill="1" applyBorder="1"/>
    <xf numFmtId="166" fontId="117" fillId="32" borderId="55" xfId="105" applyFont="1" applyFill="1" applyBorder="1"/>
    <xf numFmtId="166" fontId="148" fillId="0" borderId="0" xfId="49" applyNumberFormat="1" applyFont="1" applyFill="1"/>
    <xf numFmtId="0" fontId="149" fillId="0" borderId="0" xfId="0" applyFont="1"/>
    <xf numFmtId="0" fontId="113" fillId="38" borderId="53" xfId="0" applyFont="1" applyFill="1" applyBorder="1" applyAlignment="1">
      <alignment horizontal="right" wrapText="1"/>
    </xf>
    <xf numFmtId="0" fontId="113" fillId="38" borderId="28" xfId="0" applyFont="1" applyFill="1" applyBorder="1" applyAlignment="1">
      <alignment horizontal="right"/>
    </xf>
    <xf numFmtId="0" fontId="128" fillId="36" borderId="0" xfId="49" applyFont="1" applyFill="1" applyAlignment="1">
      <alignment horizontal="center"/>
    </xf>
    <xf numFmtId="0" fontId="110" fillId="0" borderId="0" xfId="0" applyFont="1"/>
    <xf numFmtId="0" fontId="150" fillId="0" borderId="0" xfId="0" applyFont="1"/>
    <xf numFmtId="169" fontId="117" fillId="36" borderId="0" xfId="98" applyNumberFormat="1" applyFont="1" applyFill="1" applyAlignment="1">
      <alignment horizontal="center"/>
    </xf>
    <xf numFmtId="0" fontId="112" fillId="0" borderId="0" xfId="0" applyFont="1"/>
    <xf numFmtId="0" fontId="112" fillId="0" borderId="95" xfId="0" applyFont="1" applyBorder="1"/>
    <xf numFmtId="166" fontId="112" fillId="0" borderId="95" xfId="105" applyFont="1" applyBorder="1"/>
    <xf numFmtId="166" fontId="110" fillId="0" borderId="0" xfId="105" applyFont="1"/>
    <xf numFmtId="0" fontId="128" fillId="35" borderId="77" xfId="0" applyFont="1" applyFill="1" applyBorder="1"/>
    <xf numFmtId="0" fontId="128" fillId="35" borderId="77" xfId="49" applyFont="1" applyFill="1" applyBorder="1"/>
    <xf numFmtId="166" fontId="128" fillId="35" borderId="77" xfId="105" applyFont="1" applyFill="1" applyBorder="1"/>
    <xf numFmtId="0" fontId="113" fillId="0" borderId="0" xfId="0" applyFont="1"/>
    <xf numFmtId="0" fontId="128" fillId="0" borderId="0" xfId="0" applyFont="1"/>
    <xf numFmtId="0" fontId="128" fillId="0" borderId="91" xfId="0" applyFont="1" applyBorder="1"/>
    <xf numFmtId="0" fontId="128" fillId="0" borderId="91" xfId="49" applyFont="1" applyFill="1" applyBorder="1"/>
    <xf numFmtId="166" fontId="128" fillId="0" borderId="91" xfId="105" applyFont="1" applyFill="1" applyBorder="1"/>
    <xf numFmtId="0" fontId="151" fillId="24" borderId="0" xfId="125" applyFont="1" applyFill="1" applyAlignment="1">
      <alignment horizontal="left" vertical="center"/>
    </xf>
    <xf numFmtId="0" fontId="110" fillId="0" borderId="0" xfId="126" applyFont="1"/>
    <xf numFmtId="0" fontId="152" fillId="0" borderId="0" xfId="51" applyFont="1" applyBorder="1">
      <alignment vertical="center"/>
    </xf>
    <xf numFmtId="0" fontId="116" fillId="0" borderId="0" xfId="51" applyFont="1" applyBorder="1" applyAlignment="1">
      <alignment horizontal="right" vertical="center"/>
    </xf>
    <xf numFmtId="0" fontId="151" fillId="0" borderId="0" xfId="51" applyFont="1" applyBorder="1" applyAlignment="1">
      <alignment horizontal="right" vertical="center"/>
    </xf>
    <xf numFmtId="0" fontId="118" fillId="24" borderId="0" xfId="125" applyFont="1" applyFill="1" applyAlignment="1">
      <alignment horizontal="left" vertical="center"/>
    </xf>
    <xf numFmtId="0" fontId="152" fillId="24" borderId="0" xfId="125" applyFont="1" applyFill="1" applyAlignment="1">
      <alignment horizontal="left" vertical="center"/>
    </xf>
    <xf numFmtId="0" fontId="152" fillId="0" borderId="0" xfId="50" applyFont="1">
      <alignment vertical="center"/>
    </xf>
    <xf numFmtId="0" fontId="152" fillId="0" borderId="0" xfId="50" applyFont="1" applyAlignment="1">
      <alignment horizontal="right" vertical="center"/>
    </xf>
    <xf numFmtId="0" fontId="110" fillId="0" borderId="0" xfId="126" applyFont="1" applyBorder="1"/>
    <xf numFmtId="0" fontId="152" fillId="0" borderId="0" xfId="50" applyFont="1" applyBorder="1">
      <alignment vertical="center"/>
    </xf>
    <xf numFmtId="0" fontId="118" fillId="0" borderId="0" xfId="50" applyFont="1" applyBorder="1" applyAlignment="1">
      <alignment horizontal="right" vertical="center"/>
    </xf>
    <xf numFmtId="0" fontId="152" fillId="0" borderId="0" xfId="50" applyFont="1" applyBorder="1" applyAlignment="1">
      <alignment horizontal="right" vertical="center"/>
    </xf>
    <xf numFmtId="0" fontId="110" fillId="0" borderId="110" xfId="126" applyFont="1" applyBorder="1"/>
    <xf numFmtId="0" fontId="116" fillId="24" borderId="0" xfId="125" applyFont="1" applyFill="1" applyAlignment="1">
      <alignment horizontal="left" vertical="center"/>
    </xf>
    <xf numFmtId="0" fontId="113" fillId="38" borderId="54" xfId="126" applyFont="1" applyFill="1" applyBorder="1"/>
    <xf numFmtId="0" fontId="113" fillId="38" borderId="55" xfId="126" applyFont="1" applyFill="1" applyBorder="1"/>
    <xf numFmtId="0" fontId="113" fillId="38" borderId="53" xfId="126" applyFont="1" applyFill="1" applyBorder="1" applyAlignment="1">
      <alignment wrapText="1"/>
    </xf>
    <xf numFmtId="0" fontId="113" fillId="38" borderId="50" xfId="126" applyFont="1" applyFill="1" applyBorder="1"/>
    <xf numFmtId="0" fontId="113" fillId="38" borderId="58" xfId="126" applyFont="1" applyFill="1" applyBorder="1"/>
    <xf numFmtId="182" fontId="113" fillId="38" borderId="58" xfId="126" applyNumberFormat="1" applyFont="1" applyFill="1" applyBorder="1"/>
    <xf numFmtId="0" fontId="113" fillId="38" borderId="48" xfId="126" applyFont="1" applyFill="1" applyBorder="1" applyAlignment="1">
      <alignment horizontal="right" wrapText="1"/>
    </xf>
    <xf numFmtId="0" fontId="112" fillId="0" borderId="54" xfId="126" applyFont="1" applyBorder="1"/>
    <xf numFmtId="0" fontId="112" fillId="0" borderId="55" xfId="126" applyFont="1" applyBorder="1"/>
    <xf numFmtId="0" fontId="110" fillId="0" borderId="55" xfId="126" applyFont="1" applyBorder="1"/>
    <xf numFmtId="192" fontId="112" fillId="0" borderId="55" xfId="127" applyNumberFormat="1" applyFont="1" applyBorder="1"/>
    <xf numFmtId="192" fontId="112" fillId="0" borderId="53" xfId="127" applyNumberFormat="1" applyFont="1" applyBorder="1"/>
    <xf numFmtId="0" fontId="112" fillId="0" borderId="56" xfId="126" applyFont="1" applyBorder="1"/>
    <xf numFmtId="0" fontId="112" fillId="0" borderId="0" xfId="126" applyFont="1" applyBorder="1"/>
    <xf numFmtId="0" fontId="110" fillId="0" borderId="56" xfId="126" applyFont="1" applyBorder="1"/>
    <xf numFmtId="0" fontId="110" fillId="0" borderId="28" xfId="126" applyFont="1" applyBorder="1"/>
    <xf numFmtId="192" fontId="110" fillId="0" borderId="0" xfId="127" applyNumberFormat="1" applyFont="1" applyBorder="1"/>
    <xf numFmtId="192" fontId="110" fillId="0" borderId="28" xfId="127" applyNumberFormat="1" applyFont="1" applyBorder="1"/>
    <xf numFmtId="193" fontId="110" fillId="0" borderId="0" xfId="127" applyNumberFormat="1" applyFont="1"/>
    <xf numFmtId="0" fontId="112" fillId="0" borderId="50" xfId="126" applyFont="1" applyBorder="1"/>
    <xf numFmtId="0" fontId="112" fillId="0" borderId="58" xfId="126" applyFont="1" applyBorder="1"/>
    <xf numFmtId="0" fontId="110" fillId="0" borderId="58" xfId="126" applyFont="1" applyBorder="1"/>
    <xf numFmtId="192" fontId="112" fillId="0" borderId="77" xfId="127" applyNumberFormat="1" applyFont="1" applyBorder="1"/>
    <xf numFmtId="192" fontId="112" fillId="0" borderId="51" xfId="127" applyNumberFormat="1" applyFont="1" applyBorder="1"/>
    <xf numFmtId="193" fontId="110" fillId="0" borderId="28" xfId="127" applyNumberFormat="1" applyFont="1" applyBorder="1"/>
    <xf numFmtId="193" fontId="110" fillId="0" borderId="0" xfId="127" applyNumberFormat="1" applyFont="1" applyBorder="1"/>
    <xf numFmtId="168" fontId="110" fillId="0" borderId="0" xfId="127" applyFont="1" applyBorder="1"/>
    <xf numFmtId="169" fontId="131" fillId="36" borderId="98" xfId="126" applyNumberFormat="1" applyFont="1" applyFill="1" applyBorder="1" applyAlignment="1">
      <alignment horizontal="center"/>
    </xf>
    <xf numFmtId="169" fontId="131" fillId="36" borderId="109" xfId="126" applyNumberFormat="1" applyFont="1" applyFill="1" applyBorder="1" applyAlignment="1">
      <alignment horizontal="center"/>
    </xf>
    <xf numFmtId="0" fontId="154" fillId="38" borderId="54" xfId="126" applyFont="1" applyFill="1" applyBorder="1"/>
    <xf numFmtId="0" fontId="154" fillId="38" borderId="55" xfId="126" applyFont="1" applyFill="1" applyBorder="1"/>
    <xf numFmtId="0" fontId="113" fillId="38" borderId="55" xfId="126" applyFont="1" applyFill="1" applyBorder="1" applyAlignment="1">
      <alignment horizontal="right"/>
    </xf>
    <xf numFmtId="0" fontId="113" fillId="38" borderId="53" xfId="126" applyFont="1" applyFill="1" applyBorder="1" applyAlignment="1">
      <alignment horizontal="right"/>
    </xf>
    <xf numFmtId="0" fontId="112" fillId="0" borderId="52" xfId="126" applyFont="1" applyBorder="1"/>
    <xf numFmtId="0" fontId="112" fillId="0" borderId="77" xfId="126" applyFont="1" applyBorder="1"/>
    <xf numFmtId="0" fontId="110" fillId="0" borderId="77" xfId="126" applyFont="1" applyBorder="1"/>
    <xf numFmtId="169" fontId="110" fillId="0" borderId="0" xfId="126" applyNumberFormat="1" applyFont="1" applyBorder="1"/>
    <xf numFmtId="169" fontId="110" fillId="0" borderId="28" xfId="126" applyNumberFormat="1" applyFont="1" applyBorder="1"/>
    <xf numFmtId="168" fontId="110" fillId="0" borderId="28" xfId="127" applyFont="1" applyBorder="1"/>
    <xf numFmtId="192" fontId="110" fillId="0" borderId="77" xfId="127" applyNumberFormat="1" applyFont="1" applyBorder="1"/>
    <xf numFmtId="192" fontId="110" fillId="0" borderId="51" xfId="127" applyNumberFormat="1" applyFont="1" applyBorder="1"/>
    <xf numFmtId="0" fontId="155" fillId="0" borderId="0" xfId="0" applyFont="1"/>
    <xf numFmtId="0" fontId="112" fillId="36" borderId="54" xfId="126" applyFont="1" applyFill="1" applyBorder="1"/>
    <xf numFmtId="0" fontId="112" fillId="36" borderId="55" xfId="126" applyFont="1" applyFill="1" applyBorder="1"/>
    <xf numFmtId="0" fontId="153" fillId="36" borderId="55" xfId="126" applyFont="1" applyFill="1" applyBorder="1"/>
    <xf numFmtId="192" fontId="112" fillId="36" borderId="55" xfId="127" applyNumberFormat="1" applyFont="1" applyFill="1" applyBorder="1"/>
    <xf numFmtId="192" fontId="112" fillId="36" borderId="53" xfId="127" applyNumberFormat="1" applyFont="1" applyFill="1" applyBorder="1"/>
    <xf numFmtId="0" fontId="128" fillId="0" borderId="77" xfId="0" applyFont="1" applyBorder="1"/>
    <xf numFmtId="0" fontId="117" fillId="0" borderId="47" xfId="0" applyFont="1" applyBorder="1"/>
    <xf numFmtId="177" fontId="117" fillId="35" borderId="51" xfId="105" applyNumberFormat="1" applyFont="1" applyFill="1" applyBorder="1"/>
    <xf numFmtId="0" fontId="156" fillId="0" borderId="77" xfId="126" applyFont="1" applyBorder="1"/>
    <xf numFmtId="0" fontId="128" fillId="0" borderId="58" xfId="0" applyFont="1" applyBorder="1"/>
    <xf numFmtId="0" fontId="117" fillId="32" borderId="49" xfId="0" applyFont="1" applyFill="1" applyBorder="1"/>
    <xf numFmtId="177" fontId="117" fillId="35" borderId="48" xfId="105" applyNumberFormat="1" applyFont="1" applyFill="1" applyBorder="1"/>
    <xf numFmtId="192" fontId="110" fillId="0" borderId="0" xfId="127" applyNumberFormat="1" applyFont="1"/>
    <xf numFmtId="0" fontId="116" fillId="0" borderId="0" xfId="49" applyFont="1"/>
    <xf numFmtId="0" fontId="110" fillId="0" borderId="56" xfId="126" applyFont="1" applyBorder="1" applyAlignment="1">
      <alignment horizontal="left"/>
    </xf>
    <xf numFmtId="192" fontId="110" fillId="0" borderId="0" xfId="126" applyNumberFormat="1" applyFont="1" applyBorder="1"/>
    <xf numFmtId="192" fontId="110" fillId="0" borderId="28" xfId="126" applyNumberFormat="1" applyFont="1" applyBorder="1"/>
    <xf numFmtId="192" fontId="131" fillId="36" borderId="0" xfId="126" applyNumberFormat="1" applyFont="1" applyFill="1" applyBorder="1"/>
    <xf numFmtId="192" fontId="117" fillId="0" borderId="28" xfId="126" applyNumberFormat="1" applyFont="1" applyBorder="1"/>
    <xf numFmtId="192" fontId="112" fillId="0" borderId="77" xfId="126" applyNumberFormat="1" applyFont="1" applyBorder="1"/>
    <xf numFmtId="192" fontId="112" fillId="0" borderId="51" xfId="126" applyNumberFormat="1" applyFont="1" applyBorder="1"/>
    <xf numFmtId="0" fontId="127" fillId="0" borderId="0" xfId="49" applyFont="1"/>
    <xf numFmtId="0" fontId="110" fillId="0" borderId="0" xfId="49" applyFont="1"/>
    <xf numFmtId="0" fontId="112" fillId="22" borderId="0" xfId="126" applyFont="1" applyFill="1" applyAlignment="1">
      <alignment horizontal="right"/>
    </xf>
    <xf numFmtId="0" fontId="110" fillId="0" borderId="0" xfId="49" applyFont="1" applyFill="1"/>
    <xf numFmtId="0" fontId="110" fillId="33" borderId="0" xfId="49" applyFont="1" applyFill="1" applyAlignment="1">
      <alignment horizontal="right"/>
    </xf>
    <xf numFmtId="171" fontId="110" fillId="33" borderId="0" xfId="53" applyFont="1" applyFill="1">
      <alignment horizontal="right"/>
    </xf>
    <xf numFmtId="169" fontId="112" fillId="0" borderId="17" xfId="49" applyNumberFormat="1" applyFont="1" applyBorder="1" applyAlignment="1">
      <alignment horizontal="center" vertical="center"/>
    </xf>
    <xf numFmtId="0" fontId="116" fillId="24" borderId="0" xfId="125" applyFont="1" applyFill="1" applyAlignment="1">
      <alignment horizontal="left"/>
    </xf>
    <xf numFmtId="0" fontId="127" fillId="24" borderId="0" xfId="125" applyFont="1" applyFill="1" applyAlignment="1">
      <alignment horizontal="left"/>
    </xf>
    <xf numFmtId="0" fontId="112" fillId="23" borderId="0" xfId="49" applyFont="1" applyFill="1" applyAlignment="1">
      <alignment horizontal="left"/>
    </xf>
    <xf numFmtId="0" fontId="110" fillId="23" borderId="0" xfId="49" applyFont="1" applyFill="1" applyAlignment="1">
      <alignment horizontal="right"/>
    </xf>
    <xf numFmtId="186" fontId="112" fillId="0" borderId="0" xfId="49" applyNumberFormat="1" applyFont="1" applyAlignment="1">
      <alignment horizontal="center" vertical="center"/>
    </xf>
    <xf numFmtId="0" fontId="110" fillId="23" borderId="0" xfId="49" applyFont="1" applyFill="1"/>
    <xf numFmtId="186" fontId="113" fillId="0" borderId="0" xfId="49" applyNumberFormat="1" applyFont="1"/>
    <xf numFmtId="169" fontId="110" fillId="0" borderId="0" xfId="49" applyNumberFormat="1" applyFont="1" applyAlignment="1">
      <alignment horizontal="center"/>
    </xf>
    <xf numFmtId="169" fontId="110" fillId="0" borderId="0" xfId="49" applyNumberFormat="1" applyFont="1"/>
    <xf numFmtId="187" fontId="110" fillId="0" borderId="36" xfId="49" applyNumberFormat="1" applyFont="1" applyBorder="1" applyAlignment="1">
      <alignment horizontal="center"/>
    </xf>
    <xf numFmtId="187" fontId="110" fillId="23" borderId="36" xfId="49" applyNumberFormat="1" applyFont="1" applyFill="1" applyBorder="1" applyAlignment="1">
      <alignment horizontal="center"/>
    </xf>
    <xf numFmtId="187" fontId="110" fillId="0" borderId="92" xfId="49" applyNumberFormat="1" applyFont="1" applyBorder="1" applyAlignment="1">
      <alignment horizontal="center"/>
    </xf>
    <xf numFmtId="187" fontId="112" fillId="23" borderId="36" xfId="49" applyNumberFormat="1" applyFont="1" applyFill="1" applyBorder="1" applyAlignment="1">
      <alignment horizontal="center"/>
    </xf>
    <xf numFmtId="187" fontId="110" fillId="23" borderId="92" xfId="49" applyNumberFormat="1" applyFont="1" applyFill="1" applyBorder="1" applyAlignment="1">
      <alignment horizontal="center"/>
    </xf>
    <xf numFmtId="0" fontId="157" fillId="0" borderId="0" xfId="57" applyFont="1"/>
    <xf numFmtId="0" fontId="158" fillId="0" borderId="0" xfId="49" applyFont="1"/>
    <xf numFmtId="0" fontId="117" fillId="0" borderId="0" xfId="51" applyFont="1" applyBorder="1">
      <alignment vertical="center"/>
    </xf>
    <xf numFmtId="0" fontId="128" fillId="0" borderId="0" xfId="114" applyFont="1" applyAlignment="1">
      <alignment horizontal="right" vertical="center"/>
    </xf>
    <xf numFmtId="0" fontId="127" fillId="24" borderId="0" xfId="114" applyFont="1" applyFill="1" applyAlignment="1">
      <alignment horizontal="right" vertical="center"/>
    </xf>
    <xf numFmtId="0" fontId="159" fillId="0" borderId="0" xfId="51" applyFont="1" applyBorder="1" applyAlignment="1">
      <alignment horizontal="right" vertical="center"/>
    </xf>
    <xf numFmtId="0" fontId="116" fillId="24" borderId="0" xfId="114" applyFont="1" applyFill="1" applyAlignment="1">
      <alignment horizontal="left" vertical="center"/>
    </xf>
    <xf numFmtId="0" fontId="117" fillId="0" borderId="0" xfId="50" applyFont="1">
      <alignment vertical="center"/>
    </xf>
    <xf numFmtId="0" fontId="117" fillId="0" borderId="0" xfId="114" applyFont="1" applyAlignment="1">
      <alignment horizontal="right" vertical="center"/>
    </xf>
    <xf numFmtId="0" fontId="145" fillId="24" borderId="0" xfId="114" applyFont="1" applyFill="1" applyAlignment="1">
      <alignment horizontal="right" vertical="center"/>
    </xf>
    <xf numFmtId="0" fontId="159" fillId="0" borderId="0" xfId="50" applyFont="1" applyAlignment="1">
      <alignment horizontal="right" vertical="center"/>
    </xf>
    <xf numFmtId="0" fontId="145" fillId="24" borderId="30" xfId="114" applyFont="1" applyFill="1" applyBorder="1" applyAlignment="1">
      <alignment horizontal="left" vertical="center"/>
    </xf>
    <xf numFmtId="0" fontId="117" fillId="0" borderId="30" xfId="50" applyFont="1" applyBorder="1">
      <alignment vertical="center"/>
    </xf>
    <xf numFmtId="0" fontId="117" fillId="0" borderId="30" xfId="114" applyFont="1" applyBorder="1" applyAlignment="1">
      <alignment horizontal="right" vertical="center"/>
    </xf>
    <xf numFmtId="0" fontId="110" fillId="0" borderId="0" xfId="49" applyFont="1" applyBorder="1"/>
    <xf numFmtId="0" fontId="160" fillId="0" borderId="0" xfId="50" applyFont="1">
      <alignment vertical="center"/>
    </xf>
    <xf numFmtId="0" fontId="161" fillId="0" borderId="0" xfId="49" applyFont="1"/>
    <xf numFmtId="0" fontId="112" fillId="0" borderId="0" xfId="49" applyFont="1" applyBorder="1"/>
    <xf numFmtId="0" fontId="128" fillId="0" borderId="52" xfId="50" applyFont="1" applyBorder="1">
      <alignment vertical="center"/>
    </xf>
    <xf numFmtId="0" fontId="147" fillId="32" borderId="51" xfId="50" applyFont="1" applyFill="1" applyBorder="1">
      <alignment vertical="center"/>
    </xf>
    <xf numFmtId="0" fontId="113" fillId="38" borderId="78" xfId="112" applyFont="1" applyFill="1" applyBorder="1" applyAlignment="1">
      <alignment horizontal="left" vertical="center"/>
    </xf>
    <xf numFmtId="0" fontId="113" fillId="38" borderId="79" xfId="112" applyFont="1" applyFill="1" applyBorder="1" applyAlignment="1">
      <alignment horizontal="right" vertical="center" wrapText="1"/>
    </xf>
    <xf numFmtId="196" fontId="113" fillId="38" borderId="80" xfId="127" applyNumberFormat="1" applyFont="1" applyFill="1" applyBorder="1" applyAlignment="1">
      <alignment horizontal="right" vertical="center" wrapText="1"/>
    </xf>
    <xf numFmtId="0" fontId="162" fillId="24" borderId="90" xfId="114" applyFont="1" applyFill="1" applyBorder="1" applyAlignment="1">
      <alignment horizontal="left" vertical="center"/>
    </xf>
    <xf numFmtId="0" fontId="163" fillId="0" borderId="58" xfId="49" applyFont="1" applyBorder="1"/>
    <xf numFmtId="0" fontId="117" fillId="0" borderId="58" xfId="49" applyFont="1" applyBorder="1"/>
    <xf numFmtId="197" fontId="129" fillId="19" borderId="81" xfId="112" applyNumberFormat="1" applyFont="1" applyFill="1" applyBorder="1" applyAlignment="1">
      <alignment horizontal="left"/>
    </xf>
    <xf numFmtId="10" fontId="110" fillId="0" borderId="0" xfId="98" applyNumberFormat="1" applyFont="1" applyBorder="1" applyAlignment="1">
      <alignment horizontal="right"/>
    </xf>
    <xf numFmtId="196" fontId="164" fillId="19" borderId="82" xfId="127" applyNumberFormat="1" applyFont="1" applyFill="1" applyBorder="1" applyAlignment="1">
      <alignment horizontal="right"/>
    </xf>
    <xf numFmtId="197" fontId="164" fillId="19" borderId="81" xfId="112" applyNumberFormat="1" applyFont="1" applyFill="1" applyBorder="1" applyAlignment="1">
      <alignment horizontal="left"/>
    </xf>
    <xf numFmtId="169" fontId="110" fillId="19" borderId="0" xfId="97" applyNumberFormat="1" applyFont="1" applyFill="1" applyBorder="1" applyAlignment="1">
      <alignment horizontal="right"/>
    </xf>
    <xf numFmtId="169" fontId="110" fillId="19" borderId="82" xfId="98" applyNumberFormat="1" applyFont="1" applyFill="1" applyBorder="1" applyAlignment="1">
      <alignment horizontal="right"/>
    </xf>
    <xf numFmtId="169" fontId="117" fillId="19" borderId="82" xfId="98" applyNumberFormat="1" applyFont="1" applyFill="1" applyBorder="1" applyAlignment="1">
      <alignment horizontal="right"/>
    </xf>
    <xf numFmtId="197" fontId="165" fillId="19" borderId="83" xfId="112" applyNumberFormat="1" applyFont="1" applyFill="1" applyBorder="1" applyAlignment="1">
      <alignment horizontal="left"/>
    </xf>
    <xf numFmtId="169" fontId="165" fillId="19" borderId="68" xfId="98" applyNumberFormat="1" applyFont="1" applyFill="1" applyBorder="1" applyAlignment="1">
      <alignment horizontal="right"/>
    </xf>
    <xf numFmtId="169" fontId="165" fillId="19" borderId="84" xfId="98" applyNumberFormat="1" applyFont="1" applyFill="1" applyBorder="1" applyAlignment="1">
      <alignment horizontal="right"/>
    </xf>
    <xf numFmtId="197" fontId="165" fillId="19" borderId="85" xfId="112" applyNumberFormat="1" applyFont="1" applyFill="1" applyBorder="1" applyAlignment="1">
      <alignment horizontal="left"/>
    </xf>
    <xf numFmtId="169" fontId="128" fillId="19" borderId="64" xfId="98" applyNumberFormat="1" applyFont="1" applyFill="1" applyBorder="1" applyAlignment="1">
      <alignment horizontal="right"/>
    </xf>
    <xf numFmtId="169" fontId="165" fillId="19" borderId="86" xfId="98" applyNumberFormat="1" applyFont="1" applyFill="1" applyBorder="1" applyAlignment="1">
      <alignment horizontal="right"/>
    </xf>
    <xf numFmtId="169" fontId="166" fillId="19" borderId="0" xfId="112" applyNumberFormat="1" applyFont="1" applyFill="1" applyAlignment="1">
      <alignment horizontal="right"/>
    </xf>
    <xf numFmtId="169" fontId="164" fillId="19" borderId="0" xfId="97" applyNumberFormat="1" applyFont="1" applyFill="1" applyBorder="1" applyAlignment="1">
      <alignment horizontal="right"/>
    </xf>
    <xf numFmtId="169" fontId="164" fillId="19" borderId="82" xfId="98" applyNumberFormat="1" applyFont="1" applyFill="1" applyBorder="1" applyAlignment="1">
      <alignment horizontal="right"/>
    </xf>
    <xf numFmtId="0" fontId="167" fillId="0" borderId="0" xfId="176" applyFont="1"/>
    <xf numFmtId="169" fontId="165" fillId="19" borderId="68" xfId="97" applyNumberFormat="1" applyFont="1" applyFill="1" applyBorder="1" applyAlignment="1">
      <alignment horizontal="right"/>
    </xf>
    <xf numFmtId="10" fontId="164" fillId="19" borderId="0" xfId="97" applyNumberFormat="1" applyFont="1" applyFill="1" applyBorder="1" applyAlignment="1">
      <alignment horizontal="right"/>
    </xf>
    <xf numFmtId="192" fontId="117" fillId="19" borderId="0" xfId="127" applyNumberFormat="1" applyFont="1" applyFill="1" applyBorder="1" applyAlignment="1">
      <alignment horizontal="left"/>
    </xf>
    <xf numFmtId="192" fontId="164" fillId="19" borderId="82" xfId="119" applyNumberFormat="1" applyFont="1" applyFill="1" applyBorder="1" applyAlignment="1">
      <alignment horizontal="right"/>
    </xf>
    <xf numFmtId="10" fontId="117" fillId="19" borderId="0" xfId="97" applyNumberFormat="1" applyFont="1" applyFill="1" applyBorder="1" applyAlignment="1">
      <alignment horizontal="right"/>
    </xf>
    <xf numFmtId="10" fontId="164" fillId="0" borderId="0" xfId="97" applyNumberFormat="1" applyFont="1" applyAlignment="1">
      <alignment horizontal="right"/>
    </xf>
    <xf numFmtId="197" fontId="164" fillId="19" borderId="85" xfId="112" applyNumberFormat="1" applyFont="1" applyFill="1" applyBorder="1" applyAlignment="1">
      <alignment horizontal="left"/>
    </xf>
    <xf numFmtId="169" fontId="164" fillId="32" borderId="64" xfId="97" applyNumberFormat="1" applyFont="1" applyFill="1" applyBorder="1" applyAlignment="1">
      <alignment horizontal="right"/>
    </xf>
    <xf numFmtId="169" fontId="164" fillId="32" borderId="86" xfId="98" applyNumberFormat="1" applyFont="1" applyFill="1" applyBorder="1" applyAlignment="1">
      <alignment horizontal="right"/>
    </xf>
    <xf numFmtId="169" fontId="165" fillId="19" borderId="64" xfId="98" applyNumberFormat="1" applyFont="1" applyFill="1" applyBorder="1" applyAlignment="1">
      <alignment horizontal="right"/>
    </xf>
    <xf numFmtId="197" fontId="165" fillId="19" borderId="87" xfId="112" applyNumberFormat="1" applyFont="1" applyFill="1" applyBorder="1" applyAlignment="1">
      <alignment horizontal="left"/>
    </xf>
    <xf numFmtId="169" fontId="165" fillId="19" borderId="88" xfId="98" applyNumberFormat="1" applyFont="1" applyFill="1" applyBorder="1" applyAlignment="1">
      <alignment horizontal="right"/>
    </xf>
    <xf numFmtId="169" fontId="165" fillId="19" borderId="89" xfId="98" applyNumberFormat="1" applyFont="1" applyFill="1" applyBorder="1" applyAlignment="1">
      <alignment horizontal="right"/>
    </xf>
    <xf numFmtId="0" fontId="116" fillId="24" borderId="0" xfId="114" applyFont="1" applyFill="1" applyAlignment="1">
      <alignment horizontal="left"/>
    </xf>
    <xf numFmtId="0" fontId="168" fillId="0" borderId="0" xfId="49" applyFont="1" applyFill="1" applyBorder="1" applyAlignment="1">
      <alignment horizontal="center" wrapText="1"/>
    </xf>
    <xf numFmtId="0" fontId="128" fillId="0" borderId="0" xfId="49" applyFont="1" applyAlignment="1">
      <alignment horizontal="center"/>
    </xf>
    <xf numFmtId="0" fontId="112" fillId="0" borderId="0" xfId="49" applyFont="1" applyAlignment="1">
      <alignment horizontal="center"/>
    </xf>
    <xf numFmtId="0" fontId="128" fillId="0" borderId="0" xfId="49" applyFont="1" applyAlignment="1">
      <alignment horizontal="center" wrapText="1"/>
    </xf>
    <xf numFmtId="0" fontId="113" fillId="39" borderId="0" xfId="114" applyFont="1" applyFill="1" applyAlignment="1">
      <alignment horizontal="left" wrapText="1"/>
    </xf>
    <xf numFmtId="0" fontId="113" fillId="39" borderId="0" xfId="114" applyFont="1" applyFill="1" applyAlignment="1">
      <alignment horizontal="right" wrapText="1"/>
    </xf>
    <xf numFmtId="0" fontId="128" fillId="0" borderId="0" xfId="49" applyFont="1" applyBorder="1"/>
    <xf numFmtId="0" fontId="128" fillId="0" borderId="0" xfId="49" applyFont="1" applyBorder="1" applyAlignment="1">
      <alignment horizontal="center" wrapText="1"/>
    </xf>
    <xf numFmtId="0" fontId="128" fillId="0" borderId="0" xfId="49" applyFont="1" applyBorder="1" applyAlignment="1">
      <alignment horizontal="center"/>
    </xf>
    <xf numFmtId="0" fontId="169" fillId="0" borderId="0" xfId="49" applyFont="1" applyBorder="1" applyAlignment="1">
      <alignment horizontal="center" wrapText="1"/>
    </xf>
    <xf numFmtId="0" fontId="154" fillId="0" borderId="0" xfId="49" applyFont="1"/>
    <xf numFmtId="186" fontId="164" fillId="24" borderId="32" xfId="114" applyNumberFormat="1" applyFont="1" applyFill="1" applyBorder="1" applyAlignment="1">
      <alignment horizontal="left" vertical="top"/>
    </xf>
    <xf numFmtId="188" fontId="110" fillId="21" borderId="32" xfId="52" applyNumberFormat="1" applyFont="1" applyFill="1" applyBorder="1">
      <alignment horizontal="right"/>
    </xf>
    <xf numFmtId="186" fontId="110" fillId="21" borderId="32" xfId="52" applyNumberFormat="1" applyFont="1" applyFill="1" applyBorder="1">
      <alignment horizontal="right"/>
    </xf>
    <xf numFmtId="169" fontId="110" fillId="21" borderId="32" xfId="98" applyNumberFormat="1" applyFont="1" applyFill="1" applyBorder="1" applyAlignment="1">
      <alignment horizontal="right"/>
    </xf>
    <xf numFmtId="166" fontId="110" fillId="21" borderId="32" xfId="105" applyFont="1" applyFill="1" applyBorder="1" applyAlignment="1">
      <alignment horizontal="right"/>
    </xf>
    <xf numFmtId="188" fontId="110" fillId="0" borderId="32" xfId="59" applyNumberFormat="1" applyFont="1" applyBorder="1">
      <alignment horizontal="right"/>
    </xf>
    <xf numFmtId="188" fontId="110" fillId="21" borderId="32" xfId="59" applyNumberFormat="1" applyFont="1" applyFill="1" applyBorder="1">
      <alignment horizontal="right"/>
    </xf>
    <xf numFmtId="0" fontId="117" fillId="0" borderId="11" xfId="49" applyFont="1" applyBorder="1" applyAlignment="1">
      <alignment horizontal="center"/>
    </xf>
    <xf numFmtId="0" fontId="117" fillId="0" borderId="0" xfId="49" applyFont="1" applyBorder="1" applyAlignment="1">
      <alignment horizontal="center"/>
    </xf>
    <xf numFmtId="10" fontId="117" fillId="0" borderId="0" xfId="98" applyNumberFormat="1" applyFont="1" applyBorder="1" applyAlignment="1">
      <alignment horizontal="right"/>
    </xf>
    <xf numFmtId="2" fontId="110" fillId="0" borderId="0" xfId="59" applyNumberFormat="1" applyFont="1" applyBorder="1" applyAlignment="1">
      <alignment horizontal="center"/>
    </xf>
    <xf numFmtId="0" fontId="110" fillId="0" borderId="0" xfId="49" applyFont="1" applyBorder="1" applyAlignment="1">
      <alignment horizontal="center"/>
    </xf>
    <xf numFmtId="186" fontId="164" fillId="24" borderId="0" xfId="114" applyNumberFormat="1" applyFont="1" applyFill="1" applyAlignment="1">
      <alignment horizontal="left" vertical="top"/>
    </xf>
    <xf numFmtId="188" fontId="110" fillId="21" borderId="0" xfId="52" applyNumberFormat="1" applyFont="1" applyFill="1" applyBorder="1">
      <alignment horizontal="right"/>
    </xf>
    <xf numFmtId="186" fontId="110" fillId="21" borderId="0" xfId="52" applyNumberFormat="1" applyFont="1" applyFill="1" applyBorder="1">
      <alignment horizontal="right"/>
    </xf>
    <xf numFmtId="169" fontId="110" fillId="21" borderId="0" xfId="98" applyNumberFormat="1" applyFont="1" applyFill="1" applyBorder="1" applyAlignment="1">
      <alignment horizontal="right"/>
    </xf>
    <xf numFmtId="166" fontId="110" fillId="21" borderId="0" xfId="105" applyFont="1" applyFill="1" applyBorder="1" applyAlignment="1">
      <alignment horizontal="right"/>
    </xf>
    <xf numFmtId="188" fontId="110" fillId="0" borderId="0" xfId="59" applyNumberFormat="1" applyFont="1" applyBorder="1">
      <alignment horizontal="right"/>
    </xf>
    <xf numFmtId="188" fontId="110" fillId="21" borderId="0" xfId="59" applyNumberFormat="1" applyFont="1" applyFill="1" applyBorder="1">
      <alignment horizontal="right"/>
    </xf>
    <xf numFmtId="0" fontId="117" fillId="0" borderId="32" xfId="49" applyFont="1" applyBorder="1" applyAlignment="1">
      <alignment horizontal="left"/>
    </xf>
    <xf numFmtId="0" fontId="128" fillId="0" borderId="32" xfId="49" applyFont="1" applyBorder="1"/>
    <xf numFmtId="0" fontId="170" fillId="24" borderId="32" xfId="114" applyFont="1" applyFill="1" applyBorder="1" applyAlignment="1">
      <alignment horizontal="left"/>
    </xf>
    <xf numFmtId="169" fontId="171" fillId="21" borderId="32" xfId="98" applyNumberFormat="1" applyFont="1" applyFill="1" applyBorder="1" applyAlignment="1">
      <alignment horizontal="right"/>
    </xf>
    <xf numFmtId="166" fontId="171" fillId="21" borderId="32" xfId="105" applyFont="1" applyFill="1" applyBorder="1" applyAlignment="1">
      <alignment horizontal="right"/>
    </xf>
    <xf numFmtId="188" fontId="171" fillId="21" borderId="32" xfId="105" applyNumberFormat="1" applyFont="1" applyFill="1" applyBorder="1" applyAlignment="1">
      <alignment horizontal="right"/>
    </xf>
    <xf numFmtId="2" fontId="112" fillId="0" borderId="0" xfId="59" applyNumberFormat="1" applyFont="1" applyAlignment="1">
      <alignment horizontal="center"/>
    </xf>
    <xf numFmtId="2" fontId="112" fillId="0" borderId="0" xfId="49" applyNumberFormat="1" applyFont="1" applyAlignment="1">
      <alignment horizontal="center"/>
    </xf>
    <xf numFmtId="0" fontId="112" fillId="0" borderId="0" xfId="49" applyFont="1"/>
    <xf numFmtId="0" fontId="117" fillId="0" borderId="0" xfId="49" applyFont="1" applyAlignment="1">
      <alignment horizontal="left"/>
    </xf>
    <xf numFmtId="0" fontId="170" fillId="24" borderId="0" xfId="114" applyFont="1" applyFill="1" applyAlignment="1">
      <alignment horizontal="left"/>
    </xf>
    <xf numFmtId="169" fontId="171" fillId="21" borderId="0" xfId="98" applyNumberFormat="1" applyFont="1" applyFill="1" applyAlignment="1">
      <alignment horizontal="right"/>
    </xf>
    <xf numFmtId="166" fontId="171" fillId="21" borderId="0" xfId="105" applyFont="1" applyFill="1" applyAlignment="1">
      <alignment horizontal="right"/>
    </xf>
    <xf numFmtId="188" fontId="171" fillId="21" borderId="0" xfId="105" applyNumberFormat="1" applyFont="1" applyFill="1" applyAlignment="1">
      <alignment horizontal="right"/>
    </xf>
    <xf numFmtId="0" fontId="127" fillId="24" borderId="0" xfId="114" applyFont="1" applyFill="1" applyAlignment="1">
      <alignment horizontal="left"/>
    </xf>
    <xf numFmtId="186" fontId="165" fillId="24" borderId="32" xfId="114" applyNumberFormat="1" applyFont="1" applyFill="1" applyBorder="1" applyAlignment="1">
      <alignment horizontal="right" vertical="top"/>
    </xf>
    <xf numFmtId="188" fontId="110" fillId="21" borderId="32" xfId="105" applyNumberFormat="1" applyFont="1" applyFill="1" applyBorder="1" applyAlignment="1">
      <alignment horizontal="right"/>
    </xf>
    <xf numFmtId="186" fontId="165" fillId="24" borderId="0" xfId="114" applyNumberFormat="1" applyFont="1" applyFill="1" applyAlignment="1">
      <alignment horizontal="right" vertical="top"/>
    </xf>
    <xf numFmtId="188" fontId="110" fillId="21" borderId="0" xfId="105" applyNumberFormat="1" applyFont="1" applyFill="1" applyBorder="1" applyAlignment="1">
      <alignment horizontal="right"/>
    </xf>
    <xf numFmtId="186" fontId="165" fillId="0" borderId="31" xfId="114" applyNumberFormat="1" applyFont="1" applyBorder="1" applyAlignment="1">
      <alignment horizontal="right" vertical="top"/>
    </xf>
    <xf numFmtId="169" fontId="110" fillId="0" borderId="31" xfId="98" applyNumberFormat="1" applyFont="1" applyFill="1" applyBorder="1" applyAlignment="1">
      <alignment horizontal="right"/>
    </xf>
    <xf numFmtId="166" fontId="110" fillId="0" borderId="31" xfId="105" applyFont="1" applyFill="1" applyBorder="1" applyAlignment="1">
      <alignment horizontal="right"/>
    </xf>
    <xf numFmtId="188" fontId="110" fillId="0" borderId="31" xfId="105" applyNumberFormat="1" applyFont="1" applyFill="1" applyBorder="1" applyAlignment="1">
      <alignment horizontal="right"/>
    </xf>
    <xf numFmtId="186" fontId="132" fillId="21" borderId="0" xfId="49" applyNumberFormat="1" applyFont="1" applyFill="1" applyAlignment="1">
      <alignment horizontal="right"/>
    </xf>
    <xf numFmtId="0" fontId="128" fillId="0" borderId="0" xfId="49" applyFont="1" applyAlignment="1">
      <alignment horizontal="right"/>
    </xf>
    <xf numFmtId="4" fontId="112" fillId="0" borderId="0" xfId="59" applyNumberFormat="1" applyFont="1" applyAlignment="1">
      <alignment horizontal="center"/>
    </xf>
    <xf numFmtId="169" fontId="110" fillId="21" borderId="0" xfId="98" applyNumberFormat="1" applyFont="1" applyFill="1" applyAlignment="1">
      <alignment horizontal="right"/>
    </xf>
    <xf numFmtId="169" fontId="110" fillId="0" borderId="31" xfId="98" applyNumberFormat="1" applyFont="1" applyBorder="1" applyAlignment="1">
      <alignment horizontal="right"/>
    </xf>
    <xf numFmtId="188" fontId="128" fillId="0" borderId="0" xfId="49" applyNumberFormat="1" applyFont="1"/>
    <xf numFmtId="0" fontId="172" fillId="0" borderId="0" xfId="49" applyFont="1"/>
    <xf numFmtId="175" fontId="172" fillId="0" borderId="0" xfId="54" applyFont="1">
      <alignment horizontal="right"/>
    </xf>
    <xf numFmtId="175" fontId="128" fillId="0" borderId="0" xfId="54" applyFont="1">
      <alignment horizontal="right"/>
    </xf>
    <xf numFmtId="168" fontId="122" fillId="0" borderId="0" xfId="59" applyNumberFormat="1" applyFont="1">
      <alignment horizontal="right"/>
    </xf>
    <xf numFmtId="0" fontId="169" fillId="0" borderId="0" xfId="46" applyFont="1" applyAlignment="1">
      <alignment horizontal="center"/>
    </xf>
    <xf numFmtId="0" fontId="169" fillId="0" borderId="0" xfId="46" applyFont="1">
      <alignment horizontal="centerContinuous"/>
    </xf>
    <xf numFmtId="0" fontId="173" fillId="0" borderId="0" xfId="49" applyFont="1"/>
    <xf numFmtId="0" fontId="127" fillId="24" borderId="31" xfId="114" applyFont="1" applyFill="1" applyBorder="1" applyAlignment="1">
      <alignment horizontal="left"/>
    </xf>
    <xf numFmtId="0" fontId="117" fillId="0" borderId="31" xfId="49" applyFont="1" applyBorder="1"/>
    <xf numFmtId="165" fontId="169" fillId="0" borderId="0" xfId="52" applyFont="1">
      <alignment horizontal="right"/>
    </xf>
    <xf numFmtId="175" fontId="169" fillId="0" borderId="0" xfId="54" applyFont="1">
      <alignment horizontal="right"/>
    </xf>
    <xf numFmtId="186" fontId="165" fillId="24" borderId="0" xfId="114" applyNumberFormat="1" applyFont="1" applyFill="1" applyAlignment="1">
      <alignment horizontal="left" vertical="top"/>
    </xf>
    <xf numFmtId="169" fontId="117" fillId="0" borderId="0" xfId="49" applyNumberFormat="1" applyFont="1"/>
    <xf numFmtId="186" fontId="165" fillId="0" borderId="35" xfId="114" applyNumberFormat="1" applyFont="1" applyBorder="1" applyAlignment="1">
      <alignment horizontal="left" vertical="top"/>
    </xf>
    <xf numFmtId="188" fontId="110" fillId="0" borderId="35" xfId="105" applyNumberFormat="1" applyFont="1" applyFill="1" applyBorder="1" applyAlignment="1">
      <alignment horizontal="right"/>
    </xf>
    <xf numFmtId="0" fontId="128" fillId="0" borderId="33" xfId="57" applyFont="1" applyBorder="1"/>
    <xf numFmtId="0" fontId="174" fillId="0" borderId="33" xfId="57" applyFont="1" applyBorder="1"/>
    <xf numFmtId="0" fontId="174" fillId="0" borderId="0" xfId="57" applyFont="1"/>
    <xf numFmtId="179" fontId="117" fillId="0" borderId="0" xfId="92" quotePrefix="1" applyFont="1"/>
    <xf numFmtId="0" fontId="117" fillId="0" borderId="0" xfId="56" applyFont="1"/>
    <xf numFmtId="0" fontId="123" fillId="0" borderId="0" xfId="56" applyFont="1"/>
    <xf numFmtId="179" fontId="175" fillId="0" borderId="0" xfId="92" quotePrefix="1" applyFont="1"/>
    <xf numFmtId="0" fontId="176" fillId="0" borderId="0" xfId="56" applyFont="1"/>
    <xf numFmtId="0" fontId="117" fillId="24" borderId="30" xfId="114" applyFont="1" applyFill="1" applyBorder="1" applyAlignment="1">
      <alignment horizontal="right" vertical="center"/>
    </xf>
    <xf numFmtId="0" fontId="117" fillId="0" borderId="0" xfId="50" applyFont="1" applyBorder="1" applyAlignment="1">
      <alignment horizontal="right" vertical="center"/>
    </xf>
    <xf numFmtId="0" fontId="178" fillId="0" borderId="0" xfId="49" applyFont="1"/>
    <xf numFmtId="0" fontId="116" fillId="0" borderId="0" xfId="51" applyFont="1" applyBorder="1">
      <alignment vertical="center"/>
    </xf>
    <xf numFmtId="0" fontId="117" fillId="0" borderId="0" xfId="50" applyFont="1" applyBorder="1">
      <alignment vertical="center"/>
    </xf>
    <xf numFmtId="0" fontId="145" fillId="0" borderId="31" xfId="50" applyFont="1" applyBorder="1">
      <alignment vertical="center"/>
    </xf>
    <xf numFmtId="0" fontId="117" fillId="0" borderId="31" xfId="50" applyFont="1" applyBorder="1">
      <alignment vertical="center"/>
    </xf>
    <xf numFmtId="0" fontId="145" fillId="0" borderId="31" xfId="50" applyFont="1" applyBorder="1" applyAlignment="1">
      <alignment horizontal="right" vertical="center"/>
    </xf>
    <xf numFmtId="0" fontId="160" fillId="0" borderId="0" xfId="50" applyFont="1" applyBorder="1">
      <alignment vertical="center"/>
    </xf>
    <xf numFmtId="0" fontId="159" fillId="21" borderId="14" xfId="49" applyFont="1" applyFill="1" applyBorder="1" applyAlignment="1">
      <alignment horizontal="left"/>
    </xf>
    <xf numFmtId="0" fontId="179" fillId="21" borderId="13" xfId="49" applyFont="1" applyFill="1" applyBorder="1" applyAlignment="1">
      <alignment horizontal="right"/>
    </xf>
    <xf numFmtId="0" fontId="179" fillId="21" borderId="13" xfId="49" quotePrefix="1" applyFont="1" applyFill="1" applyBorder="1" applyAlignment="1">
      <alignment horizontal="right"/>
    </xf>
    <xf numFmtId="0" fontId="179" fillId="21" borderId="15" xfId="49" quotePrefix="1" applyFont="1" applyFill="1" applyBorder="1" applyAlignment="1">
      <alignment horizontal="right"/>
    </xf>
    <xf numFmtId="0" fontId="113" fillId="38" borderId="0" xfId="0" applyFont="1" applyFill="1" applyAlignment="1">
      <alignment horizontal="left"/>
    </xf>
    <xf numFmtId="0" fontId="124" fillId="0" borderId="0" xfId="49" applyFont="1" applyAlignment="1">
      <alignment horizontal="center"/>
    </xf>
    <xf numFmtId="0" fontId="113" fillId="38" borderId="31" xfId="0" applyFont="1" applyFill="1" applyBorder="1" applyAlignment="1">
      <alignment horizontal="left"/>
    </xf>
    <xf numFmtId="0" fontId="113" fillId="38" borderId="31" xfId="0" applyFont="1" applyFill="1" applyBorder="1" applyAlignment="1">
      <alignment horizontal="right" wrapText="1"/>
    </xf>
    <xf numFmtId="189" fontId="117" fillId="21" borderId="32" xfId="0" applyNumberFormat="1" applyFont="1" applyFill="1" applyBorder="1" applyAlignment="1">
      <alignment horizontal="left"/>
    </xf>
    <xf numFmtId="186" fontId="117" fillId="21" borderId="32" xfId="0" applyNumberFormat="1" applyFont="1" applyFill="1" applyBorder="1" applyAlignment="1">
      <alignment horizontal="left"/>
    </xf>
    <xf numFmtId="186" fontId="117" fillId="21" borderId="32" xfId="0" applyNumberFormat="1" applyFont="1" applyFill="1" applyBorder="1" applyAlignment="1">
      <alignment horizontal="right"/>
    </xf>
    <xf numFmtId="169" fontId="117" fillId="21" borderId="32" xfId="98" applyNumberFormat="1" applyFont="1" applyFill="1" applyBorder="1" applyAlignment="1">
      <alignment horizontal="right"/>
    </xf>
    <xf numFmtId="171" fontId="117" fillId="21" borderId="32" xfId="0" applyNumberFormat="1" applyFont="1" applyFill="1" applyBorder="1" applyAlignment="1">
      <alignment horizontal="right"/>
    </xf>
    <xf numFmtId="189" fontId="117" fillId="21" borderId="0" xfId="0" applyNumberFormat="1" applyFont="1" applyFill="1" applyAlignment="1">
      <alignment horizontal="left"/>
    </xf>
    <xf numFmtId="186" fontId="117" fillId="21" borderId="0" xfId="0" applyNumberFormat="1" applyFont="1" applyFill="1" applyAlignment="1">
      <alignment horizontal="left"/>
    </xf>
    <xf numFmtId="186" fontId="117" fillId="21" borderId="0" xfId="0" applyNumberFormat="1" applyFont="1" applyFill="1" applyAlignment="1">
      <alignment horizontal="right"/>
    </xf>
    <xf numFmtId="169" fontId="117" fillId="21" borderId="0" xfId="98" applyNumberFormat="1" applyFont="1" applyFill="1" applyBorder="1" applyAlignment="1">
      <alignment horizontal="right"/>
    </xf>
    <xf numFmtId="171" fontId="117" fillId="21" borderId="0" xfId="0" applyNumberFormat="1" applyFont="1" applyFill="1" applyAlignment="1">
      <alignment horizontal="right"/>
    </xf>
    <xf numFmtId="189" fontId="117" fillId="21" borderId="33" xfId="0" applyNumberFormat="1" applyFont="1" applyFill="1" applyBorder="1" applyAlignment="1">
      <alignment horizontal="left"/>
    </xf>
    <xf numFmtId="186" fontId="117" fillId="21" borderId="33" xfId="0" applyNumberFormat="1" applyFont="1" applyFill="1" applyBorder="1" applyAlignment="1">
      <alignment horizontal="left"/>
    </xf>
    <xf numFmtId="186" fontId="117" fillId="21" borderId="33" xfId="0" applyNumberFormat="1" applyFont="1" applyFill="1" applyBorder="1" applyAlignment="1">
      <alignment horizontal="right"/>
    </xf>
    <xf numFmtId="169" fontId="117" fillId="21" borderId="33" xfId="98" applyNumberFormat="1" applyFont="1" applyFill="1" applyBorder="1" applyAlignment="1">
      <alignment horizontal="right"/>
    </xf>
    <xf numFmtId="171" fontId="117" fillId="21" borderId="33" xfId="0" applyNumberFormat="1" applyFont="1" applyFill="1" applyBorder="1" applyAlignment="1">
      <alignment horizontal="right"/>
    </xf>
    <xf numFmtId="189" fontId="180" fillId="21" borderId="0" xfId="0" applyNumberFormat="1" applyFont="1" applyFill="1" applyAlignment="1">
      <alignment horizontal="left"/>
    </xf>
    <xf numFmtId="186" fontId="180" fillId="21" borderId="0" xfId="0" applyNumberFormat="1" applyFont="1" applyFill="1" applyAlignment="1">
      <alignment horizontal="left"/>
    </xf>
    <xf numFmtId="186" fontId="180" fillId="21" borderId="0" xfId="0" applyNumberFormat="1" applyFont="1" applyFill="1" applyAlignment="1">
      <alignment horizontal="right"/>
    </xf>
    <xf numFmtId="169" fontId="180" fillId="21" borderId="0" xfId="98" applyNumberFormat="1" applyFont="1" applyFill="1" applyBorder="1" applyAlignment="1">
      <alignment horizontal="right"/>
    </xf>
    <xf numFmtId="171" fontId="180" fillId="21" borderId="0" xfId="0" applyNumberFormat="1" applyFont="1" applyFill="1" applyAlignment="1">
      <alignment horizontal="right"/>
    </xf>
    <xf numFmtId="169" fontId="117" fillId="0" borderId="0" xfId="98" applyNumberFormat="1" applyFont="1" applyFill="1" applyBorder="1" applyAlignment="1">
      <alignment horizontal="right"/>
    </xf>
    <xf numFmtId="171" fontId="117" fillId="0" borderId="0" xfId="0" applyNumberFormat="1" applyFont="1" applyAlignment="1">
      <alignment horizontal="right"/>
    </xf>
    <xf numFmtId="0" fontId="117" fillId="0" borderId="32" xfId="49" applyFont="1" applyFill="1" applyBorder="1"/>
    <xf numFmtId="186" fontId="117" fillId="0" borderId="32" xfId="0" applyNumberFormat="1" applyFont="1" applyBorder="1" applyAlignment="1">
      <alignment horizontal="right"/>
    </xf>
    <xf numFmtId="169" fontId="117" fillId="0" borderId="32" xfId="98" applyNumberFormat="1" applyFont="1" applyFill="1" applyBorder="1" applyAlignment="1">
      <alignment horizontal="right"/>
    </xf>
    <xf numFmtId="171" fontId="117" fillId="0" borderId="32" xfId="0" applyNumberFormat="1" applyFont="1" applyBorder="1" applyAlignment="1">
      <alignment horizontal="right"/>
    </xf>
    <xf numFmtId="0" fontId="117" fillId="0" borderId="31" xfId="49" applyFont="1" applyFill="1" applyBorder="1"/>
    <xf numFmtId="186" fontId="117" fillId="0" borderId="31" xfId="0" applyNumberFormat="1" applyFont="1" applyBorder="1" applyAlignment="1">
      <alignment horizontal="right"/>
    </xf>
    <xf numFmtId="169" fontId="117" fillId="0" borderId="31" xfId="98" applyNumberFormat="1" applyFont="1" applyFill="1" applyBorder="1" applyAlignment="1">
      <alignment horizontal="right"/>
    </xf>
    <xf numFmtId="171" fontId="117" fillId="0" borderId="31" xfId="0" applyNumberFormat="1" applyFont="1" applyBorder="1" applyAlignment="1">
      <alignment horizontal="right"/>
    </xf>
    <xf numFmtId="0" fontId="181" fillId="0" borderId="0" xfId="49" applyFont="1" applyBorder="1" applyAlignment="1">
      <alignment horizontal="left"/>
    </xf>
    <xf numFmtId="0" fontId="182" fillId="0" borderId="0" xfId="46" applyFont="1">
      <alignment horizontal="centerContinuous"/>
    </xf>
    <xf numFmtId="0" fontId="174" fillId="0" borderId="0" xfId="57" applyFont="1" applyBorder="1"/>
    <xf numFmtId="0" fontId="183" fillId="0" borderId="0" xfId="57" applyFont="1"/>
    <xf numFmtId="0" fontId="184" fillId="0" borderId="0" xfId="49" applyFont="1"/>
    <xf numFmtId="0" fontId="185" fillId="0" borderId="0" xfId="49" applyFont="1"/>
    <xf numFmtId="175" fontId="184" fillId="0" borderId="0" xfId="54" applyFont="1">
      <alignment horizontal="right"/>
    </xf>
    <xf numFmtId="179" fontId="123" fillId="0" borderId="0" xfId="92" quotePrefix="1" applyFont="1"/>
    <xf numFmtId="0" fontId="185" fillId="0" borderId="0" xfId="56" applyFont="1"/>
    <xf numFmtId="0" fontId="186" fillId="0" borderId="0" xfId="49" applyFont="1" applyAlignment="1">
      <alignment horizontal="centerContinuous"/>
    </xf>
    <xf numFmtId="175" fontId="173" fillId="0" borderId="0" xfId="54" applyFont="1">
      <alignment horizontal="right"/>
    </xf>
    <xf numFmtId="181" fontId="173" fillId="0" borderId="0" xfId="52" applyNumberFormat="1" applyFont="1">
      <alignment horizontal="right"/>
    </xf>
    <xf numFmtId="0" fontId="117" fillId="0" borderId="31" xfId="50" applyFont="1" applyBorder="1" applyAlignment="1">
      <alignment horizontal="right" vertical="center"/>
    </xf>
    <xf numFmtId="0" fontId="113" fillId="38" borderId="0" xfId="0" applyFont="1" applyFill="1"/>
    <xf numFmtId="0" fontId="187" fillId="0" borderId="0" xfId="0" applyFont="1"/>
    <xf numFmtId="177" fontId="117" fillId="22" borderId="0" xfId="105" applyNumberFormat="1" applyFont="1" applyFill="1" applyAlignment="1">
      <alignment horizontal="right"/>
    </xf>
    <xf numFmtId="185" fontId="117" fillId="22" borderId="0" xfId="105" applyNumberFormat="1" applyFont="1" applyFill="1" applyAlignment="1">
      <alignment horizontal="right"/>
    </xf>
    <xf numFmtId="0" fontId="117" fillId="37" borderId="97" xfId="0" applyFont="1" applyFill="1" applyBorder="1"/>
    <xf numFmtId="0" fontId="113" fillId="38" borderId="55" xfId="0" applyFont="1" applyFill="1" applyBorder="1" applyAlignment="1">
      <alignment horizontal="right" wrapText="1"/>
    </xf>
    <xf numFmtId="0" fontId="113" fillId="38" borderId="66" xfId="0" applyFont="1" applyFill="1" applyBorder="1"/>
    <xf numFmtId="0" fontId="128" fillId="18" borderId="56" xfId="0" applyFont="1" applyFill="1" applyBorder="1"/>
    <xf numFmtId="0" fontId="128" fillId="18" borderId="0" xfId="0" applyFont="1" applyFill="1"/>
    <xf numFmtId="0" fontId="117" fillId="0" borderId="28" xfId="0" applyFont="1" applyBorder="1" applyAlignment="1">
      <alignment horizontal="right" wrapText="1"/>
    </xf>
    <xf numFmtId="0" fontId="125" fillId="0" borderId="56" xfId="0" applyFont="1" applyBorder="1"/>
    <xf numFmtId="0" fontId="117" fillId="0" borderId="56" xfId="0" applyFont="1" applyBorder="1"/>
    <xf numFmtId="0" fontId="147" fillId="0" borderId="0" xfId="0" applyFont="1" applyAlignment="1">
      <alignment horizontal="right"/>
    </xf>
    <xf numFmtId="166" fontId="188" fillId="36" borderId="0" xfId="105" applyFont="1" applyFill="1" applyAlignment="1">
      <alignment horizontal="right"/>
    </xf>
    <xf numFmtId="166" fontId="117" fillId="0" borderId="0" xfId="105" applyFont="1" applyFill="1" applyAlignment="1">
      <alignment horizontal="right"/>
    </xf>
    <xf numFmtId="166" fontId="117" fillId="0" borderId="28" xfId="105" applyFont="1" applyFill="1" applyBorder="1" applyAlignment="1">
      <alignment horizontal="right" wrapText="1"/>
    </xf>
    <xf numFmtId="166" fontId="117" fillId="37" borderId="97" xfId="105" applyFont="1" applyFill="1" applyBorder="1" applyAlignment="1">
      <alignment horizontal="right"/>
    </xf>
    <xf numFmtId="166" fontId="117" fillId="36" borderId="0" xfId="105" applyFont="1" applyFill="1" applyAlignment="1">
      <alignment horizontal="right"/>
    </xf>
    <xf numFmtId="0" fontId="113" fillId="0" borderId="0" xfId="0" applyFont="1" applyAlignment="1">
      <alignment horizontal="right"/>
    </xf>
    <xf numFmtId="0" fontId="113" fillId="0" borderId="28" xfId="0" applyFont="1" applyBorder="1" applyAlignment="1">
      <alignment horizontal="right" wrapText="1"/>
    </xf>
    <xf numFmtId="0" fontId="110" fillId="19" borderId="56" xfId="0" applyFont="1" applyFill="1" applyBorder="1" applyAlignment="1">
      <alignment horizontal="left"/>
    </xf>
    <xf numFmtId="193" fontId="110" fillId="19" borderId="0" xfId="119" applyNumberFormat="1" applyFont="1" applyFill="1" applyBorder="1" applyAlignment="1">
      <alignment horizontal="right"/>
    </xf>
    <xf numFmtId="166" fontId="110" fillId="36" borderId="0" xfId="105" applyFont="1" applyFill="1" applyBorder="1" applyAlignment="1">
      <alignment horizontal="right"/>
    </xf>
    <xf numFmtId="193" fontId="110" fillId="19" borderId="28" xfId="119" applyNumberFormat="1" applyFont="1" applyFill="1" applyBorder="1" applyAlignment="1">
      <alignment horizontal="right"/>
    </xf>
    <xf numFmtId="0" fontId="112" fillId="19" borderId="72" xfId="0" applyFont="1" applyFill="1" applyBorder="1" applyAlignment="1">
      <alignment horizontal="left"/>
    </xf>
    <xf numFmtId="0" fontId="112" fillId="19" borderId="61" xfId="0" applyFont="1" applyFill="1" applyBorder="1" applyAlignment="1">
      <alignment horizontal="left"/>
    </xf>
    <xf numFmtId="193" fontId="112" fillId="19" borderId="61" xfId="119" applyNumberFormat="1" applyFont="1" applyFill="1" applyBorder="1" applyAlignment="1">
      <alignment horizontal="right"/>
    </xf>
    <xf numFmtId="193" fontId="112" fillId="19" borderId="73" xfId="119" applyNumberFormat="1" applyFont="1" applyFill="1" applyBorder="1" applyAlignment="1">
      <alignment horizontal="right"/>
    </xf>
    <xf numFmtId="0" fontId="153" fillId="19" borderId="56" xfId="0" applyFont="1" applyFill="1" applyBorder="1" applyAlignment="1">
      <alignment horizontal="left"/>
    </xf>
    <xf numFmtId="0" fontId="153" fillId="19" borderId="0" xfId="0" applyFont="1" applyFill="1" applyAlignment="1">
      <alignment horizontal="left"/>
    </xf>
    <xf numFmtId="193" fontId="153" fillId="19" borderId="0" xfId="119" applyNumberFormat="1" applyFont="1" applyFill="1" applyBorder="1" applyAlignment="1">
      <alignment horizontal="right"/>
    </xf>
    <xf numFmtId="169" fontId="153" fillId="19" borderId="0" xfId="120" applyNumberFormat="1" applyFont="1" applyFill="1" applyBorder="1" applyAlignment="1">
      <alignment horizontal="right"/>
    </xf>
    <xf numFmtId="169" fontId="153" fillId="19" borderId="28" xfId="120" applyNumberFormat="1" applyFont="1" applyFill="1" applyBorder="1" applyAlignment="1">
      <alignment horizontal="right"/>
    </xf>
    <xf numFmtId="0" fontId="112" fillId="31" borderId="74" xfId="0" applyFont="1" applyFill="1" applyBorder="1"/>
    <xf numFmtId="0" fontId="112" fillId="31" borderId="75" xfId="0" applyFont="1" applyFill="1" applyBorder="1"/>
    <xf numFmtId="193" fontId="112" fillId="31" borderId="75" xfId="119" applyNumberFormat="1" applyFont="1" applyFill="1" applyBorder="1" applyAlignment="1">
      <alignment horizontal="right"/>
    </xf>
    <xf numFmtId="193" fontId="112" fillId="31" borderId="76" xfId="119" applyNumberFormat="1" applyFont="1" applyFill="1" applyBorder="1" applyAlignment="1">
      <alignment horizontal="right"/>
    </xf>
    <xf numFmtId="193" fontId="110" fillId="19" borderId="0" xfId="0" applyNumberFormat="1" applyFont="1" applyFill="1"/>
    <xf numFmtId="0" fontId="110" fillId="19" borderId="28" xfId="0" applyFont="1" applyFill="1" applyBorder="1"/>
    <xf numFmtId="0" fontId="150" fillId="19" borderId="56" xfId="0" applyFont="1" applyFill="1" applyBorder="1"/>
    <xf numFmtId="169" fontId="110" fillId="19" borderId="28" xfId="120" applyNumberFormat="1" applyFont="1" applyFill="1" applyBorder="1"/>
    <xf numFmtId="0" fontId="110" fillId="19" borderId="50" xfId="0" applyFont="1" applyFill="1" applyBorder="1" applyAlignment="1">
      <alignment horizontal="left"/>
    </xf>
    <xf numFmtId="193" fontId="110" fillId="19" borderId="58" xfId="0" applyNumberFormat="1" applyFont="1" applyFill="1" applyBorder="1"/>
    <xf numFmtId="169" fontId="110" fillId="19" borderId="58" xfId="120" applyNumberFormat="1" applyFont="1" applyFill="1" applyBorder="1"/>
    <xf numFmtId="169" fontId="110" fillId="19" borderId="48" xfId="120" applyNumberFormat="1" applyFont="1" applyFill="1" applyBorder="1"/>
    <xf numFmtId="0" fontId="113" fillId="38" borderId="60" xfId="0" applyFont="1" applyFill="1" applyBorder="1"/>
    <xf numFmtId="0" fontId="113" fillId="38" borderId="61" xfId="0" applyFont="1" applyFill="1" applyBorder="1"/>
    <xf numFmtId="0" fontId="113" fillId="38" borderId="61" xfId="0" applyFont="1" applyFill="1" applyBorder="1" applyAlignment="1">
      <alignment horizontal="right"/>
    </xf>
    <xf numFmtId="0" fontId="113" fillId="38" borderId="62" xfId="0" applyFont="1" applyFill="1" applyBorder="1" applyAlignment="1">
      <alignment horizontal="right"/>
    </xf>
    <xf numFmtId="0" fontId="113" fillId="38" borderId="60" xfId="0" applyFont="1" applyFill="1" applyBorder="1" applyAlignment="1">
      <alignment horizontal="right"/>
    </xf>
    <xf numFmtId="0" fontId="113" fillId="38" borderId="62" xfId="0" applyFont="1" applyFill="1" applyBorder="1" applyAlignment="1">
      <alignment horizontal="right" wrapText="1"/>
    </xf>
    <xf numFmtId="0" fontId="187" fillId="0" borderId="66" xfId="0" applyFont="1" applyBorder="1"/>
    <xf numFmtId="0" fontId="187" fillId="0" borderId="0" xfId="0" applyFont="1" applyAlignment="1">
      <alignment horizontal="right"/>
    </xf>
    <xf numFmtId="0" fontId="187" fillId="0" borderId="67" xfId="0" applyFont="1" applyBorder="1" applyAlignment="1">
      <alignment horizontal="right" wrapText="1"/>
    </xf>
    <xf numFmtId="0" fontId="110" fillId="19" borderId="66" xfId="0" applyFont="1" applyFill="1" applyBorder="1" applyAlignment="1">
      <alignment horizontal="left"/>
    </xf>
    <xf numFmtId="166" fontId="117" fillId="36" borderId="0" xfId="105" applyFont="1" applyFill="1" applyAlignment="1">
      <alignment horizontal="center"/>
    </xf>
    <xf numFmtId="193" fontId="110" fillId="19" borderId="0" xfId="119" applyNumberFormat="1" applyFont="1" applyFill="1" applyAlignment="1">
      <alignment horizontal="right"/>
    </xf>
    <xf numFmtId="193" fontId="110" fillId="19" borderId="67" xfId="119" applyNumberFormat="1" applyFont="1" applyFill="1" applyBorder="1" applyAlignment="1">
      <alignment horizontal="right"/>
    </xf>
    <xf numFmtId="193" fontId="110" fillId="36" borderId="0" xfId="119" applyNumberFormat="1" applyFont="1" applyFill="1" applyBorder="1" applyAlignment="1">
      <alignment horizontal="center"/>
    </xf>
    <xf numFmtId="193" fontId="110" fillId="22" borderId="0" xfId="119" applyNumberFormat="1" applyFont="1" applyFill="1" applyBorder="1" applyAlignment="1">
      <alignment horizontal="right"/>
    </xf>
    <xf numFmtId="0" fontId="112" fillId="19" borderId="56" xfId="0" applyFont="1" applyFill="1" applyBorder="1" applyAlignment="1">
      <alignment horizontal="left"/>
    </xf>
    <xf numFmtId="0" fontId="112" fillId="19" borderId="0" xfId="0" applyFont="1" applyFill="1" applyAlignment="1">
      <alignment horizontal="left"/>
    </xf>
    <xf numFmtId="193" fontId="112" fillId="19" borderId="0" xfId="119" applyNumberFormat="1" applyFont="1" applyFill="1" applyBorder="1" applyAlignment="1">
      <alignment horizontal="right"/>
    </xf>
    <xf numFmtId="193" fontId="112" fillId="19" borderId="28" xfId="119" applyNumberFormat="1" applyFont="1" applyFill="1" applyBorder="1" applyAlignment="1">
      <alignment horizontal="right"/>
    </xf>
    <xf numFmtId="0" fontId="112" fillId="18" borderId="52" xfId="0" applyFont="1" applyFill="1" applyBorder="1" applyAlignment="1">
      <alignment horizontal="left"/>
    </xf>
    <xf numFmtId="0" fontId="112" fillId="18" borderId="77" xfId="0" applyFont="1" applyFill="1" applyBorder="1" applyAlignment="1">
      <alignment horizontal="left"/>
    </xf>
    <xf numFmtId="193" fontId="112" fillId="18" borderId="77" xfId="119" applyNumberFormat="1" applyFont="1" applyFill="1" applyBorder="1" applyAlignment="1">
      <alignment horizontal="right"/>
    </xf>
    <xf numFmtId="193" fontId="112" fillId="18" borderId="51" xfId="119" applyNumberFormat="1" applyFont="1" applyFill="1" applyBorder="1" applyAlignment="1">
      <alignment horizontal="right"/>
    </xf>
    <xf numFmtId="0" fontId="110" fillId="19" borderId="54" xfId="0" applyFont="1" applyFill="1" applyBorder="1"/>
    <xf numFmtId="0" fontId="110" fillId="19" borderId="55" xfId="0" applyFont="1" applyFill="1" applyBorder="1"/>
    <xf numFmtId="0" fontId="110" fillId="19" borderId="53" xfId="0" applyFont="1" applyFill="1" applyBorder="1"/>
    <xf numFmtId="0" fontId="124" fillId="22" borderId="56" xfId="0" applyFont="1" applyFill="1" applyBorder="1"/>
    <xf numFmtId="0" fontId="128" fillId="22" borderId="0" xfId="0" applyFont="1" applyFill="1"/>
    <xf numFmtId="0" fontId="128" fillId="22" borderId="0" xfId="0" applyFont="1" applyFill="1" applyAlignment="1">
      <alignment horizontal="right"/>
    </xf>
    <xf numFmtId="0" fontId="128" fillId="22" borderId="28" xfId="0" applyFont="1" applyFill="1" applyBorder="1" applyAlignment="1">
      <alignment horizontal="right" wrapText="1"/>
    </xf>
    <xf numFmtId="0" fontId="110" fillId="0" borderId="56" xfId="0" applyFont="1" applyBorder="1" applyAlignment="1">
      <alignment horizontal="left"/>
    </xf>
    <xf numFmtId="0" fontId="110" fillId="0" borderId="0" xfId="0" applyFont="1" applyAlignment="1">
      <alignment horizontal="left"/>
    </xf>
    <xf numFmtId="9" fontId="110" fillId="0" borderId="0" xfId="98" applyFont="1" applyFill="1" applyBorder="1" applyAlignment="1">
      <alignment horizontal="right"/>
    </xf>
    <xf numFmtId="9" fontId="110" fillId="0" borderId="28" xfId="98" applyFont="1" applyFill="1" applyBorder="1" applyAlignment="1">
      <alignment horizontal="right"/>
    </xf>
    <xf numFmtId="169" fontId="110" fillId="19" borderId="0" xfId="98" applyNumberFormat="1" applyFont="1" applyFill="1"/>
    <xf numFmtId="169" fontId="110" fillId="19" borderId="58" xfId="98" applyNumberFormat="1" applyFont="1" applyFill="1" applyBorder="1"/>
    <xf numFmtId="0" fontId="113" fillId="38" borderId="67" xfId="0" applyFont="1" applyFill="1" applyBorder="1" applyAlignment="1">
      <alignment horizontal="right"/>
    </xf>
    <xf numFmtId="0" fontId="113" fillId="38" borderId="66" xfId="0" applyFont="1" applyFill="1" applyBorder="1" applyAlignment="1">
      <alignment horizontal="right"/>
    </xf>
    <xf numFmtId="193" fontId="110" fillId="32" borderId="0" xfId="119" applyNumberFormat="1" applyFont="1" applyFill="1" applyBorder="1" applyAlignment="1">
      <alignment horizontal="right"/>
    </xf>
    <xf numFmtId="193" fontId="147" fillId="0" borderId="0" xfId="119" applyNumberFormat="1" applyFont="1" applyFill="1" applyBorder="1" applyAlignment="1">
      <alignment horizontal="right"/>
    </xf>
    <xf numFmtId="193" fontId="110" fillId="36" borderId="0" xfId="119" applyNumberFormat="1" applyFont="1" applyFill="1" applyBorder="1" applyAlignment="1">
      <alignment horizontal="right"/>
    </xf>
    <xf numFmtId="0" fontId="112" fillId="19" borderId="69" xfId="0" applyFont="1" applyFill="1" applyBorder="1"/>
    <xf numFmtId="0" fontId="112" fillId="19" borderId="70" xfId="0" applyFont="1" applyFill="1" applyBorder="1"/>
    <xf numFmtId="193" fontId="112" fillId="19" borderId="70" xfId="119" applyNumberFormat="1" applyFont="1" applyFill="1" applyBorder="1" applyAlignment="1">
      <alignment horizontal="right"/>
    </xf>
    <xf numFmtId="193" fontId="112" fillId="19" borderId="71" xfId="119" applyNumberFormat="1" applyFont="1" applyFill="1" applyBorder="1" applyAlignment="1">
      <alignment horizontal="right"/>
    </xf>
    <xf numFmtId="0" fontId="113" fillId="38" borderId="64" xfId="0" applyFont="1" applyFill="1" applyBorder="1"/>
    <xf numFmtId="0" fontId="113" fillId="38" borderId="64" xfId="0" applyFont="1" applyFill="1" applyBorder="1" applyAlignment="1">
      <alignment horizontal="right"/>
    </xf>
    <xf numFmtId="0" fontId="113" fillId="38" borderId="65" xfId="0" applyFont="1" applyFill="1" applyBorder="1" applyAlignment="1">
      <alignment horizontal="right"/>
    </xf>
    <xf numFmtId="0" fontId="113" fillId="38" borderId="63" xfId="0" applyFont="1" applyFill="1" applyBorder="1" applyAlignment="1">
      <alignment horizontal="right"/>
    </xf>
    <xf numFmtId="169" fontId="147" fillId="0" borderId="0" xfId="120" applyNumberFormat="1" applyFont="1" applyFill="1" applyBorder="1"/>
    <xf numFmtId="169" fontId="147" fillId="0" borderId="67" xfId="120" applyNumberFormat="1" applyFont="1" applyFill="1" applyBorder="1"/>
    <xf numFmtId="0" fontId="110" fillId="19" borderId="63" xfId="0" applyFont="1" applyFill="1" applyBorder="1" applyAlignment="1">
      <alignment horizontal="left"/>
    </xf>
    <xf numFmtId="0" fontId="110" fillId="19" borderId="64" xfId="0" applyFont="1" applyFill="1" applyBorder="1"/>
    <xf numFmtId="169" fontId="110" fillId="19" borderId="64" xfId="120" applyNumberFormat="1" applyFont="1" applyFill="1" applyBorder="1"/>
    <xf numFmtId="169" fontId="147" fillId="0" borderId="64" xfId="120" applyNumberFormat="1" applyFont="1" applyFill="1" applyBorder="1"/>
    <xf numFmtId="169" fontId="147" fillId="0" borderId="65" xfId="120" applyNumberFormat="1" applyFont="1" applyFill="1" applyBorder="1"/>
    <xf numFmtId="0" fontId="112" fillId="19" borderId="63" xfId="0" applyFont="1" applyFill="1" applyBorder="1"/>
    <xf numFmtId="0" fontId="112" fillId="19" borderId="64" xfId="0" applyFont="1" applyFill="1" applyBorder="1"/>
    <xf numFmtId="169" fontId="112" fillId="19" borderId="75" xfId="120" applyNumberFormat="1" applyFont="1" applyFill="1" applyBorder="1"/>
    <xf numFmtId="169" fontId="112" fillId="19" borderId="64" xfId="120" applyNumberFormat="1" applyFont="1" applyFill="1" applyBorder="1"/>
    <xf numFmtId="169" fontId="112" fillId="19" borderId="65" xfId="120" applyNumberFormat="1" applyFont="1" applyFill="1" applyBorder="1"/>
    <xf numFmtId="166" fontId="117" fillId="37" borderId="49" xfId="105" applyFont="1" applyFill="1" applyBorder="1" applyAlignment="1">
      <alignment horizontal="right"/>
    </xf>
    <xf numFmtId="0" fontId="113" fillId="38" borderId="56" xfId="0" applyFont="1" applyFill="1" applyBorder="1"/>
    <xf numFmtId="0" fontId="124" fillId="0" borderId="56" xfId="0" applyFont="1" applyBorder="1"/>
    <xf numFmtId="0" fontId="113" fillId="0" borderId="28" xfId="0" applyFont="1" applyBorder="1" applyAlignment="1">
      <alignment horizontal="right"/>
    </xf>
    <xf numFmtId="166" fontId="110" fillId="19" borderId="0" xfId="105" applyFont="1" applyFill="1" applyBorder="1" applyAlignment="1">
      <alignment horizontal="right"/>
    </xf>
    <xf numFmtId="166" fontId="110" fillId="19" borderId="28" xfId="105" applyFont="1" applyFill="1" applyBorder="1" applyAlignment="1">
      <alignment horizontal="right"/>
    </xf>
    <xf numFmtId="0" fontId="112" fillId="19" borderId="52" xfId="0" applyFont="1" applyFill="1" applyBorder="1"/>
    <xf numFmtId="0" fontId="112" fillId="19" borderId="77" xfId="0" applyFont="1" applyFill="1" applyBorder="1"/>
    <xf numFmtId="193" fontId="112" fillId="19" borderId="77" xfId="119" applyNumberFormat="1" applyFont="1" applyFill="1" applyBorder="1" applyAlignment="1">
      <alignment horizontal="right"/>
    </xf>
    <xf numFmtId="193" fontId="112" fillId="19" borderId="51" xfId="119" applyNumberFormat="1" applyFont="1" applyFill="1" applyBorder="1" applyAlignment="1">
      <alignment horizontal="right"/>
    </xf>
    <xf numFmtId="0" fontId="112" fillId="19" borderId="0" xfId="0" applyFont="1" applyFill="1"/>
    <xf numFmtId="193" fontId="112" fillId="36" borderId="0" xfId="119" applyNumberFormat="1" applyFont="1" applyFill="1" applyBorder="1" applyAlignment="1">
      <alignment horizontal="right"/>
    </xf>
    <xf numFmtId="9" fontId="110" fillId="19" borderId="0" xfId="98" applyFont="1" applyFill="1" applyBorder="1" applyAlignment="1">
      <alignment horizontal="right"/>
    </xf>
    <xf numFmtId="9" fontId="110" fillId="19" borderId="28" xfId="98" applyFont="1" applyFill="1" applyBorder="1" applyAlignment="1">
      <alignment horizontal="right"/>
    </xf>
    <xf numFmtId="0" fontId="112" fillId="19" borderId="58" xfId="0" applyFont="1" applyFill="1" applyBorder="1"/>
    <xf numFmtId="0" fontId="124" fillId="0" borderId="54" xfId="0" applyFont="1" applyBorder="1"/>
    <xf numFmtId="0" fontId="113" fillId="0" borderId="55" xfId="0" applyFont="1" applyBorder="1"/>
    <xf numFmtId="0" fontId="113" fillId="0" borderId="55" xfId="0" applyFont="1" applyBorder="1" applyAlignment="1">
      <alignment horizontal="right"/>
    </xf>
    <xf numFmtId="0" fontId="113" fillId="0" borderId="53" xfId="0" applyFont="1" applyBorder="1" applyAlignment="1">
      <alignment horizontal="right"/>
    </xf>
    <xf numFmtId="0" fontId="150" fillId="0" borderId="54" xfId="144" applyFont="1" applyBorder="1"/>
    <xf numFmtId="0" fontId="117" fillId="0" borderId="55" xfId="0" applyFont="1" applyBorder="1"/>
    <xf numFmtId="166" fontId="117" fillId="0" borderId="55" xfId="0" applyNumberFormat="1" applyFont="1" applyBorder="1"/>
    <xf numFmtId="0" fontId="117" fillId="0" borderId="53" xfId="0" applyFont="1" applyBorder="1"/>
    <xf numFmtId="0" fontId="110" fillId="0" borderId="56" xfId="144" applyFont="1" applyBorder="1"/>
    <xf numFmtId="166" fontId="117" fillId="0" borderId="0" xfId="0" applyNumberFormat="1" applyFont="1"/>
    <xf numFmtId="166" fontId="117" fillId="0" borderId="0" xfId="105" applyFont="1" applyBorder="1"/>
    <xf numFmtId="166" fontId="117" fillId="0" borderId="28" xfId="105" applyFont="1" applyBorder="1"/>
    <xf numFmtId="0" fontId="110" fillId="0" borderId="50" xfId="144" applyFont="1" applyBorder="1"/>
    <xf numFmtId="166" fontId="117" fillId="0" borderId="58" xfId="0" applyNumberFormat="1" applyFont="1" applyBorder="1"/>
    <xf numFmtId="166" fontId="117" fillId="0" borderId="58" xfId="105" applyFont="1" applyBorder="1"/>
    <xf numFmtId="166" fontId="117" fillId="0" borderId="48" xfId="105" applyFont="1" applyBorder="1"/>
    <xf numFmtId="0" fontId="112" fillId="0" borderId="0" xfId="144" applyFont="1"/>
    <xf numFmtId="0" fontId="189" fillId="0" borderId="0" xfId="144" applyFont="1"/>
    <xf numFmtId="0" fontId="110" fillId="0" borderId="0" xfId="144" applyFont="1"/>
    <xf numFmtId="0" fontId="112" fillId="0" borderId="77" xfId="144" applyFont="1" applyBorder="1"/>
    <xf numFmtId="166" fontId="128" fillId="0" borderId="77" xfId="0" applyNumberFormat="1" applyFont="1" applyBorder="1"/>
    <xf numFmtId="43" fontId="112" fillId="22" borderId="0" xfId="145" applyFont="1" applyFill="1" applyBorder="1"/>
    <xf numFmtId="0" fontId="112" fillId="22" borderId="0" xfId="144" applyFont="1" applyFill="1"/>
    <xf numFmtId="193" fontId="147" fillId="0" borderId="0" xfId="144" applyNumberFormat="1" applyFont="1"/>
    <xf numFmtId="0" fontId="190" fillId="0" borderId="0" xfId="144" applyFont="1" applyAlignment="1">
      <alignment horizontal="right"/>
    </xf>
    <xf numFmtId="0" fontId="190" fillId="0" borderId="0" xfId="144" applyFont="1" applyAlignment="1">
      <alignment horizontal="center"/>
    </xf>
    <xf numFmtId="193" fontId="110" fillId="0" borderId="0" xfId="144" applyNumberFormat="1" applyFont="1"/>
    <xf numFmtId="0" fontId="110" fillId="0" borderId="0" xfId="144" applyFont="1" applyAlignment="1">
      <alignment horizontal="center"/>
    </xf>
    <xf numFmtId="0" fontId="191" fillId="0" borderId="0" xfId="144" applyFont="1" applyAlignment="1">
      <alignment horizontal="center"/>
    </xf>
    <xf numFmtId="0" fontId="117" fillId="22" borderId="0" xfId="0" applyFont="1" applyFill="1"/>
    <xf numFmtId="166" fontId="147" fillId="0" borderId="0" xfId="0" applyNumberFormat="1" applyFont="1"/>
    <xf numFmtId="0" fontId="147" fillId="0" borderId="0" xfId="0" applyFont="1"/>
    <xf numFmtId="193" fontId="112" fillId="0" borderId="77" xfId="144" applyNumberFormat="1" applyFont="1" applyBorder="1"/>
    <xf numFmtId="0" fontId="192" fillId="0" borderId="77" xfId="144" applyFont="1" applyBorder="1" applyAlignment="1">
      <alignment horizontal="right"/>
    </xf>
    <xf numFmtId="0" fontId="162" fillId="0" borderId="77" xfId="144" applyFont="1" applyBorder="1" applyAlignment="1">
      <alignment horizontal="center"/>
    </xf>
    <xf numFmtId="166" fontId="128" fillId="22" borderId="77" xfId="105" applyFont="1" applyFill="1" applyBorder="1"/>
    <xf numFmtId="166" fontId="128" fillId="0" borderId="77" xfId="105" applyFont="1" applyBorder="1"/>
    <xf numFmtId="166" fontId="117" fillId="36" borderId="0" xfId="105" applyFont="1" applyFill="1"/>
    <xf numFmtId="198" fontId="110" fillId="33" borderId="0" xfId="145" applyNumberFormat="1" applyFont="1" applyFill="1"/>
    <xf numFmtId="166" fontId="117" fillId="22" borderId="0" xfId="105" applyFont="1" applyFill="1"/>
    <xf numFmtId="0" fontId="110" fillId="0" borderId="77" xfId="144" applyFont="1" applyBorder="1"/>
    <xf numFmtId="0" fontId="190" fillId="0" borderId="77" xfId="144" applyFont="1" applyBorder="1" applyAlignment="1">
      <alignment horizontal="right"/>
    </xf>
    <xf numFmtId="0" fontId="191" fillId="0" borderId="77" xfId="144" applyFont="1" applyBorder="1" applyAlignment="1">
      <alignment horizontal="center"/>
    </xf>
    <xf numFmtId="0" fontId="117" fillId="22" borderId="77" xfId="0" applyFont="1" applyFill="1" applyBorder="1"/>
    <xf numFmtId="166" fontId="117" fillId="0" borderId="77" xfId="105" applyFont="1" applyBorder="1"/>
    <xf numFmtId="0" fontId="153" fillId="0" borderId="77" xfId="144" applyFont="1" applyBorder="1" applyAlignment="1">
      <alignment horizontal="right"/>
    </xf>
    <xf numFmtId="0" fontId="191" fillId="22" borderId="77" xfId="144" applyFont="1" applyFill="1" applyBorder="1" applyAlignment="1">
      <alignment horizontal="center"/>
    </xf>
    <xf numFmtId="166" fontId="128" fillId="0" borderId="77" xfId="105" applyFont="1" applyBorder="1" applyAlignment="1">
      <alignment horizontal="right"/>
    </xf>
    <xf numFmtId="0" fontId="156" fillId="0" borderId="77" xfId="144" applyFont="1" applyBorder="1" applyAlignment="1">
      <alignment horizontal="right"/>
    </xf>
    <xf numFmtId="0" fontId="162" fillId="22" borderId="77" xfId="144" applyFont="1" applyFill="1" applyBorder="1" applyAlignment="1">
      <alignment horizontal="center"/>
    </xf>
    <xf numFmtId="166" fontId="162" fillId="0" borderId="77" xfId="105" applyFont="1" applyBorder="1" applyAlignment="1">
      <alignment horizontal="center"/>
    </xf>
    <xf numFmtId="0" fontId="193" fillId="0" borderId="0" xfId="177" applyFont="1" applyAlignment="1">
      <alignment vertical="top"/>
    </xf>
    <xf numFmtId="185" fontId="193" fillId="0" borderId="0" xfId="105" applyNumberFormat="1" applyFont="1" applyAlignment="1">
      <alignment vertical="top"/>
    </xf>
    <xf numFmtId="0" fontId="193" fillId="0" borderId="58" xfId="177" applyFont="1" applyBorder="1" applyAlignment="1">
      <alignment vertical="top"/>
    </xf>
    <xf numFmtId="0" fontId="196" fillId="0" borderId="58" xfId="177" applyFont="1" applyBorder="1" applyAlignment="1">
      <alignment vertical="top"/>
    </xf>
    <xf numFmtId="0" fontId="196" fillId="0" borderId="58" xfId="177" applyFont="1" applyBorder="1" applyAlignment="1">
      <alignment vertical="top" wrapText="1"/>
    </xf>
    <xf numFmtId="9" fontId="193" fillId="0" borderId="0" xfId="98" applyFont="1" applyAlignment="1">
      <alignment vertical="top"/>
    </xf>
    <xf numFmtId="0" fontId="193" fillId="0" borderId="0" xfId="177" applyFont="1" applyAlignment="1">
      <alignment vertical="top" wrapText="1"/>
    </xf>
    <xf numFmtId="9" fontId="193" fillId="0" borderId="0" xfId="177" applyNumberFormat="1" applyFont="1" applyAlignment="1">
      <alignment vertical="top"/>
    </xf>
    <xf numFmtId="0" fontId="161" fillId="0" borderId="0" xfId="49" applyFont="1" applyFill="1"/>
    <xf numFmtId="0" fontId="118" fillId="0" borderId="0" xfId="51" applyFont="1" applyBorder="1">
      <alignment vertical="center"/>
    </xf>
    <xf numFmtId="0" fontId="117" fillId="0" borderId="0" xfId="51" applyFont="1" applyBorder="1" applyAlignment="1">
      <alignment horizontal="right" vertical="center"/>
    </xf>
    <xf numFmtId="0" fontId="127" fillId="0" borderId="0" xfId="51" applyFont="1" applyBorder="1" applyAlignment="1">
      <alignment horizontal="right" vertical="center"/>
    </xf>
    <xf numFmtId="0" fontId="118" fillId="0" borderId="0" xfId="50" applyFont="1" applyBorder="1">
      <alignment vertical="center"/>
    </xf>
    <xf numFmtId="14" fontId="117" fillId="0" borderId="0" xfId="50" applyNumberFormat="1" applyFont="1" applyBorder="1" applyAlignment="1">
      <alignment horizontal="center" vertical="center"/>
    </xf>
    <xf numFmtId="0" fontId="117" fillId="0" borderId="0" xfId="50" applyFont="1" applyBorder="1" applyAlignment="1">
      <alignment horizontal="center" vertical="center"/>
    </xf>
    <xf numFmtId="0" fontId="145" fillId="0" borderId="0" xfId="50" applyFont="1" applyBorder="1" applyAlignment="1">
      <alignment horizontal="right" vertical="center"/>
    </xf>
    <xf numFmtId="0" fontId="161" fillId="0" borderId="0" xfId="49" applyFont="1" applyFill="1" applyBorder="1"/>
    <xf numFmtId="0" fontId="161" fillId="0" borderId="0" xfId="49" applyFont="1" applyBorder="1"/>
    <xf numFmtId="0" fontId="158" fillId="0" borderId="0" xfId="49" applyFont="1" applyFill="1" applyBorder="1"/>
    <xf numFmtId="0" fontId="158" fillId="0" borderId="93" xfId="49" applyFont="1" applyBorder="1"/>
    <xf numFmtId="0" fontId="158" fillId="0" borderId="110" xfId="49" applyFont="1" applyBorder="1"/>
    <xf numFmtId="14" fontId="158" fillId="0" borderId="110" xfId="49" applyNumberFormat="1" applyFont="1" applyBorder="1"/>
    <xf numFmtId="0" fontId="158" fillId="0" borderId="0" xfId="49" applyFont="1" applyFill="1"/>
    <xf numFmtId="0" fontId="173" fillId="0" borderId="0" xfId="49" applyFont="1" applyFill="1"/>
    <xf numFmtId="167" fontId="113" fillId="38" borderId="0" xfId="49" applyNumberFormat="1" applyFont="1" applyFill="1" applyBorder="1" applyAlignment="1">
      <alignment horizontal="center"/>
    </xf>
    <xf numFmtId="167" fontId="128" fillId="23" borderId="0" xfId="49" applyNumberFormat="1" applyFont="1" applyFill="1" applyBorder="1" applyAlignment="1">
      <alignment horizontal="centerContinuous"/>
    </xf>
    <xf numFmtId="0" fontId="154" fillId="38" borderId="31" xfId="49" applyFont="1" applyFill="1" applyBorder="1" applyAlignment="1">
      <alignment wrapText="1"/>
    </xf>
    <xf numFmtId="0" fontId="154" fillId="38" borderId="31" xfId="49" applyFont="1" applyFill="1" applyBorder="1"/>
    <xf numFmtId="0" fontId="154" fillId="38" borderId="31" xfId="49" applyFont="1" applyFill="1" applyBorder="1" applyAlignment="1">
      <alignment horizontal="center" wrapText="1"/>
    </xf>
    <xf numFmtId="0" fontId="154" fillId="38" borderId="31" xfId="49" applyFont="1" applyFill="1" applyBorder="1" applyAlignment="1">
      <alignment horizontal="center" vertical="center" wrapText="1"/>
    </xf>
    <xf numFmtId="0" fontId="117" fillId="23" borderId="31" xfId="49" applyFont="1" applyFill="1" applyBorder="1" applyAlignment="1">
      <alignment wrapText="1"/>
    </xf>
    <xf numFmtId="0" fontId="117" fillId="23" borderId="31" xfId="49" applyFont="1" applyFill="1" applyBorder="1" applyAlignment="1">
      <alignment horizontal="center" wrapText="1"/>
    </xf>
    <xf numFmtId="0" fontId="117" fillId="0" borderId="32" xfId="49" applyFont="1" applyBorder="1"/>
    <xf numFmtId="176" fontId="117" fillId="0" borderId="32" xfId="58" applyFont="1" applyBorder="1" applyAlignment="1">
      <alignment horizontal="center"/>
    </xf>
    <xf numFmtId="166" fontId="117" fillId="0" borderId="32" xfId="46" applyNumberFormat="1" applyFont="1" applyBorder="1">
      <alignment horizontal="centerContinuous"/>
    </xf>
    <xf numFmtId="166" fontId="117" fillId="0" borderId="32" xfId="46" applyNumberFormat="1" applyFont="1" applyBorder="1" applyAlignment="1">
      <alignment horizontal="right"/>
    </xf>
    <xf numFmtId="166" fontId="117" fillId="0" borderId="40" xfId="46" applyNumberFormat="1" applyFont="1" applyBorder="1" applyAlignment="1">
      <alignment horizontal="right"/>
    </xf>
    <xf numFmtId="169" fontId="123" fillId="0" borderId="40" xfId="46" applyNumberFormat="1" applyFont="1" applyBorder="1" applyAlignment="1">
      <alignment horizontal="right"/>
    </xf>
    <xf numFmtId="169" fontId="123" fillId="0" borderId="32" xfId="46" applyNumberFormat="1" applyFont="1" applyBorder="1" applyAlignment="1">
      <alignment horizontal="right"/>
    </xf>
    <xf numFmtId="191" fontId="117" fillId="0" borderId="40" xfId="53" applyNumberFormat="1" applyFont="1" applyBorder="1">
      <alignment horizontal="right"/>
    </xf>
    <xf numFmtId="191" fontId="117" fillId="0" borderId="32" xfId="53" applyNumberFormat="1" applyFont="1" applyBorder="1">
      <alignment horizontal="right"/>
    </xf>
    <xf numFmtId="0" fontId="117" fillId="0" borderId="0" xfId="49" applyFont="1" applyBorder="1" applyAlignment="1">
      <alignment horizontal="left"/>
    </xf>
    <xf numFmtId="176" fontId="117" fillId="0" borderId="0" xfId="58" applyFont="1" applyBorder="1" applyAlignment="1">
      <alignment horizontal="center"/>
    </xf>
    <xf numFmtId="166" fontId="117" fillId="0" borderId="0" xfId="46" applyNumberFormat="1" applyFont="1">
      <alignment horizontal="centerContinuous"/>
    </xf>
    <xf numFmtId="166" fontId="117" fillId="0" borderId="0" xfId="46" applyNumberFormat="1" applyFont="1" applyAlignment="1">
      <alignment horizontal="right"/>
    </xf>
    <xf numFmtId="166" fontId="117" fillId="0" borderId="0" xfId="46" applyNumberFormat="1" applyFont="1" applyAlignment="1">
      <alignment horizontal="center"/>
    </xf>
    <xf numFmtId="166" fontId="117" fillId="0" borderId="41" xfId="46" applyNumberFormat="1" applyFont="1" applyBorder="1" applyAlignment="1">
      <alignment horizontal="right"/>
    </xf>
    <xf numFmtId="169" fontId="123" fillId="0" borderId="41" xfId="46" applyNumberFormat="1" applyFont="1" applyBorder="1" applyAlignment="1">
      <alignment horizontal="right"/>
    </xf>
    <xf numFmtId="169" fontId="123" fillId="0" borderId="0" xfId="46" applyNumberFormat="1" applyFont="1" applyAlignment="1">
      <alignment horizontal="right"/>
    </xf>
    <xf numFmtId="191" fontId="117" fillId="0" borderId="41" xfId="53" applyNumberFormat="1" applyFont="1" applyBorder="1">
      <alignment horizontal="right"/>
    </xf>
    <xf numFmtId="191" fontId="117" fillId="0" borderId="0" xfId="53" applyNumberFormat="1" applyFont="1" applyBorder="1">
      <alignment horizontal="right"/>
    </xf>
    <xf numFmtId="176" fontId="128" fillId="0" borderId="0" xfId="58" applyFont="1" applyAlignment="1">
      <alignment horizontal="center"/>
    </xf>
    <xf numFmtId="176" fontId="128" fillId="0" borderId="0" xfId="46" applyNumberFormat="1" applyFont="1">
      <alignment horizontal="centerContinuous"/>
    </xf>
    <xf numFmtId="181" fontId="117" fillId="0" borderId="0" xfId="52" applyNumberFormat="1" applyFont="1">
      <alignment horizontal="right"/>
    </xf>
    <xf numFmtId="171" fontId="117" fillId="0" borderId="0" xfId="53" applyFont="1">
      <alignment horizontal="right"/>
    </xf>
    <xf numFmtId="178" fontId="117" fillId="0" borderId="0" xfId="59" applyNumberFormat="1" applyFont="1">
      <alignment horizontal="right"/>
    </xf>
    <xf numFmtId="0" fontId="117" fillId="0" borderId="32" xfId="49" applyFont="1" applyFill="1" applyBorder="1" applyAlignment="1">
      <alignment horizontal="right"/>
    </xf>
    <xf numFmtId="169" fontId="117" fillId="0" borderId="32" xfId="48" applyNumberFormat="1" applyFont="1" applyFill="1" applyBorder="1">
      <alignment horizontal="right"/>
    </xf>
    <xf numFmtId="169" fontId="117" fillId="0" borderId="32" xfId="53" applyNumberFormat="1" applyFont="1" applyFill="1" applyBorder="1">
      <alignment horizontal="right"/>
    </xf>
    <xf numFmtId="169" fontId="117" fillId="0" borderId="37" xfId="48" applyNumberFormat="1" applyFont="1" applyFill="1" applyBorder="1">
      <alignment horizontal="right"/>
    </xf>
    <xf numFmtId="191" fontId="117" fillId="0" borderId="37" xfId="53" applyNumberFormat="1" applyFont="1" applyFill="1" applyBorder="1">
      <alignment horizontal="right"/>
    </xf>
    <xf numFmtId="191" fontId="117" fillId="0" borderId="32" xfId="53" applyNumberFormat="1" applyFont="1" applyFill="1" applyBorder="1">
      <alignment horizontal="right"/>
    </xf>
    <xf numFmtId="0" fontId="117" fillId="0" borderId="0" xfId="49" applyFont="1" applyFill="1" applyBorder="1" applyAlignment="1">
      <alignment horizontal="right"/>
    </xf>
    <xf numFmtId="169" fontId="117" fillId="0" borderId="0" xfId="48" applyNumberFormat="1" applyFont="1" applyFill="1" applyBorder="1">
      <alignment horizontal="right"/>
    </xf>
    <xf numFmtId="169" fontId="117" fillId="0" borderId="0" xfId="53" applyNumberFormat="1" applyFont="1" applyFill="1" applyBorder="1">
      <alignment horizontal="right"/>
    </xf>
    <xf numFmtId="169" fontId="117" fillId="0" borderId="38" xfId="48" applyNumberFormat="1" applyFont="1" applyFill="1" applyBorder="1">
      <alignment horizontal="right"/>
    </xf>
    <xf numFmtId="191" fontId="117" fillId="0" borderId="38" xfId="53" applyNumberFormat="1" applyFont="1" applyFill="1" applyBorder="1">
      <alignment horizontal="right"/>
    </xf>
    <xf numFmtId="191" fontId="117" fillId="0" borderId="0" xfId="53" applyNumberFormat="1" applyFont="1" applyFill="1" applyBorder="1">
      <alignment horizontal="right"/>
    </xf>
    <xf numFmtId="0" fontId="117" fillId="23" borderId="0" xfId="49" applyFont="1" applyFill="1" applyBorder="1" applyAlignment="1">
      <alignment horizontal="right"/>
    </xf>
    <xf numFmtId="169" fontId="117" fillId="23" borderId="0" xfId="48" applyNumberFormat="1" applyFont="1" applyFill="1" applyBorder="1">
      <alignment horizontal="right"/>
    </xf>
    <xf numFmtId="169" fontId="117" fillId="23" borderId="38" xfId="48" applyNumberFormat="1" applyFont="1" applyFill="1" applyBorder="1">
      <alignment horizontal="right"/>
    </xf>
    <xf numFmtId="191" fontId="117" fillId="23" borderId="38" xfId="53" applyNumberFormat="1" applyFont="1" applyFill="1" applyBorder="1">
      <alignment horizontal="right"/>
    </xf>
    <xf numFmtId="191" fontId="117" fillId="23" borderId="0" xfId="53" applyNumberFormat="1" applyFont="1" applyFill="1" applyBorder="1">
      <alignment horizontal="right"/>
    </xf>
    <xf numFmtId="0" fontId="117" fillId="0" borderId="31" xfId="49" applyFont="1" applyFill="1" applyBorder="1" applyAlignment="1">
      <alignment horizontal="right"/>
    </xf>
    <xf numFmtId="169" fontId="117" fillId="0" borderId="31" xfId="48" applyNumberFormat="1" applyFont="1" applyFill="1" applyBorder="1">
      <alignment horizontal="right"/>
    </xf>
    <xf numFmtId="169" fontId="117" fillId="0" borderId="31" xfId="53" applyNumberFormat="1" applyFont="1" applyFill="1" applyBorder="1">
      <alignment horizontal="right"/>
    </xf>
    <xf numFmtId="169" fontId="117" fillId="0" borderId="39" xfId="48" applyNumberFormat="1" applyFont="1" applyFill="1" applyBorder="1">
      <alignment horizontal="right"/>
    </xf>
    <xf numFmtId="191" fontId="117" fillId="0" borderId="39" xfId="53" applyNumberFormat="1" applyFont="1" applyFill="1" applyBorder="1">
      <alignment horizontal="right"/>
    </xf>
    <xf numFmtId="191" fontId="117" fillId="0" borderId="31" xfId="53" applyNumberFormat="1" applyFont="1" applyFill="1" applyBorder="1">
      <alignment horizontal="right"/>
    </xf>
    <xf numFmtId="0" fontId="128" fillId="0" borderId="0" xfId="49" applyFont="1" applyFill="1" applyAlignment="1">
      <alignment horizontal="right"/>
    </xf>
    <xf numFmtId="171" fontId="122" fillId="0" borderId="0" xfId="53" applyFont="1">
      <alignment horizontal="right"/>
    </xf>
    <xf numFmtId="169" fontId="122" fillId="0" borderId="0" xfId="48" applyNumberFormat="1" applyFont="1">
      <alignment horizontal="right"/>
    </xf>
    <xf numFmtId="169" fontId="122" fillId="0" borderId="0" xfId="53" applyNumberFormat="1" applyFont="1">
      <alignment horizontal="right"/>
    </xf>
    <xf numFmtId="166" fontId="122" fillId="0" borderId="0" xfId="105" applyFont="1" applyAlignment="1">
      <alignment horizontal="right"/>
    </xf>
    <xf numFmtId="0" fontId="128" fillId="23" borderId="0" xfId="49" applyFont="1" applyFill="1"/>
    <xf numFmtId="0" fontId="128" fillId="23" borderId="0" xfId="49" applyFont="1" applyFill="1" applyAlignment="1">
      <alignment horizontal="center"/>
    </xf>
    <xf numFmtId="0" fontId="128" fillId="23" borderId="31" xfId="49" applyFont="1" applyFill="1" applyBorder="1" applyAlignment="1">
      <alignment horizontal="right" wrapText="1"/>
    </xf>
    <xf numFmtId="0" fontId="128" fillId="23" borderId="31" xfId="49" applyFont="1" applyFill="1" applyBorder="1" applyAlignment="1">
      <alignment horizontal="right"/>
    </xf>
    <xf numFmtId="169" fontId="117" fillId="0" borderId="43" xfId="98" applyNumberFormat="1" applyFont="1" applyBorder="1"/>
    <xf numFmtId="171" fontId="117" fillId="0" borderId="43" xfId="49" applyNumberFormat="1" applyFont="1" applyBorder="1" applyAlignment="1">
      <alignment horizontal="center"/>
    </xf>
    <xf numFmtId="0" fontId="154" fillId="0" borderId="0" xfId="49" applyFont="1" applyAlignment="1">
      <alignment horizontal="right"/>
    </xf>
    <xf numFmtId="169" fontId="117" fillId="0" borderId="16" xfId="98" applyNumberFormat="1" applyFont="1" applyBorder="1"/>
    <xf numFmtId="171" fontId="117" fillId="0" borderId="16" xfId="49" applyNumberFormat="1" applyFont="1" applyBorder="1" applyAlignment="1">
      <alignment horizontal="center"/>
    </xf>
    <xf numFmtId="169" fontId="117" fillId="0" borderId="44" xfId="98" applyNumberFormat="1" applyFont="1" applyBorder="1"/>
    <xf numFmtId="171" fontId="117" fillId="0" borderId="44" xfId="49" applyNumberFormat="1" applyFont="1" applyBorder="1" applyAlignment="1">
      <alignment horizontal="center"/>
    </xf>
    <xf numFmtId="0" fontId="197" fillId="0" borderId="0" xfId="51" applyFont="1" applyBorder="1" applyAlignment="1">
      <alignment horizontal="right" vertical="center"/>
    </xf>
    <xf numFmtId="0" fontId="198" fillId="0" borderId="0" xfId="50" applyFont="1" applyBorder="1" applyAlignment="1">
      <alignment horizontal="right" vertical="center"/>
    </xf>
    <xf numFmtId="0" fontId="161" fillId="0" borderId="110" xfId="50" applyFont="1" applyBorder="1">
      <alignment vertical="center"/>
    </xf>
    <xf numFmtId="0" fontId="160" fillId="0" borderId="110" xfId="50" applyFont="1" applyBorder="1">
      <alignment vertical="center"/>
    </xf>
    <xf numFmtId="0" fontId="115" fillId="0" borderId="0" xfId="49" applyFont="1" applyAlignment="1">
      <alignment horizontal="center"/>
    </xf>
    <xf numFmtId="49" fontId="197" fillId="21" borderId="12" xfId="49" applyNumberFormat="1" applyFont="1" applyFill="1" applyBorder="1"/>
    <xf numFmtId="0" fontId="128" fillId="0" borderId="0" xfId="49" applyFont="1" applyAlignment="1">
      <alignment vertical="center"/>
    </xf>
    <xf numFmtId="0" fontId="113" fillId="38" borderId="0" xfId="49" applyFont="1" applyFill="1" applyBorder="1" applyAlignment="1">
      <alignment vertical="top"/>
    </xf>
    <xf numFmtId="180" fontId="113" fillId="38" borderId="28" xfId="49" applyNumberFormat="1" applyFont="1" applyFill="1" applyBorder="1" applyAlignment="1">
      <alignment horizontal="center"/>
    </xf>
    <xf numFmtId="180" fontId="113" fillId="38" borderId="0" xfId="49" applyNumberFormat="1" applyFont="1" applyFill="1" applyBorder="1" applyAlignment="1">
      <alignment horizontal="center"/>
    </xf>
    <xf numFmtId="0" fontId="113" fillId="38" borderId="0" xfId="49" applyFont="1" applyFill="1" applyBorder="1" applyAlignment="1">
      <alignment horizontal="center"/>
    </xf>
    <xf numFmtId="0" fontId="113" fillId="38" borderId="0" xfId="49" applyFont="1" applyFill="1" applyBorder="1" applyAlignment="1">
      <alignment horizontal="center" wrapText="1"/>
    </xf>
    <xf numFmtId="169" fontId="181" fillId="0" borderId="0" xfId="97" applyNumberFormat="1" applyFont="1" applyAlignment="1">
      <alignment horizontal="right"/>
    </xf>
    <xf numFmtId="169" fontId="199" fillId="0" borderId="0" xfId="97" applyNumberFormat="1" applyFont="1" applyAlignment="1">
      <alignment horizontal="right"/>
    </xf>
    <xf numFmtId="169" fontId="117" fillId="0" borderId="0" xfId="97" applyNumberFormat="1" applyFont="1" applyAlignment="1">
      <alignment horizontal="right"/>
    </xf>
    <xf numFmtId="176" fontId="113" fillId="38" borderId="0" xfId="58" applyFont="1" applyFill="1" applyBorder="1" applyAlignment="1">
      <alignment horizontal="left"/>
    </xf>
    <xf numFmtId="176" fontId="113" fillId="38" borderId="28" xfId="58" applyFont="1" applyFill="1" applyBorder="1" applyAlignment="1">
      <alignment horizontal="center"/>
    </xf>
    <xf numFmtId="176" fontId="113" fillId="38" borderId="0" xfId="58" applyFont="1" applyFill="1" applyBorder="1" applyAlignment="1">
      <alignment horizontal="center"/>
    </xf>
    <xf numFmtId="169" fontId="200" fillId="0" borderId="18" xfId="97" applyNumberFormat="1" applyFont="1" applyBorder="1" applyAlignment="1">
      <alignment horizontal="right"/>
    </xf>
    <xf numFmtId="0" fontId="113" fillId="0" borderId="0" xfId="49" applyFont="1"/>
    <xf numFmtId="182" fontId="117" fillId="0" borderId="32" xfId="49" applyNumberFormat="1" applyFont="1" applyBorder="1" applyAlignment="1">
      <alignment horizontal="left"/>
    </xf>
    <xf numFmtId="182" fontId="117" fillId="0" borderId="94" xfId="49" applyNumberFormat="1" applyFont="1" applyBorder="1" applyAlignment="1">
      <alignment horizontal="center"/>
    </xf>
    <xf numFmtId="166" fontId="117" fillId="0" borderId="32" xfId="49" applyNumberFormat="1" applyFont="1" applyBorder="1" applyAlignment="1">
      <alignment horizontal="right"/>
    </xf>
    <xf numFmtId="166" fontId="117" fillId="23" borderId="32" xfId="49" applyNumberFormat="1" applyFont="1" applyFill="1" applyBorder="1" applyAlignment="1">
      <alignment horizontal="right"/>
    </xf>
    <xf numFmtId="169" fontId="117" fillId="23" borderId="40" xfId="97" applyNumberFormat="1" applyFont="1" applyFill="1" applyBorder="1" applyAlignment="1">
      <alignment horizontal="right"/>
    </xf>
    <xf numFmtId="169" fontId="117" fillId="0" borderId="32" xfId="97" applyNumberFormat="1" applyFont="1" applyBorder="1" applyAlignment="1">
      <alignment horizontal="right"/>
    </xf>
    <xf numFmtId="169" fontId="175" fillId="0" borderId="32" xfId="49" applyNumberFormat="1" applyFont="1" applyBorder="1" applyAlignment="1">
      <alignment horizontal="right"/>
    </xf>
    <xf numFmtId="169" fontId="117" fillId="23" borderId="32" xfId="97" applyNumberFormat="1" applyFont="1" applyFill="1" applyBorder="1" applyAlignment="1">
      <alignment horizontal="right"/>
    </xf>
    <xf numFmtId="169" fontId="175" fillId="23" borderId="32" xfId="97" applyNumberFormat="1" applyFont="1" applyFill="1" applyBorder="1" applyAlignment="1">
      <alignment horizontal="right"/>
    </xf>
    <xf numFmtId="0" fontId="175" fillId="23" borderId="32" xfId="97" applyNumberFormat="1" applyFont="1" applyFill="1" applyBorder="1" applyAlignment="1">
      <alignment horizontal="right"/>
    </xf>
    <xf numFmtId="169" fontId="181" fillId="0" borderId="18" xfId="97" applyNumberFormat="1" applyFont="1" applyBorder="1" applyAlignment="1">
      <alignment horizontal="right"/>
    </xf>
    <xf numFmtId="0" fontId="117" fillId="0" borderId="0" xfId="97" applyNumberFormat="1" applyFont="1" applyAlignment="1">
      <alignment horizontal="right"/>
    </xf>
    <xf numFmtId="168" fontId="117" fillId="0" borderId="0" xfId="49" applyNumberFormat="1" applyFont="1" applyBorder="1"/>
    <xf numFmtId="182" fontId="117" fillId="0" borderId="28" xfId="49" applyNumberFormat="1" applyFont="1" applyBorder="1" applyAlignment="1">
      <alignment horizontal="center"/>
    </xf>
    <xf numFmtId="166" fontId="117" fillId="0" borderId="0" xfId="49" applyNumberFormat="1" applyFont="1" applyBorder="1" applyAlignment="1">
      <alignment horizontal="right"/>
    </xf>
    <xf numFmtId="166" fontId="117" fillId="23" borderId="0" xfId="49" applyNumberFormat="1" applyFont="1" applyFill="1" applyBorder="1" applyAlignment="1">
      <alignment horizontal="right"/>
    </xf>
    <xf numFmtId="169" fontId="117" fillId="23" borderId="41" xfId="97" applyNumberFormat="1" applyFont="1" applyFill="1" applyBorder="1" applyAlignment="1">
      <alignment horizontal="right"/>
    </xf>
    <xf numFmtId="169" fontId="117" fillId="0" borderId="0" xfId="97" applyNumberFormat="1" applyFont="1" applyBorder="1" applyAlignment="1">
      <alignment horizontal="right"/>
    </xf>
    <xf numFmtId="169" fontId="175" fillId="0" borderId="0" xfId="49" applyNumberFormat="1" applyFont="1" applyBorder="1" applyAlignment="1">
      <alignment horizontal="right"/>
    </xf>
    <xf numFmtId="169" fontId="117" fillId="23" borderId="0" xfId="97" applyNumberFormat="1" applyFont="1" applyFill="1" applyBorder="1" applyAlignment="1">
      <alignment horizontal="right"/>
    </xf>
    <xf numFmtId="169" fontId="175" fillId="23" borderId="0" xfId="97" applyNumberFormat="1" applyFont="1" applyFill="1" applyBorder="1" applyAlignment="1">
      <alignment horizontal="right"/>
    </xf>
    <xf numFmtId="166" fontId="181" fillId="0" borderId="0" xfId="48" applyFont="1" applyAlignment="1">
      <alignment horizontal="left"/>
    </xf>
    <xf numFmtId="166" fontId="122" fillId="0" borderId="0" xfId="48" quotePrefix="1" applyFont="1">
      <alignment horizontal="right"/>
    </xf>
    <xf numFmtId="166" fontId="122" fillId="0" borderId="0" xfId="48" applyFont="1">
      <alignment horizontal="right"/>
    </xf>
    <xf numFmtId="166" fontId="181" fillId="0" borderId="0" xfId="48" quotePrefix="1" applyFont="1" applyAlignment="1">
      <alignment horizontal="left"/>
    </xf>
    <xf numFmtId="166" fontId="122" fillId="0" borderId="32" xfId="48" applyFont="1" applyBorder="1">
      <alignment horizontal="right"/>
    </xf>
    <xf numFmtId="169" fontId="122" fillId="0" borderId="40" xfId="48" applyNumberFormat="1" applyFont="1" applyBorder="1">
      <alignment horizontal="right"/>
    </xf>
    <xf numFmtId="169" fontId="122" fillId="0" borderId="32" xfId="48" applyNumberFormat="1" applyFont="1" applyBorder="1">
      <alignment horizontal="right"/>
    </xf>
    <xf numFmtId="169" fontId="122" fillId="23" borderId="32" xfId="48" applyNumberFormat="1" applyFont="1" applyFill="1" applyBorder="1">
      <alignment horizontal="right"/>
    </xf>
    <xf numFmtId="166" fontId="122" fillId="0" borderId="0" xfId="48" applyFont="1" applyBorder="1">
      <alignment horizontal="right"/>
    </xf>
    <xf numFmtId="169" fontId="122" fillId="0" borderId="41" xfId="48" applyNumberFormat="1" applyFont="1" applyBorder="1">
      <alignment horizontal="right"/>
    </xf>
    <xf numFmtId="169" fontId="122" fillId="0" borderId="0" xfId="48" applyNumberFormat="1" applyFont="1" applyBorder="1">
      <alignment horizontal="right"/>
    </xf>
    <xf numFmtId="169" fontId="122" fillId="23" borderId="0" xfId="48" applyNumberFormat="1" applyFont="1" applyFill="1" applyBorder="1">
      <alignment horizontal="right"/>
    </xf>
    <xf numFmtId="166" fontId="201" fillId="0" borderId="0" xfId="48" applyFont="1">
      <alignment horizontal="right"/>
    </xf>
    <xf numFmtId="166" fontId="122" fillId="23" borderId="0" xfId="48" applyFont="1" applyFill="1" applyBorder="1">
      <alignment horizontal="right"/>
    </xf>
    <xf numFmtId="166" fontId="201" fillId="23" borderId="0" xfId="48" applyFont="1" applyFill="1" applyBorder="1">
      <alignment horizontal="right"/>
    </xf>
    <xf numFmtId="169" fontId="122" fillId="23" borderId="41" xfId="48" applyNumberFormat="1" applyFont="1" applyFill="1" applyBorder="1">
      <alignment horizontal="right"/>
    </xf>
    <xf numFmtId="166" fontId="201" fillId="0" borderId="0" xfId="48" quotePrefix="1" applyFont="1">
      <alignment horizontal="right"/>
    </xf>
    <xf numFmtId="166" fontId="201" fillId="0" borderId="0" xfId="48" applyFont="1" applyBorder="1">
      <alignment horizontal="right"/>
    </xf>
    <xf numFmtId="166" fontId="122" fillId="0" borderId="31" xfId="48" applyFont="1" applyBorder="1">
      <alignment horizontal="right"/>
    </xf>
    <xf numFmtId="169" fontId="122" fillId="0" borderId="42" xfId="48" applyNumberFormat="1" applyFont="1" applyBorder="1">
      <alignment horizontal="right"/>
    </xf>
    <xf numFmtId="169" fontId="122" fillId="0" borderId="31" xfId="48" applyNumberFormat="1" applyFont="1" applyBorder="1">
      <alignment horizontal="right"/>
    </xf>
    <xf numFmtId="169" fontId="122" fillId="23" borderId="31" xfId="48" applyNumberFormat="1" applyFont="1" applyFill="1" applyBorder="1">
      <alignment horizontal="right"/>
    </xf>
    <xf numFmtId="165" fontId="202" fillId="0" borderId="0" xfId="52" applyFont="1">
      <alignment horizontal="right"/>
    </xf>
    <xf numFmtId="168" fontId="117" fillId="0" borderId="32" xfId="49" applyNumberFormat="1" applyFont="1" applyBorder="1"/>
    <xf numFmtId="182" fontId="117" fillId="0" borderId="32" xfId="49" applyNumberFormat="1" applyFont="1" applyBorder="1" applyAlignment="1">
      <alignment horizontal="center"/>
    </xf>
    <xf numFmtId="169" fontId="117" fillId="0" borderId="32" xfId="49" applyNumberFormat="1" applyFont="1" applyBorder="1" applyAlignment="1">
      <alignment horizontal="right"/>
    </xf>
    <xf numFmtId="182" fontId="117" fillId="0" borderId="0" xfId="49" applyNumberFormat="1" applyFont="1" applyBorder="1" applyAlignment="1">
      <alignment horizontal="center"/>
    </xf>
    <xf numFmtId="169" fontId="117" fillId="0" borderId="0" xfId="49" applyNumberFormat="1" applyFont="1" applyBorder="1" applyAlignment="1">
      <alignment horizontal="right"/>
    </xf>
    <xf numFmtId="0" fontId="128" fillId="0" borderId="0" xfId="51" applyFont="1" applyBorder="1">
      <alignment vertical="center"/>
    </xf>
    <xf numFmtId="0" fontId="161" fillId="0" borderId="32" xfId="50" applyFont="1" applyBorder="1">
      <alignment vertical="center"/>
    </xf>
    <xf numFmtId="0" fontId="115" fillId="0" borderId="0" xfId="49" applyFont="1" applyBorder="1" applyAlignment="1">
      <alignment horizontal="center"/>
    </xf>
    <xf numFmtId="169" fontId="117" fillId="0" borderId="0" xfId="49" applyNumberFormat="1" applyFont="1" applyAlignment="1">
      <alignment horizontal="right"/>
    </xf>
    <xf numFmtId="169" fontId="203" fillId="0" borderId="0" xfId="97" applyNumberFormat="1" applyFont="1" applyAlignment="1">
      <alignment horizontal="right"/>
    </xf>
    <xf numFmtId="169" fontId="204" fillId="0" borderId="0" xfId="49" applyNumberFormat="1" applyFont="1" applyAlignment="1">
      <alignment horizontal="right"/>
    </xf>
    <xf numFmtId="169" fontId="204" fillId="0" borderId="0" xfId="97" applyNumberFormat="1" applyFont="1" applyAlignment="1">
      <alignment horizontal="right"/>
    </xf>
    <xf numFmtId="169" fontId="205" fillId="0" borderId="18" xfId="49" applyNumberFormat="1" applyFont="1" applyBorder="1" applyAlignment="1">
      <alignment horizontal="right"/>
    </xf>
    <xf numFmtId="169" fontId="205" fillId="0" borderId="18" xfId="97" applyNumberFormat="1" applyFont="1" applyBorder="1" applyAlignment="1">
      <alignment horizontal="right"/>
    </xf>
    <xf numFmtId="169" fontId="205" fillId="0" borderId="0" xfId="97" applyNumberFormat="1" applyFont="1" applyAlignment="1">
      <alignment horizontal="right"/>
    </xf>
    <xf numFmtId="0" fontId="117" fillId="0" borderId="32" xfId="49" applyFont="1" applyBorder="1" applyAlignment="1">
      <alignment horizontal="center"/>
    </xf>
    <xf numFmtId="169" fontId="203" fillId="0" borderId="18" xfId="49" applyNumberFormat="1" applyFont="1" applyBorder="1" applyAlignment="1">
      <alignment horizontal="right"/>
    </xf>
    <xf numFmtId="169" fontId="203" fillId="0" borderId="18" xfId="97" applyNumberFormat="1" applyFont="1" applyBorder="1" applyAlignment="1">
      <alignment horizontal="right"/>
    </xf>
    <xf numFmtId="0" fontId="203" fillId="0" borderId="0" xfId="97" applyNumberFormat="1" applyFont="1" applyAlignment="1">
      <alignment horizontal="right"/>
    </xf>
    <xf numFmtId="167" fontId="117" fillId="0" borderId="0" xfId="49" applyNumberFormat="1" applyFont="1" applyBorder="1" applyAlignment="1">
      <alignment horizontal="left"/>
    </xf>
    <xf numFmtId="182" fontId="117" fillId="0" borderId="0" xfId="49" applyNumberFormat="1" applyFont="1" applyAlignment="1">
      <alignment horizontal="center"/>
    </xf>
    <xf numFmtId="0" fontId="181" fillId="0" borderId="0" xfId="49" applyFont="1" applyAlignment="1">
      <alignment horizontal="left"/>
    </xf>
    <xf numFmtId="0" fontId="203" fillId="0" borderId="0" xfId="49" applyFont="1"/>
    <xf numFmtId="166" fontId="122" fillId="0" borderId="32" xfId="48" applyFont="1" applyFill="1" applyBorder="1">
      <alignment horizontal="right"/>
    </xf>
    <xf numFmtId="169" fontId="122" fillId="0" borderId="32" xfId="48" applyNumberFormat="1" applyFont="1" applyFill="1" applyBorder="1">
      <alignment horizontal="right"/>
    </xf>
    <xf numFmtId="166" fontId="122" fillId="0" borderId="0" xfId="48" applyFont="1" applyFill="1" applyBorder="1">
      <alignment horizontal="right"/>
    </xf>
    <xf numFmtId="169" fontId="122" fillId="0" borderId="0" xfId="48" applyNumberFormat="1" applyFont="1" applyFill="1" applyBorder="1">
      <alignment horizontal="right"/>
    </xf>
    <xf numFmtId="166" fontId="122" fillId="0" borderId="31" xfId="48" applyFont="1" applyFill="1" applyBorder="1">
      <alignment horizontal="right"/>
    </xf>
    <xf numFmtId="169" fontId="122" fillId="0" borderId="31" xfId="48" applyNumberFormat="1" applyFont="1" applyFill="1" applyBorder="1">
      <alignment horizontal="right"/>
    </xf>
    <xf numFmtId="166" fontId="206" fillId="0" borderId="0" xfId="48" applyFont="1">
      <alignment horizontal="right"/>
    </xf>
    <xf numFmtId="169" fontId="122" fillId="23" borderId="0" xfId="48" applyNumberFormat="1" applyFont="1" applyFill="1">
      <alignment horizontal="right"/>
    </xf>
    <xf numFmtId="169" fontId="117" fillId="23" borderId="32" xfId="49" applyNumberFormat="1" applyFont="1" applyFill="1" applyBorder="1" applyAlignment="1">
      <alignment horizontal="right"/>
    </xf>
    <xf numFmtId="169" fontId="117" fillId="23" borderId="0" xfId="49" applyNumberFormat="1" applyFont="1" applyFill="1" applyBorder="1" applyAlignment="1">
      <alignment horizontal="right"/>
    </xf>
    <xf numFmtId="0" fontId="129" fillId="0" borderId="0" xfId="51" applyFont="1" applyBorder="1">
      <alignment vertical="center"/>
    </xf>
    <xf numFmtId="169" fontId="161" fillId="0" borderId="0" xfId="49" applyNumberFormat="1" applyFont="1"/>
    <xf numFmtId="0" fontId="207" fillId="0" borderId="0" xfId="50" applyFont="1" applyBorder="1">
      <alignment vertical="center"/>
    </xf>
    <xf numFmtId="0" fontId="118" fillId="0" borderId="31" xfId="50" applyFont="1" applyBorder="1">
      <alignment vertical="center"/>
    </xf>
    <xf numFmtId="0" fontId="207" fillId="0" borderId="31" xfId="50" applyFont="1" applyBorder="1">
      <alignment vertical="center"/>
    </xf>
    <xf numFmtId="0" fontId="116" fillId="0" borderId="0" xfId="50" applyFont="1">
      <alignment vertical="center"/>
    </xf>
    <xf numFmtId="0" fontId="207" fillId="0" borderId="0" xfId="50" applyFont="1">
      <alignment vertical="center"/>
    </xf>
    <xf numFmtId="0" fontId="161" fillId="0" borderId="0" xfId="50" applyFont="1">
      <alignment vertical="center"/>
    </xf>
    <xf numFmtId="0" fontId="129" fillId="0" borderId="0" xfId="49" applyFont="1"/>
    <xf numFmtId="49" fontId="116" fillId="21" borderId="12" xfId="49" applyNumberFormat="1" applyFont="1" applyFill="1" applyBorder="1"/>
    <xf numFmtId="0" fontId="128" fillId="23" borderId="0" xfId="49" applyFont="1" applyFill="1" applyBorder="1" applyAlignment="1">
      <alignment vertical="top"/>
    </xf>
    <xf numFmtId="180" fontId="128" fillId="23" borderId="0" xfId="49" applyNumberFormat="1" applyFont="1" applyFill="1" applyBorder="1" applyAlignment="1">
      <alignment horizontal="center"/>
    </xf>
    <xf numFmtId="169" fontId="203" fillId="0" borderId="0" xfId="97" applyNumberFormat="1" applyFont="1" applyBorder="1" applyAlignment="1">
      <alignment horizontal="right"/>
    </xf>
    <xf numFmtId="169" fontId="204" fillId="0" borderId="0" xfId="49" applyNumberFormat="1" applyFont="1" applyBorder="1" applyAlignment="1">
      <alignment horizontal="right"/>
    </xf>
    <xf numFmtId="169" fontId="204" fillId="0" borderId="0" xfId="97" applyNumberFormat="1" applyFont="1" applyBorder="1" applyAlignment="1">
      <alignment horizontal="right"/>
    </xf>
    <xf numFmtId="176" fontId="128" fillId="23" borderId="0" xfId="58" applyFont="1" applyFill="1" applyBorder="1" applyAlignment="1">
      <alignment horizontal="left"/>
    </xf>
    <xf numFmtId="176" fontId="128" fillId="23" borderId="0" xfId="58" applyFont="1" applyFill="1" applyBorder="1" applyAlignment="1">
      <alignment horizontal="center"/>
    </xf>
    <xf numFmtId="0" fontId="128" fillId="23" borderId="0" xfId="49" applyFont="1" applyFill="1" applyBorder="1" applyAlignment="1">
      <alignment horizontal="center"/>
    </xf>
    <xf numFmtId="169" fontId="205" fillId="0" borderId="0" xfId="49" applyNumberFormat="1" applyFont="1" applyBorder="1" applyAlignment="1">
      <alignment horizontal="right"/>
    </xf>
    <xf numFmtId="167" fontId="117" fillId="0" borderId="32" xfId="49" applyNumberFormat="1" applyFont="1" applyBorder="1"/>
    <xf numFmtId="166" fontId="117" fillId="0" borderId="32" xfId="105" applyFont="1" applyBorder="1" applyAlignment="1">
      <alignment horizontal="right"/>
    </xf>
    <xf numFmtId="166" fontId="117" fillId="23" borderId="32" xfId="105" applyFont="1" applyFill="1" applyBorder="1" applyAlignment="1">
      <alignment horizontal="right"/>
    </xf>
    <xf numFmtId="169" fontId="203" fillId="0" borderId="0" xfId="49" applyNumberFormat="1" applyFont="1" applyBorder="1" applyAlignment="1">
      <alignment horizontal="right"/>
    </xf>
    <xf numFmtId="167" fontId="117" fillId="0" borderId="0" xfId="49" applyNumberFormat="1" applyFont="1" applyBorder="1"/>
    <xf numFmtId="166" fontId="117" fillId="0" borderId="0" xfId="105" applyFont="1" applyBorder="1" applyAlignment="1">
      <alignment horizontal="right"/>
    </xf>
    <xf numFmtId="166" fontId="117" fillId="23" borderId="0" xfId="105" applyFont="1" applyFill="1" applyBorder="1" applyAlignment="1">
      <alignment horizontal="right"/>
    </xf>
    <xf numFmtId="166" fontId="122" fillId="0" borderId="0" xfId="48" quotePrefix="1" applyFont="1" applyBorder="1">
      <alignment horizontal="right"/>
    </xf>
    <xf numFmtId="166" fontId="201" fillId="0" borderId="0" xfId="48" quotePrefix="1" applyFont="1" applyBorder="1">
      <alignment horizontal="right"/>
    </xf>
    <xf numFmtId="0" fontId="123" fillId="0" borderId="0" xfId="56" applyFont="1" applyBorder="1"/>
    <xf numFmtId="179" fontId="123" fillId="0" borderId="0" xfId="92" quotePrefix="1" applyFont="1" applyBorder="1"/>
    <xf numFmtId="166" fontId="116" fillId="0" borderId="0" xfId="48" quotePrefix="1" applyFont="1" applyAlignment="1">
      <alignment horizontal="left"/>
    </xf>
    <xf numFmtId="180" fontId="128" fillId="23" borderId="0" xfId="49" applyNumberFormat="1" applyFont="1" applyFill="1" applyBorder="1"/>
    <xf numFmtId="0" fontId="112" fillId="23" borderId="0" xfId="49" applyFont="1" applyFill="1" applyBorder="1"/>
    <xf numFmtId="176" fontId="128" fillId="23" borderId="28" xfId="58" applyFont="1" applyFill="1" applyBorder="1" applyAlignment="1">
      <alignment horizontal="center"/>
    </xf>
    <xf numFmtId="169" fontId="147" fillId="0" borderId="32" xfId="98" applyNumberFormat="1" applyFont="1" applyBorder="1" applyAlignment="1">
      <alignment horizontal="right"/>
    </xf>
    <xf numFmtId="169" fontId="147" fillId="23" borderId="32" xfId="98" applyNumberFormat="1" applyFont="1" applyFill="1" applyBorder="1" applyAlignment="1">
      <alignment horizontal="right"/>
    </xf>
    <xf numFmtId="169" fontId="147" fillId="0" borderId="0" xfId="98" applyNumberFormat="1" applyFont="1" applyBorder="1" applyAlignment="1">
      <alignment horizontal="right"/>
    </xf>
    <xf numFmtId="169" fontId="147" fillId="23" borderId="0" xfId="98" applyNumberFormat="1" applyFont="1" applyFill="1" applyBorder="1" applyAlignment="1">
      <alignment horizontal="right"/>
    </xf>
    <xf numFmtId="0" fontId="118" fillId="0" borderId="0" xfId="49" applyFont="1"/>
    <xf numFmtId="169" fontId="117" fillId="0" borderId="32" xfId="98" applyNumberFormat="1" applyFont="1" applyBorder="1"/>
    <xf numFmtId="169" fontId="117" fillId="0" borderId="32" xfId="98" applyNumberFormat="1" applyFont="1" applyBorder="1" applyAlignment="1">
      <alignment horizontal="right"/>
    </xf>
    <xf numFmtId="165" fontId="117" fillId="0" borderId="0" xfId="49" applyNumberFormat="1" applyFont="1" applyAlignment="1">
      <alignment horizontal="right"/>
    </xf>
    <xf numFmtId="0" fontId="208" fillId="0" borderId="0" xfId="49" applyFont="1" applyAlignment="1">
      <alignment horizontal="left"/>
    </xf>
    <xf numFmtId="0" fontId="177" fillId="0" borderId="0" xfId="49" applyFont="1" applyAlignment="1">
      <alignment horizontal="center"/>
    </xf>
    <xf numFmtId="169" fontId="117" fillId="0" borderId="0" xfId="98" applyNumberFormat="1" applyFont="1" applyBorder="1"/>
    <xf numFmtId="169" fontId="117" fillId="0" borderId="0" xfId="98" applyNumberFormat="1" applyFont="1" applyBorder="1" applyAlignment="1">
      <alignment horizontal="right"/>
    </xf>
    <xf numFmtId="0" fontId="180" fillId="0" borderId="0" xfId="49" applyFont="1" applyAlignment="1">
      <alignment horizontal="center"/>
    </xf>
    <xf numFmtId="0" fontId="180" fillId="0" borderId="0" xfId="49" applyFont="1" applyAlignment="1">
      <alignment horizontal="left"/>
    </xf>
    <xf numFmtId="0" fontId="128" fillId="0" borderId="0" xfId="49" applyFont="1" applyAlignment="1">
      <alignment horizontal="left"/>
    </xf>
    <xf numFmtId="182" fontId="209" fillId="0" borderId="0" xfId="49" applyNumberFormat="1" applyFont="1" applyBorder="1" applyAlignment="1">
      <alignment horizontal="center"/>
    </xf>
    <xf numFmtId="169" fontId="209" fillId="0" borderId="0" xfId="98" applyNumberFormat="1" applyFont="1" applyBorder="1" applyAlignment="1">
      <alignment horizontal="right"/>
    </xf>
    <xf numFmtId="165" fontId="209" fillId="0" borderId="0" xfId="49" applyNumberFormat="1" applyFont="1" applyAlignment="1">
      <alignment horizontal="right"/>
    </xf>
    <xf numFmtId="166" fontId="209" fillId="0" borderId="0" xfId="48" quotePrefix="1" applyFont="1">
      <alignment horizontal="right"/>
    </xf>
    <xf numFmtId="169" fontId="209" fillId="0" borderId="0" xfId="98" quotePrefix="1" applyNumberFormat="1" applyFont="1" applyAlignment="1">
      <alignment horizontal="right"/>
    </xf>
    <xf numFmtId="0" fontId="159" fillId="0" borderId="0" xfId="50" applyFont="1">
      <alignment vertical="center"/>
    </xf>
    <xf numFmtId="0" fontId="175" fillId="0" borderId="0" xfId="49" applyFont="1"/>
    <xf numFmtId="49" fontId="179" fillId="21" borderId="12" xfId="49" applyNumberFormat="1" applyFont="1" applyFill="1" applyBorder="1"/>
    <xf numFmtId="0" fontId="117" fillId="23" borderId="0" xfId="49" applyFont="1" applyFill="1" applyBorder="1" applyAlignment="1">
      <alignment wrapText="1"/>
    </xf>
    <xf numFmtId="186" fontId="132" fillId="21" borderId="35" xfId="49" applyNumberFormat="1" applyFont="1" applyFill="1" applyBorder="1" applyAlignment="1">
      <alignment horizontal="left" vertical="top" wrapText="1"/>
    </xf>
    <xf numFmtId="186" fontId="171" fillId="21" borderId="35" xfId="49" applyNumberFormat="1" applyFont="1" applyFill="1" applyBorder="1" applyAlignment="1">
      <alignment horizontal="left" vertical="top" wrapText="1"/>
    </xf>
    <xf numFmtId="186" fontId="171" fillId="21" borderId="35" xfId="49" applyNumberFormat="1" applyFont="1" applyFill="1" applyBorder="1" applyAlignment="1">
      <alignment vertical="top" wrapText="1"/>
    </xf>
    <xf numFmtId="0" fontId="210" fillId="0" borderId="0" xfId="57" applyFont="1"/>
    <xf numFmtId="179" fontId="123" fillId="0" borderId="0" xfId="92" applyFont="1" applyBorder="1"/>
    <xf numFmtId="0" fontId="117" fillId="23" borderId="0" xfId="49" applyFont="1" applyFill="1" applyBorder="1" applyAlignment="1">
      <alignment horizontal="center" wrapText="1"/>
    </xf>
    <xf numFmtId="0" fontId="128" fillId="23" borderId="0" xfId="49" applyFont="1" applyFill="1" applyBorder="1"/>
    <xf numFmtId="0" fontId="128" fillId="23" borderId="0" xfId="49" applyFont="1" applyFill="1" applyBorder="1" applyAlignment="1">
      <alignment horizontal="right" wrapText="1"/>
    </xf>
    <xf numFmtId="0" fontId="154" fillId="0" borderId="0" xfId="0" applyFont="1"/>
    <xf numFmtId="0" fontId="117" fillId="0" borderId="32" xfId="0" applyFont="1" applyBorder="1"/>
    <xf numFmtId="169" fontId="128" fillId="23" borderId="32" xfId="98" applyNumberFormat="1" applyFont="1" applyFill="1" applyBorder="1" applyAlignment="1">
      <alignment horizontal="right"/>
    </xf>
    <xf numFmtId="169" fontId="128" fillId="23" borderId="0" xfId="98" applyNumberFormat="1" applyFont="1" applyFill="1" applyBorder="1" applyAlignment="1">
      <alignment horizontal="right"/>
    </xf>
    <xf numFmtId="0" fontId="117" fillId="0" borderId="31" xfId="0" applyFont="1" applyBorder="1"/>
    <xf numFmtId="169" fontId="117" fillId="0" borderId="31" xfId="98" applyNumberFormat="1" applyFont="1" applyBorder="1"/>
    <xf numFmtId="169" fontId="128" fillId="23" borderId="31" xfId="98" applyNumberFormat="1" applyFont="1" applyFill="1" applyBorder="1" applyAlignment="1">
      <alignment horizontal="right"/>
    </xf>
    <xf numFmtId="0" fontId="129" fillId="21" borderId="12" xfId="49" applyFont="1" applyFill="1" applyBorder="1" applyAlignment="1">
      <alignment horizontal="left"/>
    </xf>
    <xf numFmtId="0" fontId="127" fillId="0" borderId="0" xfId="51" applyFont="1" applyBorder="1">
      <alignment vertical="center"/>
    </xf>
    <xf numFmtId="0" fontId="145" fillId="0" borderId="0" xfId="50" applyFont="1" applyBorder="1">
      <alignment vertical="center"/>
    </xf>
    <xf numFmtId="0" fontId="128" fillId="0" borderId="32" xfId="49" applyFont="1" applyFill="1" applyBorder="1" applyAlignment="1">
      <alignment horizontal="left"/>
    </xf>
    <xf numFmtId="176" fontId="117" fillId="0" borderId="32" xfId="58" applyFont="1" applyFill="1" applyBorder="1" applyAlignment="1">
      <alignment horizontal="center"/>
    </xf>
    <xf numFmtId="170" fontId="122" fillId="0" borderId="40" xfId="59" applyFont="1" applyFill="1" applyBorder="1">
      <alignment horizontal="right"/>
    </xf>
    <xf numFmtId="170" fontId="122" fillId="0" borderId="32" xfId="59" applyFont="1" applyFill="1" applyBorder="1">
      <alignment horizontal="right"/>
    </xf>
    <xf numFmtId="170" fontId="211" fillId="0" borderId="32" xfId="59" applyFont="1" applyFill="1" applyBorder="1">
      <alignment horizontal="right"/>
    </xf>
    <xf numFmtId="175" fontId="123" fillId="0" borderId="32" xfId="54" applyFont="1" applyFill="1" applyBorder="1">
      <alignment horizontal="right"/>
    </xf>
    <xf numFmtId="175" fontId="123" fillId="0" borderId="40" xfId="54" applyFont="1" applyFill="1" applyBorder="1">
      <alignment horizontal="right"/>
    </xf>
    <xf numFmtId="0" fontId="154" fillId="19" borderId="0" xfId="49" applyFont="1" applyFill="1"/>
    <xf numFmtId="0" fontId="117" fillId="0" borderId="0" xfId="49" applyFont="1" applyFill="1" applyBorder="1" applyAlignment="1">
      <alignment horizontal="left" wrapText="1"/>
    </xf>
    <xf numFmtId="0" fontId="117" fillId="0" borderId="0" xfId="49" applyFont="1" applyFill="1" applyBorder="1" applyAlignment="1">
      <alignment horizontal="center"/>
    </xf>
    <xf numFmtId="176" fontId="117" fillId="0" borderId="0" xfId="58" applyFont="1" applyFill="1" applyBorder="1" applyAlignment="1">
      <alignment horizontal="center"/>
    </xf>
    <xf numFmtId="170" fontId="122" fillId="0" borderId="41" xfId="59" applyFont="1" applyFill="1" applyBorder="1">
      <alignment horizontal="right"/>
    </xf>
    <xf numFmtId="170" fontId="122" fillId="0" borderId="0" xfId="59" applyFont="1" applyFill="1" applyBorder="1">
      <alignment horizontal="right"/>
    </xf>
    <xf numFmtId="170" fontId="110" fillId="0" borderId="0" xfId="59" applyFont="1" applyFill="1" applyBorder="1">
      <alignment horizontal="right"/>
    </xf>
    <xf numFmtId="170" fontId="211" fillId="0" borderId="0" xfId="59" applyFont="1" applyFill="1" applyBorder="1">
      <alignment horizontal="right"/>
    </xf>
    <xf numFmtId="175" fontId="123" fillId="0" borderId="0" xfId="54" applyFont="1" applyFill="1" applyBorder="1">
      <alignment horizontal="right"/>
    </xf>
    <xf numFmtId="170" fontId="153" fillId="0" borderId="0" xfId="59" applyFont="1" applyFill="1" applyBorder="1">
      <alignment horizontal="right"/>
    </xf>
    <xf numFmtId="175" fontId="153" fillId="0" borderId="41" xfId="54" applyFont="1" applyFill="1" applyBorder="1">
      <alignment horizontal="right"/>
    </xf>
    <xf numFmtId="175" fontId="153" fillId="0" borderId="0" xfId="54" applyFont="1" applyFill="1" applyBorder="1">
      <alignment horizontal="right"/>
    </xf>
    <xf numFmtId="175" fontId="123" fillId="0" borderId="41" xfId="54" applyFont="1" applyFill="1" applyBorder="1">
      <alignment horizontal="right"/>
    </xf>
    <xf numFmtId="0" fontId="113" fillId="19" borderId="0" xfId="49" applyFont="1" applyFill="1" applyBorder="1"/>
    <xf numFmtId="0" fontId="128" fillId="0" borderId="0" xfId="49" applyFont="1" applyFill="1" applyBorder="1" applyAlignment="1">
      <alignment horizontal="center"/>
    </xf>
    <xf numFmtId="170" fontId="122" fillId="0" borderId="0" xfId="59" applyFont="1" applyFill="1">
      <alignment horizontal="right"/>
    </xf>
    <xf numFmtId="170" fontId="211" fillId="0" borderId="0" xfId="59" applyFont="1" applyFill="1">
      <alignment horizontal="right"/>
    </xf>
    <xf numFmtId="175" fontId="123" fillId="0" borderId="0" xfId="54" applyFont="1" applyFill="1">
      <alignment horizontal="right"/>
    </xf>
    <xf numFmtId="185" fontId="122" fillId="0" borderId="32" xfId="105" applyNumberFormat="1" applyFont="1" applyFill="1" applyBorder="1" applyAlignment="1">
      <alignment horizontal="right"/>
    </xf>
    <xf numFmtId="185" fontId="122" fillId="0" borderId="0" xfId="105" applyNumberFormat="1" applyFont="1" applyFill="1" applyBorder="1" applyAlignment="1">
      <alignment horizontal="right"/>
    </xf>
    <xf numFmtId="185" fontId="122" fillId="23" borderId="0" xfId="105" applyNumberFormat="1" applyFont="1" applyFill="1" applyBorder="1" applyAlignment="1">
      <alignment horizontal="right"/>
    </xf>
    <xf numFmtId="0" fontId="123" fillId="0" borderId="0" xfId="49" applyFont="1" applyFill="1"/>
    <xf numFmtId="0" fontId="123" fillId="0" borderId="0" xfId="49" applyFont="1" applyFill="1" applyAlignment="1">
      <alignment wrapText="1"/>
    </xf>
    <xf numFmtId="185" fontId="122" fillId="0" borderId="31" xfId="105" applyNumberFormat="1" applyFont="1" applyFill="1" applyBorder="1" applyAlignment="1">
      <alignment horizontal="right"/>
    </xf>
    <xf numFmtId="0" fontId="117" fillId="0" borderId="0" xfId="49" applyFont="1" applyFill="1" applyBorder="1" applyAlignment="1">
      <alignment wrapText="1"/>
    </xf>
    <xf numFmtId="0" fontId="123" fillId="0" borderId="0" xfId="56" applyFont="1" applyFill="1" applyBorder="1"/>
    <xf numFmtId="0" fontId="123" fillId="0" borderId="0" xfId="56" applyFont="1" applyFill="1" applyBorder="1" applyAlignment="1">
      <alignment wrapText="1"/>
    </xf>
    <xf numFmtId="0" fontId="128" fillId="0" borderId="0" xfId="49" applyFont="1" applyAlignment="1">
      <alignment horizontal="right" indent="1"/>
    </xf>
    <xf numFmtId="0" fontId="123" fillId="0" borderId="0" xfId="56" applyFont="1" applyFill="1"/>
    <xf numFmtId="0" fontId="117" fillId="0" borderId="0" xfId="49" applyFont="1" applyFill="1" applyAlignment="1">
      <alignment wrapText="1"/>
    </xf>
    <xf numFmtId="0" fontId="159" fillId="0" borderId="111" xfId="50" applyFont="1" applyBorder="1">
      <alignment vertical="center"/>
    </xf>
    <xf numFmtId="0" fontId="179" fillId="0" borderId="111" xfId="50" applyFont="1" applyBorder="1">
      <alignment vertical="center"/>
    </xf>
    <xf numFmtId="0" fontId="117" fillId="0" borderId="111" xfId="49" applyFont="1" applyFill="1" applyBorder="1"/>
    <xf numFmtId="0" fontId="154" fillId="38" borderId="0" xfId="49" applyFont="1" applyFill="1" applyBorder="1"/>
    <xf numFmtId="0" fontId="113" fillId="38" borderId="31" xfId="49" applyFont="1" applyFill="1" applyBorder="1" applyAlignment="1">
      <alignment wrapText="1"/>
    </xf>
    <xf numFmtId="0" fontId="113" fillId="38" borderId="31" xfId="49" applyFont="1" applyFill="1" applyBorder="1" applyAlignment="1">
      <alignment horizontal="center" wrapText="1"/>
    </xf>
    <xf numFmtId="0" fontId="212" fillId="38" borderId="31" xfId="49" applyFont="1" applyFill="1" applyBorder="1" applyAlignment="1">
      <alignment horizontal="center" wrapText="1"/>
    </xf>
    <xf numFmtId="0" fontId="128" fillId="0" borderId="111" xfId="0" applyFont="1" applyBorder="1"/>
    <xf numFmtId="0" fontId="117" fillId="0" borderId="111" xfId="0" applyFont="1" applyBorder="1"/>
    <xf numFmtId="0" fontId="113" fillId="0" borderId="0" xfId="0" applyFont="1" applyAlignment="1">
      <alignment horizontal="left"/>
    </xf>
    <xf numFmtId="0" fontId="213" fillId="0" borderId="0" xfId="0" applyFont="1" applyAlignment="1">
      <alignment horizontal="left"/>
    </xf>
    <xf numFmtId="0" fontId="117" fillId="30" borderId="0" xfId="0" applyFont="1" applyFill="1"/>
    <xf numFmtId="0" fontId="120" fillId="0" borderId="0" xfId="0" applyFont="1" applyAlignment="1">
      <alignment horizontal="left"/>
    </xf>
    <xf numFmtId="0" fontId="113" fillId="41" borderId="0" xfId="0" applyFont="1" applyFill="1" applyAlignment="1">
      <alignment horizontal="left"/>
    </xf>
    <xf numFmtId="0" fontId="154" fillId="41" borderId="0" xfId="0" applyFont="1" applyFill="1"/>
    <xf numFmtId="0" fontId="113" fillId="41" borderId="0" xfId="49" applyFont="1" applyFill="1"/>
    <xf numFmtId="0" fontId="154" fillId="41" borderId="0" xfId="49" applyFont="1" applyFill="1"/>
    <xf numFmtId="166" fontId="117" fillId="32" borderId="0" xfId="49" applyNumberFormat="1" applyFont="1" applyFill="1"/>
    <xf numFmtId="166" fontId="128" fillId="32" borderId="0" xfId="49" applyNumberFormat="1" applyFont="1" applyFill="1"/>
    <xf numFmtId="0" fontId="128" fillId="37" borderId="52" xfId="0" applyFont="1" applyFill="1" applyBorder="1"/>
    <xf numFmtId="15" fontId="117" fillId="37" borderId="51" xfId="0" applyNumberFormat="1" applyFont="1" applyFill="1" applyBorder="1"/>
    <xf numFmtId="0" fontId="120" fillId="38" borderId="47" xfId="0" applyFont="1" applyFill="1" applyBorder="1"/>
    <xf numFmtId="0" fontId="120" fillId="38" borderId="51" xfId="0" applyFont="1" applyFill="1" applyBorder="1" applyAlignment="1">
      <alignment horizontal="center"/>
    </xf>
    <xf numFmtId="0" fontId="113" fillId="38" borderId="51" xfId="0" applyFont="1" applyFill="1" applyBorder="1" applyAlignment="1">
      <alignment horizontal="center"/>
    </xf>
    <xf numFmtId="0" fontId="117" fillId="34" borderId="49" xfId="0" applyFont="1" applyFill="1" applyBorder="1"/>
    <xf numFmtId="10" fontId="117" fillId="21" borderId="48" xfId="0" applyNumberFormat="1" applyFont="1" applyFill="1" applyBorder="1" applyAlignment="1">
      <alignment horizontal="center"/>
    </xf>
    <xf numFmtId="0" fontId="117" fillId="21" borderId="48" xfId="0" applyFont="1" applyFill="1" applyBorder="1" applyAlignment="1">
      <alignment horizontal="center"/>
    </xf>
    <xf numFmtId="0" fontId="117" fillId="21" borderId="49" xfId="0" applyFont="1" applyFill="1" applyBorder="1" applyAlignment="1">
      <alignment horizontal="left"/>
    </xf>
    <xf numFmtId="0" fontId="214" fillId="0" borderId="0" xfId="49" applyFont="1" applyFill="1"/>
    <xf numFmtId="0" fontId="214" fillId="0" borderId="0" xfId="49" applyFont="1" applyFill="1" applyBorder="1"/>
    <xf numFmtId="0" fontId="215" fillId="0" borderId="0" xfId="51" applyFont="1" applyBorder="1">
      <alignment vertical="center"/>
    </xf>
    <xf numFmtId="0" fontId="215" fillId="0" borderId="0" xfId="51" applyFont="1" applyBorder="1" applyAlignment="1">
      <alignment horizontal="right" vertical="center"/>
    </xf>
    <xf numFmtId="0" fontId="216" fillId="0" borderId="0" xfId="49" applyFont="1" applyFill="1"/>
    <xf numFmtId="0" fontId="217" fillId="0" borderId="0" xfId="50" applyFont="1">
      <alignment vertical="center"/>
    </xf>
    <xf numFmtId="0" fontId="218" fillId="0" borderId="0" xfId="49" applyFont="1" applyFill="1"/>
    <xf numFmtId="0" fontId="136" fillId="0" borderId="0" xfId="49" applyFont="1" applyFill="1"/>
    <xf numFmtId="0" fontId="136" fillId="0" borderId="0" xfId="49" applyFont="1" applyFill="1" applyBorder="1"/>
    <xf numFmtId="0" fontId="144" fillId="0" borderId="32" xfId="49" applyFont="1" applyFill="1" applyBorder="1"/>
    <xf numFmtId="0" fontId="136" fillId="0" borderId="32" xfId="49" applyFont="1" applyFill="1" applyBorder="1"/>
    <xf numFmtId="0" fontId="136" fillId="0" borderId="0" xfId="49" applyFont="1" applyFill="1" applyBorder="1" applyAlignment="1">
      <alignment horizontal="left"/>
    </xf>
    <xf numFmtId="183" fontId="136" fillId="0" borderId="0" xfId="52" applyNumberFormat="1" applyFont="1" applyFill="1" applyBorder="1">
      <alignment horizontal="right"/>
    </xf>
    <xf numFmtId="174" fontId="219" fillId="0" borderId="0" xfId="54" applyNumberFormat="1" applyFont="1" applyFill="1" applyBorder="1">
      <alignment horizontal="right"/>
    </xf>
    <xf numFmtId="175" fontId="219" fillId="0" borderId="0" xfId="54" applyFont="1" applyFill="1" applyBorder="1">
      <alignment horizontal="right"/>
    </xf>
    <xf numFmtId="165" fontId="136" fillId="0" borderId="0" xfId="52" applyFont="1" applyFill="1" applyBorder="1">
      <alignment horizontal="right"/>
    </xf>
    <xf numFmtId="184" fontId="136" fillId="0" borderId="0" xfId="52" applyNumberFormat="1" applyFont="1" applyFill="1" applyBorder="1">
      <alignment horizontal="right"/>
    </xf>
    <xf numFmtId="166" fontId="136" fillId="0" borderId="0" xfId="52" applyNumberFormat="1" applyFont="1" applyFill="1" applyBorder="1">
      <alignment horizontal="right"/>
    </xf>
    <xf numFmtId="0" fontId="144" fillId="0" borderId="0" xfId="49" applyFont="1" applyFill="1" applyBorder="1"/>
    <xf numFmtId="10" fontId="219" fillId="0" borderId="0" xfId="98" applyNumberFormat="1" applyFont="1" applyFill="1" applyBorder="1" applyAlignment="1">
      <alignment horizontal="right"/>
    </xf>
    <xf numFmtId="199" fontId="136" fillId="0" borderId="0" xfId="52" applyNumberFormat="1" applyFont="1" applyFill="1" applyBorder="1">
      <alignment horizontal="right"/>
    </xf>
    <xf numFmtId="0" fontId="144" fillId="0" borderId="0" xfId="49" applyFont="1" applyFill="1" applyBorder="1" applyAlignment="1">
      <alignment horizontal="left"/>
    </xf>
    <xf numFmtId="0" fontId="144" fillId="0" borderId="0" xfId="49" quotePrefix="1" applyFont="1" applyFill="1" applyBorder="1" applyAlignment="1">
      <alignment horizontal="left"/>
    </xf>
    <xf numFmtId="184" fontId="144" fillId="0" borderId="0" xfId="52" applyNumberFormat="1" applyFont="1" applyFill="1" applyBorder="1">
      <alignment horizontal="right"/>
    </xf>
    <xf numFmtId="10" fontId="220" fillId="0" borderId="0" xfId="98" applyNumberFormat="1" applyFont="1" applyFill="1" applyBorder="1" applyAlignment="1">
      <alignment horizontal="right"/>
    </xf>
    <xf numFmtId="175" fontId="220" fillId="0" borderId="0" xfId="54" applyFont="1" applyFill="1" applyBorder="1">
      <alignment horizontal="right"/>
    </xf>
    <xf numFmtId="166" fontId="144" fillId="0" borderId="0" xfId="52" applyNumberFormat="1" applyFont="1" applyFill="1" applyBorder="1">
      <alignment horizontal="right"/>
    </xf>
    <xf numFmtId="174" fontId="220" fillId="0" borderId="0" xfId="54" applyNumberFormat="1" applyFont="1" applyFill="1" applyBorder="1">
      <alignment horizontal="right"/>
    </xf>
    <xf numFmtId="199" fontId="144" fillId="0" borderId="0" xfId="52" applyNumberFormat="1" applyFont="1" applyFill="1" applyBorder="1">
      <alignment horizontal="right"/>
    </xf>
    <xf numFmtId="175" fontId="136" fillId="0" borderId="32" xfId="49" applyNumberFormat="1" applyFont="1" applyFill="1" applyBorder="1"/>
    <xf numFmtId="175" fontId="219" fillId="0" borderId="32" xfId="54" applyFont="1" applyFill="1" applyBorder="1">
      <alignment horizontal="right"/>
    </xf>
    <xf numFmtId="165" fontId="136" fillId="0" borderId="32" xfId="52" applyFont="1" applyFill="1" applyBorder="1">
      <alignment horizontal="right"/>
    </xf>
    <xf numFmtId="174" fontId="219" fillId="0" borderId="32" xfId="54" applyNumberFormat="1" applyFont="1" applyFill="1" applyBorder="1">
      <alignment horizontal="right"/>
    </xf>
    <xf numFmtId="175" fontId="136" fillId="0" borderId="0" xfId="49" applyNumberFormat="1" applyFont="1" applyFill="1" applyBorder="1"/>
    <xf numFmtId="0" fontId="144" fillId="0" borderId="35" xfId="49" applyFont="1" applyFill="1" applyBorder="1" applyAlignment="1">
      <alignment horizontal="left"/>
    </xf>
    <xf numFmtId="183" fontId="144" fillId="0" borderId="35" xfId="52" applyNumberFormat="1" applyFont="1" applyFill="1" applyBorder="1">
      <alignment horizontal="right"/>
    </xf>
    <xf numFmtId="174" fontId="220" fillId="0" borderId="35" xfId="54" applyNumberFormat="1" applyFont="1" applyFill="1" applyBorder="1">
      <alignment horizontal="right"/>
    </xf>
    <xf numFmtId="0" fontId="144" fillId="0" borderId="35" xfId="49" applyFont="1" applyFill="1" applyBorder="1"/>
    <xf numFmtId="175" fontId="220" fillId="0" borderId="35" xfId="54" applyFont="1" applyFill="1" applyBorder="1">
      <alignment horizontal="right"/>
    </xf>
    <xf numFmtId="165" fontId="144" fillId="0" borderId="35" xfId="52" applyFont="1" applyFill="1" applyBorder="1">
      <alignment horizontal="right"/>
    </xf>
    <xf numFmtId="0" fontId="219" fillId="0" borderId="0" xfId="49" applyFont="1" applyFill="1" applyBorder="1" applyAlignment="1">
      <alignment horizontal="left" indent="1"/>
    </xf>
    <xf numFmtId="0" fontId="219" fillId="0" borderId="0" xfId="49" applyFont="1" applyFill="1" applyBorder="1" applyAlignment="1">
      <alignment horizontal="left"/>
    </xf>
    <xf numFmtId="184" fontId="219" fillId="0" borderId="0" xfId="52" applyNumberFormat="1" applyFont="1" applyFill="1" applyBorder="1">
      <alignment horizontal="right"/>
    </xf>
    <xf numFmtId="0" fontId="219" fillId="0" borderId="0" xfId="49" applyFont="1" applyFill="1" applyBorder="1"/>
    <xf numFmtId="165" fontId="219" fillId="0" borderId="0" xfId="52" applyFont="1" applyFill="1" applyBorder="1">
      <alignment horizontal="right"/>
    </xf>
    <xf numFmtId="10" fontId="220" fillId="0" borderId="35" xfId="98" applyNumberFormat="1" applyFont="1" applyFill="1" applyBorder="1" applyAlignment="1">
      <alignment horizontal="right"/>
    </xf>
    <xf numFmtId="166" fontId="219" fillId="0" borderId="0" xfId="52" applyNumberFormat="1" applyFont="1" applyFill="1" applyBorder="1">
      <alignment horizontal="right"/>
    </xf>
    <xf numFmtId="174" fontId="136" fillId="0" borderId="0" xfId="49" applyNumberFormat="1" applyFont="1" applyFill="1"/>
    <xf numFmtId="49" fontId="144" fillId="0" borderId="45" xfId="52" applyNumberFormat="1" applyFont="1" applyFill="1" applyBorder="1" applyAlignment="1">
      <alignment horizontal="center"/>
    </xf>
    <xf numFmtId="165" fontId="144" fillId="0" borderId="45" xfId="52" applyFont="1" applyFill="1" applyBorder="1">
      <alignment horizontal="right"/>
    </xf>
    <xf numFmtId="0" fontId="144" fillId="0" borderId="45" xfId="49" quotePrefix="1" applyFont="1" applyFill="1" applyBorder="1" applyAlignment="1">
      <alignment horizontal="center"/>
    </xf>
    <xf numFmtId="0" fontId="144" fillId="0" borderId="31" xfId="49" applyFont="1" applyFill="1" applyBorder="1"/>
    <xf numFmtId="10" fontId="144" fillId="0" borderId="46" xfId="54" applyNumberFormat="1" applyFont="1" applyFill="1" applyBorder="1" applyAlignment="1">
      <alignment horizontal="center"/>
    </xf>
    <xf numFmtId="10" fontId="136" fillId="0" borderId="31" xfId="49" applyNumberFormat="1" applyFont="1" applyFill="1" applyBorder="1"/>
    <xf numFmtId="0" fontId="136" fillId="0" borderId="31" xfId="49" applyFont="1" applyFill="1" applyBorder="1"/>
    <xf numFmtId="10" fontId="136" fillId="0" borderId="0" xfId="49" applyNumberFormat="1" applyFont="1" applyFill="1"/>
    <xf numFmtId="0" fontId="221" fillId="0" borderId="0" xfId="96" applyFont="1"/>
    <xf numFmtId="0" fontId="121" fillId="0" borderId="0" xfId="96" applyFont="1"/>
    <xf numFmtId="179" fontId="222" fillId="0" borderId="0" xfId="92" quotePrefix="1" applyFont="1" applyFill="1" applyAlignment="1">
      <alignment vertical="center"/>
    </xf>
    <xf numFmtId="0" fontId="222" fillId="0" borderId="0" xfId="56" applyFont="1" applyFill="1" applyAlignment="1">
      <alignment wrapText="1"/>
    </xf>
    <xf numFmtId="0" fontId="222" fillId="0" borderId="0" xfId="56" applyFont="1" applyFill="1"/>
    <xf numFmtId="0" fontId="219" fillId="0" borderId="0" xfId="49" applyFont="1" applyFill="1"/>
    <xf numFmtId="0" fontId="142" fillId="38" borderId="0" xfId="49" applyFont="1" applyFill="1"/>
    <xf numFmtId="0" fontId="223" fillId="38" borderId="0" xfId="46" quotePrefix="1" applyFont="1" applyFill="1">
      <alignment horizontal="centerContinuous"/>
    </xf>
    <xf numFmtId="0" fontId="223" fillId="38" borderId="0" xfId="46" applyFont="1" applyFill="1">
      <alignment horizontal="centerContinuous"/>
    </xf>
    <xf numFmtId="0" fontId="142" fillId="38" borderId="0" xfId="49" applyFont="1" applyFill="1" applyBorder="1"/>
    <xf numFmtId="0" fontId="223" fillId="38" borderId="0" xfId="46" applyFont="1" applyFill="1" applyAlignment="1"/>
    <xf numFmtId="0" fontId="143" fillId="38" borderId="0" xfId="49" applyFont="1" applyFill="1" applyBorder="1" applyAlignment="1">
      <alignment horizontal="center"/>
    </xf>
    <xf numFmtId="0" fontId="143" fillId="38" borderId="0" xfId="49" applyFont="1" applyFill="1" applyAlignment="1">
      <alignment horizontal="center"/>
    </xf>
    <xf numFmtId="0" fontId="223" fillId="38" borderId="0" xfId="46" applyFont="1" applyFill="1" applyAlignment="1">
      <alignment horizontal="center"/>
    </xf>
    <xf numFmtId="0" fontId="117" fillId="0" borderId="0" xfId="49" applyFont="1" applyAlignment="1">
      <alignment wrapText="1"/>
    </xf>
    <xf numFmtId="0" fontId="117" fillId="0" borderId="55" xfId="49" applyFont="1" applyBorder="1" applyAlignment="1">
      <alignment horizontal="left"/>
    </xf>
    <xf numFmtId="14" fontId="117" fillId="0" borderId="32" xfId="49" applyNumberFormat="1" applyFont="1" applyFill="1" applyBorder="1"/>
    <xf numFmtId="166" fontId="117" fillId="0" borderId="32" xfId="105" applyFont="1" applyFill="1" applyBorder="1" applyAlignment="1">
      <alignment horizontal="right"/>
    </xf>
    <xf numFmtId="10" fontId="117" fillId="0" borderId="32" xfId="98" applyNumberFormat="1" applyFont="1" applyBorder="1"/>
    <xf numFmtId="14" fontId="117" fillId="0" borderId="0" xfId="49" applyNumberFormat="1" applyFont="1" applyFill="1" applyBorder="1"/>
    <xf numFmtId="0" fontId="113" fillId="38" borderId="0" xfId="49" applyFont="1" applyFill="1" applyBorder="1" applyAlignment="1">
      <alignment wrapText="1"/>
    </xf>
    <xf numFmtId="0" fontId="113" fillId="38" borderId="0" xfId="49" applyFont="1" applyFill="1" applyAlignment="1">
      <alignment horizontal="left" wrapText="1"/>
    </xf>
    <xf numFmtId="166" fontId="113" fillId="38" borderId="0" xfId="49" applyNumberFormat="1" applyFont="1" applyFill="1" applyAlignment="1">
      <alignment wrapText="1"/>
    </xf>
    <xf numFmtId="166" fontId="113" fillId="38" borderId="0" xfId="49" applyNumberFormat="1" applyFont="1" applyFill="1" applyAlignment="1">
      <alignment horizontal="right" wrapText="1"/>
    </xf>
    <xf numFmtId="0" fontId="193" fillId="0" borderId="0" xfId="113" applyFont="1"/>
    <xf numFmtId="0" fontId="227" fillId="0" borderId="0" xfId="0" applyFont="1"/>
    <xf numFmtId="0" fontId="228" fillId="0" borderId="0" xfId="0" applyFont="1"/>
    <xf numFmtId="0" fontId="229" fillId="0" borderId="0" xfId="0" applyFont="1"/>
    <xf numFmtId="0" fontId="230" fillId="0" borderId="0" xfId="0" applyFont="1"/>
    <xf numFmtId="0" fontId="231" fillId="19" borderId="0" xfId="51" applyFont="1" applyFill="1" applyBorder="1">
      <alignment vertical="center"/>
    </xf>
    <xf numFmtId="0" fontId="232" fillId="19" borderId="0" xfId="0" applyFont="1" applyFill="1"/>
    <xf numFmtId="0" fontId="233" fillId="19" borderId="0" xfId="0" applyFont="1" applyFill="1"/>
    <xf numFmtId="167" fontId="144" fillId="23" borderId="0" xfId="0" applyNumberFormat="1" applyFont="1" applyFill="1"/>
    <xf numFmtId="167" fontId="219" fillId="23" borderId="0" xfId="0" applyNumberFormat="1" applyFont="1" applyFill="1"/>
    <xf numFmtId="0" fontId="234" fillId="0" borderId="0" xfId="0" applyFont="1"/>
    <xf numFmtId="0" fontId="144" fillId="0" borderId="0" xfId="0" applyFont="1" applyAlignment="1">
      <alignment vertical="center"/>
    </xf>
    <xf numFmtId="0" fontId="228" fillId="32" borderId="0" xfId="0" applyFont="1" applyFill="1"/>
    <xf numFmtId="0" fontId="135" fillId="19" borderId="0" xfId="0" applyFont="1" applyFill="1"/>
    <xf numFmtId="0" fontId="222" fillId="19" borderId="0" xfId="0" applyFont="1" applyFill="1"/>
    <xf numFmtId="0" fontId="136" fillId="19" borderId="0" xfId="0" applyFont="1" applyFill="1"/>
    <xf numFmtId="0" fontId="235" fillId="0" borderId="0" xfId="0" applyFont="1"/>
    <xf numFmtId="0" fontId="135" fillId="0" borderId="0" xfId="0" applyFont="1"/>
    <xf numFmtId="0" fontId="135" fillId="0" borderId="0" xfId="0" applyFont="1" applyAlignment="1">
      <alignment wrapText="1"/>
    </xf>
    <xf numFmtId="0" fontId="228" fillId="0" borderId="0" xfId="0" applyFont="1" applyAlignment="1">
      <alignment wrapText="1"/>
    </xf>
    <xf numFmtId="0" fontId="135" fillId="0" borderId="56" xfId="0" applyFont="1" applyBorder="1" applyAlignment="1">
      <alignment horizontal="center" vertical="center"/>
    </xf>
    <xf numFmtId="0" fontId="135" fillId="32" borderId="0" xfId="0" applyFont="1" applyFill="1"/>
    <xf numFmtId="0" fontId="135" fillId="32" borderId="28" xfId="0" applyFont="1" applyFill="1" applyBorder="1"/>
    <xf numFmtId="0" fontId="135" fillId="0" borderId="50" xfId="0" applyFont="1" applyBorder="1" applyAlignment="1">
      <alignment horizontal="center" vertical="center"/>
    </xf>
    <xf numFmtId="0" fontId="135" fillId="32" borderId="58" xfId="0" applyFont="1" applyFill="1" applyBorder="1"/>
    <xf numFmtId="0" fontId="135" fillId="32" borderId="48" xfId="0" applyFont="1" applyFill="1" applyBorder="1"/>
    <xf numFmtId="0" fontId="139" fillId="28" borderId="56" xfId="0" applyFont="1" applyFill="1" applyBorder="1" applyAlignment="1">
      <alignment wrapText="1"/>
    </xf>
    <xf numFmtId="0" fontId="139" fillId="28" borderId="0" xfId="0" applyFont="1" applyFill="1" applyAlignment="1">
      <alignment vertical="center" wrapText="1"/>
    </xf>
    <xf numFmtId="0" fontId="139" fillId="28" borderId="0" xfId="0" applyFont="1" applyFill="1" applyAlignment="1">
      <alignment wrapText="1"/>
    </xf>
    <xf numFmtId="0" fontId="139" fillId="28" borderId="28" xfId="0" applyFont="1" applyFill="1" applyBorder="1" applyAlignment="1">
      <alignment horizontal="center"/>
    </xf>
    <xf numFmtId="0" fontId="139" fillId="28" borderId="28" xfId="0" applyFont="1" applyFill="1" applyBorder="1" applyAlignment="1">
      <alignment wrapText="1"/>
    </xf>
    <xf numFmtId="0" fontId="139" fillId="28" borderId="56" xfId="0" applyFont="1" applyFill="1" applyBorder="1" applyAlignment="1">
      <alignment vertical="center" wrapText="1"/>
    </xf>
    <xf numFmtId="0" fontId="135" fillId="32" borderId="56" xfId="0" applyFont="1" applyFill="1" applyBorder="1"/>
    <xf numFmtId="0" fontId="135" fillId="32" borderId="50" xfId="0" applyFont="1" applyFill="1" applyBorder="1"/>
    <xf numFmtId="0" fontId="139" fillId="28" borderId="56" xfId="0" applyFont="1" applyFill="1" applyBorder="1"/>
    <xf numFmtId="0" fontId="139" fillId="28" borderId="0" xfId="0" applyFont="1" applyFill="1"/>
    <xf numFmtId="0" fontId="139" fillId="28" borderId="0" xfId="0" applyFont="1" applyFill="1" applyAlignment="1">
      <alignment horizontal="center"/>
    </xf>
    <xf numFmtId="166" fontId="135" fillId="0" borderId="0" xfId="105" applyFont="1" applyFill="1" applyBorder="1" applyAlignment="1">
      <alignment horizontal="left"/>
    </xf>
    <xf numFmtId="166" fontId="135" fillId="0" borderId="58" xfId="105" applyFont="1" applyFill="1" applyBorder="1" applyAlignment="1">
      <alignment horizontal="left"/>
    </xf>
    <xf numFmtId="0" fontId="135" fillId="0" borderId="0" xfId="0" applyFont="1" applyAlignment="1">
      <alignment vertical="center"/>
    </xf>
    <xf numFmtId="0" fontId="139" fillId="28" borderId="0" xfId="0" applyFont="1" applyFill="1" applyAlignment="1">
      <alignment horizontal="center" wrapText="1"/>
    </xf>
    <xf numFmtId="0" fontId="139" fillId="28" borderId="28" xfId="0" applyFont="1" applyFill="1" applyBorder="1" applyAlignment="1">
      <alignment horizontal="center" wrapText="1"/>
    </xf>
    <xf numFmtId="166" fontId="135" fillId="32" borderId="0" xfId="105" applyFont="1" applyFill="1" applyBorder="1" applyAlignment="1">
      <alignment horizontal="left"/>
    </xf>
    <xf numFmtId="166" fontId="135" fillId="32" borderId="58" xfId="105" applyFont="1" applyFill="1" applyBorder="1" applyAlignment="1">
      <alignment horizontal="left"/>
    </xf>
    <xf numFmtId="0" fontId="228" fillId="0" borderId="111" xfId="0" applyFont="1" applyBorder="1"/>
    <xf numFmtId="0" fontId="232" fillId="19" borderId="111" xfId="0" applyFont="1" applyFill="1" applyBorder="1"/>
    <xf numFmtId="0" fontId="139" fillId="38" borderId="0" xfId="0" applyFont="1" applyFill="1"/>
    <xf numFmtId="0" fontId="139" fillId="41" borderId="54" xfId="0" applyFont="1" applyFill="1" applyBorder="1" applyAlignment="1">
      <alignment wrapText="1"/>
    </xf>
    <xf numFmtId="0" fontId="139" fillId="41" borderId="55" xfId="0" applyFont="1" applyFill="1" applyBorder="1" applyAlignment="1">
      <alignment vertical="center" wrapText="1"/>
    </xf>
    <xf numFmtId="0" fontId="139" fillId="41" borderId="55" xfId="0" applyFont="1" applyFill="1" applyBorder="1" applyAlignment="1">
      <alignment wrapText="1"/>
    </xf>
    <xf numFmtId="0" fontId="139" fillId="41" borderId="53" xfId="0" applyFont="1" applyFill="1" applyBorder="1" applyAlignment="1">
      <alignment wrapText="1"/>
    </xf>
    <xf numFmtId="0" fontId="139" fillId="41" borderId="54" xfId="0" applyFont="1" applyFill="1" applyBorder="1"/>
    <xf numFmtId="0" fontId="139" fillId="41" borderId="55" xfId="0" applyFont="1" applyFill="1" applyBorder="1" applyAlignment="1">
      <alignment vertical="center"/>
    </xf>
    <xf numFmtId="0" fontId="139" fillId="41" borderId="55" xfId="0" applyFont="1" applyFill="1" applyBorder="1"/>
    <xf numFmtId="0" fontId="139" fillId="41" borderId="53" xfId="0" applyFont="1" applyFill="1" applyBorder="1"/>
    <xf numFmtId="0" fontId="194" fillId="41" borderId="0" xfId="177" applyFont="1" applyFill="1" applyAlignment="1">
      <alignment vertical="top"/>
    </xf>
    <xf numFmtId="0" fontId="195" fillId="41" borderId="0" xfId="177" applyFont="1" applyFill="1" applyAlignment="1">
      <alignment vertical="top"/>
    </xf>
    <xf numFmtId="0" fontId="194" fillId="38" borderId="0" xfId="177" applyFont="1" applyFill="1" applyAlignment="1">
      <alignment vertical="top"/>
    </xf>
    <xf numFmtId="0" fontId="195" fillId="38" borderId="0" xfId="177" applyFont="1" applyFill="1" applyAlignment="1">
      <alignment vertical="top"/>
    </xf>
    <xf numFmtId="0" fontId="193" fillId="0" borderId="0" xfId="177" applyFont="1" applyAlignment="1">
      <alignment horizontal="center" vertical="top"/>
    </xf>
    <xf numFmtId="0" fontId="195" fillId="38" borderId="0" xfId="177" applyFont="1" applyFill="1" applyAlignment="1">
      <alignment horizontal="center" vertical="top"/>
    </xf>
    <xf numFmtId="0" fontId="195" fillId="41" borderId="0" xfId="177" applyFont="1" applyFill="1" applyAlignment="1">
      <alignment horizontal="center" vertical="top"/>
    </xf>
    <xf numFmtId="0" fontId="196" fillId="22" borderId="58" xfId="177" applyFont="1" applyFill="1" applyBorder="1" applyAlignment="1">
      <alignment vertical="top"/>
    </xf>
    <xf numFmtId="0" fontId="196" fillId="22" borderId="58" xfId="177" applyFont="1" applyFill="1" applyBorder="1" applyAlignment="1">
      <alignment horizontal="center" vertical="top"/>
    </xf>
    <xf numFmtId="0" fontId="128" fillId="36" borderId="54" xfId="49" applyFont="1" applyFill="1" applyBorder="1"/>
    <xf numFmtId="0" fontId="117" fillId="36" borderId="55" xfId="49" applyFont="1" applyFill="1" applyBorder="1"/>
    <xf numFmtId="0" fontId="117" fillId="36" borderId="53" xfId="49" applyFont="1" applyFill="1" applyBorder="1"/>
    <xf numFmtId="0" fontId="117" fillId="0" borderId="56" xfId="49" quotePrefix="1" applyFont="1" applyBorder="1"/>
    <xf numFmtId="169" fontId="117" fillId="0" borderId="28" xfId="98" applyNumberFormat="1" applyFont="1" applyBorder="1"/>
    <xf numFmtId="0" fontId="117" fillId="0" borderId="56" xfId="49" applyFont="1" applyBorder="1"/>
    <xf numFmtId="0" fontId="117" fillId="0" borderId="50" xfId="49" applyFont="1" applyBorder="1"/>
    <xf numFmtId="169" fontId="117" fillId="0" borderId="58" xfId="98" applyNumberFormat="1" applyFont="1" applyBorder="1"/>
    <xf numFmtId="169" fontId="117" fillId="0" borderId="48" xfId="98" applyNumberFormat="1" applyFont="1" applyBorder="1"/>
    <xf numFmtId="0" fontId="128" fillId="0" borderId="56" xfId="49" applyFont="1" applyBorder="1"/>
    <xf numFmtId="0" fontId="117" fillId="0" borderId="28" xfId="49" applyFont="1" applyBorder="1"/>
    <xf numFmtId="0" fontId="117" fillId="23" borderId="56" xfId="49" applyFont="1" applyFill="1" applyBorder="1"/>
    <xf numFmtId="166" fontId="117" fillId="23" borderId="28" xfId="49" applyNumberFormat="1" applyFont="1" applyFill="1" applyBorder="1"/>
    <xf numFmtId="0" fontId="117" fillId="23" borderId="50" xfId="49" applyFont="1" applyFill="1" applyBorder="1"/>
    <xf numFmtId="166" fontId="117" fillId="23" borderId="48" xfId="49" applyNumberFormat="1" applyFont="1" applyFill="1" applyBorder="1"/>
    <xf numFmtId="166" fontId="128" fillId="0" borderId="0" xfId="49" applyNumberFormat="1" applyFont="1" applyBorder="1"/>
    <xf numFmtId="166" fontId="128" fillId="0" borderId="28" xfId="49" applyNumberFormat="1" applyFont="1" applyBorder="1"/>
    <xf numFmtId="0" fontId="128" fillId="0" borderId="54" xfId="49" applyFont="1" applyFill="1" applyBorder="1"/>
    <xf numFmtId="166" fontId="128" fillId="0" borderId="53" xfId="49" applyNumberFormat="1" applyFont="1" applyFill="1" applyBorder="1"/>
    <xf numFmtId="0" fontId="117" fillId="23" borderId="28" xfId="49" applyFont="1" applyFill="1" applyBorder="1"/>
    <xf numFmtId="0" fontId="128" fillId="0" borderId="54" xfId="49" applyFont="1" applyBorder="1"/>
    <xf numFmtId="166" fontId="128" fillId="0" borderId="53" xfId="105" applyFont="1" applyBorder="1"/>
    <xf numFmtId="166" fontId="128" fillId="0" borderId="53" xfId="49" applyNumberFormat="1" applyFont="1" applyBorder="1"/>
    <xf numFmtId="0" fontId="117" fillId="0" borderId="48" xfId="49" applyFont="1" applyBorder="1"/>
    <xf numFmtId="9" fontId="193" fillId="32" borderId="0" xfId="177" applyNumberFormat="1" applyFont="1" applyFill="1" applyAlignment="1">
      <alignment horizontal="center" vertical="top"/>
    </xf>
    <xf numFmtId="0" fontId="193" fillId="32" borderId="0" xfId="177" applyFont="1" applyFill="1" applyAlignment="1">
      <alignment horizontal="center" vertical="top"/>
    </xf>
    <xf numFmtId="0" fontId="193" fillId="43" borderId="0" xfId="177" applyFont="1" applyFill="1" applyAlignment="1">
      <alignment vertical="top"/>
    </xf>
    <xf numFmtId="0" fontId="18" fillId="0" borderId="0" xfId="0" applyFont="1"/>
    <xf numFmtId="0" fontId="128" fillId="36" borderId="0" xfId="0" applyFont="1" applyFill="1"/>
    <xf numFmtId="9" fontId="117" fillId="0" borderId="0" xfId="98" applyFont="1"/>
    <xf numFmtId="0" fontId="117" fillId="0" borderId="0" xfId="49" quotePrefix="1" applyFont="1" applyFill="1" applyProtection="1">
      <protection locked="0"/>
    </xf>
    <xf numFmtId="0" fontId="117" fillId="27" borderId="0" xfId="0" applyFont="1" applyFill="1"/>
    <xf numFmtId="166" fontId="117" fillId="49" borderId="107" xfId="105" applyFont="1" applyFill="1" applyBorder="1" applyAlignment="1">
      <alignment horizontal="right"/>
    </xf>
    <xf numFmtId="166" fontId="117" fillId="49" borderId="108" xfId="105" applyFont="1" applyFill="1" applyBorder="1" applyAlignment="1">
      <alignment horizontal="right"/>
    </xf>
    <xf numFmtId="0" fontId="113" fillId="50" borderId="0" xfId="0" applyFont="1" applyFill="1"/>
    <xf numFmtId="0" fontId="154" fillId="50" borderId="0" xfId="0" applyFont="1" applyFill="1"/>
    <xf numFmtId="0" fontId="113" fillId="51" borderId="99" xfId="0" applyFont="1" applyFill="1" applyBorder="1"/>
    <xf numFmtId="0" fontId="113" fillId="51" borderId="100" xfId="0" applyFont="1" applyFill="1" applyBorder="1"/>
    <xf numFmtId="0" fontId="113" fillId="51" borderId="100" xfId="0" applyFont="1" applyFill="1" applyBorder="1" applyAlignment="1">
      <alignment horizontal="right"/>
    </xf>
    <xf numFmtId="0" fontId="113" fillId="51" borderId="101" xfId="0" applyFont="1" applyFill="1" applyBorder="1" applyAlignment="1">
      <alignment horizontal="right"/>
    </xf>
    <xf numFmtId="0" fontId="113" fillId="51" borderId="0" xfId="0" applyFont="1" applyFill="1"/>
    <xf numFmtId="0" fontId="154" fillId="51" borderId="0" xfId="0" applyFont="1" applyFill="1"/>
    <xf numFmtId="0" fontId="154" fillId="51" borderId="0" xfId="0" applyFont="1" applyFill="1" applyAlignment="1">
      <alignment horizontal="right"/>
    </xf>
    <xf numFmtId="166" fontId="117" fillId="49" borderId="0" xfId="105" applyFont="1" applyFill="1" applyBorder="1" applyAlignment="1">
      <alignment horizontal="right"/>
    </xf>
    <xf numFmtId="0" fontId="113" fillId="51" borderId="54" xfId="0" applyFont="1" applyFill="1" applyBorder="1"/>
    <xf numFmtId="0" fontId="113" fillId="51" borderId="55" xfId="0" applyFont="1" applyFill="1" applyBorder="1"/>
    <xf numFmtId="0" fontId="113" fillId="51" borderId="55" xfId="0" applyFont="1" applyFill="1" applyBorder="1" applyAlignment="1">
      <alignment horizontal="right"/>
    </xf>
    <xf numFmtId="0" fontId="113" fillId="51" borderId="53" xfId="0" applyFont="1" applyFill="1" applyBorder="1" applyAlignment="1">
      <alignment horizontal="right"/>
    </xf>
    <xf numFmtId="0" fontId="113" fillId="38" borderId="113" xfId="0" applyFont="1" applyFill="1" applyBorder="1"/>
    <xf numFmtId="0" fontId="113" fillId="38" borderId="114" xfId="0" applyFont="1" applyFill="1" applyBorder="1" applyAlignment="1">
      <alignment horizontal="right"/>
    </xf>
    <xf numFmtId="166" fontId="117" fillId="49" borderId="28" xfId="105" applyFont="1" applyFill="1" applyBorder="1" applyAlignment="1">
      <alignment horizontal="right"/>
    </xf>
    <xf numFmtId="186" fontId="132" fillId="0" borderId="52" xfId="112" applyNumberFormat="1" applyFont="1" applyBorder="1" applyAlignment="1">
      <alignment horizontal="left" vertical="center"/>
    </xf>
    <xf numFmtId="186" fontId="132" fillId="0" borderId="77" xfId="112" applyNumberFormat="1" applyFont="1" applyBorder="1" applyAlignment="1">
      <alignment horizontal="left" vertical="center"/>
    </xf>
    <xf numFmtId="186" fontId="132" fillId="0" borderId="77" xfId="112" applyNumberFormat="1" applyFont="1" applyBorder="1" applyAlignment="1">
      <alignment horizontal="right" vertical="center"/>
    </xf>
    <xf numFmtId="186" fontId="132" fillId="0" borderId="51" xfId="112" applyNumberFormat="1" applyFont="1" applyBorder="1" applyAlignment="1">
      <alignment horizontal="right" vertical="center"/>
    </xf>
    <xf numFmtId="166" fontId="117" fillId="0" borderId="28" xfId="105" applyFont="1" applyFill="1" applyBorder="1" applyAlignment="1">
      <alignment horizontal="right"/>
    </xf>
    <xf numFmtId="0" fontId="117" fillId="0" borderId="54" xfId="0" applyFont="1" applyBorder="1"/>
    <xf numFmtId="0" fontId="128" fillId="0" borderId="52" xfId="0" applyFont="1" applyBorder="1"/>
    <xf numFmtId="166" fontId="128" fillId="0" borderId="77" xfId="105" applyFont="1" applyFill="1" applyBorder="1" applyAlignment="1">
      <alignment horizontal="right"/>
    </xf>
    <xf numFmtId="166" fontId="128" fillId="0" borderId="51" xfId="105" applyFont="1" applyFill="1" applyBorder="1" applyAlignment="1">
      <alignment horizontal="right"/>
    </xf>
    <xf numFmtId="0" fontId="128" fillId="0" borderId="77" xfId="105" applyNumberFormat="1" applyFont="1" applyFill="1" applyBorder="1" applyAlignment="1">
      <alignment horizontal="right"/>
    </xf>
    <xf numFmtId="171" fontId="148" fillId="36" borderId="0" xfId="53" applyFont="1" applyFill="1" applyBorder="1">
      <alignment horizontal="right"/>
    </xf>
    <xf numFmtId="166" fontId="147" fillId="0" borderId="0" xfId="105" applyFont="1" applyFill="1" applyBorder="1" applyAlignment="1">
      <alignment horizontal="right"/>
    </xf>
    <xf numFmtId="166" fontId="147" fillId="0" borderId="103" xfId="105" applyFont="1" applyFill="1" applyBorder="1" applyAlignment="1">
      <alignment horizontal="right"/>
    </xf>
    <xf numFmtId="0" fontId="236" fillId="0" borderId="47" xfId="176" applyFont="1" applyFill="1" applyBorder="1" applyAlignment="1">
      <alignment horizontal="left" vertical="center"/>
    </xf>
    <xf numFmtId="0" fontId="237" fillId="0" borderId="47" xfId="0" applyFont="1" applyBorder="1" applyAlignment="1">
      <alignment vertical="center"/>
    </xf>
    <xf numFmtId="0" fontId="238" fillId="52" borderId="0" xfId="0" applyFont="1" applyFill="1" applyAlignment="1">
      <alignment horizontal="left" vertical="center" wrapText="1"/>
    </xf>
    <xf numFmtId="0" fontId="238" fillId="52" borderId="0" xfId="0" applyFont="1" applyFill="1" applyAlignment="1">
      <alignment horizontal="right" vertical="center" wrapText="1"/>
    </xf>
    <xf numFmtId="0" fontId="193" fillId="33" borderId="0" xfId="113" applyFont="1" applyFill="1"/>
    <xf numFmtId="0" fontId="113" fillId="38" borderId="50" xfId="0" applyFont="1" applyFill="1" applyBorder="1"/>
    <xf numFmtId="0" fontId="113" fillId="38" borderId="58" xfId="0" applyFont="1" applyFill="1" applyBorder="1"/>
    <xf numFmtId="0" fontId="113" fillId="38" borderId="58" xfId="0" applyFont="1" applyFill="1" applyBorder="1" applyAlignment="1">
      <alignment horizontal="right"/>
    </xf>
    <xf numFmtId="0" fontId="113" fillId="38" borderId="48" xfId="0" applyFont="1" applyFill="1" applyBorder="1" applyAlignment="1">
      <alignment horizontal="right" wrapText="1"/>
    </xf>
    <xf numFmtId="0" fontId="117" fillId="53" borderId="0" xfId="49" applyFont="1" applyFill="1"/>
    <xf numFmtId="0" fontId="239" fillId="54" borderId="47" xfId="0" applyFont="1" applyFill="1" applyBorder="1"/>
    <xf numFmtId="0" fontId="239" fillId="54" borderId="47" xfId="0" applyFont="1" applyFill="1" applyBorder="1" applyAlignment="1">
      <alignment horizontal="center"/>
    </xf>
    <xf numFmtId="10" fontId="239" fillId="54" borderId="47" xfId="0" applyNumberFormat="1" applyFont="1" applyFill="1" applyBorder="1" applyAlignment="1">
      <alignment horizontal="center"/>
    </xf>
    <xf numFmtId="0" fontId="239" fillId="0" borderId="47" xfId="0" applyFont="1" applyBorder="1"/>
    <xf numFmtId="0" fontId="239" fillId="0" borderId="47" xfId="0" applyFont="1" applyBorder="1" applyAlignment="1">
      <alignment horizontal="center"/>
    </xf>
    <xf numFmtId="10" fontId="239" fillId="0" borderId="47" xfId="0" applyNumberFormat="1" applyFont="1" applyBorder="1" applyAlignment="1">
      <alignment horizontal="center"/>
    </xf>
    <xf numFmtId="0" fontId="0" fillId="0" borderId="0" xfId="0" applyAlignment="1">
      <alignment horizontal="left" wrapText="1"/>
    </xf>
    <xf numFmtId="0" fontId="240" fillId="52" borderId="47" xfId="0" applyFont="1" applyFill="1" applyBorder="1" applyAlignment="1">
      <alignment horizontal="left" wrapText="1"/>
    </xf>
    <xf numFmtId="9" fontId="117" fillId="27" borderId="0" xfId="49" applyNumberFormat="1" applyFont="1" applyFill="1" applyAlignment="1" applyProtection="1">
      <alignment horizontal="left"/>
      <protection locked="0"/>
    </xf>
    <xf numFmtId="193" fontId="110" fillId="0" borderId="0" xfId="119" applyNumberFormat="1" applyFont="1" applyFill="1" applyBorder="1" applyAlignment="1">
      <alignment horizontal="right"/>
    </xf>
    <xf numFmtId="193" fontId="110" fillId="0" borderId="28" xfId="119" applyNumberFormat="1" applyFont="1" applyFill="1" applyBorder="1" applyAlignment="1">
      <alignment horizontal="right"/>
    </xf>
    <xf numFmtId="193" fontId="112" fillId="19" borderId="64" xfId="119" applyNumberFormat="1" applyFont="1" applyFill="1" applyBorder="1" applyAlignment="1">
      <alignment horizontal="right"/>
    </xf>
    <xf numFmtId="193" fontId="112" fillId="19" borderId="65" xfId="119" applyNumberFormat="1" applyFont="1" applyFill="1" applyBorder="1" applyAlignment="1">
      <alignment horizontal="right"/>
    </xf>
    <xf numFmtId="0" fontId="147" fillId="19" borderId="0" xfId="0" applyFont="1" applyFill="1" applyAlignment="1">
      <alignment horizontal="left"/>
    </xf>
    <xf numFmtId="9" fontId="110" fillId="19" borderId="0" xfId="98" applyFont="1" applyFill="1" applyBorder="1" applyAlignment="1">
      <alignment horizontal="center"/>
    </xf>
    <xf numFmtId="9" fontId="110" fillId="19" borderId="0" xfId="98" applyFont="1" applyFill="1" applyBorder="1" applyAlignment="1">
      <alignment horizontal="left"/>
    </xf>
    <xf numFmtId="9" fontId="147" fillId="19" borderId="0" xfId="0" applyNumberFormat="1" applyFont="1" applyFill="1" applyAlignment="1">
      <alignment horizontal="left"/>
    </xf>
    <xf numFmtId="0" fontId="110" fillId="19" borderId="58" xfId="0" applyFont="1" applyFill="1" applyBorder="1" applyAlignment="1">
      <alignment horizontal="left"/>
    </xf>
    <xf numFmtId="193" fontId="110" fillId="0" borderId="58" xfId="119" applyNumberFormat="1" applyFont="1" applyFill="1" applyBorder="1" applyAlignment="1">
      <alignment horizontal="right"/>
    </xf>
    <xf numFmtId="193" fontId="110" fillId="0" borderId="48" xfId="119" applyNumberFormat="1" applyFont="1" applyFill="1" applyBorder="1" applyAlignment="1">
      <alignment horizontal="right"/>
    </xf>
    <xf numFmtId="169" fontId="110" fillId="33" borderId="0" xfId="0" applyNumberFormat="1" applyFont="1" applyFill="1" applyAlignment="1">
      <alignment horizontal="left"/>
    </xf>
    <xf numFmtId="166" fontId="117" fillId="0" borderId="28" xfId="105" applyFont="1" applyFill="1" applyBorder="1"/>
    <xf numFmtId="169" fontId="147" fillId="0" borderId="0" xfId="98" applyNumberFormat="1" applyFont="1" applyBorder="1"/>
    <xf numFmtId="0" fontId="117" fillId="49" borderId="0" xfId="49" applyFont="1" applyFill="1" applyBorder="1"/>
    <xf numFmtId="166" fontId="117" fillId="49" borderId="0" xfId="105" applyFont="1" applyFill="1" applyBorder="1"/>
    <xf numFmtId="0" fontId="126" fillId="27" borderId="0" xfId="0" applyFont="1" applyFill="1"/>
    <xf numFmtId="0" fontId="126" fillId="27" borderId="0" xfId="49" quotePrefix="1" applyFont="1" applyFill="1" applyProtection="1">
      <protection locked="0"/>
    </xf>
    <xf numFmtId="0" fontId="194" fillId="44" borderId="0" xfId="0" applyFont="1" applyFill="1" applyAlignment="1">
      <alignment vertical="top"/>
    </xf>
    <xf numFmtId="0" fontId="194" fillId="44" borderId="0" xfId="0" applyFont="1" applyFill="1"/>
    <xf numFmtId="0" fontId="194" fillId="44" borderId="0" xfId="0" applyFont="1" applyFill="1" applyAlignment="1">
      <alignment vertical="top" wrapText="1"/>
    </xf>
    <xf numFmtId="0" fontId="194" fillId="44" borderId="0" xfId="0" applyFont="1" applyFill="1" applyAlignment="1">
      <alignment wrapText="1"/>
    </xf>
    <xf numFmtId="0" fontId="228" fillId="0" borderId="0" xfId="0" applyFont="1" applyAlignment="1">
      <alignment vertical="top"/>
    </xf>
    <xf numFmtId="0" fontId="228" fillId="0" borderId="0" xfId="0" applyFont="1" applyAlignment="1">
      <alignment vertical="top" wrapText="1"/>
    </xf>
    <xf numFmtId="0" fontId="228" fillId="37" borderId="58" xfId="49" applyFont="1" applyFill="1" applyBorder="1"/>
    <xf numFmtId="0" fontId="228" fillId="0" borderId="58" xfId="96" applyFont="1" applyBorder="1" applyAlignment="1">
      <alignment horizontal="center"/>
    </xf>
    <xf numFmtId="0" fontId="228" fillId="0" borderId="0" xfId="49" applyFont="1" applyFill="1"/>
    <xf numFmtId="0" fontId="228" fillId="0" borderId="0" xfId="96" applyFont="1" applyAlignment="1">
      <alignment horizontal="center"/>
    </xf>
    <xf numFmtId="0" fontId="248" fillId="37" borderId="77" xfId="49" applyFont="1" applyFill="1" applyBorder="1" applyProtection="1">
      <protection locked="0"/>
    </xf>
    <xf numFmtId="0" fontId="126" fillId="27" borderId="0" xfId="49" applyFont="1" applyFill="1" applyProtection="1">
      <protection locked="0"/>
    </xf>
    <xf numFmtId="190" fontId="126" fillId="27" borderId="0" xfId="49" applyNumberFormat="1" applyFont="1" applyFill="1" applyProtection="1">
      <protection locked="0"/>
    </xf>
    <xf numFmtId="167" fontId="113" fillId="41" borderId="31" xfId="0" applyNumberFormat="1" applyFont="1" applyFill="1" applyBorder="1" applyAlignment="1">
      <alignment horizontal="left"/>
    </xf>
    <xf numFmtId="173" fontId="126" fillId="27" borderId="0" xfId="55" applyFont="1" applyFill="1" applyAlignment="1" applyProtection="1">
      <alignment horizontal="left"/>
      <protection locked="0"/>
    </xf>
    <xf numFmtId="170" fontId="122" fillId="0" borderId="0" xfId="48" applyNumberFormat="1" applyFont="1" applyFill="1" applyAlignment="1" applyProtection="1">
      <alignment horizontal="left"/>
      <protection locked="0"/>
    </xf>
    <xf numFmtId="190" fontId="126" fillId="27" borderId="0" xfId="49" applyNumberFormat="1" applyFont="1" applyFill="1" applyAlignment="1" applyProtection="1">
      <alignment horizontal="left"/>
      <protection locked="0"/>
    </xf>
    <xf numFmtId="0" fontId="117" fillId="0" borderId="0" xfId="49" applyFont="1" applyFill="1" applyAlignment="1" applyProtection="1">
      <alignment horizontal="left"/>
      <protection locked="0"/>
    </xf>
    <xf numFmtId="0" fontId="126" fillId="27" borderId="0" xfId="49" quotePrefix="1" applyFont="1" applyFill="1" applyAlignment="1" applyProtection="1">
      <alignment horizontal="left"/>
      <protection locked="0"/>
    </xf>
    <xf numFmtId="43" fontId="126" fillId="27" borderId="0" xfId="49" applyNumberFormat="1" applyFont="1" applyFill="1" applyProtection="1">
      <protection locked="0"/>
    </xf>
    <xf numFmtId="166" fontId="126" fillId="27" borderId="0" xfId="105" applyFont="1" applyFill="1" applyAlignment="1" applyProtection="1">
      <alignment horizontal="right"/>
      <protection locked="0"/>
    </xf>
    <xf numFmtId="166" fontId="242" fillId="37" borderId="58" xfId="105" applyFont="1" applyFill="1" applyBorder="1" applyAlignment="1">
      <alignment horizontal="left"/>
    </xf>
    <xf numFmtId="0" fontId="117" fillId="49" borderId="0" xfId="0" applyFont="1" applyFill="1"/>
    <xf numFmtId="9" fontId="126" fillId="27" borderId="0" xfId="0" applyNumberFormat="1" applyFont="1" applyFill="1"/>
    <xf numFmtId="9" fontId="126" fillId="27" borderId="0" xfId="98" applyFont="1" applyFill="1" applyProtection="1">
      <protection locked="0"/>
    </xf>
    <xf numFmtId="9" fontId="126" fillId="27" borderId="0" xfId="98" applyFont="1" applyFill="1"/>
    <xf numFmtId="193" fontId="147" fillId="0" borderId="28" xfId="119" applyNumberFormat="1" applyFont="1" applyFill="1" applyBorder="1" applyAlignment="1">
      <alignment horizontal="right"/>
    </xf>
    <xf numFmtId="193" fontId="147" fillId="0" borderId="67" xfId="119" applyNumberFormat="1" applyFont="1" applyFill="1" applyBorder="1" applyAlignment="1">
      <alignment horizontal="right"/>
    </xf>
    <xf numFmtId="9" fontId="126" fillId="0" borderId="0" xfId="98" applyFont="1"/>
    <xf numFmtId="166" fontId="126" fillId="0" borderId="0" xfId="105" applyFont="1"/>
    <xf numFmtId="166" fontId="126" fillId="27" borderId="0" xfId="105" applyFont="1" applyFill="1"/>
    <xf numFmtId="9" fontId="126" fillId="0" borderId="0" xfId="0" applyNumberFormat="1" applyFont="1" applyAlignment="1">
      <alignment horizontal="center"/>
    </xf>
    <xf numFmtId="0" fontId="128" fillId="22" borderId="0" xfId="49" applyFont="1" applyFill="1" applyBorder="1" applyProtection="1">
      <protection locked="0"/>
    </xf>
    <xf numFmtId="9" fontId="117" fillId="22" borderId="0" xfId="0" applyNumberFormat="1" applyFont="1" applyFill="1" applyAlignment="1">
      <alignment horizontal="center"/>
    </xf>
    <xf numFmtId="166" fontId="117" fillId="22" borderId="0" xfId="105" applyFont="1" applyFill="1" applyBorder="1" applyAlignment="1">
      <alignment horizontal="center"/>
    </xf>
    <xf numFmtId="167" fontId="113" fillId="41" borderId="0" xfId="0" applyNumberFormat="1" applyFont="1" applyFill="1" applyAlignment="1">
      <alignment horizontal="right"/>
    </xf>
    <xf numFmtId="0" fontId="117" fillId="0" borderId="0" xfId="49" applyFont="1" applyFill="1" applyBorder="1" applyProtection="1">
      <protection locked="0"/>
    </xf>
    <xf numFmtId="166" fontId="117" fillId="0" borderId="0" xfId="105" applyFont="1" applyFill="1" applyBorder="1" applyAlignment="1">
      <alignment horizontal="center"/>
    </xf>
    <xf numFmtId="0" fontId="124" fillId="0" borderId="0" xfId="49" applyFont="1" applyFill="1" applyBorder="1" applyProtection="1">
      <protection locked="0"/>
    </xf>
    <xf numFmtId="9" fontId="125" fillId="0" borderId="0" xfId="0" applyNumberFormat="1" applyFont="1" applyAlignment="1">
      <alignment horizontal="center"/>
    </xf>
    <xf numFmtId="0" fontId="110" fillId="0" borderId="0" xfId="178" applyFont="1" applyAlignment="1">
      <alignment vertical="top" wrapText="1"/>
    </xf>
    <xf numFmtId="0" fontId="150" fillId="0" borderId="0" xfId="178" applyFont="1" applyAlignment="1">
      <alignment vertical="top" wrapText="1"/>
    </xf>
    <xf numFmtId="193" fontId="110" fillId="19" borderId="0" xfId="119" applyNumberFormat="1" applyFont="1" applyFill="1" applyBorder="1" applyAlignment="1">
      <alignment horizontal="left"/>
    </xf>
    <xf numFmtId="166" fontId="110" fillId="19" borderId="0" xfId="105" applyFont="1" applyFill="1" applyBorder="1" applyAlignment="1">
      <alignment horizontal="left"/>
    </xf>
    <xf numFmtId="193" fontId="112" fillId="49" borderId="58" xfId="119" applyNumberFormat="1" applyFont="1" applyFill="1" applyBorder="1" applyAlignment="1">
      <alignment horizontal="right"/>
    </xf>
    <xf numFmtId="193" fontId="112" fillId="49" borderId="48" xfId="119" applyNumberFormat="1" applyFont="1" applyFill="1" applyBorder="1" applyAlignment="1">
      <alignment horizontal="right"/>
    </xf>
    <xf numFmtId="193" fontId="112" fillId="0" borderId="0" xfId="119" applyNumberFormat="1" applyFont="1" applyFill="1" applyBorder="1" applyAlignment="1">
      <alignment horizontal="right"/>
    </xf>
    <xf numFmtId="169" fontId="147" fillId="0" borderId="0" xfId="49" applyNumberFormat="1" applyFont="1"/>
    <xf numFmtId="0" fontId="117" fillId="22" borderId="0" xfId="49" applyFont="1" applyFill="1" applyProtection="1">
      <protection locked="0"/>
    </xf>
    <xf numFmtId="9" fontId="117" fillId="22" borderId="0" xfId="98" applyFont="1" applyFill="1"/>
    <xf numFmtId="0" fontId="117" fillId="33" borderId="47" xfId="0" applyFont="1" applyFill="1" applyBorder="1" applyAlignment="1">
      <alignment horizontal="center"/>
    </xf>
    <xf numFmtId="0" fontId="150" fillId="19" borderId="0" xfId="0" applyFont="1" applyFill="1" applyAlignment="1">
      <alignment horizontal="left"/>
    </xf>
    <xf numFmtId="9" fontId="147" fillId="19" borderId="0" xfId="0" applyNumberFormat="1" applyFont="1" applyFill="1" applyAlignment="1">
      <alignment horizontal="center"/>
    </xf>
    <xf numFmtId="9" fontId="126" fillId="27" borderId="0" xfId="49" applyNumberFormat="1" applyFont="1" applyFill="1" applyProtection="1">
      <protection locked="0"/>
    </xf>
    <xf numFmtId="193" fontId="110" fillId="0" borderId="67" xfId="119" applyNumberFormat="1" applyFont="1" applyFill="1" applyBorder="1" applyAlignment="1">
      <alignment horizontal="right"/>
    </xf>
    <xf numFmtId="0" fontId="147" fillId="22" borderId="0" xfId="0" applyFont="1" applyFill="1" applyAlignment="1">
      <alignment horizontal="right"/>
    </xf>
    <xf numFmtId="0" fontId="249" fillId="0" borderId="0" xfId="0" applyFont="1" applyAlignment="1">
      <alignment horizontal="center"/>
    </xf>
    <xf numFmtId="0" fontId="123" fillId="0" borderId="0" xfId="0" applyFont="1" applyAlignment="1">
      <alignment horizontal="center"/>
    </xf>
    <xf numFmtId="0" fontId="123" fillId="0" borderId="110" xfId="0" applyFont="1" applyBorder="1" applyAlignment="1">
      <alignment horizontal="center"/>
    </xf>
    <xf numFmtId="169" fontId="147" fillId="19" borderId="0" xfId="98" applyNumberFormat="1" applyFont="1" applyFill="1"/>
    <xf numFmtId="169" fontId="147" fillId="0" borderId="0" xfId="98" applyNumberFormat="1" applyFont="1" applyFill="1" applyBorder="1"/>
    <xf numFmtId="169" fontId="147" fillId="19" borderId="28" xfId="98" applyNumberFormat="1" applyFont="1" applyFill="1" applyBorder="1"/>
    <xf numFmtId="169" fontId="147" fillId="19" borderId="0" xfId="98" applyNumberFormat="1" applyFont="1" applyFill="1" applyBorder="1"/>
    <xf numFmtId="169" fontId="147" fillId="19" borderId="58" xfId="98" applyNumberFormat="1" applyFont="1" applyFill="1" applyBorder="1"/>
    <xf numFmtId="169" fontId="147" fillId="19" borderId="48" xfId="98" applyNumberFormat="1" applyFont="1" applyFill="1" applyBorder="1"/>
    <xf numFmtId="9" fontId="117" fillId="0" borderId="28" xfId="98" applyFont="1" applyFill="1" applyBorder="1" applyAlignment="1">
      <alignment horizontal="right"/>
    </xf>
    <xf numFmtId="0" fontId="123" fillId="0" borderId="55" xfId="0" applyFont="1" applyBorder="1" applyAlignment="1">
      <alignment horizontal="center"/>
    </xf>
    <xf numFmtId="166" fontId="117" fillId="0" borderId="55" xfId="105" applyFont="1" applyBorder="1"/>
    <xf numFmtId="0" fontId="113" fillId="41" borderId="0" xfId="0" applyFont="1" applyFill="1"/>
    <xf numFmtId="0" fontId="250" fillId="41" borderId="0" xfId="0" applyFont="1" applyFill="1" applyAlignment="1">
      <alignment horizontal="center"/>
    </xf>
    <xf numFmtId="9" fontId="110" fillId="22" borderId="0" xfId="98" applyFont="1" applyFill="1" applyBorder="1" applyAlignment="1">
      <alignment horizontal="right"/>
    </xf>
    <xf numFmtId="169" fontId="110" fillId="22" borderId="0" xfId="98" applyNumberFormat="1" applyFont="1" applyFill="1"/>
    <xf numFmtId="169" fontId="110" fillId="22" borderId="58" xfId="98" applyNumberFormat="1" applyFont="1" applyFill="1" applyBorder="1"/>
    <xf numFmtId="166" fontId="147" fillId="32" borderId="0" xfId="105" applyFont="1" applyFill="1" applyAlignment="1">
      <alignment horizontal="right"/>
    </xf>
    <xf numFmtId="193" fontId="110" fillId="49" borderId="0" xfId="119" applyNumberFormat="1" applyFont="1" applyFill="1" applyBorder="1" applyAlignment="1">
      <alignment horizontal="right"/>
    </xf>
    <xf numFmtId="169" fontId="147" fillId="32" borderId="0" xfId="98" applyNumberFormat="1" applyFont="1" applyFill="1"/>
    <xf numFmtId="193" fontId="147" fillId="32" borderId="0" xfId="119" applyNumberFormat="1" applyFont="1" applyFill="1" applyBorder="1" applyAlignment="1">
      <alignment horizontal="right"/>
    </xf>
    <xf numFmtId="193" fontId="148" fillId="32" borderId="64" xfId="119" applyNumberFormat="1" applyFont="1" applyFill="1" applyBorder="1" applyAlignment="1">
      <alignment horizontal="right"/>
    </xf>
    <xf numFmtId="9" fontId="117" fillId="0" borderId="0" xfId="0" applyNumberFormat="1" applyFont="1"/>
    <xf numFmtId="169" fontId="117" fillId="27" borderId="0" xfId="49" applyNumberFormat="1" applyFont="1" applyFill="1" applyAlignment="1" applyProtection="1">
      <alignment horizontal="right"/>
      <protection locked="0"/>
    </xf>
    <xf numFmtId="0" fontId="136" fillId="0" borderId="58" xfId="0" applyFont="1" applyBorder="1"/>
    <xf numFmtId="0" fontId="144" fillId="0" borderId="58" xfId="0" applyFont="1" applyBorder="1" applyAlignment="1">
      <alignment horizontal="right"/>
    </xf>
    <xf numFmtId="0" fontId="144" fillId="37" borderId="58" xfId="0" applyFont="1" applyFill="1" applyBorder="1" applyAlignment="1">
      <alignment horizontal="right"/>
    </xf>
    <xf numFmtId="0" fontId="144" fillId="36" borderId="58" xfId="0" applyFont="1" applyFill="1" applyBorder="1" applyAlignment="1">
      <alignment horizontal="right"/>
    </xf>
    <xf numFmtId="0" fontId="136" fillId="0" borderId="54" xfId="0" applyFont="1" applyBorder="1"/>
    <xf numFmtId="0" fontId="136" fillId="0" borderId="56" xfId="0" applyFont="1" applyBorder="1"/>
    <xf numFmtId="0" fontId="144" fillId="0" borderId="0" xfId="0" applyFont="1" applyAlignment="1">
      <alignment horizontal="right"/>
    </xf>
    <xf numFmtId="0" fontId="144" fillId="37" borderId="0" xfId="0" applyFont="1" applyFill="1" applyAlignment="1">
      <alignment horizontal="right"/>
    </xf>
    <xf numFmtId="0" fontId="144" fillId="36" borderId="0" xfId="0" applyFont="1" applyFill="1" applyAlignment="1">
      <alignment horizontal="right"/>
    </xf>
    <xf numFmtId="0" fontId="144" fillId="36" borderId="28" xfId="0" applyFont="1" applyFill="1" applyBorder="1" applyAlignment="1">
      <alignment horizontal="right"/>
    </xf>
    <xf numFmtId="0" fontId="144" fillId="36" borderId="48" xfId="0" applyFont="1" applyFill="1" applyBorder="1" applyAlignment="1">
      <alignment horizontal="right"/>
    </xf>
    <xf numFmtId="0" fontId="136" fillId="37" borderId="0" xfId="0" applyFont="1" applyFill="1"/>
    <xf numFmtId="0" fontId="136" fillId="36" borderId="0" xfId="0" applyFont="1" applyFill="1"/>
    <xf numFmtId="0" fontId="136" fillId="36" borderId="28" xfId="0" applyFont="1" applyFill="1" applyBorder="1"/>
    <xf numFmtId="0" fontId="136" fillId="0" borderId="50" xfId="0" applyFont="1" applyBorder="1"/>
    <xf numFmtId="0" fontId="136" fillId="0" borderId="48" xfId="0" applyFont="1" applyBorder="1"/>
    <xf numFmtId="9" fontId="144" fillId="0" borderId="77" xfId="98" applyFont="1" applyBorder="1"/>
    <xf numFmtId="9" fontId="144" fillId="0" borderId="51" xfId="98" applyFont="1" applyBorder="1"/>
    <xf numFmtId="9" fontId="143" fillId="38" borderId="0" xfId="0" applyNumberFormat="1" applyFont="1" applyFill="1" applyAlignment="1">
      <alignment horizontal="right"/>
    </xf>
    <xf numFmtId="166" fontId="136" fillId="49" borderId="58" xfId="105" applyFont="1" applyFill="1" applyBorder="1"/>
    <xf numFmtId="166" fontId="136" fillId="49" borderId="48" xfId="105" applyFont="1" applyFill="1" applyBorder="1"/>
    <xf numFmtId="0" fontId="252" fillId="0" borderId="0" xfId="0" applyFont="1"/>
    <xf numFmtId="173" fontId="136" fillId="36" borderId="0" xfId="55" applyFont="1" applyFill="1" applyAlignment="1" applyProtection="1">
      <alignment horizontal="left"/>
      <protection locked="0"/>
    </xf>
    <xf numFmtId="173" fontId="251" fillId="36" borderId="0" xfId="55" applyFont="1" applyFill="1" applyAlignment="1" applyProtection="1">
      <alignment horizontal="left"/>
      <protection locked="0"/>
    </xf>
    <xf numFmtId="186" fontId="110" fillId="0" borderId="56" xfId="112" applyNumberFormat="1" applyFont="1" applyBorder="1" applyAlignment="1">
      <alignment horizontal="left" vertical="center"/>
    </xf>
    <xf numFmtId="186" fontId="112" fillId="0" borderId="52" xfId="112" applyNumberFormat="1" applyFont="1" applyBorder="1" applyAlignment="1">
      <alignment horizontal="left" vertical="center"/>
    </xf>
    <xf numFmtId="186" fontId="112" fillId="0" borderId="77" xfId="112" applyNumberFormat="1" applyFont="1" applyBorder="1" applyAlignment="1">
      <alignment horizontal="left" vertical="center"/>
    </xf>
    <xf numFmtId="186" fontId="112" fillId="0" borderId="77" xfId="112" applyNumberFormat="1" applyFont="1" applyBorder="1" applyAlignment="1">
      <alignment horizontal="right" vertical="center"/>
    </xf>
    <xf numFmtId="186" fontId="112" fillId="0" borderId="51" xfId="112" applyNumberFormat="1" applyFont="1" applyBorder="1" applyAlignment="1">
      <alignment horizontal="right" vertical="center"/>
    </xf>
    <xf numFmtId="186" fontId="110" fillId="49" borderId="0" xfId="112" applyNumberFormat="1" applyFont="1" applyFill="1" applyAlignment="1">
      <alignment horizontal="left" vertical="center"/>
    </xf>
    <xf numFmtId="0" fontId="253" fillId="0" borderId="0" xfId="0" applyFont="1"/>
    <xf numFmtId="0" fontId="117" fillId="36" borderId="47" xfId="0" applyFont="1" applyFill="1" applyBorder="1"/>
    <xf numFmtId="0" fontId="136" fillId="36" borderId="0" xfId="0" applyFont="1" applyFill="1" applyAlignment="1">
      <alignment horizontal="left"/>
    </xf>
    <xf numFmtId="166" fontId="136" fillId="36" borderId="0" xfId="105" applyFont="1" applyFill="1" applyAlignment="1">
      <alignment horizontal="left"/>
    </xf>
    <xf numFmtId="49" fontId="126" fillId="27" borderId="0" xfId="49" quotePrefix="1" applyNumberFormat="1" applyFont="1" applyFill="1" applyProtection="1">
      <protection locked="0"/>
    </xf>
    <xf numFmtId="0" fontId="255" fillId="0" borderId="0" xfId="0" applyFont="1"/>
    <xf numFmtId="0" fontId="257" fillId="0" borderId="0" xfId="0" applyFont="1"/>
    <xf numFmtId="0" fontId="113" fillId="41" borderId="54" xfId="0" applyFont="1" applyFill="1" applyBorder="1"/>
    <xf numFmtId="0" fontId="154" fillId="41" borderId="55" xfId="0" applyFont="1" applyFill="1" applyBorder="1"/>
    <xf numFmtId="0" fontId="113" fillId="41" borderId="55" xfId="0" applyFont="1" applyFill="1" applyBorder="1" applyAlignment="1">
      <alignment horizontal="right"/>
    </xf>
    <xf numFmtId="0" fontId="113" fillId="41" borderId="53" xfId="0" applyFont="1" applyFill="1" applyBorder="1" applyAlignment="1">
      <alignment horizontal="right"/>
    </xf>
    <xf numFmtId="0" fontId="110" fillId="33" borderId="77" xfId="0" applyFont="1" applyFill="1" applyBorder="1"/>
    <xf numFmtId="193" fontId="110" fillId="33" borderId="77" xfId="0" applyNumberFormat="1" applyFont="1" applyFill="1" applyBorder="1"/>
    <xf numFmtId="0" fontId="259" fillId="33" borderId="52" xfId="0" applyFont="1" applyFill="1" applyBorder="1" applyAlignment="1">
      <alignment horizontal="left"/>
    </xf>
    <xf numFmtId="0" fontId="259" fillId="33" borderId="77" xfId="0" applyFont="1" applyFill="1" applyBorder="1"/>
    <xf numFmtId="193" fontId="259" fillId="33" borderId="77" xfId="0" applyNumberFormat="1" applyFont="1" applyFill="1" applyBorder="1"/>
    <xf numFmtId="169" fontId="259" fillId="33" borderId="77" xfId="120" applyNumberFormat="1" applyFont="1" applyFill="1" applyBorder="1"/>
    <xf numFmtId="169" fontId="259" fillId="33" borderId="51" xfId="120" applyNumberFormat="1" applyFont="1" applyFill="1" applyBorder="1"/>
    <xf numFmtId="0" fontId="259" fillId="19" borderId="0" xfId="0" applyFont="1" applyFill="1"/>
    <xf numFmtId="0" fontId="260" fillId="19" borderId="0" xfId="0" applyFont="1" applyFill="1"/>
    <xf numFmtId="0" fontId="259" fillId="33" borderId="52" xfId="0" applyFont="1" applyFill="1" applyBorder="1"/>
    <xf numFmtId="169" fontId="110" fillId="33" borderId="77" xfId="98" applyNumberFormat="1" applyFont="1" applyFill="1" applyBorder="1"/>
    <xf numFmtId="166" fontId="110" fillId="33" borderId="77" xfId="105" applyFont="1" applyFill="1" applyBorder="1"/>
    <xf numFmtId="166" fontId="110" fillId="33" borderId="51" xfId="105" applyFont="1" applyFill="1" applyBorder="1"/>
    <xf numFmtId="9" fontId="136" fillId="36" borderId="0" xfId="98" applyFont="1" applyFill="1" applyAlignment="1">
      <alignment horizontal="left"/>
    </xf>
    <xf numFmtId="166" fontId="117" fillId="49" borderId="0" xfId="105" applyFont="1" applyFill="1"/>
    <xf numFmtId="0" fontId="261" fillId="0" borderId="0" xfId="0" applyFont="1"/>
    <xf numFmtId="0" fontId="136" fillId="27" borderId="56" xfId="0" applyFont="1" applyFill="1" applyBorder="1"/>
    <xf numFmtId="9" fontId="136" fillId="27" borderId="28" xfId="0" applyNumberFormat="1" applyFont="1" applyFill="1" applyBorder="1"/>
    <xf numFmtId="0" fontId="136" fillId="27" borderId="50" xfId="0" applyFont="1" applyFill="1" applyBorder="1"/>
    <xf numFmtId="0" fontId="136" fillId="27" borderId="48" xfId="0" applyFont="1" applyFill="1" applyBorder="1"/>
    <xf numFmtId="0" fontId="262" fillId="27" borderId="54" xfId="0" applyFont="1" applyFill="1" applyBorder="1"/>
    <xf numFmtId="0" fontId="262" fillId="27" borderId="53" xfId="0" applyFont="1" applyFill="1" applyBorder="1"/>
    <xf numFmtId="0" fontId="263" fillId="27" borderId="54" xfId="0" applyFont="1" applyFill="1" applyBorder="1"/>
    <xf numFmtId="0" fontId="136" fillId="27" borderId="53" xfId="0" applyFont="1" applyFill="1" applyBorder="1"/>
    <xf numFmtId="0" fontId="263" fillId="27" borderId="56" xfId="0" applyFont="1" applyFill="1" applyBorder="1"/>
    <xf numFmtId="0" fontId="136" fillId="27" borderId="28" xfId="0" applyFont="1" applyFill="1" applyBorder="1"/>
    <xf numFmtId="0" fontId="263" fillId="27" borderId="50" xfId="0" applyFont="1" applyFill="1" applyBorder="1"/>
    <xf numFmtId="0" fontId="144" fillId="0" borderId="0" xfId="0" applyFont="1"/>
    <xf numFmtId="173" fontId="219" fillId="0" borderId="0" xfId="55" applyFont="1" applyFill="1" applyBorder="1" applyAlignment="1" applyProtection="1">
      <alignment horizontal="left"/>
      <protection locked="0"/>
    </xf>
    <xf numFmtId="0" fontId="254" fillId="0" borderId="0" xfId="0" applyFont="1"/>
    <xf numFmtId="0" fontId="255" fillId="0" borderId="115" xfId="0" applyFont="1" applyBorder="1"/>
    <xf numFmtId="0" fontId="136" fillId="0" borderId="116" xfId="0" applyFont="1" applyBorder="1"/>
    <xf numFmtId="0" fontId="136" fillId="0" borderId="118" xfId="0" applyFont="1" applyBorder="1"/>
    <xf numFmtId="0" fontId="136" fillId="0" borderId="120" xfId="0" applyFont="1" applyBorder="1"/>
    <xf numFmtId="0" fontId="136" fillId="0" borderId="121" xfId="0" applyFont="1" applyBorder="1"/>
    <xf numFmtId="0" fontId="255" fillId="0" borderId="118" xfId="0" applyFont="1" applyBorder="1"/>
    <xf numFmtId="0" fontId="254" fillId="0" borderId="0" xfId="0" applyFont="1" applyAlignment="1">
      <alignment horizontal="justify" vertical="center" readingOrder="1"/>
    </xf>
    <xf numFmtId="0" fontId="264" fillId="0" borderId="0" xfId="0" applyFont="1" applyAlignment="1">
      <alignment horizontal="center"/>
    </xf>
    <xf numFmtId="0" fontId="238" fillId="57" borderId="0" xfId="0" applyFont="1" applyFill="1" applyAlignment="1">
      <alignment horizontal="center"/>
    </xf>
    <xf numFmtId="0" fontId="256" fillId="0" borderId="0" xfId="0" applyFont="1" applyAlignment="1">
      <alignment horizontal="left" vertical="center" readingOrder="1"/>
    </xf>
    <xf numFmtId="0" fontId="238" fillId="58" borderId="0" xfId="0" applyFont="1" applyFill="1" applyAlignment="1">
      <alignment horizontal="center"/>
    </xf>
    <xf numFmtId="0" fontId="238" fillId="41" borderId="0" xfId="0" applyFont="1" applyFill="1" applyAlignment="1">
      <alignment horizontal="center"/>
    </xf>
    <xf numFmtId="0" fontId="113" fillId="59" borderId="0" xfId="0" applyFont="1" applyFill="1"/>
    <xf numFmtId="0" fontId="251" fillId="0" borderId="0" xfId="0" applyFont="1"/>
    <xf numFmtId="0" fontId="136" fillId="0" borderId="117" xfId="0" applyFont="1" applyBorder="1"/>
    <xf numFmtId="0" fontId="136" fillId="0" borderId="119" xfId="0" applyFont="1" applyBorder="1"/>
    <xf numFmtId="0" fontId="238" fillId="0" borderId="119" xfId="0" applyFont="1" applyBorder="1" applyAlignment="1">
      <alignment horizontal="center"/>
    </xf>
    <xf numFmtId="0" fontId="255" fillId="0" borderId="119" xfId="0" applyFont="1" applyBorder="1"/>
    <xf numFmtId="0" fontId="113" fillId="0" borderId="119" xfId="0" applyFont="1" applyBorder="1"/>
    <xf numFmtId="0" fontId="251" fillId="0" borderId="119" xfId="0" applyFont="1" applyBorder="1"/>
    <xf numFmtId="0" fontId="136" fillId="0" borderId="122" xfId="0" applyFont="1" applyBorder="1"/>
    <xf numFmtId="0" fontId="238" fillId="60" borderId="0" xfId="0" applyFont="1" applyFill="1" applyAlignment="1">
      <alignment horizontal="center"/>
    </xf>
    <xf numFmtId="0" fontId="258" fillId="0" borderId="0" xfId="0" applyFont="1" applyAlignment="1">
      <alignment horizontal="left" vertical="center" readingOrder="1"/>
    </xf>
    <xf numFmtId="0" fontId="258" fillId="0" borderId="119" xfId="0" applyFont="1" applyBorder="1" applyAlignment="1">
      <alignment horizontal="left" vertical="center" readingOrder="1"/>
    </xf>
    <xf numFmtId="0" fontId="264" fillId="0" borderId="0" xfId="0" applyFont="1"/>
    <xf numFmtId="0" fontId="254" fillId="0" borderId="119" xfId="0" applyFont="1" applyBorder="1"/>
    <xf numFmtId="0" fontId="254" fillId="0" borderId="119" xfId="0" applyFont="1" applyBorder="1" applyAlignment="1">
      <alignment horizontal="justify" vertical="center" readingOrder="1"/>
    </xf>
    <xf numFmtId="0" fontId="136" fillId="0" borderId="115" xfId="0" applyFont="1" applyBorder="1"/>
    <xf numFmtId="0" fontId="142" fillId="57" borderId="0" xfId="0" applyFont="1" applyFill="1"/>
    <xf numFmtId="0" fontId="265" fillId="57" borderId="0" xfId="0" applyFont="1" applyFill="1"/>
    <xf numFmtId="0" fontId="265" fillId="0" borderId="0" xfId="0" applyFont="1"/>
    <xf numFmtId="0" fontId="266" fillId="57" borderId="0" xfId="0" applyFont="1" applyFill="1" applyAlignment="1">
      <alignment horizontal="center"/>
    </xf>
    <xf numFmtId="0" fontId="266" fillId="38" borderId="0" xfId="0" applyFont="1" applyFill="1" applyAlignment="1">
      <alignment horizontal="center"/>
    </xf>
    <xf numFmtId="0" fontId="266" fillId="58" borderId="0" xfId="0" applyFont="1" applyFill="1" applyAlignment="1">
      <alignment horizontal="center"/>
    </xf>
    <xf numFmtId="0" fontId="266" fillId="41" borderId="0" xfId="0" applyFont="1" applyFill="1" applyAlignment="1">
      <alignment horizontal="center"/>
    </xf>
    <xf numFmtId="0" fontId="142" fillId="0" borderId="0" xfId="0" applyFont="1"/>
    <xf numFmtId="0" fontId="267" fillId="0" borderId="0" xfId="0" applyFont="1" applyAlignment="1">
      <alignment horizontal="center"/>
    </xf>
    <xf numFmtId="0" fontId="268" fillId="0" borderId="0" xfId="0" applyFont="1" applyAlignment="1">
      <alignment horizontal="center"/>
    </xf>
    <xf numFmtId="0" fontId="269" fillId="0" borderId="0" xfId="0" applyFont="1"/>
    <xf numFmtId="9" fontId="110" fillId="0" borderId="0" xfId="98" applyFont="1"/>
    <xf numFmtId="192" fontId="112" fillId="0" borderId="58" xfId="127" applyNumberFormat="1" applyFont="1" applyBorder="1"/>
    <xf numFmtId="192" fontId="112" fillId="0" borderId="48" xfId="127" applyNumberFormat="1" applyFont="1" applyBorder="1"/>
    <xf numFmtId="0" fontId="110" fillId="0" borderId="50" xfId="126" applyFont="1" applyBorder="1"/>
    <xf numFmtId="192" fontId="110" fillId="0" borderId="58" xfId="127" applyNumberFormat="1" applyFont="1" applyBorder="1"/>
    <xf numFmtId="192" fontId="117" fillId="0" borderId="58" xfId="127" applyNumberFormat="1" applyFont="1" applyBorder="1"/>
    <xf numFmtId="192" fontId="117" fillId="0" borderId="48" xfId="127" applyNumberFormat="1" applyFont="1" applyBorder="1"/>
    <xf numFmtId="193" fontId="110" fillId="36" borderId="53" xfId="127" applyNumberFormat="1" applyFont="1" applyFill="1" applyBorder="1"/>
    <xf numFmtId="0" fontId="112" fillId="36" borderId="50" xfId="126" applyFont="1" applyFill="1" applyBorder="1"/>
    <xf numFmtId="0" fontId="112" fillId="36" borderId="58" xfId="126" applyFont="1" applyFill="1" applyBorder="1"/>
    <xf numFmtId="192" fontId="112" fillId="36" borderId="58" xfId="127" applyNumberFormat="1" applyFont="1" applyFill="1" applyBorder="1"/>
    <xf numFmtId="193" fontId="110" fillId="36" borderId="48" xfId="127" applyNumberFormat="1" applyFont="1" applyFill="1" applyBorder="1"/>
    <xf numFmtId="166" fontId="117" fillId="0" borderId="55" xfId="105" applyFont="1" applyFill="1" applyBorder="1" applyAlignment="1">
      <alignment horizontal="right"/>
    </xf>
    <xf numFmtId="166" fontId="117" fillId="0" borderId="53" xfId="105" applyFont="1" applyFill="1" applyBorder="1" applyAlignment="1">
      <alignment horizontal="right"/>
    </xf>
    <xf numFmtId="169" fontId="117" fillId="0" borderId="28" xfId="98" applyNumberFormat="1" applyFont="1" applyFill="1" applyBorder="1" applyAlignment="1">
      <alignment horizontal="right"/>
    </xf>
    <xf numFmtId="166" fontId="117" fillId="48" borderId="0" xfId="105" applyFont="1" applyFill="1" applyBorder="1" applyAlignment="1">
      <alignment horizontal="right"/>
    </xf>
    <xf numFmtId="166" fontId="117" fillId="48" borderId="28" xfId="105" applyFont="1" applyFill="1" applyBorder="1" applyAlignment="1">
      <alignment horizontal="right"/>
    </xf>
    <xf numFmtId="171" fontId="131" fillId="0" borderId="0" xfId="53" applyFont="1" applyFill="1" applyBorder="1">
      <alignment horizontal="right"/>
    </xf>
    <xf numFmtId="0" fontId="264" fillId="0" borderId="0" xfId="0" applyFont="1" applyAlignment="1">
      <alignment horizontal="left"/>
    </xf>
    <xf numFmtId="0" fontId="263" fillId="0" borderId="0" xfId="0" applyFont="1"/>
    <xf numFmtId="14" fontId="136" fillId="0" borderId="0" xfId="0" applyNumberFormat="1" applyFont="1"/>
    <xf numFmtId="0" fontId="270" fillId="0" borderId="0" xfId="0" applyFont="1"/>
    <xf numFmtId="186" fontId="117" fillId="49" borderId="0" xfId="0" applyNumberFormat="1" applyFont="1" applyFill="1" applyAlignment="1">
      <alignment horizontal="right"/>
    </xf>
    <xf numFmtId="186" fontId="117" fillId="49" borderId="103" xfId="0" applyNumberFormat="1" applyFont="1" applyFill="1" applyBorder="1" applyAlignment="1">
      <alignment horizontal="right"/>
    </xf>
    <xf numFmtId="186" fontId="117" fillId="49" borderId="102" xfId="0" applyNumberFormat="1" applyFont="1" applyFill="1" applyBorder="1"/>
    <xf numFmtId="186" fontId="271" fillId="0" borderId="106" xfId="0" applyNumberFormat="1" applyFont="1" applyBorder="1"/>
    <xf numFmtId="0" fontId="271" fillId="0" borderId="107" xfId="0" applyFont="1" applyBorder="1"/>
    <xf numFmtId="166" fontId="271" fillId="0" borderId="107" xfId="105" applyFont="1" applyBorder="1" applyAlignment="1">
      <alignment horizontal="right"/>
    </xf>
    <xf numFmtId="166" fontId="271" fillId="0" borderId="108" xfId="105" applyFont="1" applyBorder="1" applyAlignment="1">
      <alignment horizontal="right"/>
    </xf>
    <xf numFmtId="166" fontId="136" fillId="0" borderId="0" xfId="105" applyFont="1"/>
    <xf numFmtId="169" fontId="117" fillId="0" borderId="0" xfId="49" applyNumberFormat="1" applyFont="1" applyBorder="1"/>
    <xf numFmtId="0" fontId="271" fillId="36" borderId="123" xfId="49" applyFont="1" applyFill="1" applyBorder="1"/>
    <xf numFmtId="0" fontId="271" fillId="36" borderId="124" xfId="49" applyFont="1" applyFill="1" applyBorder="1"/>
    <xf numFmtId="169" fontId="271" fillId="36" borderId="125" xfId="49" applyNumberFormat="1" applyFont="1" applyFill="1" applyBorder="1"/>
    <xf numFmtId="0" fontId="271" fillId="38" borderId="0" xfId="49" applyFont="1" applyFill="1" applyBorder="1"/>
    <xf numFmtId="0" fontId="117" fillId="61" borderId="0" xfId="56" applyFont="1" applyFill="1"/>
    <xf numFmtId="0" fontId="113" fillId="38" borderId="0" xfId="118" applyFont="1" applyFill="1" applyAlignment="1">
      <alignment horizontal="center"/>
    </xf>
    <xf numFmtId="0" fontId="110" fillId="0" borderId="0" xfId="117" applyFont="1" applyAlignment="1">
      <alignment horizontal="left" vertical="top" wrapText="1"/>
    </xf>
    <xf numFmtId="0" fontId="128" fillId="0" borderId="0" xfId="49" applyFont="1" applyAlignment="1">
      <alignment horizontal="center"/>
    </xf>
    <xf numFmtId="0" fontId="136" fillId="0" borderId="0" xfId="0" applyFont="1" applyAlignment="1">
      <alignment horizontal="left"/>
    </xf>
    <xf numFmtId="0" fontId="143" fillId="56" borderId="77" xfId="0" applyFont="1" applyFill="1" applyBorder="1" applyAlignment="1">
      <alignment horizontal="center"/>
    </xf>
    <xf numFmtId="0" fontId="143" fillId="55" borderId="77" xfId="0" applyFont="1" applyFill="1" applyBorder="1" applyAlignment="1">
      <alignment horizontal="center"/>
    </xf>
    <xf numFmtId="0" fontId="143" fillId="38" borderId="77" xfId="0" applyFont="1" applyFill="1" applyBorder="1" applyAlignment="1">
      <alignment horizontal="center"/>
    </xf>
    <xf numFmtId="0" fontId="143" fillId="38" borderId="51" xfId="0" applyFont="1" applyFill="1" applyBorder="1" applyAlignment="1">
      <alignment horizontal="center"/>
    </xf>
    <xf numFmtId="0" fontId="60" fillId="0" borderId="0" xfId="49" applyFont="1" applyAlignment="1">
      <alignment horizontal="center"/>
    </xf>
    <xf numFmtId="167" fontId="88" fillId="23" borderId="0" xfId="126" applyNumberFormat="1" applyFont="1" applyFill="1" applyBorder="1" applyAlignment="1">
      <alignment horizontal="center"/>
    </xf>
    <xf numFmtId="0" fontId="196" fillId="0" borderId="58" xfId="177" applyFont="1" applyBorder="1" applyAlignment="1">
      <alignment horizontal="center" vertical="top"/>
    </xf>
    <xf numFmtId="186" fontId="112" fillId="23" borderId="0" xfId="49" applyNumberFormat="1" applyFont="1" applyFill="1" applyAlignment="1">
      <alignment horizontal="center" vertical="center"/>
    </xf>
    <xf numFmtId="0" fontId="112" fillId="23" borderId="0" xfId="49" applyFont="1" applyFill="1" applyAlignment="1">
      <alignment horizontal="center" vertical="center" textRotation="90"/>
    </xf>
    <xf numFmtId="167" fontId="128" fillId="23" borderId="0" xfId="49" applyNumberFormat="1" applyFont="1" applyFill="1" applyBorder="1" applyAlignment="1">
      <alignment horizontal="center"/>
    </xf>
    <xf numFmtId="167" fontId="113" fillId="38" borderId="0" xfId="49" applyNumberFormat="1" applyFont="1" applyFill="1" applyBorder="1" applyAlignment="1">
      <alignment horizontal="center"/>
    </xf>
    <xf numFmtId="0" fontId="128" fillId="23" borderId="0" xfId="49" applyFont="1" applyFill="1" applyAlignment="1">
      <alignment horizontal="center"/>
    </xf>
    <xf numFmtId="0" fontId="110" fillId="0" borderId="19" xfId="49" applyFont="1" applyBorder="1" applyAlignment="1">
      <alignment horizontal="center" vertical="center" wrapText="1"/>
    </xf>
    <xf numFmtId="0" fontId="110" fillId="0" borderId="25" xfId="49" applyFont="1" applyBorder="1" applyAlignment="1">
      <alignment horizontal="center" vertical="center" wrapText="1"/>
    </xf>
    <xf numFmtId="0" fontId="110" fillId="0" borderId="20" xfId="49" applyFont="1" applyBorder="1" applyAlignment="1">
      <alignment horizontal="center" vertical="center" wrapText="1"/>
    </xf>
    <xf numFmtId="0" fontId="110" fillId="0" borderId="21" xfId="49" applyFont="1" applyBorder="1" applyAlignment="1">
      <alignment horizontal="center" vertical="center" wrapText="1"/>
    </xf>
    <xf numFmtId="0" fontId="110" fillId="0" borderId="0" xfId="49" applyFont="1" applyAlignment="1">
      <alignment horizontal="center" vertical="center" wrapText="1"/>
    </xf>
    <xf numFmtId="0" fontId="110" fillId="0" borderId="22" xfId="49" applyFont="1" applyBorder="1" applyAlignment="1">
      <alignment horizontal="center" vertical="center" wrapText="1"/>
    </xf>
    <xf numFmtId="0" fontId="110" fillId="0" borderId="23" xfId="49" applyFont="1" applyBorder="1" applyAlignment="1">
      <alignment horizontal="center" vertical="center" wrapText="1"/>
    </xf>
    <xf numFmtId="0" fontId="110" fillId="0" borderId="26" xfId="49" applyFont="1" applyBorder="1" applyAlignment="1">
      <alignment horizontal="center" vertical="center" wrapText="1"/>
    </xf>
    <xf numFmtId="0" fontId="110" fillId="0" borderId="24" xfId="49" applyFont="1" applyBorder="1" applyAlignment="1">
      <alignment horizontal="center" vertical="center" wrapText="1"/>
    </xf>
    <xf numFmtId="180" fontId="113" fillId="38" borderId="0" xfId="49" applyNumberFormat="1" applyFont="1" applyFill="1" applyBorder="1" applyAlignment="1">
      <alignment horizontal="center"/>
    </xf>
    <xf numFmtId="0" fontId="113" fillId="38" borderId="0" xfId="49" applyFont="1" applyFill="1" applyBorder="1" applyAlignment="1">
      <alignment horizontal="center"/>
    </xf>
    <xf numFmtId="0" fontId="113" fillId="38" borderId="0" xfId="49" applyFont="1" applyFill="1" applyBorder="1" applyAlignment="1">
      <alignment horizontal="center" wrapText="1"/>
    </xf>
    <xf numFmtId="180" fontId="128" fillId="23" borderId="0" xfId="49" applyNumberFormat="1" applyFont="1" applyFill="1" applyBorder="1" applyAlignment="1">
      <alignment horizontal="center"/>
    </xf>
    <xf numFmtId="0" fontId="128" fillId="0" borderId="0" xfId="49" applyFont="1" applyBorder="1" applyAlignment="1">
      <alignment horizontal="center" vertical="center"/>
    </xf>
    <xf numFmtId="0" fontId="112" fillId="23" borderId="0" xfId="49" applyFont="1" applyFill="1" applyBorder="1" applyAlignment="1">
      <alignment horizontal="center"/>
    </xf>
    <xf numFmtId="0" fontId="116" fillId="0" borderId="0" xfId="0" applyFont="1" applyAlignment="1">
      <alignment horizontal="center"/>
    </xf>
    <xf numFmtId="49" fontId="223" fillId="38" borderId="0" xfId="46" quotePrefix="1" applyNumberFormat="1" applyFont="1" applyFill="1" applyAlignment="1">
      <alignment horizontal="center"/>
    </xf>
    <xf numFmtId="0" fontId="139" fillId="41" borderId="54" xfId="0" applyFont="1" applyFill="1" applyBorder="1" applyAlignment="1">
      <alignment horizontal="center" vertical="center" wrapText="1"/>
    </xf>
    <xf numFmtId="0" fontId="139" fillId="41" borderId="55" xfId="0" applyFont="1" applyFill="1" applyBorder="1" applyAlignment="1">
      <alignment horizontal="center" vertical="center" wrapText="1"/>
    </xf>
    <xf numFmtId="0" fontId="139" fillId="41" borderId="53" xfId="0" applyFont="1" applyFill="1" applyBorder="1" applyAlignment="1">
      <alignment horizontal="center" vertical="center" wrapText="1"/>
    </xf>
    <xf numFmtId="0" fontId="139" fillId="41" borderId="55" xfId="0" applyFont="1" applyFill="1" applyBorder="1" applyAlignment="1">
      <alignment horizontal="center" wrapText="1"/>
    </xf>
    <xf numFmtId="0" fontId="139" fillId="41" borderId="53" xfId="0" applyFont="1" applyFill="1" applyBorder="1" applyAlignment="1">
      <alignment horizontal="center" wrapText="1"/>
    </xf>
    <xf numFmtId="0" fontId="139" fillId="41" borderId="54" xfId="0" applyFont="1" applyFill="1" applyBorder="1" applyAlignment="1">
      <alignment horizontal="center" wrapText="1"/>
    </xf>
    <xf numFmtId="167" fontId="113" fillId="41" borderId="0" xfId="49" applyNumberFormat="1" applyFont="1" applyFill="1" applyBorder="1" applyAlignment="1">
      <alignment horizontal="center"/>
    </xf>
    <xf numFmtId="0" fontId="139" fillId="41" borderId="54" xfId="0" applyFont="1" applyFill="1" applyBorder="1" applyAlignment="1">
      <alignment horizontal="center"/>
    </xf>
    <xf numFmtId="0" fontId="139" fillId="41" borderId="55" xfId="0" applyFont="1" applyFill="1" applyBorder="1" applyAlignment="1">
      <alignment horizontal="center"/>
    </xf>
    <xf numFmtId="0" fontId="139" fillId="41" borderId="53" xfId="0" applyFont="1" applyFill="1" applyBorder="1" applyAlignment="1">
      <alignment horizontal="center"/>
    </xf>
    <xf numFmtId="0" fontId="196" fillId="0" borderId="0" xfId="180" applyFont="1" applyAlignment="1"/>
    <xf numFmtId="0" fontId="193" fillId="0" borderId="0" xfId="180" applyFont="1" applyAlignment="1">
      <alignment vertical="top"/>
    </xf>
    <xf numFmtId="0" fontId="193" fillId="0" borderId="0" xfId="180" applyFont="1"/>
    <xf numFmtId="0" fontId="193" fillId="0" borderId="0" xfId="180" applyFont="1" applyAlignment="1">
      <alignment vertical="top" wrapText="1"/>
    </xf>
    <xf numFmtId="0" fontId="235" fillId="0" borderId="0" xfId="180" applyFont="1" applyAlignment="1">
      <alignment vertical="top" wrapText="1"/>
    </xf>
    <xf numFmtId="0" fontId="193" fillId="62" borderId="54" xfId="180" applyFont="1" applyFill="1" applyBorder="1" applyAlignment="1">
      <alignment horizontal="center"/>
    </xf>
    <xf numFmtId="0" fontId="193" fillId="62" borderId="55" xfId="180" applyFont="1" applyFill="1" applyBorder="1"/>
    <xf numFmtId="0" fontId="193" fillId="62" borderId="53" xfId="180" applyFont="1" applyFill="1" applyBorder="1" applyAlignment="1">
      <alignment horizontal="center"/>
    </xf>
    <xf numFmtId="0" fontId="193" fillId="0" borderId="0" xfId="180" applyFont="1" applyAlignment="1">
      <alignment horizontal="center"/>
    </xf>
    <xf numFmtId="203" fontId="121" fillId="0" borderId="0" xfId="181" applyNumberFormat="1" applyFont="1" applyAlignment="1">
      <alignment wrapText="1"/>
    </xf>
    <xf numFmtId="17" fontId="193" fillId="0" borderId="0" xfId="180" applyNumberFormat="1" applyFont="1" applyAlignment="1"/>
    <xf numFmtId="0" fontId="193" fillId="62" borderId="56" xfId="180" applyFont="1" applyFill="1" applyBorder="1" applyAlignment="1">
      <alignment horizontal="center"/>
    </xf>
    <xf numFmtId="0" fontId="193" fillId="62" borderId="0" xfId="180" applyFont="1" applyFill="1" applyBorder="1"/>
    <xf numFmtId="0" fontId="193" fillId="62" borderId="28" xfId="180" applyFont="1" applyFill="1" applyBorder="1" applyAlignment="1">
      <alignment horizontal="center"/>
    </xf>
    <xf numFmtId="0" fontId="193" fillId="0" borderId="0" xfId="180" applyFont="1" applyAlignment="1">
      <alignment wrapText="1"/>
    </xf>
    <xf numFmtId="0" fontId="193" fillId="62" borderId="50" xfId="180" applyFont="1" applyFill="1" applyBorder="1" applyAlignment="1">
      <alignment horizontal="center"/>
    </xf>
    <xf numFmtId="0" fontId="193" fillId="62" borderId="58" xfId="180" applyFont="1" applyFill="1" applyBorder="1"/>
    <xf numFmtId="0" fontId="193" fillId="62" borderId="48" xfId="180" applyFont="1" applyFill="1" applyBorder="1" applyAlignment="1">
      <alignment horizontal="center"/>
    </xf>
    <xf numFmtId="0" fontId="196" fillId="28" borderId="126" xfId="180" applyFont="1" applyFill="1" applyBorder="1" applyAlignment="1"/>
    <xf numFmtId="0" fontId="196" fillId="28" borderId="127" xfId="180" applyFont="1" applyFill="1" applyBorder="1" applyAlignment="1"/>
    <xf numFmtId="0" fontId="196" fillId="28" borderId="128" xfId="180" applyFont="1" applyFill="1" applyBorder="1" applyAlignment="1"/>
    <xf numFmtId="0" fontId="224" fillId="0" borderId="0" xfId="180" applyFont="1" applyAlignment="1">
      <alignment horizontal="center" vertical="top" wrapText="1"/>
    </xf>
    <xf numFmtId="0" fontId="224" fillId="0" borderId="0" xfId="180" applyFont="1"/>
    <xf numFmtId="0" fontId="224" fillId="0" borderId="0" xfId="180" applyFont="1" applyAlignment="1">
      <alignment horizontal="center"/>
    </xf>
    <xf numFmtId="0" fontId="245" fillId="0" borderId="0" xfId="180" applyFont="1"/>
    <xf numFmtId="0" fontId="224" fillId="0" borderId="0" xfId="180" applyFont="1" applyAlignment="1">
      <alignment wrapText="1"/>
    </xf>
    <xf numFmtId="0" fontId="121" fillId="0" borderId="129" xfId="0" applyFont="1" applyBorder="1" applyAlignment="1"/>
    <xf numFmtId="0" fontId="121" fillId="0" borderId="0" xfId="0" applyFont="1" applyBorder="1" applyAlignment="1"/>
    <xf numFmtId="0" fontId="121" fillId="0" borderId="130" xfId="0" applyFont="1" applyBorder="1" applyAlignment="1"/>
    <xf numFmtId="0" fontId="228" fillId="0" borderId="129" xfId="0" applyFont="1" applyBorder="1" applyAlignment="1"/>
    <xf numFmtId="0" fontId="228" fillId="0" borderId="0" xfId="0" applyFont="1" applyBorder="1" applyAlignment="1"/>
    <xf numFmtId="0" fontId="228" fillId="0" borderId="130" xfId="0" applyFont="1" applyBorder="1" applyAlignment="1"/>
    <xf numFmtId="0" fontId="248" fillId="37" borderId="0" xfId="0" applyFont="1" applyFill="1"/>
    <xf numFmtId="0" fontId="228" fillId="0" borderId="129" xfId="0" applyFont="1" applyFill="1" applyBorder="1" applyAlignment="1"/>
    <xf numFmtId="0" fontId="228" fillId="62" borderId="0" xfId="180" applyFont="1" applyFill="1" applyBorder="1" applyAlignment="1"/>
    <xf numFmtId="0" fontId="228" fillId="0" borderId="0" xfId="0" applyFont="1" applyFill="1"/>
    <xf numFmtId="0" fontId="228" fillId="0" borderId="0" xfId="0" applyFont="1" applyFill="1" applyAlignment="1">
      <alignment vertical="top"/>
    </xf>
    <xf numFmtId="0" fontId="228" fillId="0" borderId="0" xfId="0" applyFont="1" applyFill="1" applyAlignment="1">
      <alignment vertical="top" wrapText="1"/>
    </xf>
    <xf numFmtId="0" fontId="228" fillId="0" borderId="0" xfId="0" applyFont="1" applyFill="1" applyAlignment="1">
      <alignment wrapText="1"/>
    </xf>
    <xf numFmtId="0" fontId="195" fillId="0" borderId="129" xfId="0" applyFont="1" applyFill="1" applyBorder="1" applyAlignment="1">
      <alignment vertical="top"/>
    </xf>
    <xf numFmtId="0" fontId="195" fillId="0" borderId="0" xfId="0" applyFont="1" applyFill="1" applyBorder="1" applyAlignment="1">
      <alignment vertical="top"/>
    </xf>
    <xf numFmtId="0" fontId="195" fillId="0" borderId="130" xfId="0" applyFont="1" applyFill="1" applyBorder="1" applyAlignment="1">
      <alignment vertical="top"/>
    </xf>
    <xf numFmtId="0" fontId="228" fillId="62" borderId="130" xfId="180" applyFont="1" applyFill="1" applyBorder="1" applyAlignment="1"/>
    <xf numFmtId="0" fontId="272" fillId="0" borderId="0" xfId="0" applyFont="1"/>
    <xf numFmtId="0" fontId="193" fillId="0" borderId="0" xfId="180" applyFont="1" applyBorder="1" applyAlignment="1">
      <alignment vertical="top" wrapText="1"/>
    </xf>
    <xf numFmtId="0" fontId="193" fillId="0" borderId="129" xfId="180" applyFont="1" applyFill="1" applyBorder="1" applyAlignment="1"/>
    <xf numFmtId="0" fontId="193" fillId="0" borderId="0" xfId="180" applyFont="1" applyFill="1" applyBorder="1" applyAlignment="1"/>
    <xf numFmtId="0" fontId="193" fillId="0" borderId="130" xfId="180" applyFont="1" applyFill="1" applyBorder="1" applyAlignment="1"/>
    <xf numFmtId="0" fontId="193" fillId="0" borderId="129" xfId="180" applyFont="1" applyBorder="1" applyAlignment="1"/>
    <xf numFmtId="0" fontId="193" fillId="0" borderId="0" xfId="180" applyFont="1" applyBorder="1" applyAlignment="1"/>
    <xf numFmtId="0" fontId="193" fillId="0" borderId="130" xfId="180" applyFont="1" applyBorder="1" applyAlignment="1"/>
    <xf numFmtId="0" fontId="194" fillId="44" borderId="0" xfId="180" applyFont="1" applyFill="1" applyAlignment="1">
      <alignment vertical="top"/>
    </xf>
    <xf numFmtId="0" fontId="194" fillId="44" borderId="0" xfId="180" applyFont="1" applyFill="1"/>
    <xf numFmtId="0" fontId="194" fillId="44" borderId="0" xfId="180" applyFont="1" applyFill="1" applyAlignment="1">
      <alignment vertical="top" wrapText="1"/>
    </xf>
    <xf numFmtId="0" fontId="194" fillId="44" borderId="0" xfId="180" applyFont="1" applyFill="1" applyAlignment="1">
      <alignment horizontal="center"/>
    </xf>
    <xf numFmtId="0" fontId="194" fillId="44" borderId="0" xfId="180" applyFont="1" applyFill="1" applyAlignment="1">
      <alignment wrapText="1"/>
    </xf>
    <xf numFmtId="190" fontId="196" fillId="45" borderId="0" xfId="180" applyNumberFormat="1" applyFont="1" applyFill="1"/>
    <xf numFmtId="0" fontId="196" fillId="45" borderId="0" xfId="180" applyFont="1" applyFill="1" applyAlignment="1">
      <alignment vertical="top"/>
    </xf>
    <xf numFmtId="0" fontId="193" fillId="45" borderId="0" xfId="180" applyFont="1" applyFill="1" applyAlignment="1">
      <alignment vertical="top" wrapText="1"/>
    </xf>
    <xf numFmtId="0" fontId="193" fillId="45" borderId="0" xfId="180" applyFont="1" applyFill="1"/>
    <xf numFmtId="0" fontId="193" fillId="45" borderId="0" xfId="180" applyFont="1" applyFill="1" applyAlignment="1">
      <alignment horizontal="center"/>
    </xf>
    <xf numFmtId="0" fontId="193" fillId="45" borderId="0" xfId="180" applyFont="1" applyFill="1" applyAlignment="1">
      <alignment wrapText="1"/>
    </xf>
    <xf numFmtId="190" fontId="196" fillId="0" borderId="0" xfId="180" applyNumberFormat="1" applyFont="1"/>
    <xf numFmtId="0" fontId="193" fillId="46" borderId="0" xfId="180" applyFont="1" applyFill="1" applyAlignment="1">
      <alignment vertical="top" wrapText="1"/>
    </xf>
    <xf numFmtId="0" fontId="193" fillId="46" borderId="0" xfId="180" applyFont="1" applyFill="1" applyAlignment="1">
      <alignment horizontal="left" vertical="top" wrapText="1"/>
    </xf>
    <xf numFmtId="0" fontId="193" fillId="46" borderId="0" xfId="180" applyFont="1" applyFill="1" applyAlignment="1">
      <alignment horizontal="left" vertical="top" wrapText="1"/>
    </xf>
    <xf numFmtId="0" fontId="196" fillId="0" borderId="0" xfId="180" applyFont="1" applyAlignment="1">
      <alignment vertical="top" wrapText="1"/>
    </xf>
    <xf numFmtId="0" fontId="228" fillId="62" borderId="129" xfId="180" applyFont="1" applyFill="1" applyBorder="1" applyAlignment="1"/>
    <xf numFmtId="0" fontId="228" fillId="0" borderId="0" xfId="180" applyFont="1" applyFill="1" applyBorder="1" applyAlignment="1"/>
    <xf numFmtId="0" fontId="228" fillId="0" borderId="130" xfId="180" applyFont="1" applyFill="1" applyBorder="1" applyAlignment="1"/>
    <xf numFmtId="0" fontId="228" fillId="0" borderId="58" xfId="180" applyFont="1" applyBorder="1" applyAlignment="1">
      <alignment vertical="top" wrapText="1"/>
    </xf>
    <xf numFmtId="0" fontId="228" fillId="0" borderId="58" xfId="180" applyFont="1" applyBorder="1"/>
    <xf numFmtId="0" fontId="242" fillId="37" borderId="58" xfId="180" applyFont="1" applyFill="1" applyBorder="1"/>
    <xf numFmtId="0" fontId="228" fillId="0" borderId="58" xfId="180" applyFont="1" applyBorder="1" applyAlignment="1">
      <alignment wrapText="1"/>
    </xf>
    <xf numFmtId="0" fontId="228" fillId="0" borderId="0" xfId="180" applyFont="1" applyAlignment="1">
      <alignment wrapText="1"/>
    </xf>
    <xf numFmtId="0" fontId="228" fillId="0" borderId="0" xfId="180" applyFont="1"/>
    <xf numFmtId="0" fontId="228" fillId="0" borderId="129" xfId="180" applyFont="1" applyBorder="1" applyAlignment="1"/>
    <xf numFmtId="0" fontId="228" fillId="0" borderId="0" xfId="180" applyFont="1" applyAlignment="1">
      <alignment vertical="top" wrapText="1"/>
    </xf>
    <xf numFmtId="0" fontId="228" fillId="0" borderId="0" xfId="180" applyFont="1" applyFill="1" applyAlignment="1">
      <alignment vertical="top" wrapText="1"/>
    </xf>
    <xf numFmtId="49" fontId="242" fillId="37" borderId="0" xfId="180" applyNumberFormat="1" applyFont="1" applyFill="1"/>
    <xf numFmtId="0" fontId="228" fillId="0" borderId="0" xfId="180" applyFont="1" applyAlignment="1">
      <alignment horizontal="center"/>
    </xf>
    <xf numFmtId="0" fontId="228" fillId="0" borderId="58" xfId="180" applyFont="1" applyBorder="1" applyAlignment="1">
      <alignment horizontal="center"/>
    </xf>
    <xf numFmtId="0" fontId="226" fillId="0" borderId="77" xfId="180" applyFont="1" applyBorder="1" applyAlignment="1">
      <alignment horizontal="center" vertical="center"/>
    </xf>
    <xf numFmtId="0" fontId="242" fillId="37" borderId="0" xfId="180" applyFont="1" applyFill="1"/>
    <xf numFmtId="43" fontId="242" fillId="37" borderId="58" xfId="181" applyFont="1" applyFill="1" applyBorder="1"/>
    <xf numFmtId="0" fontId="196" fillId="45" borderId="0" xfId="180" applyFont="1" applyFill="1" applyAlignment="1">
      <alignment vertical="top" wrapText="1"/>
    </xf>
    <xf numFmtId="0" fontId="193" fillId="0" borderId="58" xfId="180" applyFont="1" applyBorder="1" applyAlignment="1">
      <alignment vertical="top" wrapText="1"/>
    </xf>
    <xf numFmtId="0" fontId="193" fillId="0" borderId="58" xfId="180" applyFont="1" applyBorder="1"/>
    <xf numFmtId="0" fontId="244" fillId="0" borderId="58" xfId="180" applyFont="1" applyBorder="1" applyAlignment="1">
      <alignment wrapText="1"/>
    </xf>
    <xf numFmtId="0" fontId="244" fillId="0" borderId="0" xfId="180" applyFont="1" applyAlignment="1">
      <alignment wrapText="1"/>
    </xf>
    <xf numFmtId="0" fontId="193" fillId="0" borderId="58" xfId="180" applyFont="1" applyBorder="1" applyAlignment="1">
      <alignment horizontal="center"/>
    </xf>
    <xf numFmtId="0" fontId="193" fillId="62" borderId="0" xfId="180" applyFont="1" applyFill="1" applyBorder="1" applyAlignment="1"/>
    <xf numFmtId="49" fontId="242" fillId="37" borderId="58" xfId="180" applyNumberFormat="1" applyFont="1" applyFill="1" applyBorder="1"/>
    <xf numFmtId="0" fontId="226" fillId="0" borderId="77" xfId="180" applyFont="1" applyBorder="1"/>
    <xf numFmtId="0" fontId="193" fillId="62" borderId="129" xfId="180" applyFont="1" applyFill="1" applyBorder="1" applyAlignment="1"/>
    <xf numFmtId="16" fontId="242" fillId="37" borderId="58" xfId="180" applyNumberFormat="1" applyFont="1" applyFill="1" applyBorder="1"/>
    <xf numFmtId="0" fontId="193" fillId="0" borderId="58" xfId="180" applyFont="1" applyBorder="1" applyAlignment="1">
      <alignment wrapText="1"/>
    </xf>
    <xf numFmtId="0" fontId="193" fillId="52" borderId="0" xfId="180" applyFont="1" applyFill="1"/>
    <xf numFmtId="0" fontId="226" fillId="0" borderId="77" xfId="180" applyFont="1" applyBorder="1" applyAlignment="1">
      <alignment wrapText="1"/>
    </xf>
    <xf numFmtId="0" fontId="226" fillId="0" borderId="0" xfId="180" applyFont="1" applyAlignment="1">
      <alignment wrapText="1"/>
    </xf>
    <xf numFmtId="0" fontId="193" fillId="62" borderId="130" xfId="180" applyFont="1" applyFill="1" applyBorder="1" applyAlignment="1"/>
    <xf numFmtId="203" fontId="242" fillId="37" borderId="0" xfId="181" applyNumberFormat="1" applyFont="1" applyFill="1"/>
    <xf numFmtId="203" fontId="242" fillId="37" borderId="58" xfId="180" applyNumberFormat="1" applyFont="1" applyFill="1" applyBorder="1"/>
    <xf numFmtId="0" fontId="226" fillId="0" borderId="58" xfId="180" applyFont="1" applyBorder="1" applyAlignment="1">
      <alignment wrapText="1"/>
    </xf>
    <xf numFmtId="0" fontId="193" fillId="0" borderId="77" xfId="180" applyFont="1" applyBorder="1" applyAlignment="1">
      <alignment vertical="top" wrapText="1"/>
    </xf>
    <xf numFmtId="0" fontId="193" fillId="0" borderId="77" xfId="180" applyFont="1" applyBorder="1"/>
    <xf numFmtId="0" fontId="228" fillId="0" borderId="77" xfId="180" applyFont="1" applyBorder="1"/>
    <xf numFmtId="0" fontId="193" fillId="0" borderId="77" xfId="180" applyFont="1" applyBorder="1" applyAlignment="1">
      <alignment horizontal="center"/>
    </xf>
    <xf numFmtId="0" fontId="193" fillId="0" borderId="77" xfId="180" applyFont="1" applyBorder="1" applyAlignment="1">
      <alignment wrapText="1"/>
    </xf>
    <xf numFmtId="0" fontId="193" fillId="0" borderId="58" xfId="180" applyFont="1" applyBorder="1" applyAlignment="1">
      <alignment vertical="top"/>
    </xf>
    <xf numFmtId="0" fontId="226" fillId="0" borderId="58" xfId="180" applyFont="1" applyBorder="1" applyAlignment="1">
      <alignment vertical="top"/>
    </xf>
    <xf numFmtId="0" fontId="226" fillId="0" borderId="0" xfId="180" applyFont="1" applyAlignment="1">
      <alignment vertical="top" wrapText="1"/>
    </xf>
    <xf numFmtId="0" fontId="226" fillId="0" borderId="0" xfId="180" applyFont="1" applyAlignment="1">
      <alignment vertical="top"/>
    </xf>
    <xf numFmtId="0" fontId="196" fillId="0" borderId="58" xfId="180" applyFont="1" applyBorder="1"/>
    <xf numFmtId="0" fontId="228" fillId="0" borderId="58" xfId="180" applyFont="1" applyFill="1" applyBorder="1"/>
    <xf numFmtId="0" fontId="226" fillId="0" borderId="58" xfId="180" applyFont="1" applyBorder="1" applyAlignment="1">
      <alignment vertical="center" wrapText="1"/>
    </xf>
    <xf numFmtId="0" fontId="226" fillId="0" borderId="77" xfId="180" applyFont="1" applyBorder="1" applyAlignment="1">
      <alignment vertical="center" wrapText="1"/>
    </xf>
    <xf numFmtId="0" fontId="193" fillId="49" borderId="91" xfId="180" applyFont="1" applyFill="1" applyBorder="1" applyAlignment="1">
      <alignment vertical="top" wrapText="1"/>
    </xf>
    <xf numFmtId="0" fontId="193" fillId="49" borderId="91" xfId="180" applyFont="1" applyFill="1" applyBorder="1"/>
    <xf numFmtId="0" fontId="242" fillId="49" borderId="91" xfId="180" applyFont="1" applyFill="1" applyBorder="1"/>
    <xf numFmtId="0" fontId="193" fillId="0" borderId="91" xfId="180" applyFont="1" applyBorder="1" applyAlignment="1">
      <alignment horizontal="center" vertical="center"/>
    </xf>
    <xf numFmtId="0" fontId="193" fillId="0" borderId="91" xfId="180" applyFont="1" applyBorder="1"/>
    <xf numFmtId="0" fontId="226" fillId="0" borderId="91" xfId="180" applyFont="1" applyBorder="1" applyAlignment="1">
      <alignment vertical="center" wrapText="1"/>
    </xf>
    <xf numFmtId="0" fontId="193" fillId="0" borderId="58" xfId="180" applyFont="1" applyBorder="1" applyAlignment="1">
      <alignment horizontal="center" vertical="center"/>
    </xf>
    <xf numFmtId="0" fontId="228" fillId="0" borderId="0" xfId="180" applyFont="1" applyFill="1" applyBorder="1" applyAlignment="1">
      <alignment vertical="top" wrapText="1"/>
    </xf>
    <xf numFmtId="0" fontId="228" fillId="0" borderId="0" xfId="180" applyFont="1" applyFill="1" applyBorder="1"/>
    <xf numFmtId="9" fontId="248" fillId="37" borderId="0" xfId="182" applyFont="1" applyFill="1" applyBorder="1" applyAlignment="1">
      <alignment horizontal="center"/>
    </xf>
    <xf numFmtId="0" fontId="193" fillId="0" borderId="0" xfId="180" applyFont="1" applyBorder="1" applyAlignment="1">
      <alignment horizontal="center" vertical="center"/>
    </xf>
    <xf numFmtId="0" fontId="193" fillId="0" borderId="0" xfId="180" applyFont="1" applyBorder="1"/>
    <xf numFmtId="0" fontId="226" fillId="0" borderId="0" xfId="180" applyFont="1" applyBorder="1" applyAlignment="1">
      <alignment vertical="center" wrapText="1"/>
    </xf>
    <xf numFmtId="0" fontId="196" fillId="45" borderId="0" xfId="180" applyFont="1" applyFill="1" applyAlignment="1">
      <alignment wrapText="1"/>
    </xf>
    <xf numFmtId="0" fontId="226" fillId="45" borderId="0" xfId="180" applyFont="1" applyFill="1" applyAlignment="1">
      <alignment wrapText="1"/>
    </xf>
    <xf numFmtId="0" fontId="193" fillId="0" borderId="58" xfId="180" applyFont="1" applyFill="1" applyBorder="1"/>
    <xf numFmtId="0" fontId="235" fillId="44" borderId="0" xfId="180" applyFont="1" applyFill="1" applyAlignment="1">
      <alignment wrapText="1"/>
    </xf>
    <xf numFmtId="0" fontId="226" fillId="46" borderId="0" xfId="180" applyFont="1" applyFill="1" applyAlignment="1">
      <alignment horizontal="left" vertical="top" wrapText="1"/>
    </xf>
    <xf numFmtId="0" fontId="193" fillId="0" borderId="0" xfId="180" quotePrefix="1" applyFont="1" applyAlignment="1">
      <alignment vertical="top" wrapText="1"/>
    </xf>
    <xf numFmtId="0" fontId="193" fillId="0" borderId="0" xfId="180" applyFont="1" applyAlignment="1">
      <alignment horizontal="left" vertical="top"/>
    </xf>
    <xf numFmtId="0" fontId="193" fillId="0" borderId="0" xfId="180" applyFont="1" applyAlignment="1">
      <alignment horizontal="left" vertical="top" wrapText="1"/>
    </xf>
    <xf numFmtId="0" fontId="193" fillId="0" borderId="0" xfId="180" applyFont="1" applyAlignment="1">
      <alignment horizontal="center" vertical="top" wrapText="1"/>
    </xf>
    <xf numFmtId="0" fontId="226" fillId="0" borderId="0" xfId="180" applyFont="1" applyAlignment="1">
      <alignment horizontal="left" vertical="top" wrapText="1"/>
    </xf>
    <xf numFmtId="0" fontId="196" fillId="0" borderId="0" xfId="180" applyFont="1" applyAlignment="1">
      <alignment vertical="top"/>
    </xf>
    <xf numFmtId="0" fontId="193" fillId="0" borderId="0" xfId="180" quotePrefix="1" applyFont="1" applyAlignment="1">
      <alignment horizontal="left" vertical="top" wrapText="1"/>
    </xf>
    <xf numFmtId="0" fontId="193" fillId="37" borderId="0" xfId="180" applyFont="1" applyFill="1"/>
    <xf numFmtId="0" fontId="196" fillId="0" borderId="0" xfId="180" applyFont="1"/>
    <xf numFmtId="9" fontId="242" fillId="37" borderId="0" xfId="180" applyNumberFormat="1" applyFont="1" applyFill="1"/>
    <xf numFmtId="9" fontId="242" fillId="37" borderId="58" xfId="180" applyNumberFormat="1" applyFont="1" applyFill="1" applyBorder="1"/>
    <xf numFmtId="0" fontId="193" fillId="0" borderId="0" xfId="180" applyFont="1" applyFill="1" applyAlignment="1">
      <alignment vertical="top" wrapText="1"/>
    </xf>
    <xf numFmtId="0" fontId="196" fillId="0" borderId="0" xfId="180" applyFont="1" applyBorder="1" applyAlignment="1">
      <alignment vertical="top"/>
    </xf>
    <xf numFmtId="0" fontId="193" fillId="0" borderId="0" xfId="180" applyFont="1" applyBorder="1" applyAlignment="1">
      <alignment horizontal="center"/>
    </xf>
    <xf numFmtId="0" fontId="193" fillId="0" borderId="0" xfId="180" applyFont="1" applyBorder="1" applyAlignment="1">
      <alignment wrapText="1"/>
    </xf>
    <xf numFmtId="0" fontId="242" fillId="58" borderId="0" xfId="180" applyFont="1" applyFill="1"/>
    <xf numFmtId="0" fontId="196" fillId="45" borderId="0" xfId="180" applyFont="1" applyFill="1"/>
    <xf numFmtId="0" fontId="196" fillId="45" borderId="0" xfId="180" applyFont="1" applyFill="1" applyAlignment="1">
      <alignment horizontal="center"/>
    </xf>
    <xf numFmtId="0" fontId="196" fillId="0" borderId="0" xfId="180" applyFont="1" applyAlignment="1">
      <alignment horizontal="center"/>
    </xf>
    <xf numFmtId="0" fontId="246" fillId="37" borderId="0" xfId="180" applyFont="1" applyFill="1"/>
    <xf numFmtId="0" fontId="247" fillId="0" borderId="0" xfId="180" applyFont="1"/>
    <xf numFmtId="0" fontId="245" fillId="0" borderId="0" xfId="180" applyFont="1" applyAlignment="1">
      <alignment vertical="top"/>
    </xf>
    <xf numFmtId="0" fontId="193" fillId="55" borderId="0" xfId="180" applyFont="1" applyFill="1"/>
    <xf numFmtId="0" fontId="242" fillId="37" borderId="0" xfId="180" applyFont="1" applyFill="1" applyAlignment="1">
      <alignment horizontal="center"/>
    </xf>
    <xf numFmtId="0" fontId="193" fillId="55" borderId="58" xfId="180" applyFont="1" applyFill="1" applyBorder="1"/>
    <xf numFmtId="0" fontId="242" fillId="37" borderId="58" xfId="180" applyFont="1" applyFill="1" applyBorder="1" applyAlignment="1">
      <alignment horizontal="center"/>
    </xf>
    <xf numFmtId="0" fontId="193" fillId="0" borderId="55" xfId="180" applyFont="1" applyBorder="1" applyAlignment="1">
      <alignment vertical="top" wrapText="1"/>
    </xf>
    <xf numFmtId="0" fontId="193" fillId="0" borderId="55" xfId="180" applyFont="1" applyBorder="1"/>
    <xf numFmtId="0" fontId="193" fillId="0" borderId="55" xfId="180" applyFont="1" applyBorder="1" applyAlignment="1">
      <alignment horizontal="center"/>
    </xf>
    <xf numFmtId="0" fontId="193" fillId="0" borderId="55" xfId="180" applyFont="1" applyBorder="1" applyAlignment="1">
      <alignment wrapText="1"/>
    </xf>
    <xf numFmtId="0" fontId="193" fillId="0" borderId="112" xfId="180" applyFont="1" applyBorder="1" applyAlignment="1">
      <alignment vertical="top"/>
    </xf>
    <xf numFmtId="0" fontId="193" fillId="0" borderId="112" xfId="180" applyFont="1" applyBorder="1" applyAlignment="1">
      <alignment vertical="top" wrapText="1"/>
    </xf>
    <xf numFmtId="0" fontId="193" fillId="0" borderId="112" xfId="180" applyFont="1" applyBorder="1"/>
    <xf numFmtId="0" fontId="193" fillId="55" borderId="112" xfId="180" applyFont="1" applyFill="1" applyBorder="1"/>
    <xf numFmtId="0" fontId="242" fillId="37" borderId="112" xfId="180" applyFont="1" applyFill="1" applyBorder="1"/>
    <xf numFmtId="0" fontId="242" fillId="37" borderId="112" xfId="180" applyFont="1" applyFill="1" applyBorder="1" applyAlignment="1">
      <alignment horizontal="center"/>
    </xf>
    <xf numFmtId="0" fontId="195" fillId="0" borderId="129" xfId="180" applyFont="1" applyBorder="1" applyAlignment="1"/>
    <xf numFmtId="0" fontId="195" fillId="0" borderId="0" xfId="180" applyFont="1" applyFill="1" applyBorder="1" applyAlignment="1"/>
    <xf numFmtId="0" fontId="195" fillId="0" borderId="130" xfId="180" applyFont="1" applyFill="1" applyBorder="1" applyAlignment="1"/>
    <xf numFmtId="0" fontId="196" fillId="0" borderId="0" xfId="180" applyFont="1" applyAlignment="1">
      <alignment wrapText="1"/>
    </xf>
    <xf numFmtId="0" fontId="193" fillId="55" borderId="0" xfId="180" applyFont="1" applyFill="1" applyBorder="1"/>
    <xf numFmtId="0" fontId="242" fillId="37" borderId="0" xfId="180" applyFont="1" applyFill="1" applyBorder="1"/>
    <xf numFmtId="0" fontId="242" fillId="37" borderId="0" xfId="180" applyFont="1" applyFill="1" applyBorder="1" applyAlignment="1">
      <alignment horizontal="center"/>
    </xf>
    <xf numFmtId="0" fontId="228" fillId="0" borderId="0" xfId="180" applyFont="1" applyFill="1"/>
    <xf numFmtId="0" fontId="228" fillId="0" borderId="0" xfId="180" applyFont="1" applyFill="1" applyAlignment="1">
      <alignment horizontal="center"/>
    </xf>
    <xf numFmtId="0" fontId="195" fillId="0" borderId="0" xfId="180" applyFont="1"/>
    <xf numFmtId="0" fontId="193" fillId="45" borderId="0" xfId="180" applyFont="1" applyFill="1" applyAlignment="1">
      <alignment vertical="top"/>
    </xf>
    <xf numFmtId="0" fontId="273" fillId="36" borderId="0" xfId="180" applyFont="1" applyFill="1" applyAlignment="1">
      <alignment vertical="top" wrapText="1"/>
    </xf>
    <xf numFmtId="0" fontId="273" fillId="36" borderId="0" xfId="180" applyFont="1" applyFill="1" applyAlignment="1">
      <alignment vertical="top"/>
    </xf>
    <xf numFmtId="0" fontId="225" fillId="0" borderId="0" xfId="180" applyFont="1" applyAlignment="1">
      <alignment vertical="top"/>
    </xf>
    <xf numFmtId="0" fontId="0" fillId="0" borderId="129" xfId="0" applyBorder="1" applyAlignment="1"/>
    <xf numFmtId="0" fontId="0" fillId="0" borderId="0" xfId="0" applyFill="1" applyBorder="1" applyAlignment="1"/>
    <xf numFmtId="0" fontId="0" fillId="0" borderId="130" xfId="0" applyFill="1" applyBorder="1" applyAlignment="1"/>
    <xf numFmtId="0" fontId="196" fillId="0" borderId="0" xfId="180" applyFont="1" applyFill="1" applyAlignment="1">
      <alignment wrapText="1"/>
    </xf>
    <xf numFmtId="0" fontId="193" fillId="0" borderId="0" xfId="180" applyFont="1" applyFill="1"/>
    <xf numFmtId="0" fontId="242" fillId="0" borderId="0" xfId="180" applyFont="1" applyFill="1"/>
    <xf numFmtId="0" fontId="242" fillId="0" borderId="0" xfId="180" applyFont="1" applyFill="1" applyAlignment="1">
      <alignment horizontal="center"/>
    </xf>
    <xf numFmtId="0" fontId="193" fillId="0" borderId="0" xfId="180" applyFont="1" applyFill="1" applyAlignment="1">
      <alignment wrapText="1"/>
    </xf>
    <xf numFmtId="0" fontId="196" fillId="44" borderId="0" xfId="180" applyFont="1" applyFill="1" applyAlignment="1">
      <alignment vertical="top"/>
    </xf>
    <xf numFmtId="0" fontId="194" fillId="0" borderId="0" xfId="180" applyFont="1"/>
    <xf numFmtId="0" fontId="194" fillId="0" borderId="0" xfId="180" applyFont="1" applyAlignment="1">
      <alignment vertical="top" wrapText="1"/>
    </xf>
    <xf numFmtId="0" fontId="194" fillId="0" borderId="0" xfId="180" applyFont="1" applyAlignment="1">
      <alignment horizontal="center"/>
    </xf>
    <xf numFmtId="0" fontId="194" fillId="0" borderId="0" xfId="180" applyFont="1" applyAlignment="1">
      <alignment wrapText="1"/>
    </xf>
    <xf numFmtId="0" fontId="245" fillId="0" borderId="0" xfId="180" applyFont="1" applyAlignment="1">
      <alignment horizontal="center"/>
    </xf>
    <xf numFmtId="0" fontId="193" fillId="0" borderId="0" xfId="180" applyFont="1" applyAlignment="1">
      <alignment horizontal="right" vertical="top" wrapText="1"/>
    </xf>
    <xf numFmtId="0" fontId="193" fillId="47" borderId="0" xfId="180" applyFont="1" applyFill="1" applyAlignment="1">
      <alignment horizontal="center"/>
    </xf>
    <xf numFmtId="0" fontId="193" fillId="46" borderId="0" xfId="180" applyFont="1" applyFill="1" applyAlignment="1">
      <alignment horizontal="center"/>
    </xf>
    <xf numFmtId="0" fontId="245" fillId="0" borderId="0" xfId="180" applyFont="1" applyAlignment="1">
      <alignment horizontal="right" vertical="top" wrapText="1"/>
    </xf>
    <xf numFmtId="0" fontId="242" fillId="37" borderId="0" xfId="180" applyFont="1" applyFill="1" applyAlignment="1">
      <alignment horizontal="right"/>
    </xf>
    <xf numFmtId="0" fontId="196" fillId="44" borderId="0" xfId="180" applyFont="1" applyFill="1" applyAlignment="1">
      <alignment vertical="top" wrapText="1"/>
    </xf>
    <xf numFmtId="0" fontId="193" fillId="37" borderId="0" xfId="180" applyFont="1" applyFill="1" applyAlignment="1">
      <alignment horizontal="center"/>
    </xf>
    <xf numFmtId="0" fontId="193" fillId="37" borderId="0" xfId="180" applyFont="1" applyFill="1" applyAlignment="1">
      <alignment wrapText="1"/>
    </xf>
    <xf numFmtId="0" fontId="193" fillId="46" borderId="0" xfId="180" applyFont="1" applyFill="1"/>
    <xf numFmtId="0" fontId="193" fillId="46" borderId="0" xfId="180" applyFont="1" applyFill="1" applyAlignment="1">
      <alignment horizontal="center"/>
    </xf>
    <xf numFmtId="0" fontId="193" fillId="46" borderId="0" xfId="180" applyFont="1" applyFill="1" applyAlignment="1">
      <alignment wrapText="1"/>
    </xf>
    <xf numFmtId="0" fontId="245" fillId="0" borderId="0" xfId="180" applyFont="1" applyAlignment="1">
      <alignment wrapText="1"/>
    </xf>
    <xf numFmtId="0" fontId="193" fillId="37" borderId="0" xfId="180" applyFont="1" applyFill="1" applyAlignment="1">
      <alignment vertical="top" wrapText="1"/>
    </xf>
    <xf numFmtId="0" fontId="248" fillId="0" borderId="129" xfId="180" applyFont="1" applyFill="1" applyBorder="1" applyAlignment="1"/>
    <xf numFmtId="0" fontId="195" fillId="0" borderId="0" xfId="180" applyFont="1" applyAlignment="1">
      <alignment vertical="top"/>
    </xf>
    <xf numFmtId="0" fontId="228" fillId="19" borderId="0" xfId="49" applyFont="1" applyFill="1" applyAlignment="1" applyProtection="1">
      <alignment wrapText="1"/>
      <protection locked="0"/>
    </xf>
    <xf numFmtId="0" fontId="248" fillId="37" borderId="0" xfId="180" applyFont="1" applyFill="1" applyAlignment="1">
      <alignment horizontal="left"/>
    </xf>
    <xf numFmtId="0" fontId="228" fillId="19" borderId="0" xfId="49" applyFont="1" applyFill="1" applyProtection="1">
      <protection locked="0"/>
    </xf>
    <xf numFmtId="0" fontId="193" fillId="0" borderId="131" xfId="180" applyFont="1" applyBorder="1" applyAlignment="1"/>
    <xf numFmtId="0" fontId="193" fillId="0" borderId="112" xfId="180" applyFont="1" applyFill="1" applyBorder="1" applyAlignment="1"/>
    <xf numFmtId="0" fontId="193" fillId="0" borderId="132" xfId="180" applyFont="1" applyFill="1" applyBorder="1" applyAlignment="1"/>
    <xf numFmtId="0" fontId="193" fillId="0" borderId="0" xfId="180" applyFont="1" applyAlignment="1"/>
    <xf numFmtId="0" fontId="193" fillId="0" borderId="0" xfId="180" applyFont="1" applyFill="1" applyAlignment="1"/>
    <xf numFmtId="0" fontId="126" fillId="27" borderId="0" xfId="49" applyFont="1" applyFill="1" applyAlignment="1" applyProtection="1">
      <alignment horizontal="left"/>
      <protection locked="0"/>
    </xf>
    <xf numFmtId="0" fontId="125" fillId="19" borderId="0" xfId="49" applyFont="1" applyFill="1"/>
    <xf numFmtId="9" fontId="126" fillId="27" borderId="0" xfId="182" applyFont="1" applyFill="1" applyAlignment="1" applyProtection="1">
      <alignment horizontal="center"/>
      <protection locked="0"/>
    </xf>
    <xf numFmtId="167" fontId="113" fillId="41" borderId="0" xfId="0" applyNumberFormat="1" applyFont="1" applyFill="1" applyBorder="1"/>
    <xf numFmtId="0" fontId="274" fillId="36" borderId="0" xfId="0" applyFont="1" applyFill="1"/>
    <xf numFmtId="0" fontId="274" fillId="0" borderId="0" xfId="0" applyFont="1" applyFill="1"/>
    <xf numFmtId="0" fontId="117" fillId="0" borderId="0" xfId="96" applyFont="1"/>
    <xf numFmtId="0" fontId="126" fillId="27" borderId="0" xfId="96" applyFont="1" applyFill="1"/>
    <xf numFmtId="0" fontId="128" fillId="36" borderId="0" xfId="96" applyFont="1" applyFill="1"/>
    <xf numFmtId="0" fontId="128" fillId="0" borderId="0" xfId="96" applyFont="1" applyFill="1"/>
    <xf numFmtId="0" fontId="253" fillId="0" borderId="0" xfId="96" applyFont="1"/>
    <xf numFmtId="0" fontId="117" fillId="0" borderId="0" xfId="0" applyFont="1" applyFill="1"/>
    <xf numFmtId="0" fontId="248" fillId="37" borderId="0" xfId="180" applyFont="1" applyFill="1" applyAlignment="1">
      <alignment horizontal="center"/>
    </xf>
    <xf numFmtId="0" fontId="125" fillId="0" borderId="0" xfId="0" applyFont="1" applyAlignment="1">
      <alignment horizontal="center"/>
    </xf>
    <xf numFmtId="0" fontId="126" fillId="27" borderId="0" xfId="0" applyFont="1" applyFill="1" applyAlignment="1">
      <alignment horizontal="center"/>
    </xf>
    <xf numFmtId="0" fontId="196" fillId="0" borderId="77" xfId="180" applyFont="1" applyBorder="1"/>
    <xf numFmtId="0" fontId="196" fillId="0" borderId="77" xfId="180" applyFont="1" applyBorder="1" applyAlignment="1">
      <alignment vertical="top" wrapText="1"/>
    </xf>
    <xf numFmtId="0" fontId="275" fillId="37" borderId="77" xfId="180" applyFont="1" applyFill="1" applyBorder="1"/>
    <xf numFmtId="9" fontId="275" fillId="37" borderId="77" xfId="180" applyNumberFormat="1" applyFont="1" applyFill="1" applyBorder="1"/>
    <xf numFmtId="9" fontId="275" fillId="37" borderId="77" xfId="98" applyFont="1" applyFill="1" applyBorder="1"/>
    <xf numFmtId="0" fontId="276" fillId="0" borderId="0" xfId="0" applyFont="1" applyAlignment="1">
      <alignment horizontal="center"/>
    </xf>
    <xf numFmtId="169" fontId="241" fillId="49" borderId="0" xfId="49" quotePrefix="1" applyNumberFormat="1" applyFont="1" applyFill="1" applyProtection="1">
      <protection locked="0"/>
    </xf>
    <xf numFmtId="169" fontId="126" fillId="27" borderId="0" xfId="49" quotePrefix="1" applyNumberFormat="1" applyFont="1" applyFill="1" applyAlignment="1" applyProtection="1">
      <alignment horizontal="right"/>
      <protection locked="0"/>
    </xf>
    <xf numFmtId="0" fontId="128" fillId="0" borderId="0" xfId="0" applyFont="1" applyFill="1" applyAlignment="1">
      <alignment horizontal="right"/>
    </xf>
  </cellXfs>
  <cellStyles count="183">
    <cellStyle name="20% - Accent1" xfId="1" builtinId="30" hidden="1" customBuiltin="1"/>
    <cellStyle name="20% - Accent2" xfId="2" builtinId="34" hidden="1" customBuiltin="1"/>
    <cellStyle name="20% - Accent3" xfId="3" builtinId="38" hidden="1" customBuiltin="1"/>
    <cellStyle name="20% - Accent4" xfId="4" builtinId="42" hidden="1" customBuiltin="1"/>
    <cellStyle name="20% - Accent5" xfId="5" builtinId="46" hidden="1" customBuiltin="1"/>
    <cellStyle name="20% - Accent6" xfId="6" builtinId="50" hidden="1" customBuiltin="1"/>
    <cellStyle name="40% - Accent1" xfId="7" builtinId="31" hidden="1" customBuiltin="1"/>
    <cellStyle name="40% - Accent2" xfId="8" builtinId="35" hidden="1" customBuiltin="1"/>
    <cellStyle name="40% - Accent3" xfId="9" builtinId="39" hidden="1" customBuiltin="1"/>
    <cellStyle name="40% - Accent4" xfId="10" builtinId="43" hidden="1" customBuiltin="1"/>
    <cellStyle name="40% - Accent5" xfId="11" builtinId="47" hidden="1" customBuiltin="1"/>
    <cellStyle name="40% - Accent6" xfId="12" builtinId="51" hidden="1" customBuiltin="1"/>
    <cellStyle name="60% - Accent1" xfId="13" builtinId="32" hidden="1" customBuiltin="1"/>
    <cellStyle name="60% - Accent2" xfId="14" builtinId="36" hidden="1" customBuiltin="1"/>
    <cellStyle name="60% - Accent3" xfId="15" builtinId="40" hidden="1" customBuiltin="1"/>
    <cellStyle name="60% - Accent4" xfId="16" builtinId="44" hidden="1" customBuiltin="1"/>
    <cellStyle name="60% - Accent5" xfId="17" builtinId="48" hidden="1" customBuiltin="1"/>
    <cellStyle name="60% - Accent6" xfId="18" builtinId="52" hidden="1" customBuiltin="1"/>
    <cellStyle name="Accent1" xfId="19" builtinId="29" hidden="1" customBuiltin="1"/>
    <cellStyle name="Accent2" xfId="20" builtinId="33" hidden="1" customBuiltin="1"/>
    <cellStyle name="Accent3" xfId="21" builtinId="37" hidden="1" customBuiltin="1"/>
    <cellStyle name="Accent4" xfId="22" builtinId="41" hidden="1" customBuiltin="1"/>
    <cellStyle name="Accent5" xfId="23" builtinId="45" hidden="1" customBuiltin="1"/>
    <cellStyle name="Accent6" xfId="24" builtinId="49" hidden="1" customBuiltin="1"/>
    <cellStyle name="Bad" xfId="25" builtinId="27" hidden="1" customBuiltin="1"/>
    <cellStyle name="Calculation" xfId="26" builtinId="22" hidden="1" customBuiltin="1"/>
    <cellStyle name="Check Cell" xfId="27" builtinId="23" hidden="1" customBuiltin="1"/>
    <cellStyle name="Comma" xfId="62" builtinId="3" hidden="1"/>
    <cellStyle name="Comma" xfId="28" builtinId="3" hidden="1"/>
    <cellStyle name="Comma" xfId="105" builtinId="3"/>
    <cellStyle name="Comma [0]" xfId="60" builtinId="6" hidden="1"/>
    <cellStyle name="Comma 11" xfId="147" xr:uid="{8592F5D0-E699-435B-BCBB-A07767115994}"/>
    <cellStyle name="Comma 11 2" xfId="155" xr:uid="{7FBC87F5-BE3B-4BF9-BA05-768C9172A273}"/>
    <cellStyle name="Comma 11 2 2" xfId="170" xr:uid="{DB7EBA48-D748-40C5-B220-B73DE7D4F32D}"/>
    <cellStyle name="Comma 11 3" xfId="162" xr:uid="{F9C2889D-A819-416D-986C-A257F0765763}"/>
    <cellStyle name="Comma 15" xfId="148" xr:uid="{C2A96003-D4CC-49D1-84F8-3EFF880DE4EB}"/>
    <cellStyle name="Comma 15 2" xfId="156" xr:uid="{EC806061-1F38-43BB-8732-528EB08E901A}"/>
    <cellStyle name="Comma 15 2 2" xfId="171" xr:uid="{2A42DF83-B348-416C-AA7B-80B7400F9DE6}"/>
    <cellStyle name="Comma 15 3" xfId="163" xr:uid="{92A71BCC-DF9A-4E39-83F4-E527D567127C}"/>
    <cellStyle name="Comma 2" xfId="119" xr:uid="{8D20B453-9CF1-43A1-9E14-8091DA85EDA4}"/>
    <cellStyle name="Comma 2 2" xfId="150" xr:uid="{2468A28F-30E1-495C-A75A-1CEACD82F9DC}"/>
    <cellStyle name="Comma 2 2 2" xfId="142" xr:uid="{6CB9BC20-89CE-4C98-B0E5-547712A98C94}"/>
    <cellStyle name="Comma 2 2 2 2" xfId="153" xr:uid="{10865CD3-6D06-4821-BD05-219E05BCF32A}"/>
    <cellStyle name="Comma 2 2 2 2 2" xfId="159" xr:uid="{480E4574-D325-400F-9EFA-AE64BA596C3C}"/>
    <cellStyle name="Comma 2 2 2 2 2 2" xfId="173" xr:uid="{4DE3DF25-6F08-478B-8139-D5CBFBAE5531}"/>
    <cellStyle name="Comma 2 2 2 2 3" xfId="168" xr:uid="{E0711EDA-8212-471D-A4CF-4D7AFEF252B9}"/>
    <cellStyle name="Comma 2 2 3" xfId="165" xr:uid="{34030D9F-2C66-40FA-97DF-D193E3BC1411}"/>
    <cellStyle name="Comma 2 3" xfId="136" xr:uid="{44CF451F-CB45-4A1F-8EF8-27129AFF7F56}"/>
    <cellStyle name="Comma 3" xfId="123" xr:uid="{1242DC0D-3763-455E-A3F5-715D92CADC12}"/>
    <cellStyle name="Comma 3 2" xfId="140" xr:uid="{79E0C681-C884-4AB9-9EB3-88B43258D57F}"/>
    <cellStyle name="Comma 3 2 2" xfId="145" xr:uid="{09CE49E4-1282-493B-A514-588055863363}"/>
    <cellStyle name="Comma 3 2 2 2" xfId="154" xr:uid="{505923C6-EA49-4F4A-97C9-6D81005E97DB}"/>
    <cellStyle name="Comma 3 2 2 2 2" xfId="169" xr:uid="{27747AE7-636E-46A5-814D-E6A3FE86FED5}"/>
    <cellStyle name="Comma 3 2 2 3" xfId="161" xr:uid="{DAEEC549-7203-4374-9FFD-4EA0AEAB8845}"/>
    <cellStyle name="Comma 3 3" xfId="152" xr:uid="{65704FE2-286A-401A-B4CB-318D238A03AC}"/>
    <cellStyle name="Comma 3 3 2" xfId="167" xr:uid="{30F20CFB-ABAF-40CB-BD7E-517553AB2F3A}"/>
    <cellStyle name="Comma 3 4" xfId="160" xr:uid="{16178FEA-7571-47FE-9A5E-9D89379FFCA1}"/>
    <cellStyle name="Comma 3 5" xfId="138" xr:uid="{EA8987C7-75AB-4AA3-BD0D-9B5656847E0F}"/>
    <cellStyle name="Comma 4" xfId="127" xr:uid="{DD94F040-5732-45F5-B1F2-5ED94F68B5A2}"/>
    <cellStyle name="Comma 4 2" xfId="164" xr:uid="{71298D89-F21D-49BA-91BB-A7CE7FCE95E7}"/>
    <cellStyle name="Comma 4 3" xfId="149" xr:uid="{53B3A4F4-0845-4C55-8520-81C3C99A8776}"/>
    <cellStyle name="Comma 5" xfId="137" xr:uid="{A3D34380-D009-4A34-9267-EAF911FEC68F}"/>
    <cellStyle name="Comma 5 2" xfId="151" xr:uid="{55F5E54D-5BE9-482B-8919-783BA2B69ADC}"/>
    <cellStyle name="Comma 5 2 2" xfId="166" xr:uid="{54530214-077E-4560-8039-9C8805C3BA72}"/>
    <cellStyle name="Comma 6" xfId="157" xr:uid="{2DF056B2-F8C9-407A-BA66-EF189978E70C}"/>
    <cellStyle name="Comma 6 2" xfId="172" xr:uid="{C2ED534C-F094-4BEC-8935-68511D5EC73C}"/>
    <cellStyle name="Comma 7" xfId="130" xr:uid="{9ED55DB2-7B31-455F-B7EF-1D10EAD274CA}"/>
    <cellStyle name="Comma 8" xfId="179" xr:uid="{95B21C95-B20E-4A7A-9E7E-302A1A5C6186}"/>
    <cellStyle name="Comma 8 2" xfId="181" xr:uid="{2A5F0F1A-7A11-4AA3-820A-7E14E5A31F06}"/>
    <cellStyle name="Currency" xfId="29" builtinId="4" hidden="1"/>
    <cellStyle name="Currency [0]" xfId="30" builtinId="7" hidden="1"/>
    <cellStyle name="Currency 2" xfId="110" xr:uid="{00000000-0005-0000-0000-000021000000}"/>
    <cellStyle name="Date" xfId="135" xr:uid="{093225D9-94A3-4CB4-964F-94BCAEAED4A5}"/>
    <cellStyle name="DateShort" xfId="134" xr:uid="{DE81A27A-0D6C-4F80-84EB-856FAFD75DA2}"/>
    <cellStyle name="Explanatory Text" xfId="31" builtinId="53" hidden="1" customBuiltin="1"/>
    <cellStyle name="Followed Hyperlink" xfId="89" builtinId="9" hidden="1"/>
    <cellStyle name="Followed Hyperlink" xfId="87"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6" builtinId="9" hidden="1"/>
    <cellStyle name="Followed Hyperlink" xfId="80" builtinId="9" hidden="1"/>
    <cellStyle name="Followed Hyperlink" xfId="81" builtinId="9" hidden="1"/>
    <cellStyle name="Followed Hyperlink" xfId="84" builtinId="9" hidden="1"/>
    <cellStyle name="Followed Hyperlink" xfId="85" builtinId="9" hidden="1"/>
    <cellStyle name="Followed Hyperlink" xfId="66" builtinId="9" hidden="1"/>
    <cellStyle name="Followed Hyperlink" xfId="64" builtinId="9" hidden="1"/>
    <cellStyle name="Good" xfId="32" builtinId="26" hidden="1" customBuiltin="1"/>
    <cellStyle name="Heading 1" xfId="33" builtinId="16" hidden="1" customBuiltin="1"/>
    <cellStyle name="Heading 2" xfId="34" builtinId="17" hidden="1" customBuiltin="1"/>
    <cellStyle name="Heading 3" xfId="35" builtinId="18" hidden="1" customBuiltin="1"/>
    <cellStyle name="Heading 4" xfId="36" builtinId="19" hidden="1" customBuiltin="1"/>
    <cellStyle name="Hyperlink" xfId="70" builtinId="8" hidden="1"/>
    <cellStyle name="Hyperlink" xfId="95" builtinId="8" hidden="1"/>
    <cellStyle name="Hyperlink" xfId="88" builtinId="8" hidden="1"/>
    <cellStyle name="Hyperlink" xfId="90" builtinId="8" hidden="1"/>
    <cellStyle name="Hyperlink" xfId="91" builtinId="8" hidden="1"/>
    <cellStyle name="Hyperlink" xfId="93" builtinId="8" hidden="1"/>
    <cellStyle name="Hyperlink" xfId="83" builtinId="8" hidden="1"/>
    <cellStyle name="Hyperlink" xfId="86" builtinId="8" hidden="1"/>
    <cellStyle name="Hyperlink" xfId="79" builtinId="8" hidden="1"/>
    <cellStyle name="Hyperlink" xfId="63" builtinId="8" hidden="1"/>
    <cellStyle name="Hyperlink" xfId="74" builtinId="8" hidden="1"/>
    <cellStyle name="Hyperlink" xfId="75" builtinId="8" hidden="1"/>
    <cellStyle name="Hyperlink" xfId="77" builtinId="8" hidden="1"/>
    <cellStyle name="Hyperlink" xfId="68" builtinId="8" hidden="1"/>
    <cellStyle name="Hyperlink" xfId="82" builtinId="8" hidden="1"/>
    <cellStyle name="Hyperlink" xfId="72" builtinId="8" hidden="1"/>
    <cellStyle name="Hyperlink" xfId="94" builtinId="8" hidden="1"/>
    <cellStyle name="Hyperlink" xfId="176" builtinId="8"/>
    <cellStyle name="Input" xfId="37" builtinId="20" hidden="1" customBuiltin="1"/>
    <cellStyle name="Linked Cell" xfId="38" builtinId="24" hidden="1" customBuiltin="1"/>
    <cellStyle name="Neutral" xfId="39" builtinId="28" hidden="1" customBuiltin="1"/>
    <cellStyle name="Normal" xfId="0" builtinId="0"/>
    <cellStyle name="Normal 10" xfId="178" xr:uid="{963BABB2-FA0A-492E-A5B4-15E2E4ECE342}"/>
    <cellStyle name="Normal 10 2" xfId="180" xr:uid="{165344E0-33EE-4711-80FA-0CF021E7E1FC}"/>
    <cellStyle name="Normal 104 2" xfId="114" xr:uid="{ACCDADFD-5018-4424-8827-0395531F5D82}"/>
    <cellStyle name="Normal 104 2 2" xfId="122" xr:uid="{BB7D8399-24B6-4CA6-897A-70D58B4A98DE}"/>
    <cellStyle name="Normal 104 2 3" xfId="125" xr:uid="{5E0EA9D5-3631-42F7-8DB3-A45C6973D103}"/>
    <cellStyle name="Normal 104 2 4" xfId="144" xr:uid="{00CDF6A6-4FBB-47A5-BC0A-64DD8A487EF1}"/>
    <cellStyle name="Normal 104 2 5" xfId="174" xr:uid="{7FDC8E19-85E8-4816-93A3-2548323325F6}"/>
    <cellStyle name="Normal 105 3" xfId="104" xr:uid="{00000000-0005-0000-0000-00004B000000}"/>
    <cellStyle name="Normal 2" xfId="96" xr:uid="{00000000-0005-0000-0000-00004C000000}"/>
    <cellStyle name="Normal 2 2" xfId="112" xr:uid="{00000000-0005-0000-0000-00004D000000}"/>
    <cellStyle name="Normal 2 2 14" xfId="141" xr:uid="{1ED34C5E-FE18-45A9-8B9F-87A0DFB1B426}"/>
    <cellStyle name="Normal 2 2 19" xfId="102" xr:uid="{00000000-0005-0000-0000-00004E000000}"/>
    <cellStyle name="Normal 28" xfId="118" xr:uid="{56794B0F-5F99-477D-B370-A6749B329FEF}"/>
    <cellStyle name="Normal 3" xfId="113" xr:uid="{00000000-0005-0000-0000-00004F000000}"/>
    <cellStyle name="Normal 3 2" xfId="103" xr:uid="{00000000-0005-0000-0000-000050000000}"/>
    <cellStyle name="Normal 3 2 2" xfId="100" xr:uid="{00000000-0005-0000-0000-000051000000}"/>
    <cellStyle name="Normal 3 2 3" xfId="109" xr:uid="{00000000-0005-0000-0000-000052000000}"/>
    <cellStyle name="Normal 3 3" xfId="132" xr:uid="{89B3A0EF-5BF8-49C4-A8B5-CFA82AEA8448}"/>
    <cellStyle name="Normal 3 4" xfId="133" xr:uid="{33BBADA9-52D5-4DD9-991B-4F99BCF80E8E}"/>
    <cellStyle name="Normal 4" xfId="115" xr:uid="{026A53E3-BAC1-4959-AC2C-A170635AD657}"/>
    <cellStyle name="Normal 44" xfId="158" xr:uid="{81005F50-FCC9-4FCF-962B-4150899FB426}"/>
    <cellStyle name="Normal 5" xfId="117" xr:uid="{7033D37F-EC38-458A-8416-B28B1940B9C8}"/>
    <cellStyle name="Normal 5 2" xfId="139" xr:uid="{FECD38C9-E8AB-44A7-8CD9-940DE8ECBD6A}"/>
    <cellStyle name="Normal 6" xfId="121" xr:uid="{668D2ED0-8505-468C-873C-2BF46AADF856}"/>
    <cellStyle name="Normal 7" xfId="126" xr:uid="{09EC581F-9799-4F33-8918-3DF4E02F4E43}"/>
    <cellStyle name="Normal 8" xfId="129" xr:uid="{ABD9690C-281F-4A07-9158-E3A3C24D572A}"/>
    <cellStyle name="Normal 9" xfId="177" xr:uid="{80E2E87C-97EC-4AEB-A1BC-513EA602EBCB}"/>
    <cellStyle name="Note" xfId="40" builtinId="10" hidden="1" customBuiltin="1"/>
    <cellStyle name="Output" xfId="41" builtinId="21" hidden="1" customBuiltin="1"/>
    <cellStyle name="Percent" xfId="42" builtinId="5" hidden="1"/>
    <cellStyle name="Percent" xfId="98" builtinId="5"/>
    <cellStyle name="Percent 10" xfId="182" xr:uid="{CBAC133B-47DA-40A5-8ECF-E6A83C025608}"/>
    <cellStyle name="Percent 15" xfId="106" xr:uid="{00000000-0005-0000-0000-000059000000}"/>
    <cellStyle name="Percent 15 2" xfId="111" xr:uid="{00000000-0005-0000-0000-00005A000000}"/>
    <cellStyle name="Percent 16" xfId="101" xr:uid="{00000000-0005-0000-0000-00005B000000}"/>
    <cellStyle name="Percent 2" xfId="97" xr:uid="{00000000-0005-0000-0000-00005C000000}"/>
    <cellStyle name="Percent 2 2" xfId="99" xr:uid="{00000000-0005-0000-0000-00005D000000}"/>
    <cellStyle name="Percent 2 2 2" xfId="143" xr:uid="{638A478C-94B8-47F6-81C7-1141BCE3AD8C}"/>
    <cellStyle name="Percent 21" xfId="146" xr:uid="{140D19D1-03F7-4DD7-90ED-7830039526D4}"/>
    <cellStyle name="Percent 3" xfId="108" xr:uid="{00000000-0005-0000-0000-00005E000000}"/>
    <cellStyle name="Percent 4" xfId="116" xr:uid="{A7F17CCC-BF10-41C1-9C17-9EB7D4D0E1F7}"/>
    <cellStyle name="Percent 5" xfId="120" xr:uid="{A0AAF0B7-3A9C-4F39-A836-7DBEF2AA0643}"/>
    <cellStyle name="Percent 6" xfId="124" xr:uid="{011CE777-0C2B-4509-9F78-97A783EDFD43}"/>
    <cellStyle name="Percent 7" xfId="128" xr:uid="{4CD6858D-4843-40A3-B1A1-C2361F3DF64B}"/>
    <cellStyle name="Percent 8" xfId="131" xr:uid="{D8ED5D1A-12B5-41E5-A595-702755165167}"/>
    <cellStyle name="Percent 9" xfId="175" xr:uid="{1316774D-A120-4D06-824F-594167C3B90B}"/>
    <cellStyle name="TextNormal" xfId="107" xr:uid="{00000000-0005-0000-0000-00005F000000}"/>
    <cellStyle name="Title" xfId="43" builtinId="15" hidden="1" customBuiltin="1"/>
    <cellStyle name="Total" xfId="44" builtinId="25" hidden="1" customBuiltin="1"/>
    <cellStyle name="VSG $" xfId="52" xr:uid="{00000000-0005-0000-0000-000062000000}"/>
    <cellStyle name="VSG Column Header" xfId="46" xr:uid="{00000000-0005-0000-0000-000063000000}"/>
    <cellStyle name="VSG Currency" xfId="78" xr:uid="{00000000-0005-0000-0000-000064000000}"/>
    <cellStyle name="VSG Date Long" xfId="55" xr:uid="{00000000-0005-0000-0000-000065000000}"/>
    <cellStyle name="VSG Date Short" xfId="58" xr:uid="{00000000-0005-0000-0000-000066000000}"/>
    <cellStyle name="VSG Decimal" xfId="59" xr:uid="{00000000-0005-0000-0000-000067000000}"/>
    <cellStyle name="VSG Footnote" xfId="56" xr:uid="{00000000-0005-0000-0000-000068000000}"/>
    <cellStyle name="VSG Footnote Header" xfId="57" xr:uid="{00000000-0005-0000-0000-000069000000}"/>
    <cellStyle name="VSG Footnote Number" xfId="92" xr:uid="{00000000-0005-0000-0000-00006A000000}"/>
    <cellStyle name="VSG Hyperlink" xfId="65" xr:uid="{00000000-0005-0000-0000-00006B000000}"/>
    <cellStyle name="VSG Input" xfId="47" xr:uid="{00000000-0005-0000-0000-00006C000000}"/>
    <cellStyle name="VSG Multiple" xfId="53" xr:uid="{00000000-0005-0000-0000-00006D000000}"/>
    <cellStyle name="VSG Normal" xfId="49" xr:uid="{00000000-0005-0000-0000-00006E000000}"/>
    <cellStyle name="VSG Number" xfId="48" xr:uid="{00000000-0005-0000-0000-00006F000000}"/>
    <cellStyle name="VSG Percentage" xfId="54" xr:uid="{00000000-0005-0000-0000-000070000000}"/>
    <cellStyle name="VSG Schedule Header L1" xfId="51" xr:uid="{00000000-0005-0000-0000-000071000000}"/>
    <cellStyle name="VSG Schedule Header L2" xfId="50" xr:uid="{00000000-0005-0000-0000-000072000000}"/>
    <cellStyle name="VSG Years" xfId="61" xr:uid="{00000000-0005-0000-0000-000073000000}"/>
    <cellStyle name="Warning Text" xfId="45" builtinId="11" hidden="1" customBuiltin="1"/>
  </cellStyles>
  <dxfs count="25">
    <dxf>
      <font>
        <color rgb="FFFF0000"/>
      </font>
    </dxf>
    <dxf>
      <fill>
        <patternFill>
          <bgColor theme="4" tint="0.79998168889431442"/>
        </patternFill>
      </fill>
    </dxf>
    <dxf>
      <font>
        <b/>
        <i val="0"/>
        <color rgb="FFC00000"/>
      </font>
      <fill>
        <patternFill>
          <bgColor theme="5" tint="0.39994506668294322"/>
        </patternFill>
      </fill>
    </dxf>
    <dxf>
      <font>
        <color rgb="FFFF0000"/>
      </font>
    </dxf>
    <dxf>
      <font>
        <color rgb="FFFF0000"/>
      </font>
    </dxf>
    <dxf>
      <font>
        <b/>
        <i val="0"/>
        <color rgb="FFC00000"/>
      </font>
      <fill>
        <patternFill>
          <bgColor theme="9" tint="0.39994506668294322"/>
        </patternFill>
      </fill>
    </dxf>
    <dxf>
      <font>
        <b/>
        <i val="0"/>
        <color rgb="FFC00000"/>
      </font>
      <fill>
        <patternFill>
          <bgColor theme="9" tint="0.39994506668294322"/>
        </patternFill>
      </fill>
    </dxf>
    <dxf>
      <font>
        <color rgb="FFFF0000"/>
      </font>
    </dxf>
    <dxf>
      <font>
        <color rgb="FFFF0000"/>
      </font>
    </dxf>
    <dxf>
      <fill>
        <patternFill>
          <bgColor theme="4" tint="0.79998168889431442"/>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C00000"/>
      </font>
    </dxf>
    <dxf>
      <font>
        <b/>
        <i val="0"/>
        <color rgb="FFC00000"/>
      </font>
    </dxf>
    <dxf>
      <font>
        <b/>
        <i val="0"/>
        <color rgb="FFC00000"/>
      </font>
    </dxf>
    <dxf>
      <font>
        <b/>
        <i val="0"/>
        <color rgb="FF00684F"/>
      </font>
    </dxf>
    <dxf>
      <font>
        <b/>
        <i val="0"/>
        <color rgb="FFC00000"/>
      </font>
      <fill>
        <patternFill>
          <bgColor theme="5" tint="0.39994506668294322"/>
        </patternFill>
      </fill>
    </dxf>
    <dxf>
      <fill>
        <patternFill>
          <bgColor rgb="FF009B76"/>
        </patternFill>
      </fill>
      <border>
        <left style="thin">
          <color rgb="FF009B76"/>
        </left>
        <right style="thin">
          <color rgb="FF009B76"/>
        </right>
        <top style="thin">
          <color rgb="FF009B76"/>
        </top>
        <bottom style="thin">
          <color rgb="FF009B76"/>
        </bottom>
        <vertical style="thin">
          <color rgb="FF009B76"/>
        </vertical>
        <horizontal style="thin">
          <color rgb="FF009B76"/>
        </horizontal>
      </border>
    </dxf>
  </dxfs>
  <tableStyles count="1" defaultTableStyle="TableStyleMedium2" defaultPivotStyle="PivotStyleLight16">
    <tableStyle name="Table Style 1" pivot="0" count="1" xr9:uid="{00000000-0011-0000-FFFF-FFFF00000000}">
      <tableStyleElement type="firstRowStripe" dxfId="2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4F2D7F"/>
      <rgbColor rgb="00333399"/>
      <rgbColor rgb="00333333"/>
    </indexedColors>
    <mruColors>
      <color rgb="FFFFCCCC"/>
      <color rgb="FF138CD7"/>
      <color rgb="FF00CCE2"/>
      <color rgb="FFD7EEF1"/>
      <color rgb="FF4F2D7F"/>
      <color rgb="FF003399"/>
      <color rgb="FF92A4FC"/>
      <color rgb="FFFFFFCC"/>
      <color rgb="FF0000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externalLink" Target="externalLinks/externalLink8.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6.xml"/><Relationship Id="rId58" Type="http://schemas.openxmlformats.org/officeDocument/2006/relationships/externalLink" Target="externalLinks/externalLink11.xml"/><Relationship Id="rId66"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externalLink" Target="externalLinks/externalLink10.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 Id="rId60" Type="http://schemas.openxmlformats.org/officeDocument/2006/relationships/styles" Target="styles.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externalLink" Target="externalLinks/externalLink9.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7.xml"/><Relationship Id="rId6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577533577533576E-2"/>
          <c:y val="9.0759075907590761E-2"/>
          <c:w val="0.93284493284493286"/>
          <c:h val="0.61573763675580151"/>
        </c:manualLayout>
      </c:layout>
      <c:barChart>
        <c:barDir val="col"/>
        <c:grouping val="stacked"/>
        <c:varyColors val="0"/>
        <c:ser>
          <c:idx val="0"/>
          <c:order val="0"/>
          <c:tx>
            <c:strRef>
              <c:f>ReportData!$O$31</c:f>
              <c:strCache>
                <c:ptCount val="1"/>
                <c:pt idx="0">
                  <c:v> Existing Business Revenues </c:v>
                </c:pt>
              </c:strCache>
            </c:strRef>
          </c:tx>
          <c:spPr>
            <a:solidFill>
              <a:srgbClr val="00CCE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ReportData!$Q$30:$Z$30</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ReportData!$Q$31:$Z$31</c:f>
              <c:numCache>
                <c:formatCode>0%</c:formatCode>
                <c:ptCount val="10"/>
                <c:pt idx="0">
                  <c:v>0</c:v>
                </c:pt>
                <c:pt idx="1">
                  <c:v>0</c:v>
                </c:pt>
                <c:pt idx="2">
                  <c:v>0</c:v>
                </c:pt>
                <c:pt idx="3">
                  <c:v>0</c:v>
                </c:pt>
                <c:pt idx="4">
                  <c:v>0</c:v>
                </c:pt>
                <c:pt idx="5">
                  <c:v>0</c:v>
                </c:pt>
                <c:pt idx="6">
                  <c:v>0.4073743890220789</c:v>
                </c:pt>
                <c:pt idx="7">
                  <c:v>0.24234183206450213</c:v>
                </c:pt>
                <c:pt idx="8">
                  <c:v>0.18109190474293105</c:v>
                </c:pt>
                <c:pt idx="9">
                  <c:v>0.13322912034697612</c:v>
                </c:pt>
              </c:numCache>
            </c:numRef>
          </c:val>
          <c:extLst>
            <c:ext xmlns:c16="http://schemas.microsoft.com/office/drawing/2014/chart" uri="{C3380CC4-5D6E-409C-BE32-E72D297353CC}">
              <c16:uniqueId val="{00000000-4B07-453E-870E-BA4EAB2FA86B}"/>
            </c:ext>
          </c:extLst>
        </c:ser>
        <c:ser>
          <c:idx val="1"/>
          <c:order val="1"/>
          <c:tx>
            <c:strRef>
              <c:f>ReportData!$O$32</c:f>
              <c:strCache>
                <c:ptCount val="1"/>
                <c:pt idx="0">
                  <c:v> Pipeline Business Revenues </c:v>
                </c:pt>
              </c:strCache>
            </c:strRef>
          </c:tx>
          <c:spPr>
            <a:solidFill>
              <a:srgbClr val="92D050"/>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ReportData!$Q$30:$Z$30</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ReportData!$Q$32:$Z$32</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4B07-453E-870E-BA4EAB2FA86B}"/>
            </c:ext>
          </c:extLst>
        </c:ser>
        <c:ser>
          <c:idx val="2"/>
          <c:order val="2"/>
          <c:tx>
            <c:strRef>
              <c:f>ReportData!$O$33</c:f>
              <c:strCache>
                <c:ptCount val="1"/>
                <c:pt idx="0">
                  <c:v> Potential Business Revenues </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ReportData!$Q$30:$Z$30</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ReportData!$Q$33:$Z$33</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4B07-453E-870E-BA4EAB2FA86B}"/>
            </c:ext>
          </c:extLst>
        </c:ser>
        <c:ser>
          <c:idx val="3"/>
          <c:order val="3"/>
          <c:tx>
            <c:strRef>
              <c:f>ReportData!#REF!</c:f>
              <c:strCache>
                <c:ptCount val="1"/>
                <c:pt idx="0">
                  <c:v>#REF!</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ReportData!$Q$30:$Z$30</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ReportData!#REF!</c:f>
              <c:numCache>
                <c:formatCode>General</c:formatCode>
                <c:ptCount val="1"/>
                <c:pt idx="0">
                  <c:v>1</c:v>
                </c:pt>
              </c:numCache>
            </c:numRef>
          </c:val>
          <c:extLst>
            <c:ext xmlns:c16="http://schemas.microsoft.com/office/drawing/2014/chart" uri="{C3380CC4-5D6E-409C-BE32-E72D297353CC}">
              <c16:uniqueId val="{00000003-4B07-453E-870E-BA4EAB2FA86B}"/>
            </c:ext>
          </c:extLst>
        </c:ser>
        <c:dLbls>
          <c:dLblPos val="ctr"/>
          <c:showLegendKey val="0"/>
          <c:showVal val="1"/>
          <c:showCatName val="0"/>
          <c:showSerName val="0"/>
          <c:showPercent val="0"/>
          <c:showBubbleSize val="0"/>
        </c:dLbls>
        <c:gapWidth val="50"/>
        <c:overlap val="100"/>
        <c:axId val="1102505360"/>
        <c:axId val="1423775296"/>
      </c:barChart>
      <c:catAx>
        <c:axId val="110250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GT Walsheim Pro" panose="02000503040000020003" pitchFamily="50" charset="0"/>
                <a:ea typeface="+mn-ea"/>
                <a:cs typeface="+mn-cs"/>
              </a:defRPr>
            </a:pPr>
            <a:endParaRPr lang="en-US"/>
          </a:p>
        </c:txPr>
        <c:crossAx val="1423775296"/>
        <c:crosses val="autoZero"/>
        <c:auto val="1"/>
        <c:lblAlgn val="ctr"/>
        <c:lblOffset val="100"/>
        <c:noMultiLvlLbl val="0"/>
      </c:catAx>
      <c:valAx>
        <c:axId val="1423775296"/>
        <c:scaling>
          <c:orientation val="minMax"/>
          <c:max val="650"/>
          <c:min val="0"/>
        </c:scaling>
        <c:delete val="1"/>
        <c:axPos val="l"/>
        <c:numFmt formatCode="0%" sourceLinked="1"/>
        <c:majorTickMark val="none"/>
        <c:minorTickMark val="none"/>
        <c:tickLblPos val="nextTo"/>
        <c:crossAx val="1102505360"/>
        <c:crosses val="autoZero"/>
        <c:crossBetween val="between"/>
      </c:valAx>
      <c:spPr>
        <a:noFill/>
        <a:ln>
          <a:noFill/>
        </a:ln>
        <a:effectLst/>
      </c:spPr>
    </c:plotArea>
    <c:legend>
      <c:legendPos val="b"/>
      <c:legendEntry>
        <c:idx val="3"/>
        <c:delete val="1"/>
      </c:legendEntry>
      <c:layout>
        <c:manualLayout>
          <c:xMode val="edge"/>
          <c:yMode val="edge"/>
          <c:x val="1.7943278951908163E-3"/>
          <c:y val="0.82009693095293779"/>
          <c:w val="0.99820575312701298"/>
          <c:h val="0.179903069047062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GT Walsheim Pro" panose="02000503040000020003" pitchFamily="50" charset="0"/>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sz="800">
          <a:latin typeface="GT Walsheim Pro" panose="02000503040000020003" pitchFamily="50"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35659362227816E-2"/>
          <c:y val="7.3662774911756712E-2"/>
          <c:w val="0.94623655913978499"/>
          <c:h val="0.61697761917691318"/>
        </c:manualLayout>
      </c:layout>
      <c:lineChart>
        <c:grouping val="standard"/>
        <c:varyColors val="0"/>
        <c:ser>
          <c:idx val="0"/>
          <c:order val="0"/>
          <c:tx>
            <c:strRef>
              <c:f>ReportData!$O$66</c:f>
              <c:strCache>
                <c:ptCount val="1"/>
                <c:pt idx="0">
                  <c:v>Gross Margin</c:v>
                </c:pt>
              </c:strCache>
            </c:strRef>
          </c:tx>
          <c:spPr>
            <a:ln w="28575" cap="rnd">
              <a:solidFill>
                <a:srgbClr val="00CCE2"/>
              </a:solidFill>
              <a:round/>
            </a:ln>
            <a:effectLst/>
          </c:spPr>
          <c:marker>
            <c:symbol val="circle"/>
            <c:size val="5"/>
            <c:spPr>
              <a:solidFill>
                <a:srgbClr val="00CCE2"/>
              </a:solidFill>
              <a:ln w="9525">
                <a:solidFill>
                  <a:srgbClr val="00CCE2"/>
                </a:solidFill>
              </a:ln>
              <a:effectLst/>
            </c:spPr>
          </c:marker>
          <c:dLbls>
            <c:spPr>
              <a:solidFill>
                <a:srgbClr val="00CCE2"/>
              </a:solid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ReportData!$Q$65:$Z$65</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ReportData!$Q$66:$Z$66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B65C-4107-BB90-86A7103EB842}"/>
            </c:ext>
          </c:extLst>
        </c:ser>
        <c:ser>
          <c:idx val="1"/>
          <c:order val="1"/>
          <c:tx>
            <c:strRef>
              <c:f>ReportData!$O$67</c:f>
              <c:strCache>
                <c:ptCount val="1"/>
                <c:pt idx="0">
                  <c:v>EBITDA Margin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ReportData!$Q$65:$Z$65</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ReportData!$Q$67:$Z$67</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B65C-4107-BB90-86A7103EB842}"/>
            </c:ext>
          </c:extLst>
        </c:ser>
        <c:ser>
          <c:idx val="2"/>
          <c:order val="2"/>
          <c:tx>
            <c:strRef>
              <c:f>ReportData!$O$68</c:f>
              <c:strCache>
                <c:ptCount val="1"/>
                <c:pt idx="0">
                  <c:v>Net Margin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solidFill>
                <a:schemeClr val="accent3"/>
              </a:solid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ReportData!$Q$65:$Z$65</c:f>
              <c:strCache>
                <c:ptCount val="10"/>
                <c:pt idx="0">
                  <c:v>FY22</c:v>
                </c:pt>
                <c:pt idx="1">
                  <c:v>FY23</c:v>
                </c:pt>
                <c:pt idx="2">
                  <c:v>YTD24</c:v>
                </c:pt>
                <c:pt idx="3">
                  <c:v>YTG24</c:v>
                </c:pt>
                <c:pt idx="4">
                  <c:v>FY24</c:v>
                </c:pt>
                <c:pt idx="5">
                  <c:v>FY25</c:v>
                </c:pt>
                <c:pt idx="6">
                  <c:v>FY26</c:v>
                </c:pt>
                <c:pt idx="7">
                  <c:v>FY27</c:v>
                </c:pt>
                <c:pt idx="8">
                  <c:v>FY28</c:v>
                </c:pt>
                <c:pt idx="9">
                  <c:v>FY29</c:v>
                </c:pt>
              </c:strCache>
            </c:strRef>
          </c:cat>
          <c:val>
            <c:numRef>
              <c:f>ReportData!$Q$68:$Z$68</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B65C-4107-BB90-86A7103EB842}"/>
            </c:ext>
          </c:extLst>
        </c:ser>
        <c:dLbls>
          <c:dLblPos val="ctr"/>
          <c:showLegendKey val="0"/>
          <c:showVal val="1"/>
          <c:showCatName val="0"/>
          <c:showSerName val="0"/>
          <c:showPercent val="0"/>
          <c:showBubbleSize val="0"/>
        </c:dLbls>
        <c:marker val="1"/>
        <c:smooth val="0"/>
        <c:axId val="1829441984"/>
        <c:axId val="1833874944"/>
      </c:lineChart>
      <c:catAx>
        <c:axId val="1829441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GT Walsheim Pro" panose="02000503040000020003" pitchFamily="50" charset="0"/>
                <a:ea typeface="+mn-ea"/>
                <a:cs typeface="+mn-cs"/>
              </a:defRPr>
            </a:pPr>
            <a:endParaRPr lang="en-US"/>
          </a:p>
        </c:txPr>
        <c:crossAx val="1833874944"/>
        <c:crosses val="autoZero"/>
        <c:auto val="1"/>
        <c:lblAlgn val="ctr"/>
        <c:lblOffset val="100"/>
        <c:noMultiLvlLbl val="0"/>
      </c:catAx>
      <c:valAx>
        <c:axId val="1833874944"/>
        <c:scaling>
          <c:orientation val="minMax"/>
          <c:max val="1"/>
          <c:min val="-1"/>
        </c:scaling>
        <c:delete val="1"/>
        <c:axPos val="l"/>
        <c:numFmt formatCode="0%" sourceLinked="1"/>
        <c:majorTickMark val="out"/>
        <c:minorTickMark val="none"/>
        <c:tickLblPos val="nextTo"/>
        <c:crossAx val="182944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GT Walsheim Pro" panose="02000503040000020003" pitchFamily="50"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sz="800">
          <a:latin typeface="GT Walsheim Pro" panose="02000503040000020003" pitchFamily="50"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ReportData!$U$8</c:f>
          <c:strCache>
            <c:ptCount val="1"/>
            <c:pt idx="0">
              <c:v>Amounts in USD 'Units</c:v>
            </c:pt>
          </c:strCache>
        </c:strRef>
      </c:tx>
      <c:layout>
        <c:manualLayout>
          <c:xMode val="edge"/>
          <c:yMode val="edge"/>
          <c:x val="1.1387486985447953E-3"/>
          <c:y val="2.6982821291216524E-2"/>
        </c:manualLayout>
      </c:layout>
      <c:overlay val="0"/>
      <c:spPr>
        <a:noFill/>
        <a:ln>
          <a:noFill/>
        </a:ln>
        <a:effectLst/>
      </c:spPr>
      <c:txPr>
        <a:bodyPr rot="0" spcFirstLastPara="1" vertOverflow="ellipsis" vert="horz" wrap="square" anchor="ctr" anchorCtr="1"/>
        <a:lstStyle/>
        <a:p>
          <a:pPr>
            <a:defRPr sz="1000" b="0" i="1" u="sng"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stacked"/>
        <c:varyColors val="0"/>
        <c:ser>
          <c:idx val="0"/>
          <c:order val="0"/>
          <c:tx>
            <c:strRef>
              <c:f>ReportData!$O$31</c:f>
              <c:strCache>
                <c:ptCount val="1"/>
                <c:pt idx="0">
                  <c:v> Existing Business Revenues </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ReportData!$Q$31:$Z$31</c15:sqref>
                  </c15:fullRef>
                </c:ext>
              </c:extLst>
              <c:f>(ReportData!$Q$31:$R$31,ReportData!$U$31:$Z$31)</c:f>
              <c:numCache>
                <c:formatCode>0%</c:formatCode>
                <c:ptCount val="8"/>
                <c:pt idx="0">
                  <c:v>0</c:v>
                </c:pt>
                <c:pt idx="1">
                  <c:v>0</c:v>
                </c:pt>
                <c:pt idx="2">
                  <c:v>0</c:v>
                </c:pt>
                <c:pt idx="3">
                  <c:v>0</c:v>
                </c:pt>
                <c:pt idx="4">
                  <c:v>0.4073743890220789</c:v>
                </c:pt>
                <c:pt idx="5">
                  <c:v>0.24234183206450213</c:v>
                </c:pt>
                <c:pt idx="6">
                  <c:v>0.18109190474293105</c:v>
                </c:pt>
                <c:pt idx="7">
                  <c:v>0.13322912034697612</c:v>
                </c:pt>
              </c:numCache>
            </c:numRef>
          </c:val>
          <c:extLst>
            <c:ext xmlns:c16="http://schemas.microsoft.com/office/drawing/2014/chart" uri="{C3380CC4-5D6E-409C-BE32-E72D297353CC}">
              <c16:uniqueId val="{00000000-3507-4C61-A93E-BE653F52C561}"/>
            </c:ext>
          </c:extLst>
        </c:ser>
        <c:ser>
          <c:idx val="1"/>
          <c:order val="1"/>
          <c:tx>
            <c:strRef>
              <c:f>ReportData!$O$32</c:f>
              <c:strCache>
                <c:ptCount val="1"/>
                <c:pt idx="0">
                  <c:v> Pipeline Business Revenues </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ReportData!$Q$32:$Z$32</c15:sqref>
                  </c15:fullRef>
                </c:ext>
              </c:extLst>
              <c:f>(ReportData!$Q$32:$R$32,ReportData!$U$32:$Z$32)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507-4C61-A93E-BE653F52C561}"/>
            </c:ext>
          </c:extLst>
        </c:ser>
        <c:ser>
          <c:idx val="2"/>
          <c:order val="2"/>
          <c:tx>
            <c:strRef>
              <c:f>ReportData!$O$33</c:f>
              <c:strCache>
                <c:ptCount val="1"/>
                <c:pt idx="0">
                  <c:v> Potential Business Revenues </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ReportData!$Q$33:$Z$33</c15:sqref>
                  </c15:fullRef>
                </c:ext>
              </c:extLst>
              <c:f>(ReportData!$Q$33:$R$33,ReportData!$U$33:$Z$33)</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3507-4C61-A93E-BE653F52C561}"/>
            </c:ext>
          </c:extLst>
        </c:ser>
        <c:dLbls>
          <c:dLblPos val="ctr"/>
          <c:showLegendKey val="0"/>
          <c:showVal val="1"/>
          <c:showCatName val="0"/>
          <c:showSerName val="0"/>
          <c:showPercent val="0"/>
          <c:showBubbleSize val="0"/>
        </c:dLbls>
        <c:gapWidth val="15"/>
        <c:overlap val="100"/>
        <c:axId val="1102505360"/>
        <c:axId val="1423775296"/>
      </c:barChart>
      <c:catAx>
        <c:axId val="11025053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23775296"/>
        <c:crosses val="autoZero"/>
        <c:auto val="1"/>
        <c:lblAlgn val="ctr"/>
        <c:lblOffset val="100"/>
        <c:noMultiLvlLbl val="0"/>
      </c:catAx>
      <c:valAx>
        <c:axId val="1423775296"/>
        <c:scaling>
          <c:orientation val="minMax"/>
        </c:scaling>
        <c:delete val="1"/>
        <c:axPos val="l"/>
        <c:numFmt formatCode="0%" sourceLinked="1"/>
        <c:majorTickMark val="out"/>
        <c:minorTickMark val="none"/>
        <c:tickLblPos val="nextTo"/>
        <c:crossAx val="110250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Revenue Contribution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8.2931598924179048E-2"/>
          <c:y val="0.11662102839959645"/>
          <c:w val="0.90036457173346418"/>
          <c:h val="0.57882648806541304"/>
        </c:manualLayout>
      </c:layout>
      <c:barChart>
        <c:barDir val="bar"/>
        <c:grouping val="percentStacked"/>
        <c:varyColors val="0"/>
        <c:ser>
          <c:idx val="0"/>
          <c:order val="0"/>
          <c:tx>
            <c:strRef>
              <c:f>ReportData!$O$36</c:f>
              <c:strCache>
                <c:ptCount val="1"/>
                <c:pt idx="0">
                  <c:v> Revenue Aerial Arts </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ReportData!$Q$36:$Z$36</c15:sqref>
                  </c15:fullRef>
                </c:ext>
              </c:extLst>
              <c:f>(ReportData!$Q$36:$R$36,ReportData!$U$36:$Z$36)</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593-41B7-BEB4-428D9166A567}"/>
            </c:ext>
          </c:extLst>
        </c:ser>
        <c:ser>
          <c:idx val="1"/>
          <c:order val="1"/>
          <c:tx>
            <c:strRef>
              <c:f>ReportData!$O$37</c:f>
              <c:strCache>
                <c:ptCount val="1"/>
                <c:pt idx="0">
                  <c:v> Revenue Pole Dance </c:v>
                </c:pt>
              </c:strCache>
            </c:strRef>
          </c:tx>
          <c:spPr>
            <a:solidFill>
              <a:srgbClr val="0033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ReportData!$Q$37:$Z$37</c15:sqref>
                  </c15:fullRef>
                </c:ext>
              </c:extLst>
              <c:f>(ReportData!$Q$37:$R$37,ReportData!$U$37:$Z$37)</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9593-41B7-BEB4-428D9166A567}"/>
            </c:ext>
          </c:extLst>
        </c:ser>
        <c:ser>
          <c:idx val="2"/>
          <c:order val="2"/>
          <c:tx>
            <c:strRef>
              <c:f>ReportData!$O$38</c:f>
              <c:strCache>
                <c:ptCount val="1"/>
                <c:pt idx="0">
                  <c:v> Revenue Stretching </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ReportData!$Q$38:$Z$38</c15:sqref>
                  </c15:fullRef>
                </c:ext>
              </c:extLst>
              <c:f>(ReportData!$Q$38:$R$38,ReportData!$U$38:$Z$38)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9593-41B7-BEB4-428D9166A567}"/>
            </c:ext>
          </c:extLst>
        </c:ser>
        <c:ser>
          <c:idx val="3"/>
          <c:order val="3"/>
          <c:tx>
            <c:strRef>
              <c:f>ReportData!$O$39</c:f>
              <c:strCache>
                <c:ptCount val="1"/>
                <c:pt idx="0">
                  <c:v> Revenue NA </c:v>
                </c:pt>
              </c:strCache>
            </c:strRef>
          </c:tx>
          <c:spPr>
            <a:solidFill>
              <a:srgbClr val="D7EEF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ReportData!$Q$39:$Z$39</c15:sqref>
                  </c15:fullRef>
                </c:ext>
              </c:extLst>
              <c:f>(ReportData!$Q$39:$R$39,ReportData!$U$39:$Z$39)</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9593-41B7-BEB4-428D9166A567}"/>
            </c:ext>
          </c:extLst>
        </c:ser>
        <c:ser>
          <c:idx val="4"/>
          <c:order val="4"/>
          <c:tx>
            <c:strRef>
              <c:f>ReportData!$O$40</c:f>
              <c:strCache>
                <c:ptCount val="1"/>
                <c:pt idx="0">
                  <c:v> Pipeline Corporate Clients </c:v>
                </c:pt>
              </c:strCache>
            </c:strRef>
          </c:tx>
          <c:spPr>
            <a:solidFill>
              <a:schemeClr val="accent6">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ReportData!$Q$40:$Z$40</c15:sqref>
                  </c15:fullRef>
                </c:ext>
              </c:extLst>
              <c:f>(ReportData!$Q$40:$R$40,ReportData!$U$40:$Z$40)</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9593-41B7-BEB4-428D9166A567}"/>
            </c:ext>
          </c:extLst>
        </c:ser>
        <c:ser>
          <c:idx val="5"/>
          <c:order val="5"/>
          <c:tx>
            <c:strRef>
              <c:f>ReportData!$O$41</c:f>
              <c:strCache>
                <c:ptCount val="1"/>
                <c:pt idx="0">
                  <c:v> Pipeline NA </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ReportData!$Q$41:$Z$41</c15:sqref>
                  </c15:fullRef>
                </c:ext>
              </c:extLst>
              <c:f>(ReportData!$Q$41:$R$41,ReportData!$U$41:$Z$41)</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5-9593-41B7-BEB4-428D9166A567}"/>
            </c:ext>
          </c:extLst>
        </c:ser>
        <c:ser>
          <c:idx val="6"/>
          <c:order val="6"/>
          <c:tx>
            <c:strRef>
              <c:f>ReportData!$O$42</c:f>
              <c:strCache>
                <c:ptCount val="1"/>
                <c:pt idx="0">
                  <c:v> Pipeline NA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ReportData!$Q$42:$Z$42</c15:sqref>
                  </c15:fullRef>
                </c:ext>
              </c:extLst>
              <c:f>(ReportData!$Q$42:$R$42,ReportData!$U$42:$Z$42)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9593-41B7-BEB4-428D9166A567}"/>
            </c:ext>
          </c:extLst>
        </c:ser>
        <c:ser>
          <c:idx val="7"/>
          <c:order val="7"/>
          <c:tx>
            <c:strRef>
              <c:f>ReportData!$O$43</c:f>
              <c:strCache>
                <c:ptCount val="1"/>
                <c:pt idx="0">
                  <c:v> Pipeline NA </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ReportData!$Q$43:$Z$43</c15:sqref>
                  </c15:fullRef>
                </c:ext>
              </c:extLst>
              <c:f>(ReportData!$Q$43:$R$43,ReportData!$U$43:$Z$43)</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9593-41B7-BEB4-428D9166A567}"/>
            </c:ext>
          </c:extLst>
        </c:ser>
        <c:ser>
          <c:idx val="8"/>
          <c:order val="8"/>
          <c:tx>
            <c:strRef>
              <c:f>ReportData!$O$44</c:f>
              <c:strCache>
                <c:ptCount val="1"/>
                <c:pt idx="0">
                  <c:v> Potential Revenue Business Events </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ReportData!$Q$44:$Z$44</c15:sqref>
                  </c15:fullRef>
                </c:ext>
              </c:extLst>
              <c:f>(ReportData!$Q$44:$R$44,ReportData!$U$44:$Z$44)</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9593-41B7-BEB4-428D9166A567}"/>
            </c:ext>
          </c:extLst>
        </c:ser>
        <c:ser>
          <c:idx val="9"/>
          <c:order val="9"/>
          <c:tx>
            <c:strRef>
              <c:f>ReportData!$O$45</c:f>
              <c:strCache>
                <c:ptCount val="1"/>
                <c:pt idx="0">
                  <c:v> Potential Revenue NA </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ReportData!$Q$45:$Z$45</c15:sqref>
                  </c15:fullRef>
                </c:ext>
              </c:extLst>
              <c:f>(ReportData!$Q$45:$R$45,ReportData!$U$45:$Z$45)</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9593-41B7-BEB4-428D9166A567}"/>
            </c:ext>
          </c:extLst>
        </c:ser>
        <c:ser>
          <c:idx val="10"/>
          <c:order val="10"/>
          <c:tx>
            <c:strRef>
              <c:f>ReportData!$O$46</c:f>
              <c:strCache>
                <c:ptCount val="1"/>
                <c:pt idx="0">
                  <c:v> Potential Revenue NA </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ReportData!$Q$46:$Z$46</c15:sqref>
                  </c15:fullRef>
                </c:ext>
              </c:extLst>
              <c:f>(ReportData!$Q$46:$R$46,ReportData!$U$46:$Z$46)</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A-9593-41B7-BEB4-428D9166A567}"/>
            </c:ext>
          </c:extLst>
        </c:ser>
        <c:ser>
          <c:idx val="11"/>
          <c:order val="11"/>
          <c:tx>
            <c:strRef>
              <c:f>ReportData!$O$47</c:f>
              <c:strCache>
                <c:ptCount val="1"/>
                <c:pt idx="0">
                  <c:v> Potential Revenue NA </c:v>
                </c:pt>
              </c:strCache>
            </c:strRef>
          </c:tx>
          <c:spPr>
            <a:solidFill>
              <a:schemeClr val="accent3">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ReportData!$Q$47:$Z$47</c15:sqref>
                  </c15:fullRef>
                </c:ext>
              </c:extLst>
              <c:f>(ReportData!$Q$47:$R$47,ReportData!$U$47:$Z$47)</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9593-41B7-BEB4-428D9166A567}"/>
            </c:ext>
          </c:extLst>
        </c:ser>
        <c:dLbls>
          <c:dLblPos val="ctr"/>
          <c:showLegendKey val="0"/>
          <c:showVal val="1"/>
          <c:showCatName val="0"/>
          <c:showSerName val="0"/>
          <c:showPercent val="0"/>
          <c:showBubbleSize val="0"/>
        </c:dLbls>
        <c:gapWidth val="15"/>
        <c:overlap val="100"/>
        <c:axId val="1138575472"/>
        <c:axId val="1317409152"/>
      </c:barChart>
      <c:catAx>
        <c:axId val="11385754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317409152"/>
        <c:crosses val="autoZero"/>
        <c:auto val="1"/>
        <c:lblAlgn val="ctr"/>
        <c:lblOffset val="100"/>
        <c:noMultiLvlLbl val="0"/>
      </c:catAx>
      <c:valAx>
        <c:axId val="1317409152"/>
        <c:scaling>
          <c:orientation val="minMax"/>
          <c:max val="1"/>
        </c:scaling>
        <c:delete val="1"/>
        <c:axPos val="b"/>
        <c:numFmt formatCode="0%" sourceLinked="1"/>
        <c:majorTickMark val="out"/>
        <c:minorTickMark val="none"/>
        <c:tickLblPos val="nextTo"/>
        <c:crossAx val="1138575472"/>
        <c:crosses val="autoZero"/>
        <c:crossBetween val="between"/>
      </c:valAx>
      <c:spPr>
        <a:noFill/>
        <a:ln>
          <a:noFill/>
        </a:ln>
        <a:effectLst/>
      </c:spPr>
    </c:plotArea>
    <c:legend>
      <c:legendPos val="b"/>
      <c:layout>
        <c:manualLayout>
          <c:xMode val="edge"/>
          <c:yMode val="edge"/>
          <c:x val="0"/>
          <c:y val="0.72310778278273902"/>
          <c:w val="1"/>
          <c:h val="0.276892217217261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ReportData!$U$10</c:f>
          <c:strCache>
            <c:ptCount val="1"/>
            <c:pt idx="0">
              <c:v>Direct Costs in USD 'Units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stacked"/>
        <c:varyColors val="0"/>
        <c:ser>
          <c:idx val="0"/>
          <c:order val="0"/>
          <c:tx>
            <c:strRef>
              <c:f>ReportData!$O$55</c:f>
              <c:strCache>
                <c:ptCount val="1"/>
                <c:pt idx="0">
                  <c:v>Direct Costs</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ReportData!$Q$54:$Z$54</c15:sqref>
                  </c15:fullRef>
                </c:ext>
              </c:extLst>
              <c:f>(ReportData!$Q$54:$R$54,ReportData!$U$54:$Z$54)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ReportData!$Q$55:$Z$55</c15:sqref>
                  </c15:fullRef>
                </c:ext>
              </c:extLst>
              <c:f>(ReportData!$Q$55:$R$55,ReportData!$U$55:$Z$55)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2F5-47AA-AA82-EB1B79B0C01B}"/>
            </c:ext>
          </c:extLst>
        </c:ser>
        <c:ser>
          <c:idx val="1"/>
          <c:order val="1"/>
          <c:tx>
            <c:strRef>
              <c:f>ReportData!$O$56</c:f>
              <c:strCache>
                <c:ptCount val="1"/>
                <c:pt idx="0">
                  <c:v>Staff salaries </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ReportData!$Q$54:$Z$54</c15:sqref>
                  </c15:fullRef>
                </c:ext>
              </c:extLst>
              <c:f>(ReportData!$Q$54:$R$54,ReportData!$U$54:$Z$54)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ReportData!$Q$56:$Z$56</c15:sqref>
                  </c15:fullRef>
                </c:ext>
              </c:extLst>
              <c:f>(ReportData!$Q$56:$R$56,ReportData!$U$56:$Z$56)</c:f>
              <c:numCache>
                <c:formatCode>_(* #,##0_);_(* \(#,##0\);_(* "-"_);_(@_)</c:formatCode>
                <c:ptCount val="8"/>
                <c:pt idx="0">
                  <c:v>0</c:v>
                </c:pt>
                <c:pt idx="1">
                  <c:v>0</c:v>
                </c:pt>
                <c:pt idx="2">
                  <c:v>5000</c:v>
                </c:pt>
                <c:pt idx="3">
                  <c:v>5000</c:v>
                </c:pt>
                <c:pt idx="4">
                  <c:v>5000</c:v>
                </c:pt>
                <c:pt idx="5">
                  <c:v>5000</c:v>
                </c:pt>
                <c:pt idx="6">
                  <c:v>5000</c:v>
                </c:pt>
                <c:pt idx="7">
                  <c:v>5000</c:v>
                </c:pt>
              </c:numCache>
            </c:numRef>
          </c:val>
          <c:extLst>
            <c:ext xmlns:c16="http://schemas.microsoft.com/office/drawing/2014/chart" uri="{C3380CC4-5D6E-409C-BE32-E72D297353CC}">
              <c16:uniqueId val="{00000001-92F5-47AA-AA82-EB1B79B0C01B}"/>
            </c:ext>
          </c:extLst>
        </c:ser>
        <c:ser>
          <c:idx val="2"/>
          <c:order val="2"/>
          <c:tx>
            <c:strRef>
              <c:f>ReportData!$O$57</c:f>
              <c:strCache>
                <c:ptCount val="1"/>
                <c:pt idx="0">
                  <c:v>Commission</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ReportData!$Q$54:$Z$54</c15:sqref>
                  </c15:fullRef>
                </c:ext>
              </c:extLst>
              <c:f>(ReportData!$Q$54:$R$54,ReportData!$U$54:$Z$54)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ReportData!$Q$57:$Z$57</c15:sqref>
                  </c15:fullRef>
                </c:ext>
              </c:extLst>
              <c:f>(ReportData!$Q$57:$R$57,ReportData!$U$57:$Z$57)</c:f>
              <c:numCache>
                <c:formatCode>_(* #,##0_);_(* \(#,##0\);_(* "-"_);_(@_)</c:formatCode>
                <c:ptCount val="8"/>
                <c:pt idx="0">
                  <c:v>0</c:v>
                </c:pt>
                <c:pt idx="1">
                  <c:v>0</c:v>
                </c:pt>
                <c:pt idx="2">
                  <c:v>5000</c:v>
                </c:pt>
                <c:pt idx="3">
                  <c:v>5000</c:v>
                </c:pt>
                <c:pt idx="4">
                  <c:v>5000</c:v>
                </c:pt>
                <c:pt idx="5">
                  <c:v>5000</c:v>
                </c:pt>
                <c:pt idx="6">
                  <c:v>5000</c:v>
                </c:pt>
                <c:pt idx="7">
                  <c:v>5000</c:v>
                </c:pt>
              </c:numCache>
            </c:numRef>
          </c:val>
          <c:extLst>
            <c:ext xmlns:c16="http://schemas.microsoft.com/office/drawing/2014/chart" uri="{C3380CC4-5D6E-409C-BE32-E72D297353CC}">
              <c16:uniqueId val="{00000002-92F5-47AA-AA82-EB1B79B0C01B}"/>
            </c:ext>
          </c:extLst>
        </c:ser>
        <c:dLbls>
          <c:dLblPos val="ctr"/>
          <c:showLegendKey val="0"/>
          <c:showVal val="1"/>
          <c:showCatName val="0"/>
          <c:showSerName val="0"/>
          <c:showPercent val="0"/>
          <c:showBubbleSize val="0"/>
        </c:dLbls>
        <c:gapWidth val="15"/>
        <c:overlap val="100"/>
        <c:axId val="754669984"/>
        <c:axId val="24497872"/>
      </c:barChart>
      <c:catAx>
        <c:axId val="75466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24497872"/>
        <c:crosses val="autoZero"/>
        <c:auto val="1"/>
        <c:lblAlgn val="ctr"/>
        <c:lblOffset val="100"/>
        <c:noMultiLvlLbl val="0"/>
      </c:catAx>
      <c:valAx>
        <c:axId val="24497872"/>
        <c:scaling>
          <c:orientation val="minMax"/>
        </c:scaling>
        <c:delete val="1"/>
        <c:axPos val="l"/>
        <c:numFmt formatCode="_(* #,##0_);_(* \(#,##0\);_(* &quot;-&quot;_);_(@_)" sourceLinked="1"/>
        <c:majorTickMark val="out"/>
        <c:minorTickMark val="none"/>
        <c:tickLblPos val="nextTo"/>
        <c:crossAx val="754669984"/>
        <c:crosses val="autoZero"/>
        <c:crossBetween val="between"/>
      </c:valAx>
      <c:spPr>
        <a:noFill/>
        <a:ln>
          <a:noFill/>
        </a:ln>
        <a:effectLst/>
      </c:spPr>
    </c:plotArea>
    <c:legend>
      <c:legendPos val="b"/>
      <c:layout>
        <c:manualLayout>
          <c:xMode val="edge"/>
          <c:yMode val="edge"/>
          <c:x val="0"/>
          <c:y val="0.8338099046315256"/>
          <c:w val="0.98424936971786681"/>
          <c:h val="0.139820931924993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Profitability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lineChart>
        <c:grouping val="standard"/>
        <c:varyColors val="0"/>
        <c:ser>
          <c:idx val="0"/>
          <c:order val="0"/>
          <c:tx>
            <c:strRef>
              <c:f>ReportData!$O$66</c:f>
              <c:strCache>
                <c:ptCount val="1"/>
                <c:pt idx="0">
                  <c:v>Gross Margin</c:v>
                </c:pt>
              </c:strCache>
            </c:strRef>
          </c:tx>
          <c:spPr>
            <a:ln w="28575" cap="rnd">
              <a:solidFill>
                <a:srgbClr val="003399"/>
              </a:solidFill>
              <a:round/>
            </a:ln>
            <a:effectLst/>
          </c:spPr>
          <c:marker>
            <c:symbol val="circle"/>
            <c:size val="5"/>
            <c:spPr>
              <a:solidFill>
                <a:srgbClr val="003399"/>
              </a:solidFill>
              <a:ln w="9525">
                <a:solidFill>
                  <a:srgbClr val="003399"/>
                </a:solidFill>
              </a:ln>
              <a:effectLst/>
            </c:spPr>
          </c:marker>
          <c:dLbls>
            <c:spPr>
              <a:solidFill>
                <a:srgbClr val="003399"/>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ReportData!$Q$66:$Z$66</c15:sqref>
                  </c15:fullRef>
                </c:ext>
              </c:extLst>
              <c:f>(ReportData!$Q$66:$R$66,ReportData!$U$66:$Z$66)</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7B4D-4561-AE8B-EA7CB9408951}"/>
            </c:ext>
          </c:extLst>
        </c:ser>
        <c:ser>
          <c:idx val="1"/>
          <c:order val="1"/>
          <c:tx>
            <c:strRef>
              <c:f>ReportData!$O$67</c:f>
              <c:strCache>
                <c:ptCount val="1"/>
                <c:pt idx="0">
                  <c:v>EBITDA Margin</c:v>
                </c:pt>
              </c:strCache>
            </c:strRef>
          </c:tx>
          <c:spPr>
            <a:ln w="28575" cap="rnd">
              <a:solidFill>
                <a:schemeClr val="tx1">
                  <a:lumMod val="95000"/>
                  <a:lumOff val="5000"/>
                </a:schemeClr>
              </a:solidFill>
              <a:round/>
            </a:ln>
            <a:effectLst/>
          </c:spPr>
          <c:marker>
            <c:symbol val="circle"/>
            <c:size val="5"/>
            <c:spPr>
              <a:solidFill>
                <a:schemeClr val="accent2"/>
              </a:solidFill>
              <a:ln w="9525">
                <a:solidFill>
                  <a:schemeClr val="tx1">
                    <a:lumMod val="95000"/>
                    <a:lumOff val="5000"/>
                  </a:schemeClr>
                </a:solidFill>
              </a:ln>
              <a:effectLst/>
            </c:spPr>
          </c:marker>
          <c:dLbls>
            <c:spPr>
              <a:solidFill>
                <a:schemeClr val="tx1">
                  <a:lumMod val="95000"/>
                  <a:lumOff val="5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ReportData!$Q$67:$Z$67</c15:sqref>
                  </c15:fullRef>
                </c:ext>
              </c:extLst>
              <c:f>(ReportData!$Q$67:$R$67,ReportData!$U$67:$Z$67)</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7B4D-4561-AE8B-EA7CB9408951}"/>
            </c:ext>
          </c:extLst>
        </c:ser>
        <c:ser>
          <c:idx val="2"/>
          <c:order val="2"/>
          <c:tx>
            <c:strRef>
              <c:f>ReportData!$O$68</c:f>
              <c:strCache>
                <c:ptCount val="1"/>
                <c:pt idx="0">
                  <c:v>Net Margin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solidFill>
                <a:schemeClr val="accent3"/>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ReportData!$Q$68:$Z$68</c15:sqref>
                  </c15:fullRef>
                </c:ext>
              </c:extLst>
              <c:f>(ReportData!$Q$68:$R$68,ReportData!$U$68:$Z$68)</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7B4D-4561-AE8B-EA7CB9408951}"/>
            </c:ext>
          </c:extLst>
        </c:ser>
        <c:dLbls>
          <c:dLblPos val="ctr"/>
          <c:showLegendKey val="0"/>
          <c:showVal val="1"/>
          <c:showCatName val="0"/>
          <c:showSerName val="0"/>
          <c:showPercent val="0"/>
          <c:showBubbleSize val="0"/>
        </c:dLbls>
        <c:marker val="1"/>
        <c:smooth val="0"/>
        <c:axId val="1829441984"/>
        <c:axId val="1833874944"/>
      </c:lineChart>
      <c:catAx>
        <c:axId val="182944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33874944"/>
        <c:crosses val="autoZero"/>
        <c:auto val="1"/>
        <c:lblAlgn val="ctr"/>
        <c:lblOffset val="100"/>
        <c:noMultiLvlLbl val="0"/>
      </c:catAx>
      <c:valAx>
        <c:axId val="1833874944"/>
        <c:scaling>
          <c:orientation val="minMax"/>
        </c:scaling>
        <c:delete val="1"/>
        <c:axPos val="l"/>
        <c:numFmt formatCode="0%" sourceLinked="1"/>
        <c:majorTickMark val="none"/>
        <c:minorTickMark val="none"/>
        <c:tickLblPos val="nextTo"/>
        <c:crossAx val="182944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Working Capital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5.0227607724954619E-3"/>
          <c:y val="6.2123761026745238E-2"/>
          <c:w val="0.99200892550899855"/>
          <c:h val="0.5793638829262826"/>
        </c:manualLayout>
      </c:layout>
      <c:barChart>
        <c:barDir val="col"/>
        <c:grouping val="clustered"/>
        <c:varyColors val="0"/>
        <c:ser>
          <c:idx val="0"/>
          <c:order val="0"/>
          <c:tx>
            <c:strRef>
              <c:f>ReportData!$O$73</c:f>
              <c:strCache>
                <c:ptCount val="1"/>
                <c:pt idx="0">
                  <c:v>Trade Receivables Days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ReportData!$Q$73:$Z$73</c15:sqref>
                  </c15:fullRef>
                </c:ext>
              </c:extLst>
              <c:f>(ReportData!$Q$73:$R$73,ReportData!$U$73:$Z$73)</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CC22-4990-846C-565A532DB4DC}"/>
            </c:ext>
          </c:extLst>
        </c:ser>
        <c:ser>
          <c:idx val="1"/>
          <c:order val="1"/>
          <c:tx>
            <c:strRef>
              <c:f>ReportData!$O$74</c:f>
              <c:strCache>
                <c:ptCount val="1"/>
                <c:pt idx="0">
                  <c:v>Advances to Suppliers</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ReportData!$Q$74:$Z$74</c15:sqref>
                  </c15:fullRef>
                </c:ext>
              </c:extLst>
              <c:f>(ReportData!$Q$74:$R$74,ReportData!$U$74:$Z$74)</c:f>
              <c:numCache>
                <c:formatCode>_(* #,##0_);_(* \(#,##0\);_(* "-"_);_(@_)</c:formatCode>
                <c:ptCount val="8"/>
                <c:pt idx="0">
                  <c:v>0</c:v>
                </c:pt>
                <c:pt idx="1">
                  <c:v>0</c:v>
                </c:pt>
                <c:pt idx="2">
                  <c:v>40</c:v>
                </c:pt>
                <c:pt idx="3">
                  <c:v>40</c:v>
                </c:pt>
                <c:pt idx="4">
                  <c:v>40</c:v>
                </c:pt>
                <c:pt idx="5">
                  <c:v>40</c:v>
                </c:pt>
                <c:pt idx="6">
                  <c:v>40</c:v>
                </c:pt>
                <c:pt idx="7">
                  <c:v>40</c:v>
                </c:pt>
              </c:numCache>
            </c:numRef>
          </c:val>
          <c:extLst>
            <c:ext xmlns:c16="http://schemas.microsoft.com/office/drawing/2014/chart" uri="{C3380CC4-5D6E-409C-BE32-E72D297353CC}">
              <c16:uniqueId val="{00000001-CC22-4990-846C-565A532DB4DC}"/>
            </c:ext>
          </c:extLst>
        </c:ser>
        <c:ser>
          <c:idx val="2"/>
          <c:order val="2"/>
          <c:tx>
            <c:strRef>
              <c:f>ReportData!$O$75</c:f>
              <c:strCache>
                <c:ptCount val="1"/>
                <c:pt idx="0">
                  <c:v>Other Receivables Days</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ReportData!$Q$75:$Z$75</c15:sqref>
                  </c15:fullRef>
                </c:ext>
              </c:extLst>
              <c:f>(ReportData!$Q$75:$R$75,ReportData!$U$75:$Z$75)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CC22-4990-846C-565A532DB4DC}"/>
            </c:ext>
          </c:extLst>
        </c:ser>
        <c:ser>
          <c:idx val="3"/>
          <c:order val="3"/>
          <c:tx>
            <c:strRef>
              <c:f>ReportData!$O$76</c:f>
              <c:strCache>
                <c:ptCount val="1"/>
                <c:pt idx="0">
                  <c:v>Inventory Days </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ReportData!$Q$76:$Z$76</c15:sqref>
                  </c15:fullRef>
                </c:ext>
              </c:extLst>
              <c:f>(ReportData!$Q$76:$R$76,ReportData!$U$76:$Z$76)</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CC22-4990-846C-565A532DB4DC}"/>
            </c:ext>
          </c:extLst>
        </c:ser>
        <c:ser>
          <c:idx val="4"/>
          <c:order val="4"/>
          <c:tx>
            <c:strRef>
              <c:f>ReportData!$O$77</c:f>
              <c:strCache>
                <c:ptCount val="1"/>
                <c:pt idx="0">
                  <c:v>Prepaid Expenses &amp; Other Days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ReportData!$Q$77:$Z$77</c15:sqref>
                  </c15:fullRef>
                </c:ext>
              </c:extLst>
              <c:f>(ReportData!$Q$77:$R$77,ReportData!$U$77:$Z$77)</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CC22-4990-846C-565A532DB4DC}"/>
            </c:ext>
          </c:extLst>
        </c:ser>
        <c:ser>
          <c:idx val="6"/>
          <c:order val="6"/>
          <c:tx>
            <c:strRef>
              <c:f>ReportData!$O$79</c:f>
              <c:strCache>
                <c:ptCount val="1"/>
                <c:pt idx="0">
                  <c:v>Trade Payables Days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ReportData!$Q$79:$Z$79</c15:sqref>
                  </c15:fullRef>
                </c:ext>
              </c:extLst>
              <c:f>(ReportData!$Q$79:$R$79,ReportData!$U$79:$Z$79)</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CC22-4990-846C-565A532DB4DC}"/>
            </c:ext>
          </c:extLst>
        </c:ser>
        <c:ser>
          <c:idx val="7"/>
          <c:order val="7"/>
          <c:tx>
            <c:strRef>
              <c:f>ReportData!$O$80</c:f>
              <c:strCache>
                <c:ptCount val="1"/>
                <c:pt idx="0">
                  <c:v>Advances from Customers</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ReportData!$Q$80:$Z$80</c15:sqref>
                  </c15:fullRef>
                </c:ext>
              </c:extLst>
              <c:f>(ReportData!$Q$80:$R$80,ReportData!$U$80:$Z$80)</c:f>
              <c:numCache>
                <c:formatCode>_(* #,##0_);_(* \(#,##0\);_(* "-"_);_(@_)</c:formatCode>
                <c:ptCount val="8"/>
                <c:pt idx="0">
                  <c:v>0</c:v>
                </c:pt>
                <c:pt idx="1">
                  <c:v>0</c:v>
                </c:pt>
                <c:pt idx="2">
                  <c:v>20</c:v>
                </c:pt>
                <c:pt idx="3">
                  <c:v>20</c:v>
                </c:pt>
                <c:pt idx="4">
                  <c:v>20</c:v>
                </c:pt>
                <c:pt idx="5">
                  <c:v>20</c:v>
                </c:pt>
                <c:pt idx="6">
                  <c:v>20</c:v>
                </c:pt>
                <c:pt idx="7">
                  <c:v>20</c:v>
                </c:pt>
              </c:numCache>
            </c:numRef>
          </c:val>
          <c:extLst>
            <c:ext xmlns:c16="http://schemas.microsoft.com/office/drawing/2014/chart" uri="{C3380CC4-5D6E-409C-BE32-E72D297353CC}">
              <c16:uniqueId val="{00000007-CC22-4990-846C-565A532DB4DC}"/>
            </c:ext>
          </c:extLst>
        </c:ser>
        <c:ser>
          <c:idx val="8"/>
          <c:order val="8"/>
          <c:tx>
            <c:strRef>
              <c:f>ReportData!$O$81</c:f>
              <c:strCache>
                <c:ptCount val="1"/>
                <c:pt idx="0">
                  <c:v>Salaries Payable</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ReportData!$Q$81:$Z$81</c15:sqref>
                  </c15:fullRef>
                </c:ext>
              </c:extLst>
              <c:f>(ReportData!$Q$81:$R$81,ReportData!$U$81:$Z$81)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CC22-4990-846C-565A532DB4DC}"/>
            </c:ext>
          </c:extLst>
        </c:ser>
        <c:ser>
          <c:idx val="9"/>
          <c:order val="9"/>
          <c:tx>
            <c:strRef>
              <c:f>ReportData!$O$82</c:f>
              <c:strCache>
                <c:ptCount val="1"/>
                <c:pt idx="0">
                  <c:v>Accrued Expenses Days </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ReportData!$Q$82:$Z$82</c15:sqref>
                  </c15:fullRef>
                </c:ext>
              </c:extLst>
              <c:f>(ReportData!$Q$82:$R$82,ReportData!$U$82:$Z$82)</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CC22-4990-846C-565A532DB4DC}"/>
            </c:ext>
          </c:extLst>
        </c:ser>
        <c:ser>
          <c:idx val="10"/>
          <c:order val="10"/>
          <c:tx>
            <c:strRef>
              <c:f>ReportData!$O$83</c:f>
              <c:strCache>
                <c:ptCount val="1"/>
                <c:pt idx="0">
                  <c:v>Tax Payables Days </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ReportData!$Q$83:$Z$83</c15:sqref>
                  </c15:fullRef>
                </c:ext>
              </c:extLst>
              <c:f>(ReportData!$Q$83:$R$83,ReportData!$U$83:$Z$83)</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A-CC22-4990-846C-565A532DB4DC}"/>
            </c:ext>
          </c:extLst>
        </c:ser>
        <c:ser>
          <c:idx val="11"/>
          <c:order val="11"/>
          <c:tx>
            <c:strRef>
              <c:f>ReportData!$O$84</c:f>
              <c:strCache>
                <c:ptCount val="1"/>
                <c:pt idx="0">
                  <c:v>Other Payables Days </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ReportData!$Q$72:$Z$72</c15:sqref>
                  </c15:fullRef>
                </c:ext>
              </c:extLst>
              <c:f>(ReportData!$Q$72:$R$72,ReportData!$U$72:$Z$72)</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ReportData!$Q$84:$Z$84</c15:sqref>
                  </c15:fullRef>
                </c:ext>
              </c:extLst>
              <c:f>(ReportData!$Q$84:$R$84,ReportData!$U$84:$Z$84)</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CC22-4990-846C-565A532DB4DC}"/>
            </c:ext>
          </c:extLst>
        </c:ser>
        <c:dLbls>
          <c:dLblPos val="outEnd"/>
          <c:showLegendKey val="0"/>
          <c:showVal val="1"/>
          <c:showCatName val="0"/>
          <c:showSerName val="0"/>
          <c:showPercent val="0"/>
          <c:showBubbleSize val="0"/>
        </c:dLbls>
        <c:gapWidth val="0"/>
        <c:axId val="1493104720"/>
        <c:axId val="141848303"/>
        <c:extLst>
          <c:ext xmlns:c15="http://schemas.microsoft.com/office/drawing/2012/chart" uri="{02D57815-91ED-43cb-92C2-25804820EDAC}">
            <c15:filteredBarSeries>
              <c15:ser>
                <c:idx val="5"/>
                <c:order val="5"/>
                <c:tx>
                  <c:strRef>
                    <c:extLst>
                      <c:ext uri="{02D57815-91ED-43cb-92C2-25804820EDAC}">
                        <c15:formulaRef>
                          <c15:sqref>ReportData!$O$78</c15:sqref>
                        </c15:formulaRef>
                      </c:ext>
                    </c:extLst>
                    <c:strCache>
                      <c:ptCount val="1"/>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ReportData!$Q$72:$Z$72</c15:sqref>
                        </c15:fullRef>
                        <c15:formulaRef>
                          <c15:sqref>(ReportData!$Q$72:$R$72,ReportData!$U$72:$Z$72)</c15:sqref>
                        </c15:formulaRef>
                      </c:ext>
                    </c:extLst>
                    <c:strCache>
                      <c:ptCount val="8"/>
                      <c:pt idx="0">
                        <c:v>FY22</c:v>
                      </c:pt>
                      <c:pt idx="1">
                        <c:v>FY23</c:v>
                      </c:pt>
                      <c:pt idx="2">
                        <c:v>FY24</c:v>
                      </c:pt>
                      <c:pt idx="3">
                        <c:v>FY25</c:v>
                      </c:pt>
                      <c:pt idx="4">
                        <c:v>FY26</c:v>
                      </c:pt>
                      <c:pt idx="5">
                        <c:v>FY27</c:v>
                      </c:pt>
                      <c:pt idx="6">
                        <c:v>FY28</c:v>
                      </c:pt>
                      <c:pt idx="7">
                        <c:v>FY29</c:v>
                      </c:pt>
                    </c:strCache>
                  </c:strRef>
                </c:cat>
                <c:val>
                  <c:numRef>
                    <c:extLst>
                      <c:ext uri="{02D57815-91ED-43cb-92C2-25804820EDAC}">
                        <c15:fullRef>
                          <c15:sqref>ReportData!$Q$78:$Z$78</c15:sqref>
                        </c15:fullRef>
                        <c15:formulaRef>
                          <c15:sqref>(ReportData!$Q$78:$R$78,ReportData!$U$78:$Z$78)</c15:sqref>
                        </c15:formulaRef>
                      </c:ext>
                    </c:extLst>
                    <c:numCache>
                      <c:formatCode>_(* #,##0_);_(* \(#,##0\);_(* "-"_);_(@_)</c:formatCode>
                      <c:ptCount val="8"/>
                    </c:numCache>
                  </c:numRef>
                </c:val>
                <c:extLst>
                  <c:ext xmlns:c16="http://schemas.microsoft.com/office/drawing/2014/chart" uri="{C3380CC4-5D6E-409C-BE32-E72D297353CC}">
                    <c16:uniqueId val="{00000005-CC22-4990-846C-565A532DB4DC}"/>
                  </c:ext>
                </c:extLst>
              </c15:ser>
            </c15:filteredBarSeries>
          </c:ext>
        </c:extLst>
      </c:barChart>
      <c:catAx>
        <c:axId val="149310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1848303"/>
        <c:crosses val="autoZero"/>
        <c:auto val="1"/>
        <c:lblAlgn val="ctr"/>
        <c:lblOffset val="100"/>
        <c:noMultiLvlLbl val="0"/>
      </c:catAx>
      <c:valAx>
        <c:axId val="141848303"/>
        <c:scaling>
          <c:orientation val="minMax"/>
        </c:scaling>
        <c:delete val="1"/>
        <c:axPos val="l"/>
        <c:numFmt formatCode="_(* #,##0_);_(* \(#,##0\);_(* &quot;-&quot;_);_(@_)" sourceLinked="1"/>
        <c:majorTickMark val="none"/>
        <c:minorTickMark val="none"/>
        <c:tickLblPos val="nextTo"/>
        <c:crossAx val="1493104720"/>
        <c:crosses val="autoZero"/>
        <c:crossBetween val="between"/>
      </c:valAx>
      <c:spPr>
        <a:noFill/>
        <a:ln>
          <a:noFill/>
        </a:ln>
        <a:effectLst/>
      </c:spPr>
    </c:plotArea>
    <c:legend>
      <c:legendPos val="b"/>
      <c:layout>
        <c:manualLayout>
          <c:xMode val="edge"/>
          <c:yMode val="edge"/>
          <c:x val="8.0928579476680588E-3"/>
          <c:y val="0.77374544021822023"/>
          <c:w val="0.9919071380582577"/>
          <c:h val="0.226254559781779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ReportData!$U$12</c:f>
          <c:strCache>
            <c:ptCount val="1"/>
            <c:pt idx="0">
              <c:v>Capital Expenditure in USD 'Units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stacked"/>
        <c:varyColors val="0"/>
        <c:ser>
          <c:idx val="0"/>
          <c:order val="0"/>
          <c:tx>
            <c:strRef>
              <c:f>ReportData!$O$105</c:f>
              <c:strCache>
                <c:ptCount val="1"/>
                <c:pt idx="0">
                  <c:v>Expansion Capex</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ReportData!$Q$105:$Z$105</c15:sqref>
                  </c15:fullRef>
                </c:ext>
              </c:extLst>
              <c:f>(ReportData!$Q$105:$R$105,ReportData!$U$105:$Z$105)</c:f>
              <c:numCache>
                <c:formatCode>General</c:formatCode>
                <c:ptCount val="8"/>
                <c:pt idx="3">
                  <c:v>0</c:v>
                </c:pt>
                <c:pt idx="4">
                  <c:v>0</c:v>
                </c:pt>
                <c:pt idx="5">
                  <c:v>0</c:v>
                </c:pt>
                <c:pt idx="6">
                  <c:v>0</c:v>
                </c:pt>
                <c:pt idx="7">
                  <c:v>0</c:v>
                </c:pt>
              </c:numCache>
            </c:numRef>
          </c:val>
          <c:extLst>
            <c:ext xmlns:c16="http://schemas.microsoft.com/office/drawing/2014/chart" uri="{C3380CC4-5D6E-409C-BE32-E72D297353CC}">
              <c16:uniqueId val="{00000000-A20E-4541-A65F-508CABDEA960}"/>
            </c:ext>
          </c:extLst>
        </c:ser>
        <c:ser>
          <c:idx val="1"/>
          <c:order val="1"/>
          <c:tx>
            <c:strRef>
              <c:f>ReportData!$O$106</c:f>
              <c:strCache>
                <c:ptCount val="1"/>
                <c:pt idx="0">
                  <c:v>Maintenance Capex</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ReportData!$Q$106:$Z$106</c15:sqref>
                  </c15:fullRef>
                </c:ext>
              </c:extLst>
              <c:f>(ReportData!$Q$106:$R$106,ReportData!$U$106:$Z$106)</c:f>
              <c:numCache>
                <c:formatCode>0.0</c:formatCode>
                <c:ptCount val="8"/>
              </c:numCache>
            </c:numRef>
          </c:val>
          <c:extLst>
            <c:ext xmlns:c16="http://schemas.microsoft.com/office/drawing/2014/chart" uri="{C3380CC4-5D6E-409C-BE32-E72D297353CC}">
              <c16:uniqueId val="{00000001-A20E-4541-A65F-508CABDEA960}"/>
            </c:ext>
          </c:extLst>
        </c:ser>
        <c:ser>
          <c:idx val="2"/>
          <c:order val="2"/>
          <c:tx>
            <c:strRef>
              <c:f>ReportData!$O$107</c:f>
              <c:strCache>
                <c:ptCount val="1"/>
                <c:pt idx="0">
                  <c:v> Total Capex </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ReportData!$Q$107:$Z$107</c15:sqref>
                  </c15:fullRef>
                </c:ext>
              </c:extLst>
              <c:f>(ReportData!$Q$107:$R$107,ReportData!$U$107:$Z$107)</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20E-4541-A65F-508CABDEA960}"/>
            </c:ext>
          </c:extLst>
        </c:ser>
        <c:dLbls>
          <c:dLblPos val="ctr"/>
          <c:showLegendKey val="0"/>
          <c:showVal val="1"/>
          <c:showCatName val="0"/>
          <c:showSerName val="0"/>
          <c:showPercent val="0"/>
          <c:showBubbleSize val="0"/>
        </c:dLbls>
        <c:gapWidth val="150"/>
        <c:overlap val="100"/>
        <c:axId val="141055279"/>
        <c:axId val="141846815"/>
      </c:barChart>
      <c:catAx>
        <c:axId val="14105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1846815"/>
        <c:crosses val="autoZero"/>
        <c:auto val="1"/>
        <c:lblAlgn val="ctr"/>
        <c:lblOffset val="100"/>
        <c:noMultiLvlLbl val="0"/>
      </c:catAx>
      <c:valAx>
        <c:axId val="141846815"/>
        <c:scaling>
          <c:orientation val="minMax"/>
        </c:scaling>
        <c:delete val="1"/>
        <c:axPos val="l"/>
        <c:numFmt formatCode="General" sourceLinked="1"/>
        <c:majorTickMark val="none"/>
        <c:minorTickMark val="none"/>
        <c:tickLblPos val="nextTo"/>
        <c:crossAx val="141055279"/>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ReportData!$U$11</c:f>
          <c:strCache>
            <c:ptCount val="1"/>
            <c:pt idx="0">
              <c:v>Working Capital Balance in USD 'Units &amp; as a % of Revenue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7.0070895492731627E-2"/>
          <c:y val="5.2731481481481483E-2"/>
          <c:w val="0.85611765827942377"/>
          <c:h val="0.55768226888305639"/>
        </c:manualLayout>
      </c:layout>
      <c:barChart>
        <c:barDir val="col"/>
        <c:grouping val="stacked"/>
        <c:varyColors val="0"/>
        <c:ser>
          <c:idx val="0"/>
          <c:order val="0"/>
          <c:tx>
            <c:strRef>
              <c:f>ReportData!$O$89</c:f>
              <c:strCache>
                <c:ptCount val="1"/>
                <c:pt idx="0">
                  <c:v>Trade Receivables Days</c:v>
                </c:pt>
              </c:strCache>
            </c:strRef>
          </c:tx>
          <c:spPr>
            <a:solidFill>
              <a:srgbClr val="00CCE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ReportData!$Q$89:$Z$89</c15:sqref>
                  </c15:fullRef>
                </c:ext>
              </c:extLst>
              <c:f>(ReportData!$Q$89:$R$89,ReportData!$U$89:$Z$89)</c:f>
              <c:numCache>
                <c:formatCode>_(* #,##0_);_(* \(#,##0\);_(* "-"_);_(@_)</c:formatCode>
                <c:ptCount val="8"/>
                <c:pt idx="0">
                  <c:v>0</c:v>
                </c:pt>
                <c:pt idx="1">
                  <c:v>0</c:v>
                </c:pt>
                <c:pt idx="2">
                  <c:v>0</c:v>
                </c:pt>
                <c:pt idx="3">
                  <c:v>0</c:v>
                </c:pt>
                <c:pt idx="4">
                  <c:v>0</c:v>
                </c:pt>
                <c:pt idx="5">
                  <c:v>0</c:v>
                </c:pt>
                <c:pt idx="6">
                  <c:v>0</c:v>
                </c:pt>
                <c:pt idx="7">
                  <c:v>0</c:v>
                </c:pt>
              </c:numCache>
            </c:numRef>
          </c:val>
          <c:extLst xmlns:c15="http://schemas.microsoft.com/office/drawing/2012/chart">
            <c:ext xmlns:c16="http://schemas.microsoft.com/office/drawing/2014/chart" uri="{C3380CC4-5D6E-409C-BE32-E72D297353CC}">
              <c16:uniqueId val="{00000000-EA64-4349-B42E-DDF99A09186A}"/>
            </c:ext>
          </c:extLst>
        </c:ser>
        <c:ser>
          <c:idx val="1"/>
          <c:order val="1"/>
          <c:tx>
            <c:strRef>
              <c:f>ReportData!$O$90</c:f>
              <c:strCache>
                <c:ptCount val="1"/>
                <c:pt idx="0">
                  <c:v>Advances to Suppliers</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ReportData!$Q$90:$Z$90</c15:sqref>
                  </c15:fullRef>
                </c:ext>
              </c:extLst>
              <c:f>(ReportData!$Q$90:$R$90,ReportData!$U$90:$Z$90)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EA64-4349-B42E-DDF99A09186A}"/>
            </c:ext>
          </c:extLst>
        </c:ser>
        <c:ser>
          <c:idx val="2"/>
          <c:order val="2"/>
          <c:tx>
            <c:strRef>
              <c:f>ReportData!$O$91</c:f>
              <c:strCache>
                <c:ptCount val="1"/>
                <c:pt idx="0">
                  <c:v>Other Receivables Days</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ReportData!$Q$91:$Z$91</c15:sqref>
                  </c15:fullRef>
                </c:ext>
              </c:extLst>
              <c:f>(ReportData!$Q$91:$R$91,ReportData!$U$91:$Z$91)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EA64-4349-B42E-DDF99A09186A}"/>
            </c:ext>
          </c:extLst>
        </c:ser>
        <c:ser>
          <c:idx val="3"/>
          <c:order val="3"/>
          <c:tx>
            <c:strRef>
              <c:f>ReportData!$O$92</c:f>
              <c:strCache>
                <c:ptCount val="1"/>
                <c:pt idx="0">
                  <c:v>Inventory Days </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ReportData!$Q$92:$Z$92</c15:sqref>
                  </c15:fullRef>
                </c:ext>
              </c:extLst>
              <c:f>(ReportData!$Q$92:$R$92,ReportData!$U$92:$Z$92)</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EA64-4349-B42E-DDF99A09186A}"/>
            </c:ext>
          </c:extLst>
        </c:ser>
        <c:ser>
          <c:idx val="4"/>
          <c:order val="4"/>
          <c:tx>
            <c:strRef>
              <c:f>ReportData!$O$93</c:f>
              <c:strCache>
                <c:ptCount val="1"/>
                <c:pt idx="0">
                  <c:v>Prepaid Expenses &amp; Other Days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ReportData!$Q$93:$Z$93</c15:sqref>
                  </c15:fullRef>
                </c:ext>
              </c:extLst>
              <c:f>(ReportData!$Q$93:$R$93,ReportData!$U$93:$Z$93)</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EA64-4349-B42E-DDF99A09186A}"/>
            </c:ext>
          </c:extLst>
        </c:ser>
        <c:ser>
          <c:idx val="5"/>
          <c:order val="5"/>
          <c:tx>
            <c:strRef>
              <c:f>ReportData!$O$94</c:f>
              <c:strCache>
                <c:ptCount val="1"/>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ReportData!$Q$94:$Z$94</c15:sqref>
                  </c15:fullRef>
                </c:ext>
              </c:extLst>
              <c:f>(ReportData!$Q$94:$R$94,ReportData!$U$94:$Z$94)</c:f>
              <c:numCache>
                <c:formatCode>_(* #,##0_);_(* \(#,##0\);_(* "-"_);_(@_)</c:formatCode>
                <c:ptCount val="8"/>
              </c:numCache>
            </c:numRef>
          </c:val>
          <c:extLst>
            <c:ext xmlns:c16="http://schemas.microsoft.com/office/drawing/2014/chart" uri="{C3380CC4-5D6E-409C-BE32-E72D297353CC}">
              <c16:uniqueId val="{00000005-EA64-4349-B42E-DDF99A09186A}"/>
            </c:ext>
          </c:extLst>
        </c:ser>
        <c:ser>
          <c:idx val="6"/>
          <c:order val="6"/>
          <c:tx>
            <c:strRef>
              <c:f>ReportData!$O$95</c:f>
              <c:strCache>
                <c:ptCount val="1"/>
                <c:pt idx="0">
                  <c:v>Trade Payables Days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ReportData!$Q$95:$Z$95</c15:sqref>
                  </c15:fullRef>
                </c:ext>
              </c:extLst>
              <c:f>(ReportData!$Q$95:$R$95,ReportData!$U$95:$Z$95)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EA64-4349-B42E-DDF99A09186A}"/>
            </c:ext>
          </c:extLst>
        </c:ser>
        <c:ser>
          <c:idx val="7"/>
          <c:order val="7"/>
          <c:tx>
            <c:strRef>
              <c:f>ReportData!$O$96</c:f>
              <c:strCache>
                <c:ptCount val="1"/>
                <c:pt idx="0">
                  <c:v>Advances from Customers</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ReportData!$Q$96:$Z$96</c15:sqref>
                  </c15:fullRef>
                </c:ext>
              </c:extLst>
              <c:f>(ReportData!$Q$96:$R$96,ReportData!$U$96:$Z$96)</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EA64-4349-B42E-DDF99A09186A}"/>
            </c:ext>
          </c:extLst>
        </c:ser>
        <c:ser>
          <c:idx val="8"/>
          <c:order val="8"/>
          <c:tx>
            <c:strRef>
              <c:f>ReportData!$O$97</c:f>
              <c:strCache>
                <c:ptCount val="1"/>
                <c:pt idx="0">
                  <c:v>Salaries Payable</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ReportData!$Q$97:$Z$97</c15:sqref>
                  </c15:fullRef>
                </c:ext>
              </c:extLst>
              <c:f>(ReportData!$Q$97:$R$97,ReportData!$U$97:$Z$97)</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EA64-4349-B42E-DDF99A09186A}"/>
            </c:ext>
          </c:extLst>
        </c:ser>
        <c:ser>
          <c:idx val="9"/>
          <c:order val="9"/>
          <c:tx>
            <c:strRef>
              <c:f>ReportData!$O$98</c:f>
              <c:strCache>
                <c:ptCount val="1"/>
                <c:pt idx="0">
                  <c:v>Accrued Expenses Days </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ReportData!$Q$98:$Z$98</c15:sqref>
                  </c15:fullRef>
                </c:ext>
              </c:extLst>
              <c:f>(ReportData!$Q$98:$R$98,ReportData!$U$98:$Z$98)</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EA64-4349-B42E-DDF99A09186A}"/>
            </c:ext>
          </c:extLst>
        </c:ser>
        <c:ser>
          <c:idx val="10"/>
          <c:order val="10"/>
          <c:tx>
            <c:strRef>
              <c:f>ReportData!$O$99</c:f>
              <c:strCache>
                <c:ptCount val="1"/>
                <c:pt idx="0">
                  <c:v>Tax Payables Days </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ReportData!$Q$99:$Z$99</c15:sqref>
                  </c15:fullRef>
                </c:ext>
              </c:extLst>
              <c:f>(ReportData!$Q$99:$R$99,ReportData!$U$99:$Z$99)</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A-EA64-4349-B42E-DDF99A09186A}"/>
            </c:ext>
          </c:extLst>
        </c:ser>
        <c:ser>
          <c:idx val="11"/>
          <c:order val="11"/>
          <c:tx>
            <c:strRef>
              <c:f>ReportData!$O$100</c:f>
              <c:strCache>
                <c:ptCount val="1"/>
                <c:pt idx="0">
                  <c:v>Other Payables Days </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ReportData!$Q$100:$Z$100</c15:sqref>
                  </c15:fullRef>
                </c:ext>
              </c:extLst>
              <c:f>(ReportData!$Q$100:$R$100,ReportData!$U$100:$Z$100)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EA64-4349-B42E-DDF99A09186A}"/>
            </c:ext>
          </c:extLst>
        </c:ser>
        <c:dLbls>
          <c:showLegendKey val="0"/>
          <c:showVal val="0"/>
          <c:showCatName val="0"/>
          <c:showSerName val="0"/>
          <c:showPercent val="0"/>
          <c:showBubbleSize val="0"/>
        </c:dLbls>
        <c:gapWidth val="50"/>
        <c:overlap val="100"/>
        <c:axId val="1493104720"/>
        <c:axId val="141848303"/>
      </c:barChart>
      <c:lineChart>
        <c:grouping val="standard"/>
        <c:varyColors val="0"/>
        <c:ser>
          <c:idx val="12"/>
          <c:order val="12"/>
          <c:tx>
            <c:strRef>
              <c:f>ReportData!$O$102</c:f>
              <c:strCache>
                <c:ptCount val="1"/>
                <c:pt idx="0">
                  <c:v>NWC as a % of sales</c:v>
                </c:pt>
              </c:strCache>
            </c:strRef>
          </c:tx>
          <c:spPr>
            <a:ln w="28575" cap="rnd">
              <a:solidFill>
                <a:schemeClr val="accent3"/>
              </a:solidFill>
              <a:round/>
            </a:ln>
            <a:effectLst/>
          </c:spPr>
          <c:marker>
            <c:symbol val="none"/>
          </c:marker>
          <c:dLbls>
            <c:spPr>
              <a:solidFill>
                <a:schemeClr val="accent3"/>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ReportData!$Q$102:$Z$102</c15:sqref>
                  </c15:fullRef>
                </c:ext>
              </c:extLst>
              <c:f>(ReportData!$Q$102:$R$102,ReportData!$U$102:$Z$102)</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020A-4EBF-B181-69BFA5325115}"/>
            </c:ext>
          </c:extLst>
        </c:ser>
        <c:dLbls>
          <c:showLegendKey val="0"/>
          <c:showVal val="0"/>
          <c:showCatName val="0"/>
          <c:showSerName val="0"/>
          <c:showPercent val="0"/>
          <c:showBubbleSize val="0"/>
        </c:dLbls>
        <c:marker val="1"/>
        <c:smooth val="0"/>
        <c:axId val="207062399"/>
        <c:axId val="234557935"/>
      </c:lineChart>
      <c:catAx>
        <c:axId val="149310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1848303"/>
        <c:crosses val="autoZero"/>
        <c:auto val="1"/>
        <c:lblAlgn val="ctr"/>
        <c:lblOffset val="100"/>
        <c:noMultiLvlLbl val="0"/>
      </c:catAx>
      <c:valAx>
        <c:axId val="141848303"/>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93104720"/>
        <c:crosses val="autoZero"/>
        <c:crossBetween val="between"/>
      </c:valAx>
      <c:valAx>
        <c:axId val="23455793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207062399"/>
        <c:crosses val="max"/>
        <c:crossBetween val="between"/>
      </c:valAx>
      <c:catAx>
        <c:axId val="207062399"/>
        <c:scaling>
          <c:orientation val="minMax"/>
        </c:scaling>
        <c:delete val="1"/>
        <c:axPos val="b"/>
        <c:numFmt formatCode="General" sourceLinked="1"/>
        <c:majorTickMark val="out"/>
        <c:minorTickMark val="none"/>
        <c:tickLblPos val="nextTo"/>
        <c:crossAx val="234557935"/>
        <c:crosses val="autoZero"/>
        <c:auto val="1"/>
        <c:lblAlgn val="ctr"/>
        <c:lblOffset val="100"/>
        <c:noMultiLvlLbl val="0"/>
      </c:catAx>
      <c:spPr>
        <a:noFill/>
        <a:ln>
          <a:noFill/>
        </a:ln>
        <a:effectLst/>
      </c:spPr>
    </c:plotArea>
    <c:legend>
      <c:legendPos val="b"/>
      <c:layout>
        <c:manualLayout>
          <c:xMode val="edge"/>
          <c:yMode val="edge"/>
          <c:x val="8.0928579476680588E-3"/>
          <c:y val="0.75752490464270228"/>
          <c:w val="0.98922366536803807"/>
          <c:h val="0.242475095357297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Enterprise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0.33473833581042439"/>
          <c:y val="0.28972643723135394"/>
          <c:w val="0.55713694397780811"/>
          <c:h val="0.51969832700080887"/>
        </c:manualLayout>
      </c:layout>
      <c:barChart>
        <c:barDir val="bar"/>
        <c:grouping val="stacked"/>
        <c:varyColors val="0"/>
        <c:ser>
          <c:idx val="0"/>
          <c:order val="0"/>
          <c:tx>
            <c:strRef>
              <c:f>ReportData!$P$8</c:f>
              <c:strCache>
                <c:ptCount val="1"/>
                <c:pt idx="0">
                  <c:v>Low</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ReportData!$O$9:$O$11</c:f>
              <c:strCache>
                <c:ptCount val="3"/>
                <c:pt idx="0">
                  <c:v> DCF Approach </c:v>
                </c:pt>
                <c:pt idx="1">
                  <c:v> Multiples Approach (EV/EBITDA) </c:v>
                </c:pt>
                <c:pt idx="2">
                  <c:v> Transactions Approach </c:v>
                </c:pt>
              </c:strCache>
            </c:strRef>
          </c:cat>
          <c:val>
            <c:numRef>
              <c:f>ReportData!$P$9:$P$11</c:f>
              <c:numCache>
                <c:formatCode>_(* #,##0.0_);_(* \(#,##0.0\);_(* "-"_);_(@_)</c:formatCode>
                <c:ptCount val="3"/>
                <c:pt idx="0">
                  <c:v>0</c:v>
                </c:pt>
                <c:pt idx="1">
                  <c:v>0</c:v>
                </c:pt>
                <c:pt idx="2">
                  <c:v>0</c:v>
                </c:pt>
              </c:numCache>
            </c:numRef>
          </c:val>
          <c:extLst>
            <c:ext xmlns:c16="http://schemas.microsoft.com/office/drawing/2014/chart" uri="{C3380CC4-5D6E-409C-BE32-E72D297353CC}">
              <c16:uniqueId val="{00000000-CD2E-4E0A-A600-5D3810FBBB52}"/>
            </c:ext>
          </c:extLst>
        </c:ser>
        <c:ser>
          <c:idx val="1"/>
          <c:order val="1"/>
          <c:tx>
            <c:strRef>
              <c:f>ReportData!$Q$8</c:f>
              <c:strCache>
                <c:ptCount val="1"/>
                <c:pt idx="0">
                  <c:v>Difference</c:v>
                </c:pt>
              </c:strCache>
            </c:strRef>
          </c:tx>
          <c:spPr>
            <a:solidFill>
              <a:schemeClr val="tx1">
                <a:lumMod val="95000"/>
                <a:lumOff val="5000"/>
              </a:schemeClr>
            </a:solidFill>
            <a:ln>
              <a:noFill/>
            </a:ln>
            <a:effectLst/>
          </c:spPr>
          <c:invertIfNegative val="0"/>
          <c:dLbls>
            <c:delete val="1"/>
          </c:dLbls>
          <c:cat>
            <c:strRef>
              <c:f>ReportData!$O$9:$O$11</c:f>
              <c:strCache>
                <c:ptCount val="3"/>
                <c:pt idx="0">
                  <c:v> DCF Approach </c:v>
                </c:pt>
                <c:pt idx="1">
                  <c:v> Multiples Approach (EV/EBITDA) </c:v>
                </c:pt>
                <c:pt idx="2">
                  <c:v> Transactions Approach </c:v>
                </c:pt>
              </c:strCache>
            </c:strRef>
          </c:cat>
          <c:val>
            <c:numRef>
              <c:f>ReportData!$Q$9:$Q$11</c:f>
              <c:numCache>
                <c:formatCode>_(* #,##0.0_);_(* \(#,##0.0\);_(* "-"_);_(@_)</c:formatCode>
                <c:ptCount val="3"/>
                <c:pt idx="0">
                  <c:v>0</c:v>
                </c:pt>
                <c:pt idx="1">
                  <c:v>0</c:v>
                </c:pt>
                <c:pt idx="2">
                  <c:v>0</c:v>
                </c:pt>
              </c:numCache>
            </c:numRef>
          </c:val>
          <c:extLst>
            <c:ext xmlns:c16="http://schemas.microsoft.com/office/drawing/2014/chart" uri="{C3380CC4-5D6E-409C-BE32-E72D297353CC}">
              <c16:uniqueId val="{00000001-CD2E-4E0A-A600-5D3810FBBB52}"/>
            </c:ext>
          </c:extLst>
        </c:ser>
        <c:ser>
          <c:idx val="2"/>
          <c:order val="2"/>
          <c:tx>
            <c:strRef>
              <c:f>ReportData!$R$8</c:f>
              <c:strCache>
                <c:ptCount val="1"/>
                <c:pt idx="0">
                  <c:v>High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ReportData!$O$9:$O$11</c:f>
              <c:strCache>
                <c:ptCount val="3"/>
                <c:pt idx="0">
                  <c:v> DCF Approach </c:v>
                </c:pt>
                <c:pt idx="1">
                  <c:v> Multiples Approach (EV/EBITDA) </c:v>
                </c:pt>
                <c:pt idx="2">
                  <c:v> Transactions Approach </c:v>
                </c:pt>
              </c:strCache>
            </c:strRef>
          </c:cat>
          <c:val>
            <c:numRef>
              <c:f>ReportData!$R$9:$R$11</c:f>
              <c:numCache>
                <c:formatCode>_(* #,##0.0_);_(* \(#,##0.0\);_(* "-"_);_(@_)</c:formatCode>
                <c:ptCount val="3"/>
                <c:pt idx="0">
                  <c:v>0</c:v>
                </c:pt>
                <c:pt idx="1">
                  <c:v>0</c:v>
                </c:pt>
                <c:pt idx="2">
                  <c:v>0</c:v>
                </c:pt>
              </c:numCache>
            </c:numRef>
          </c:val>
          <c:extLst>
            <c:ext xmlns:c16="http://schemas.microsoft.com/office/drawing/2014/chart" uri="{C3380CC4-5D6E-409C-BE32-E72D297353CC}">
              <c16:uniqueId val="{00000002-CD2E-4E0A-A600-5D3810FBBB52}"/>
            </c:ext>
          </c:extLst>
        </c:ser>
        <c:dLbls>
          <c:dLblPos val="ctr"/>
          <c:showLegendKey val="0"/>
          <c:showVal val="1"/>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Equity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bar"/>
        <c:grouping val="stacked"/>
        <c:varyColors val="0"/>
        <c:ser>
          <c:idx val="0"/>
          <c:order val="0"/>
          <c:tx>
            <c:strRef>
              <c:f>ReportData!$P$13</c:f>
              <c:strCache>
                <c:ptCount val="1"/>
                <c:pt idx="0">
                  <c:v>Low</c:v>
                </c:pt>
              </c:strCache>
            </c:strRef>
          </c:tx>
          <c:spPr>
            <a:solidFill>
              <a:schemeClr val="accent1"/>
            </a:solidFill>
            <a:ln>
              <a:noFill/>
            </a:ln>
            <a:effectLst/>
          </c:spPr>
          <c:invertIfNegative val="0"/>
          <c:cat>
            <c:strRef>
              <c:f>ReportData!$O$14:$O$16</c:f>
              <c:strCache>
                <c:ptCount val="3"/>
                <c:pt idx="0">
                  <c:v> DCF Approach </c:v>
                </c:pt>
                <c:pt idx="1">
                  <c:v> Multiples Approach (EV/EBITDA) </c:v>
                </c:pt>
                <c:pt idx="2">
                  <c:v> Transactions Approach </c:v>
                </c:pt>
              </c:strCache>
            </c:strRef>
          </c:cat>
          <c:val>
            <c:numRef>
              <c:f>ReportData!$P$14:$P$16</c:f>
              <c:numCache>
                <c:formatCode>_(* #,##0.0_);_(* \(#,##0.0\);_(* "-"_);_(@_)</c:formatCode>
                <c:ptCount val="3"/>
              </c:numCache>
            </c:numRef>
          </c:val>
          <c:extLst>
            <c:ext xmlns:c16="http://schemas.microsoft.com/office/drawing/2014/chart" uri="{C3380CC4-5D6E-409C-BE32-E72D297353CC}">
              <c16:uniqueId val="{00000000-5462-46EB-9A75-3AE733D4591C}"/>
            </c:ext>
          </c:extLst>
        </c:ser>
        <c:ser>
          <c:idx val="1"/>
          <c:order val="1"/>
          <c:tx>
            <c:strRef>
              <c:f>ReportData!$Q$13</c:f>
              <c:strCache>
                <c:ptCount val="1"/>
                <c:pt idx="0">
                  <c:v>Difference</c:v>
                </c:pt>
              </c:strCache>
            </c:strRef>
          </c:tx>
          <c:spPr>
            <a:solidFill>
              <a:schemeClr val="accent2"/>
            </a:solidFill>
            <a:ln>
              <a:noFill/>
            </a:ln>
            <a:effectLst/>
          </c:spPr>
          <c:invertIfNegative val="0"/>
          <c:cat>
            <c:strRef>
              <c:f>ReportData!$O$14:$O$16</c:f>
              <c:strCache>
                <c:ptCount val="3"/>
                <c:pt idx="0">
                  <c:v> DCF Approach </c:v>
                </c:pt>
                <c:pt idx="1">
                  <c:v> Multiples Approach (EV/EBITDA) </c:v>
                </c:pt>
                <c:pt idx="2">
                  <c:v> Transactions Approach </c:v>
                </c:pt>
              </c:strCache>
            </c:strRef>
          </c:cat>
          <c:val>
            <c:numRef>
              <c:f>ReportData!$Q$14:$Q$16</c:f>
              <c:numCache>
                <c:formatCode>_(* #,##0.0_);_(* \(#,##0.0\);_(* "-"_);_(@_)</c:formatCode>
                <c:ptCount val="3"/>
                <c:pt idx="0">
                  <c:v>0</c:v>
                </c:pt>
                <c:pt idx="1">
                  <c:v>0</c:v>
                </c:pt>
                <c:pt idx="2">
                  <c:v>0</c:v>
                </c:pt>
              </c:numCache>
            </c:numRef>
          </c:val>
          <c:extLst>
            <c:ext xmlns:c16="http://schemas.microsoft.com/office/drawing/2014/chart" uri="{C3380CC4-5D6E-409C-BE32-E72D297353CC}">
              <c16:uniqueId val="{00000001-5462-46EB-9A75-3AE733D4591C}"/>
            </c:ext>
          </c:extLst>
        </c:ser>
        <c:ser>
          <c:idx val="2"/>
          <c:order val="2"/>
          <c:tx>
            <c:strRef>
              <c:f>ReportData!$R$13</c:f>
              <c:strCache>
                <c:ptCount val="1"/>
                <c:pt idx="0">
                  <c:v>High</c:v>
                </c:pt>
              </c:strCache>
            </c:strRef>
          </c:tx>
          <c:spPr>
            <a:solidFill>
              <a:schemeClr val="accent3"/>
            </a:solidFill>
            <a:ln>
              <a:noFill/>
            </a:ln>
            <a:effectLst/>
          </c:spPr>
          <c:invertIfNegative val="0"/>
          <c:cat>
            <c:strRef>
              <c:f>ReportData!$O$14:$O$16</c:f>
              <c:strCache>
                <c:ptCount val="3"/>
                <c:pt idx="0">
                  <c:v> DCF Approach </c:v>
                </c:pt>
                <c:pt idx="1">
                  <c:v> Multiples Approach (EV/EBITDA) </c:v>
                </c:pt>
                <c:pt idx="2">
                  <c:v> Transactions Approach </c:v>
                </c:pt>
              </c:strCache>
            </c:strRef>
          </c:cat>
          <c:val>
            <c:numRef>
              <c:f>ReportData!$R$14:$R$16</c:f>
              <c:numCache>
                <c:formatCode>_(* #,##0.0_);_(* \(#,##0.0\);_(* "-"_);_(@_)</c:formatCode>
                <c:ptCount val="3"/>
              </c:numCache>
            </c:numRef>
          </c:val>
          <c:extLst>
            <c:ext xmlns:c16="http://schemas.microsoft.com/office/drawing/2014/chart" uri="{C3380CC4-5D6E-409C-BE32-E72D297353CC}">
              <c16:uniqueId val="{00000002-5462-46EB-9A75-3AE733D4591C}"/>
            </c:ext>
          </c:extLst>
        </c:ser>
        <c:dLbls>
          <c:showLegendKey val="0"/>
          <c:showVal val="0"/>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Enterprise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bar"/>
        <c:grouping val="stacked"/>
        <c:varyColors val="0"/>
        <c:ser>
          <c:idx val="0"/>
          <c:order val="0"/>
          <c:tx>
            <c:strRef>
              <c:f>ReportData!$P$19</c:f>
              <c:strCache>
                <c:ptCount val="1"/>
                <c:pt idx="0">
                  <c:v>Low</c:v>
                </c:pt>
              </c:strCache>
            </c:strRef>
          </c:tx>
          <c:spPr>
            <a:solidFill>
              <a:schemeClr val="accent1"/>
            </a:solidFill>
            <a:ln>
              <a:noFill/>
            </a:ln>
            <a:effectLst/>
          </c:spPr>
          <c:invertIfNegative val="0"/>
          <c:cat>
            <c:strRef>
              <c:f>ReportData!$O$20:$O$21</c:f>
              <c:strCache>
                <c:ptCount val="2"/>
                <c:pt idx="0">
                  <c:v> Management Case </c:v>
                </c:pt>
                <c:pt idx="1">
                  <c:v> Valify Case </c:v>
                </c:pt>
              </c:strCache>
            </c:strRef>
          </c:cat>
          <c:val>
            <c:numRef>
              <c:f>ReportData!$P$20:$P$21</c:f>
              <c:numCache>
                <c:formatCode>_(* #,##0.0_);_(* \(#,##0.0\);_(* "-"_);_(@_)</c:formatCode>
                <c:ptCount val="2"/>
                <c:pt idx="0">
                  <c:v>0</c:v>
                </c:pt>
              </c:numCache>
            </c:numRef>
          </c:val>
          <c:extLst>
            <c:ext xmlns:c16="http://schemas.microsoft.com/office/drawing/2014/chart" uri="{C3380CC4-5D6E-409C-BE32-E72D297353CC}">
              <c16:uniqueId val="{00000000-FCC0-47D2-AD44-C11182B057E9}"/>
            </c:ext>
          </c:extLst>
        </c:ser>
        <c:ser>
          <c:idx val="1"/>
          <c:order val="1"/>
          <c:tx>
            <c:strRef>
              <c:f>ReportData!$Q$19</c:f>
              <c:strCache>
                <c:ptCount val="1"/>
                <c:pt idx="0">
                  <c:v>Difference</c:v>
                </c:pt>
              </c:strCache>
            </c:strRef>
          </c:tx>
          <c:spPr>
            <a:solidFill>
              <a:schemeClr val="accent2"/>
            </a:solidFill>
            <a:ln>
              <a:noFill/>
            </a:ln>
            <a:effectLst/>
          </c:spPr>
          <c:invertIfNegative val="0"/>
          <c:cat>
            <c:strRef>
              <c:f>ReportData!$O$20:$O$21</c:f>
              <c:strCache>
                <c:ptCount val="2"/>
                <c:pt idx="0">
                  <c:v> Management Case </c:v>
                </c:pt>
                <c:pt idx="1">
                  <c:v> Valify Case </c:v>
                </c:pt>
              </c:strCache>
            </c:strRef>
          </c:cat>
          <c:val>
            <c:numRef>
              <c:f>ReportData!$Q$20:$Q$21</c:f>
              <c:numCache>
                <c:formatCode>_(* #,##0.0_);_(* \(#,##0.0\);_(* "-"_);_(@_)</c:formatCode>
                <c:ptCount val="2"/>
                <c:pt idx="0">
                  <c:v>0</c:v>
                </c:pt>
                <c:pt idx="1">
                  <c:v>0</c:v>
                </c:pt>
              </c:numCache>
            </c:numRef>
          </c:val>
          <c:extLst>
            <c:ext xmlns:c16="http://schemas.microsoft.com/office/drawing/2014/chart" uri="{C3380CC4-5D6E-409C-BE32-E72D297353CC}">
              <c16:uniqueId val="{00000001-FCC0-47D2-AD44-C11182B057E9}"/>
            </c:ext>
          </c:extLst>
        </c:ser>
        <c:ser>
          <c:idx val="2"/>
          <c:order val="2"/>
          <c:tx>
            <c:strRef>
              <c:f>ReportData!$R$19</c:f>
              <c:strCache>
                <c:ptCount val="1"/>
                <c:pt idx="0">
                  <c:v>High</c:v>
                </c:pt>
              </c:strCache>
            </c:strRef>
          </c:tx>
          <c:spPr>
            <a:solidFill>
              <a:schemeClr val="accent3"/>
            </a:solidFill>
            <a:ln>
              <a:noFill/>
            </a:ln>
            <a:effectLst/>
          </c:spPr>
          <c:invertIfNegative val="0"/>
          <c:cat>
            <c:strRef>
              <c:f>ReportData!$O$20:$O$21</c:f>
              <c:strCache>
                <c:ptCount val="2"/>
                <c:pt idx="0">
                  <c:v> Management Case </c:v>
                </c:pt>
                <c:pt idx="1">
                  <c:v> Valify Case </c:v>
                </c:pt>
              </c:strCache>
            </c:strRef>
          </c:cat>
          <c:val>
            <c:numRef>
              <c:f>ReportData!$R$20:$R$21</c:f>
              <c:numCache>
                <c:formatCode>_(* #,##0.0_);_(* \(#,##0.0\);_(* "-"_);_(@_)</c:formatCode>
                <c:ptCount val="2"/>
                <c:pt idx="0">
                  <c:v>0</c:v>
                </c:pt>
              </c:numCache>
            </c:numRef>
          </c:val>
          <c:extLst>
            <c:ext xmlns:c16="http://schemas.microsoft.com/office/drawing/2014/chart" uri="{C3380CC4-5D6E-409C-BE32-E72D297353CC}">
              <c16:uniqueId val="{00000002-FCC0-47D2-AD44-C11182B057E9}"/>
            </c:ext>
          </c:extLst>
        </c:ser>
        <c:dLbls>
          <c:showLegendKey val="0"/>
          <c:showVal val="0"/>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Equity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bar"/>
        <c:grouping val="stacked"/>
        <c:varyColors val="0"/>
        <c:ser>
          <c:idx val="0"/>
          <c:order val="0"/>
          <c:tx>
            <c:strRef>
              <c:f>ReportData!$P$23</c:f>
              <c:strCache>
                <c:ptCount val="1"/>
                <c:pt idx="0">
                  <c:v>Low</c:v>
                </c:pt>
              </c:strCache>
            </c:strRef>
          </c:tx>
          <c:spPr>
            <a:solidFill>
              <a:schemeClr val="accent1"/>
            </a:solidFill>
            <a:ln>
              <a:noFill/>
            </a:ln>
            <a:effectLst/>
          </c:spPr>
          <c:invertIfNegative val="0"/>
          <c:cat>
            <c:strRef>
              <c:f>ReportData!$O$24:$O$25</c:f>
              <c:strCache>
                <c:ptCount val="2"/>
                <c:pt idx="0">
                  <c:v> DCF Approach </c:v>
                </c:pt>
                <c:pt idx="1">
                  <c:v> Valify Case </c:v>
                </c:pt>
              </c:strCache>
            </c:strRef>
          </c:cat>
          <c:val>
            <c:numRef>
              <c:f>ReportData!$P$24:$P$25</c:f>
              <c:numCache>
                <c:formatCode>_(* #,##0.0_);_(* \(#,##0.0\);_(* "-"_);_(@_)</c:formatCode>
                <c:ptCount val="2"/>
              </c:numCache>
            </c:numRef>
          </c:val>
          <c:extLst>
            <c:ext xmlns:c16="http://schemas.microsoft.com/office/drawing/2014/chart" uri="{C3380CC4-5D6E-409C-BE32-E72D297353CC}">
              <c16:uniqueId val="{00000000-DB7E-40D6-8AB9-860B209B9D68}"/>
            </c:ext>
          </c:extLst>
        </c:ser>
        <c:ser>
          <c:idx val="1"/>
          <c:order val="1"/>
          <c:tx>
            <c:strRef>
              <c:f>ReportData!$Q$23</c:f>
              <c:strCache>
                <c:ptCount val="1"/>
                <c:pt idx="0">
                  <c:v>Difference</c:v>
                </c:pt>
              </c:strCache>
            </c:strRef>
          </c:tx>
          <c:spPr>
            <a:solidFill>
              <a:schemeClr val="accent2"/>
            </a:solidFill>
            <a:ln>
              <a:noFill/>
            </a:ln>
            <a:effectLst/>
          </c:spPr>
          <c:invertIfNegative val="0"/>
          <c:cat>
            <c:strRef>
              <c:f>ReportData!$O$24:$O$25</c:f>
              <c:strCache>
                <c:ptCount val="2"/>
                <c:pt idx="0">
                  <c:v> DCF Approach </c:v>
                </c:pt>
                <c:pt idx="1">
                  <c:v> Valify Case </c:v>
                </c:pt>
              </c:strCache>
            </c:strRef>
          </c:cat>
          <c:val>
            <c:numRef>
              <c:f>ReportData!$Q$24:$Q$25</c:f>
              <c:numCache>
                <c:formatCode>_(* #,##0.0_);_(* \(#,##0.0\);_(* "-"_);_(@_)</c:formatCode>
                <c:ptCount val="2"/>
                <c:pt idx="0">
                  <c:v>0</c:v>
                </c:pt>
                <c:pt idx="1">
                  <c:v>0</c:v>
                </c:pt>
              </c:numCache>
            </c:numRef>
          </c:val>
          <c:extLst>
            <c:ext xmlns:c16="http://schemas.microsoft.com/office/drawing/2014/chart" uri="{C3380CC4-5D6E-409C-BE32-E72D297353CC}">
              <c16:uniqueId val="{00000001-DB7E-40D6-8AB9-860B209B9D68}"/>
            </c:ext>
          </c:extLst>
        </c:ser>
        <c:ser>
          <c:idx val="2"/>
          <c:order val="2"/>
          <c:tx>
            <c:strRef>
              <c:f>ReportData!$R$23</c:f>
              <c:strCache>
                <c:ptCount val="1"/>
                <c:pt idx="0">
                  <c:v>High</c:v>
                </c:pt>
              </c:strCache>
            </c:strRef>
          </c:tx>
          <c:spPr>
            <a:solidFill>
              <a:schemeClr val="accent3"/>
            </a:solidFill>
            <a:ln>
              <a:noFill/>
            </a:ln>
            <a:effectLst/>
          </c:spPr>
          <c:invertIfNegative val="0"/>
          <c:cat>
            <c:strRef>
              <c:f>ReportData!$O$24:$O$25</c:f>
              <c:strCache>
                <c:ptCount val="2"/>
                <c:pt idx="0">
                  <c:v> DCF Approach </c:v>
                </c:pt>
                <c:pt idx="1">
                  <c:v> Valify Case </c:v>
                </c:pt>
              </c:strCache>
            </c:strRef>
          </c:cat>
          <c:val>
            <c:numRef>
              <c:f>ReportData!$R$24:$R$25</c:f>
              <c:numCache>
                <c:formatCode>_(* #,##0.0_);_(* \(#,##0.0\);_(* "-"_);_(@_)</c:formatCode>
                <c:ptCount val="2"/>
              </c:numCache>
            </c:numRef>
          </c:val>
          <c:extLst>
            <c:ext xmlns:c16="http://schemas.microsoft.com/office/drawing/2014/chart" uri="{C3380CC4-5D6E-409C-BE32-E72D297353CC}">
              <c16:uniqueId val="{00000002-DB7E-40D6-8AB9-860B209B9D68}"/>
            </c:ext>
          </c:extLst>
        </c:ser>
        <c:dLbls>
          <c:showLegendKey val="0"/>
          <c:showVal val="0"/>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ReportData!$U$9</c:f>
          <c:strCache>
            <c:ptCount val="1"/>
            <c:pt idx="0">
              <c:v>Revenues in USD 'Units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clustered"/>
        <c:varyColors val="0"/>
        <c:ser>
          <c:idx val="0"/>
          <c:order val="0"/>
          <c:tx>
            <c:strRef>
              <c:f>ReportData!$O$51</c:f>
              <c:strCache>
                <c:ptCount val="1"/>
                <c:pt idx="0">
                  <c:v>Revenue - Management</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ReportData!$Q$50:$Z$50</c15:sqref>
                  </c15:fullRef>
                </c:ext>
              </c:extLst>
              <c:f>(ReportData!$Q$50:$R$50,ReportData!$U$50:$Z$50)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ReportData!$Q$51:$Z$51</c15:sqref>
                  </c15:fullRef>
                </c:ext>
              </c:extLst>
              <c:f>(ReportData!$Q$51:$R$51,ReportData!$U$51:$Z$51)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21D-4092-9317-7A00293421C8}"/>
            </c:ext>
          </c:extLst>
        </c:ser>
        <c:ser>
          <c:idx val="1"/>
          <c:order val="1"/>
          <c:tx>
            <c:strRef>
              <c:f>ReportData!$O$52</c:f>
              <c:strCache>
                <c:ptCount val="1"/>
                <c:pt idx="0">
                  <c:v>Revenue - Valify</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ReportData!$Q$50:$Z$50</c15:sqref>
                  </c15:fullRef>
                </c:ext>
              </c:extLst>
              <c:f>(ReportData!$Q$50:$R$50,ReportData!$U$50:$Z$50)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ReportData!$Q$52:$Z$52</c15:sqref>
                  </c15:fullRef>
                </c:ext>
              </c:extLst>
              <c:f>(ReportData!$Q$52:$R$52,ReportData!$U$52:$Z$52)</c:f>
              <c:numCache>
                <c:formatCode>_(* #,##0_);_(* \(#,##0\);_(* "-"_);_(@_)</c:formatCode>
                <c:ptCount val="8"/>
                <c:pt idx="0">
                  <c:v>50000</c:v>
                </c:pt>
                <c:pt idx="1">
                  <c:v>50000</c:v>
                </c:pt>
                <c:pt idx="2">
                  <c:v>50000</c:v>
                </c:pt>
                <c:pt idx="3">
                  <c:v>50000</c:v>
                </c:pt>
                <c:pt idx="4">
                  <c:v>50000</c:v>
                </c:pt>
                <c:pt idx="5">
                  <c:v>50000</c:v>
                </c:pt>
                <c:pt idx="6">
                  <c:v>50000</c:v>
                </c:pt>
                <c:pt idx="7">
                  <c:v>50000</c:v>
                </c:pt>
              </c:numCache>
            </c:numRef>
          </c:val>
          <c:extLst>
            <c:ext xmlns:c16="http://schemas.microsoft.com/office/drawing/2014/chart" uri="{C3380CC4-5D6E-409C-BE32-E72D297353CC}">
              <c16:uniqueId val="{00000001-921D-4092-9317-7A00293421C8}"/>
            </c:ext>
          </c:extLst>
        </c:ser>
        <c:dLbls>
          <c:dLblPos val="outEnd"/>
          <c:showLegendKey val="0"/>
          <c:showVal val="1"/>
          <c:showCatName val="0"/>
          <c:showSerName val="0"/>
          <c:showPercent val="0"/>
          <c:showBubbleSize val="0"/>
        </c:dLbls>
        <c:gapWidth val="50"/>
        <c:overlap val="-27"/>
        <c:axId val="217049536"/>
        <c:axId val="217046656"/>
      </c:barChart>
      <c:catAx>
        <c:axId val="21704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046656"/>
        <c:crosses val="autoZero"/>
        <c:auto val="1"/>
        <c:lblAlgn val="ctr"/>
        <c:lblOffset val="100"/>
        <c:noMultiLvlLbl val="0"/>
      </c:catAx>
      <c:valAx>
        <c:axId val="217046656"/>
        <c:scaling>
          <c:orientation val="minMax"/>
        </c:scaling>
        <c:delete val="1"/>
        <c:axPos val="l"/>
        <c:numFmt formatCode="_(* #,##0_);_(* \(#,##0\);_(* &quot;-&quot;_);_(@_)" sourceLinked="1"/>
        <c:majorTickMark val="none"/>
        <c:minorTickMark val="none"/>
        <c:tickLblPos val="nextTo"/>
        <c:crossAx val="217049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385773957613536E-2"/>
          <c:y val="8.473388888518224E-2"/>
          <c:w val="0.90495902845237086"/>
          <c:h val="0.51217481019790856"/>
        </c:manualLayout>
      </c:layout>
      <c:barChart>
        <c:barDir val="col"/>
        <c:grouping val="stacked"/>
        <c:varyColors val="0"/>
        <c:ser>
          <c:idx val="0"/>
          <c:order val="0"/>
          <c:tx>
            <c:strRef>
              <c:f>ReportData!$O$55</c:f>
              <c:strCache>
                <c:ptCount val="1"/>
                <c:pt idx="0">
                  <c:v>Direct Costs</c:v>
                </c:pt>
              </c:strCache>
            </c:strRef>
          </c:tx>
          <c:spPr>
            <a:solidFill>
              <a:schemeClr val="accent1"/>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ReportData!$P$55:$Z$55</c15:sqref>
                  </c15:fullRef>
                </c:ext>
              </c:extLst>
              <c:f>(ReportData!$P$55:$R$55,ReportData!$U$55:$Z$55)</c:f>
              <c:numCache>
                <c:formatCode>_(* #,##0_);_(* \(#,##0\);_(*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B47A-416B-8626-28F7CD9CB59E}"/>
            </c:ext>
          </c:extLst>
        </c:ser>
        <c:ser>
          <c:idx val="1"/>
          <c:order val="1"/>
          <c:tx>
            <c:strRef>
              <c:f>ReportData!$O$56</c:f>
              <c:strCache>
                <c:ptCount val="1"/>
                <c:pt idx="0">
                  <c:v>Staff salaries </c:v>
                </c:pt>
              </c:strCache>
            </c:strRef>
          </c:tx>
          <c:spPr>
            <a:solidFill>
              <a:schemeClr val="accent2"/>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ReportData!$P$56:$Z$56</c15:sqref>
                  </c15:fullRef>
                </c:ext>
              </c:extLst>
              <c:f>(ReportData!$P$56:$R$56,ReportData!$U$56:$Z$56)</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1-B47A-416B-8626-28F7CD9CB59E}"/>
            </c:ext>
          </c:extLst>
        </c:ser>
        <c:ser>
          <c:idx val="2"/>
          <c:order val="2"/>
          <c:tx>
            <c:strRef>
              <c:f>ReportData!$O$57</c:f>
              <c:strCache>
                <c:ptCount val="1"/>
                <c:pt idx="0">
                  <c:v>Commission</c:v>
                </c:pt>
              </c:strCache>
            </c:strRef>
          </c:tx>
          <c:spPr>
            <a:solidFill>
              <a:schemeClr val="accent3"/>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ReportData!$P$57:$Z$57</c15:sqref>
                  </c15:fullRef>
                </c:ext>
              </c:extLst>
              <c:f>(ReportData!$P$57:$R$57,ReportData!$U$57:$Z$57)</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2-B47A-416B-8626-28F7CD9CB59E}"/>
            </c:ext>
          </c:extLst>
        </c:ser>
        <c:ser>
          <c:idx val="3"/>
          <c:order val="3"/>
          <c:tx>
            <c:strRef>
              <c:f>ReportData!$O$58</c:f>
              <c:strCache>
                <c:ptCount val="1"/>
                <c:pt idx="0">
                  <c:v>Rent</c:v>
                </c:pt>
              </c:strCache>
            </c:strRef>
          </c:tx>
          <c:spPr>
            <a:solidFill>
              <a:schemeClr val="accent4"/>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ReportData!$P$58:$Z$58</c15:sqref>
                  </c15:fullRef>
                </c:ext>
              </c:extLst>
              <c:f>(ReportData!$P$58:$R$58,ReportData!$U$58:$Z$58)</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3-B47A-416B-8626-28F7CD9CB59E}"/>
            </c:ext>
          </c:extLst>
        </c:ser>
        <c:ser>
          <c:idx val="4"/>
          <c:order val="4"/>
          <c:tx>
            <c:strRef>
              <c:f>ReportData!$O$59</c:f>
              <c:strCache>
                <c:ptCount val="1"/>
                <c:pt idx="0">
                  <c:v>Legal and professional fee</c:v>
                </c:pt>
              </c:strCache>
            </c:strRef>
          </c:tx>
          <c:spPr>
            <a:solidFill>
              <a:schemeClr val="accent5"/>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ReportData!$P$59:$Z$59</c15:sqref>
                  </c15:fullRef>
                </c:ext>
              </c:extLst>
              <c:f>(ReportData!$P$59:$R$59,ReportData!$U$59:$Z$59)</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4-B47A-416B-8626-28F7CD9CB59E}"/>
            </c:ext>
          </c:extLst>
        </c:ser>
        <c:ser>
          <c:idx val="5"/>
          <c:order val="5"/>
          <c:tx>
            <c:strRef>
              <c:f>ReportData!$O$60</c:f>
              <c:strCache>
                <c:ptCount val="1"/>
                <c:pt idx="0">
                  <c:v>Travelling &amp; communication</c:v>
                </c:pt>
              </c:strCache>
            </c:strRef>
          </c:tx>
          <c:spPr>
            <a:solidFill>
              <a:schemeClr val="accent6"/>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ReportData!$P$60:$Z$60</c15:sqref>
                  </c15:fullRef>
                </c:ext>
              </c:extLst>
              <c:f>(ReportData!$P$60:$R$60,ReportData!$U$60:$Z$60)</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5-B47A-416B-8626-28F7CD9CB59E}"/>
            </c:ext>
          </c:extLst>
        </c:ser>
        <c:ser>
          <c:idx val="6"/>
          <c:order val="6"/>
          <c:tx>
            <c:strRef>
              <c:f>ReportData!$O$61</c:f>
              <c:strCache>
                <c:ptCount val="1"/>
                <c:pt idx="0">
                  <c:v>Printing &amp; Stationary</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ReportData!$P$61:$Z$61</c15:sqref>
                  </c15:fullRef>
                </c:ext>
              </c:extLst>
              <c:f>(ReportData!$P$61:$R$61,ReportData!$U$61:$Z$61)</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6-B47A-416B-8626-28F7CD9CB59E}"/>
            </c:ext>
          </c:extLst>
        </c:ser>
        <c:ser>
          <c:idx val="7"/>
          <c:order val="7"/>
          <c:tx>
            <c:strRef>
              <c:f>ReportData!$O$62</c:f>
              <c:strCache>
                <c:ptCount val="1"/>
                <c:pt idx="0">
                  <c:v>Utilities</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ReportData!$P$62:$Z$62</c15:sqref>
                  </c15:fullRef>
                </c:ext>
              </c:extLst>
              <c:f>(ReportData!$P$62:$R$62,ReportData!$U$62:$Z$62)</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7-B47A-416B-8626-28F7CD9CB59E}"/>
            </c:ext>
          </c:extLst>
        </c:ser>
        <c:ser>
          <c:idx val="8"/>
          <c:order val="8"/>
          <c:tx>
            <c:strRef>
              <c:f>ReportData!$O$63</c:f>
              <c:strCache>
                <c:ptCount val="1"/>
                <c:pt idx="0">
                  <c:v> Total Costs </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ReportData!$P$63:$Z$63</c15:sqref>
                  </c15:fullRef>
                </c:ext>
              </c:extLst>
              <c:f>(ReportData!$P$63:$R$63,ReportData!$U$63:$Z$63)</c:f>
              <c:numCache>
                <c:formatCode>_(* #,##0.0_);_(* \(#,##0.0\);_(* "-"_);_(@_)</c:formatCode>
                <c:ptCount val="9"/>
                <c:pt idx="0">
                  <c:v>0</c:v>
                </c:pt>
                <c:pt idx="1">
                  <c:v>0</c:v>
                </c:pt>
                <c:pt idx="2">
                  <c:v>0</c:v>
                </c:pt>
                <c:pt idx="3">
                  <c:v>35000</c:v>
                </c:pt>
                <c:pt idx="4">
                  <c:v>35000</c:v>
                </c:pt>
                <c:pt idx="5">
                  <c:v>35000</c:v>
                </c:pt>
                <c:pt idx="6">
                  <c:v>35000</c:v>
                </c:pt>
                <c:pt idx="7">
                  <c:v>35000</c:v>
                </c:pt>
                <c:pt idx="8">
                  <c:v>35000</c:v>
                </c:pt>
              </c:numCache>
            </c:numRef>
          </c:val>
          <c:extLst>
            <c:ext xmlns:c16="http://schemas.microsoft.com/office/drawing/2014/chart" uri="{C3380CC4-5D6E-409C-BE32-E72D297353CC}">
              <c16:uniqueId val="{00000008-B47A-416B-8626-28F7CD9CB59E}"/>
            </c:ext>
          </c:extLst>
        </c:ser>
        <c:dLbls>
          <c:showLegendKey val="0"/>
          <c:showVal val="0"/>
          <c:showCatName val="0"/>
          <c:showSerName val="0"/>
          <c:showPercent val="0"/>
          <c:showBubbleSize val="0"/>
        </c:dLbls>
        <c:gapWidth val="150"/>
        <c:overlap val="100"/>
        <c:axId val="1054035791"/>
        <c:axId val="1054045871"/>
      </c:barChart>
      <c:catAx>
        <c:axId val="105403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045871"/>
        <c:crosses val="autoZero"/>
        <c:auto val="1"/>
        <c:lblAlgn val="ctr"/>
        <c:lblOffset val="100"/>
        <c:noMultiLvlLbl val="0"/>
      </c:catAx>
      <c:valAx>
        <c:axId val="105404587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035791"/>
        <c:crosses val="autoZero"/>
        <c:crossBetween val="between"/>
      </c:valAx>
      <c:spPr>
        <a:noFill/>
        <a:ln>
          <a:noFill/>
        </a:ln>
        <a:effectLst/>
      </c:spPr>
    </c:plotArea>
    <c:legend>
      <c:legendPos val="b"/>
      <c:layout>
        <c:manualLayout>
          <c:xMode val="edge"/>
          <c:yMode val="edge"/>
          <c:x val="7.3416397107598846E-3"/>
          <c:y val="0.71230084958309348"/>
          <c:w val="0.99265836028924015"/>
          <c:h val="0.241480665570443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ReportData!$P$19</c:f>
              <c:strCache>
                <c:ptCount val="1"/>
                <c:pt idx="0">
                  <c:v>Low</c:v>
                </c:pt>
              </c:strCache>
            </c:strRef>
          </c:tx>
          <c:spPr>
            <a:solidFill>
              <a:schemeClr val="accent1"/>
            </a:solidFill>
            <a:ln>
              <a:noFill/>
            </a:ln>
            <a:effectLst/>
          </c:spPr>
          <c:invertIfNegative val="0"/>
          <c:cat>
            <c:strRef>
              <c:f>ReportData!$O$20:$O$21</c:f>
              <c:strCache>
                <c:ptCount val="2"/>
                <c:pt idx="0">
                  <c:v> Management Case </c:v>
                </c:pt>
                <c:pt idx="1">
                  <c:v> Valify Case </c:v>
                </c:pt>
              </c:strCache>
            </c:strRef>
          </c:cat>
          <c:val>
            <c:numRef>
              <c:f>ReportData!$P$20:$P$21</c:f>
              <c:numCache>
                <c:formatCode>_(* #,##0.0_);_(* \(#,##0.0\);_(* "-"_);_(@_)</c:formatCode>
                <c:ptCount val="2"/>
                <c:pt idx="0">
                  <c:v>0</c:v>
                </c:pt>
              </c:numCache>
            </c:numRef>
          </c:val>
          <c:extLst>
            <c:ext xmlns:c16="http://schemas.microsoft.com/office/drawing/2014/chart" uri="{C3380CC4-5D6E-409C-BE32-E72D297353CC}">
              <c16:uniqueId val="{00000000-DDA2-434A-B7FC-D343DF0D749B}"/>
            </c:ext>
          </c:extLst>
        </c:ser>
        <c:ser>
          <c:idx val="1"/>
          <c:order val="1"/>
          <c:tx>
            <c:strRef>
              <c:f>ReportData!$Q$19</c:f>
              <c:strCache>
                <c:ptCount val="1"/>
                <c:pt idx="0">
                  <c:v>Difference</c:v>
                </c:pt>
              </c:strCache>
            </c:strRef>
          </c:tx>
          <c:spPr>
            <a:solidFill>
              <a:srgbClr val="D7EEF1"/>
            </a:solidFill>
            <a:ln>
              <a:noFill/>
            </a:ln>
            <a:effectLst/>
          </c:spPr>
          <c:invertIfNegative val="0"/>
          <c:cat>
            <c:strRef>
              <c:f>ReportData!$O$20:$O$21</c:f>
              <c:strCache>
                <c:ptCount val="2"/>
                <c:pt idx="0">
                  <c:v> Management Case </c:v>
                </c:pt>
                <c:pt idx="1">
                  <c:v> Valify Case </c:v>
                </c:pt>
              </c:strCache>
            </c:strRef>
          </c:cat>
          <c:val>
            <c:numRef>
              <c:f>ReportData!$Q$20:$Q$21</c:f>
              <c:numCache>
                <c:formatCode>_(* #,##0.0_);_(* \(#,##0.0\);_(* "-"_);_(@_)</c:formatCode>
                <c:ptCount val="2"/>
                <c:pt idx="0">
                  <c:v>0</c:v>
                </c:pt>
                <c:pt idx="1">
                  <c:v>0</c:v>
                </c:pt>
              </c:numCache>
            </c:numRef>
          </c:val>
          <c:extLst>
            <c:ext xmlns:c16="http://schemas.microsoft.com/office/drawing/2014/chart" uri="{C3380CC4-5D6E-409C-BE32-E72D297353CC}">
              <c16:uniqueId val="{00000001-DDA2-434A-B7FC-D343DF0D749B}"/>
            </c:ext>
          </c:extLst>
        </c:ser>
        <c:ser>
          <c:idx val="2"/>
          <c:order val="2"/>
          <c:tx>
            <c:strRef>
              <c:f>ReportData!$R$19</c:f>
              <c:strCache>
                <c:ptCount val="1"/>
                <c:pt idx="0">
                  <c:v>High</c:v>
                </c:pt>
              </c:strCache>
            </c:strRef>
          </c:tx>
          <c:spPr>
            <a:solidFill>
              <a:schemeClr val="bg1">
                <a:lumMod val="75000"/>
              </a:schemeClr>
            </a:solidFill>
            <a:ln>
              <a:noFill/>
            </a:ln>
            <a:effectLst/>
          </c:spPr>
          <c:invertIfNegative val="0"/>
          <c:cat>
            <c:strRef>
              <c:f>ReportData!$O$20:$O$21</c:f>
              <c:strCache>
                <c:ptCount val="2"/>
                <c:pt idx="0">
                  <c:v> Management Case </c:v>
                </c:pt>
                <c:pt idx="1">
                  <c:v> Valify Case </c:v>
                </c:pt>
              </c:strCache>
            </c:strRef>
          </c:cat>
          <c:val>
            <c:numRef>
              <c:f>ReportData!$R$20:$R$21</c:f>
              <c:numCache>
                <c:formatCode>_(* #,##0.0_);_(* \(#,##0.0\);_(* "-"_);_(@_)</c:formatCode>
                <c:ptCount val="2"/>
                <c:pt idx="0">
                  <c:v>0</c:v>
                </c:pt>
              </c:numCache>
            </c:numRef>
          </c:val>
          <c:extLst>
            <c:ext xmlns:c16="http://schemas.microsoft.com/office/drawing/2014/chart" uri="{C3380CC4-5D6E-409C-BE32-E72D297353CC}">
              <c16:uniqueId val="{00000002-DDA2-434A-B7FC-D343DF0D749B}"/>
            </c:ext>
          </c:extLst>
        </c:ser>
        <c:dLbls>
          <c:showLegendKey val="0"/>
          <c:showVal val="0"/>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1"/>
        <c:axPos val="b"/>
        <c:numFmt formatCode="_(* #,##0.0_);_(* \(#,##0.0\);_(* &quot;-&quot;_);_(@_)" sourceLinked="1"/>
        <c:majorTickMark val="none"/>
        <c:minorTickMark val="none"/>
        <c:tickLblPos val="nextTo"/>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ReportData!$U$9</c:f>
          <c:strCache>
            <c:ptCount val="1"/>
            <c:pt idx="0">
              <c:v>Revenues in USD 'Units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clustered"/>
        <c:varyColors val="0"/>
        <c:ser>
          <c:idx val="0"/>
          <c:order val="0"/>
          <c:tx>
            <c:strRef>
              <c:f>ReportData!$O$51</c:f>
              <c:strCache>
                <c:ptCount val="1"/>
                <c:pt idx="0">
                  <c:v>Revenue - Management</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ReportData!$Q$50:$Z$50</c15:sqref>
                  </c15:fullRef>
                </c:ext>
              </c:extLst>
              <c:f>(ReportData!$Q$50:$R$50,ReportData!$U$50:$Z$50)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ReportData!$Q$51:$Z$51</c15:sqref>
                  </c15:fullRef>
                </c:ext>
              </c:extLst>
              <c:f>(ReportData!$Q$51:$R$51,ReportData!$U$51:$Z$51)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70F3-4CA1-A398-52FC1350E977}"/>
            </c:ext>
          </c:extLst>
        </c:ser>
        <c:ser>
          <c:idx val="1"/>
          <c:order val="1"/>
          <c:tx>
            <c:strRef>
              <c:f>ReportData!$O$52</c:f>
              <c:strCache>
                <c:ptCount val="1"/>
                <c:pt idx="0">
                  <c:v>Revenue - Valify</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ReportData!$Q$50:$Z$50</c15:sqref>
                  </c15:fullRef>
                </c:ext>
              </c:extLst>
              <c:f>(ReportData!$Q$50:$R$50,ReportData!$U$50:$Z$50)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ReportData!$Q$52:$Z$52</c15:sqref>
                  </c15:fullRef>
                </c:ext>
              </c:extLst>
              <c:f>(ReportData!$Q$52:$R$52,ReportData!$U$52:$Z$52)</c:f>
              <c:numCache>
                <c:formatCode>_(* #,##0_);_(* \(#,##0\);_(* "-"_);_(@_)</c:formatCode>
                <c:ptCount val="8"/>
                <c:pt idx="0">
                  <c:v>50000</c:v>
                </c:pt>
                <c:pt idx="1">
                  <c:v>50000</c:v>
                </c:pt>
                <c:pt idx="2">
                  <c:v>50000</c:v>
                </c:pt>
                <c:pt idx="3">
                  <c:v>50000</c:v>
                </c:pt>
                <c:pt idx="4">
                  <c:v>50000</c:v>
                </c:pt>
                <c:pt idx="5">
                  <c:v>50000</c:v>
                </c:pt>
                <c:pt idx="6">
                  <c:v>50000</c:v>
                </c:pt>
                <c:pt idx="7">
                  <c:v>50000</c:v>
                </c:pt>
              </c:numCache>
            </c:numRef>
          </c:val>
          <c:extLst>
            <c:ext xmlns:c16="http://schemas.microsoft.com/office/drawing/2014/chart" uri="{C3380CC4-5D6E-409C-BE32-E72D297353CC}">
              <c16:uniqueId val="{00000001-70F3-4CA1-A398-52FC1350E977}"/>
            </c:ext>
          </c:extLst>
        </c:ser>
        <c:dLbls>
          <c:dLblPos val="outEnd"/>
          <c:showLegendKey val="0"/>
          <c:showVal val="1"/>
          <c:showCatName val="0"/>
          <c:showSerName val="0"/>
          <c:showPercent val="0"/>
          <c:showBubbleSize val="0"/>
        </c:dLbls>
        <c:gapWidth val="50"/>
        <c:overlap val="-27"/>
        <c:axId val="217049536"/>
        <c:axId val="217046656"/>
      </c:barChart>
      <c:catAx>
        <c:axId val="21704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046656"/>
        <c:crosses val="autoZero"/>
        <c:auto val="1"/>
        <c:lblAlgn val="ctr"/>
        <c:lblOffset val="100"/>
        <c:noMultiLvlLbl val="0"/>
      </c:catAx>
      <c:valAx>
        <c:axId val="217046656"/>
        <c:scaling>
          <c:orientation val="minMax"/>
        </c:scaling>
        <c:delete val="1"/>
        <c:axPos val="l"/>
        <c:numFmt formatCode="_(* #,##0_);_(* \(#,##0\);_(* &quot;-&quot;_);_(@_)" sourceLinked="1"/>
        <c:majorTickMark val="none"/>
        <c:minorTickMark val="none"/>
        <c:tickLblPos val="nextTo"/>
        <c:crossAx val="217049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931598924179048E-2"/>
          <c:y val="1.6158073763235904E-2"/>
          <c:w val="0.90036457173346418"/>
          <c:h val="0.67928926323402561"/>
        </c:manualLayout>
      </c:layout>
      <c:barChart>
        <c:barDir val="bar"/>
        <c:grouping val="percentStacked"/>
        <c:varyColors val="0"/>
        <c:ser>
          <c:idx val="0"/>
          <c:order val="0"/>
          <c:tx>
            <c:strRef>
              <c:f>ReportData!$O$36</c:f>
              <c:strCache>
                <c:ptCount val="1"/>
                <c:pt idx="0">
                  <c:v> Revenue Aerial Arts </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ReportData!$Q$36:$Z$36</c15:sqref>
                  </c15:fullRef>
                </c:ext>
              </c:extLst>
              <c:f>(ReportData!$Q$36:$R$36,ReportData!$U$36:$Z$36)</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889-454B-AECB-3642A3D020BB}"/>
            </c:ext>
          </c:extLst>
        </c:ser>
        <c:ser>
          <c:idx val="1"/>
          <c:order val="1"/>
          <c:tx>
            <c:strRef>
              <c:f>ReportData!$O$37</c:f>
              <c:strCache>
                <c:ptCount val="1"/>
                <c:pt idx="0">
                  <c:v> Revenue Pole Dance </c:v>
                </c:pt>
              </c:strCache>
            </c:strRef>
          </c:tx>
          <c:spPr>
            <a:solidFill>
              <a:srgbClr val="0033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ReportData!$Q$37:$Z$37</c15:sqref>
                  </c15:fullRef>
                </c:ext>
              </c:extLst>
              <c:f>(ReportData!$Q$37:$R$37,ReportData!$U$37:$Z$37)</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E889-454B-AECB-3642A3D020BB}"/>
            </c:ext>
          </c:extLst>
        </c:ser>
        <c:ser>
          <c:idx val="2"/>
          <c:order val="2"/>
          <c:tx>
            <c:strRef>
              <c:f>ReportData!$O$38</c:f>
              <c:strCache>
                <c:ptCount val="1"/>
                <c:pt idx="0">
                  <c:v> Revenue Stretching </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ReportData!$Q$38:$Z$38</c15:sqref>
                  </c15:fullRef>
                </c:ext>
              </c:extLst>
              <c:f>(ReportData!$Q$38:$R$38,ReportData!$U$38:$Z$38)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E889-454B-AECB-3642A3D020BB}"/>
            </c:ext>
          </c:extLst>
        </c:ser>
        <c:ser>
          <c:idx val="3"/>
          <c:order val="3"/>
          <c:tx>
            <c:strRef>
              <c:f>ReportData!$O$39</c:f>
              <c:strCache>
                <c:ptCount val="1"/>
                <c:pt idx="0">
                  <c:v> Revenue NA </c:v>
                </c:pt>
              </c:strCache>
            </c:strRef>
          </c:tx>
          <c:spPr>
            <a:solidFill>
              <a:srgbClr val="D7EEF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ReportData!$Q$39:$Z$39</c15:sqref>
                  </c15:fullRef>
                </c:ext>
              </c:extLst>
              <c:f>(ReportData!$Q$39:$R$39,ReportData!$U$39:$Z$39)</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E889-454B-AECB-3642A3D020BB}"/>
            </c:ext>
          </c:extLst>
        </c:ser>
        <c:ser>
          <c:idx val="4"/>
          <c:order val="4"/>
          <c:tx>
            <c:strRef>
              <c:f>ReportData!$O$40</c:f>
              <c:strCache>
                <c:ptCount val="1"/>
                <c:pt idx="0">
                  <c:v> Pipeline Corporate Clients </c:v>
                </c:pt>
              </c:strCache>
            </c:strRef>
          </c:tx>
          <c:spPr>
            <a:solidFill>
              <a:schemeClr val="accent6">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ReportData!$Q$40:$Z$40</c15:sqref>
                  </c15:fullRef>
                </c:ext>
              </c:extLst>
              <c:f>(ReportData!$Q$40:$R$40,ReportData!$U$40:$Z$40)</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E889-454B-AECB-3642A3D020BB}"/>
            </c:ext>
          </c:extLst>
        </c:ser>
        <c:ser>
          <c:idx val="5"/>
          <c:order val="5"/>
          <c:tx>
            <c:strRef>
              <c:f>ReportData!$O$41</c:f>
              <c:strCache>
                <c:ptCount val="1"/>
                <c:pt idx="0">
                  <c:v> Pipeline NA </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ReportData!$Q$41:$Z$41</c15:sqref>
                  </c15:fullRef>
                </c:ext>
              </c:extLst>
              <c:f>(ReportData!$Q$41:$R$41,ReportData!$U$41:$Z$41)</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5-E889-454B-AECB-3642A3D020BB}"/>
            </c:ext>
          </c:extLst>
        </c:ser>
        <c:ser>
          <c:idx val="6"/>
          <c:order val="6"/>
          <c:tx>
            <c:strRef>
              <c:f>ReportData!$O$42</c:f>
              <c:strCache>
                <c:ptCount val="1"/>
                <c:pt idx="0">
                  <c:v> Pipeline NA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ReportData!$Q$42:$Z$42</c15:sqref>
                  </c15:fullRef>
                </c:ext>
              </c:extLst>
              <c:f>(ReportData!$Q$42:$R$42,ReportData!$U$42:$Z$42)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E889-454B-AECB-3642A3D020BB}"/>
            </c:ext>
          </c:extLst>
        </c:ser>
        <c:ser>
          <c:idx val="7"/>
          <c:order val="7"/>
          <c:tx>
            <c:strRef>
              <c:f>ReportData!$O$43</c:f>
              <c:strCache>
                <c:ptCount val="1"/>
                <c:pt idx="0">
                  <c:v> Pipeline NA </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ReportData!$Q$43:$Z$43</c15:sqref>
                  </c15:fullRef>
                </c:ext>
              </c:extLst>
              <c:f>(ReportData!$Q$43:$R$43,ReportData!$U$43:$Z$43)</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E889-454B-AECB-3642A3D020BB}"/>
            </c:ext>
          </c:extLst>
        </c:ser>
        <c:ser>
          <c:idx val="8"/>
          <c:order val="8"/>
          <c:tx>
            <c:strRef>
              <c:f>ReportData!$O$44</c:f>
              <c:strCache>
                <c:ptCount val="1"/>
                <c:pt idx="0">
                  <c:v> Potential Revenue Business Events </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ReportData!$Q$44:$Z$44</c15:sqref>
                  </c15:fullRef>
                </c:ext>
              </c:extLst>
              <c:f>(ReportData!$Q$44:$R$44,ReportData!$U$44:$Z$44)</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E889-454B-AECB-3642A3D020BB}"/>
            </c:ext>
          </c:extLst>
        </c:ser>
        <c:ser>
          <c:idx val="9"/>
          <c:order val="9"/>
          <c:tx>
            <c:strRef>
              <c:f>ReportData!$O$45</c:f>
              <c:strCache>
                <c:ptCount val="1"/>
                <c:pt idx="0">
                  <c:v> Potential Revenue NA </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ReportData!$Q$45:$Z$45</c15:sqref>
                  </c15:fullRef>
                </c:ext>
              </c:extLst>
              <c:f>(ReportData!$Q$45:$R$45,ReportData!$U$45:$Z$45)</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E889-454B-AECB-3642A3D020BB}"/>
            </c:ext>
          </c:extLst>
        </c:ser>
        <c:ser>
          <c:idx val="10"/>
          <c:order val="10"/>
          <c:tx>
            <c:strRef>
              <c:f>ReportData!$O$46</c:f>
              <c:strCache>
                <c:ptCount val="1"/>
                <c:pt idx="0">
                  <c:v> Potential Revenue NA </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ReportData!$Q$46:$Z$46</c15:sqref>
                  </c15:fullRef>
                </c:ext>
              </c:extLst>
              <c:f>(ReportData!$Q$46:$R$46,ReportData!$U$46:$Z$46)</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A-E889-454B-AECB-3642A3D020BB}"/>
            </c:ext>
          </c:extLst>
        </c:ser>
        <c:ser>
          <c:idx val="11"/>
          <c:order val="11"/>
          <c:tx>
            <c:strRef>
              <c:f>ReportData!$O$47</c:f>
              <c:strCache>
                <c:ptCount val="1"/>
                <c:pt idx="0">
                  <c:v> Potential Revenue NA </c:v>
                </c:pt>
              </c:strCache>
            </c:strRef>
          </c:tx>
          <c:spPr>
            <a:solidFill>
              <a:schemeClr val="accent3">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ReportData!$Q$35:$Z$35</c15:sqref>
                  </c15:fullRef>
                </c:ext>
              </c:extLst>
              <c:f>(ReportData!$Q$35:$R$35,ReportData!$U$35:$Z$35)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ReportData!$Q$47:$Z$47</c15:sqref>
                  </c15:fullRef>
                </c:ext>
              </c:extLst>
              <c:f>(ReportData!$Q$47:$R$47,ReportData!$U$47:$Z$47)</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E889-454B-AECB-3642A3D020BB}"/>
            </c:ext>
          </c:extLst>
        </c:ser>
        <c:dLbls>
          <c:dLblPos val="ctr"/>
          <c:showLegendKey val="0"/>
          <c:showVal val="1"/>
          <c:showCatName val="0"/>
          <c:showSerName val="0"/>
          <c:showPercent val="0"/>
          <c:showBubbleSize val="0"/>
        </c:dLbls>
        <c:gapWidth val="15"/>
        <c:overlap val="100"/>
        <c:axId val="1138575472"/>
        <c:axId val="1317409152"/>
      </c:barChart>
      <c:catAx>
        <c:axId val="11385754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317409152"/>
        <c:crosses val="autoZero"/>
        <c:auto val="1"/>
        <c:lblAlgn val="ctr"/>
        <c:lblOffset val="100"/>
        <c:noMultiLvlLbl val="0"/>
      </c:catAx>
      <c:valAx>
        <c:axId val="1317409152"/>
        <c:scaling>
          <c:orientation val="minMax"/>
          <c:max val="1"/>
        </c:scaling>
        <c:delete val="1"/>
        <c:axPos val="b"/>
        <c:numFmt formatCode="0%" sourceLinked="1"/>
        <c:majorTickMark val="out"/>
        <c:minorTickMark val="none"/>
        <c:tickLblPos val="nextTo"/>
        <c:crossAx val="1138575472"/>
        <c:crosses val="autoZero"/>
        <c:crossBetween val="between"/>
      </c:valAx>
      <c:spPr>
        <a:noFill/>
        <a:ln>
          <a:noFill/>
        </a:ln>
        <a:effectLst/>
      </c:spPr>
    </c:plotArea>
    <c:legend>
      <c:legendPos val="b"/>
      <c:layout>
        <c:manualLayout>
          <c:xMode val="edge"/>
          <c:yMode val="edge"/>
          <c:x val="0"/>
          <c:y val="0.72310778278273902"/>
          <c:w val="1"/>
          <c:h val="0.276892217217261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ReportData!$U$8</c:f>
          <c:strCache>
            <c:ptCount val="1"/>
            <c:pt idx="0">
              <c:v>Amounts in USD 'Units</c:v>
            </c:pt>
          </c:strCache>
        </c:strRef>
      </c:tx>
      <c:layout>
        <c:manualLayout>
          <c:xMode val="edge"/>
          <c:yMode val="edge"/>
          <c:x val="1.1387486985447953E-3"/>
          <c:y val="2.6982821291216524E-2"/>
        </c:manualLayout>
      </c:layout>
      <c:overlay val="0"/>
      <c:spPr>
        <a:noFill/>
        <a:ln>
          <a:noFill/>
        </a:ln>
        <a:effectLst/>
      </c:spPr>
      <c:txPr>
        <a:bodyPr rot="0" spcFirstLastPara="1" vertOverflow="ellipsis" vert="horz" wrap="square" anchor="ctr" anchorCtr="1"/>
        <a:lstStyle/>
        <a:p>
          <a:pPr>
            <a:defRPr sz="1000" b="0" i="1" u="sng"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3.6646669704379159E-2"/>
          <c:y val="0"/>
          <c:w val="0.92670666059124163"/>
          <c:h val="0.6206904140870565"/>
        </c:manualLayout>
      </c:layout>
      <c:barChart>
        <c:barDir val="col"/>
        <c:grouping val="stacked"/>
        <c:varyColors val="0"/>
        <c:ser>
          <c:idx val="0"/>
          <c:order val="0"/>
          <c:tx>
            <c:strRef>
              <c:f>ReportData!$O$31</c:f>
              <c:strCache>
                <c:ptCount val="1"/>
                <c:pt idx="0">
                  <c:v> Existing Business Revenues </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ReportData!$Q$31:$Z$31</c15:sqref>
                  </c15:fullRef>
                </c:ext>
              </c:extLst>
              <c:f>(ReportData!$Q$31:$R$31,ReportData!$U$31:$Z$31)</c:f>
              <c:numCache>
                <c:formatCode>0%</c:formatCode>
                <c:ptCount val="8"/>
                <c:pt idx="0">
                  <c:v>0</c:v>
                </c:pt>
                <c:pt idx="1">
                  <c:v>0</c:v>
                </c:pt>
                <c:pt idx="2">
                  <c:v>0</c:v>
                </c:pt>
                <c:pt idx="3">
                  <c:v>0</c:v>
                </c:pt>
                <c:pt idx="4">
                  <c:v>0.4073743890220789</c:v>
                </c:pt>
                <c:pt idx="5">
                  <c:v>0.24234183206450213</c:v>
                </c:pt>
                <c:pt idx="6">
                  <c:v>0.18109190474293105</c:v>
                </c:pt>
                <c:pt idx="7">
                  <c:v>0.13322912034697612</c:v>
                </c:pt>
              </c:numCache>
            </c:numRef>
          </c:val>
          <c:extLst>
            <c:ext xmlns:c16="http://schemas.microsoft.com/office/drawing/2014/chart" uri="{C3380CC4-5D6E-409C-BE32-E72D297353CC}">
              <c16:uniqueId val="{00000000-7C22-4B74-8268-77E4E103C9C7}"/>
            </c:ext>
          </c:extLst>
        </c:ser>
        <c:ser>
          <c:idx val="1"/>
          <c:order val="1"/>
          <c:tx>
            <c:strRef>
              <c:f>ReportData!$O$32</c:f>
              <c:strCache>
                <c:ptCount val="1"/>
                <c:pt idx="0">
                  <c:v> Pipeline Business Revenues </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ReportData!$Q$32:$Z$32</c15:sqref>
                  </c15:fullRef>
                </c:ext>
              </c:extLst>
              <c:f>(ReportData!$Q$32:$R$32,ReportData!$U$32:$Z$32)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7C22-4B74-8268-77E4E103C9C7}"/>
            </c:ext>
          </c:extLst>
        </c:ser>
        <c:ser>
          <c:idx val="2"/>
          <c:order val="2"/>
          <c:tx>
            <c:strRef>
              <c:f>ReportData!$O$33</c:f>
              <c:strCache>
                <c:ptCount val="1"/>
                <c:pt idx="0">
                  <c:v> Potential Business Revenues </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ReportData!$Q$30:$Z$30</c15:sqref>
                  </c15:fullRef>
                </c:ext>
              </c:extLst>
              <c:f>(ReportData!$Q$30:$R$30,ReportData!$U$30:$Z$30)</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ReportData!$Q$33:$Z$33</c15:sqref>
                  </c15:fullRef>
                </c:ext>
              </c:extLst>
              <c:f>(ReportData!$Q$33:$R$33,ReportData!$U$33:$Z$33)</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7C22-4B74-8268-77E4E103C9C7}"/>
            </c:ext>
          </c:extLst>
        </c:ser>
        <c:dLbls>
          <c:dLblPos val="ctr"/>
          <c:showLegendKey val="0"/>
          <c:showVal val="1"/>
          <c:showCatName val="0"/>
          <c:showSerName val="0"/>
          <c:showPercent val="0"/>
          <c:showBubbleSize val="0"/>
        </c:dLbls>
        <c:gapWidth val="15"/>
        <c:overlap val="100"/>
        <c:axId val="1102505360"/>
        <c:axId val="1423775296"/>
      </c:barChart>
      <c:catAx>
        <c:axId val="11025053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23775296"/>
        <c:crosses val="autoZero"/>
        <c:auto val="1"/>
        <c:lblAlgn val="ctr"/>
        <c:lblOffset val="100"/>
        <c:noMultiLvlLbl val="0"/>
      </c:catAx>
      <c:valAx>
        <c:axId val="1423775296"/>
        <c:scaling>
          <c:orientation val="minMax"/>
        </c:scaling>
        <c:delete val="1"/>
        <c:axPos val="l"/>
        <c:numFmt formatCode="0%" sourceLinked="1"/>
        <c:majorTickMark val="out"/>
        <c:minorTickMark val="none"/>
        <c:tickLblPos val="nextTo"/>
        <c:crossAx val="1102505360"/>
        <c:crosses val="autoZero"/>
        <c:crossBetween val="between"/>
      </c:valAx>
      <c:spPr>
        <a:noFill/>
        <a:ln>
          <a:noFill/>
        </a:ln>
        <a:effectLst/>
      </c:spPr>
    </c:plotArea>
    <c:legend>
      <c:legendPos val="b"/>
      <c:layout>
        <c:manualLayout>
          <c:xMode val="edge"/>
          <c:yMode val="edge"/>
          <c:x val="0"/>
          <c:y val="0.78135131007410219"/>
          <c:w val="1"/>
          <c:h val="0.167829005768234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Profitability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lineChart>
        <c:grouping val="standard"/>
        <c:varyColors val="0"/>
        <c:ser>
          <c:idx val="0"/>
          <c:order val="0"/>
          <c:tx>
            <c:strRef>
              <c:f>ReportData!$O$66</c:f>
              <c:strCache>
                <c:ptCount val="1"/>
                <c:pt idx="0">
                  <c:v>Gross Margin</c:v>
                </c:pt>
              </c:strCache>
            </c:strRef>
          </c:tx>
          <c:spPr>
            <a:ln w="28575" cap="rnd">
              <a:solidFill>
                <a:srgbClr val="003399"/>
              </a:solidFill>
              <a:round/>
            </a:ln>
            <a:effectLst/>
          </c:spPr>
          <c:marker>
            <c:symbol val="circle"/>
            <c:size val="5"/>
            <c:spPr>
              <a:solidFill>
                <a:srgbClr val="003399"/>
              </a:solidFill>
              <a:ln w="9525">
                <a:solidFill>
                  <a:srgbClr val="003399"/>
                </a:solidFill>
              </a:ln>
              <a:effectLst/>
            </c:spPr>
          </c:marker>
          <c:dLbls>
            <c:spPr>
              <a:solidFill>
                <a:srgbClr val="003399"/>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ReportData!$Q$66:$Z$66</c15:sqref>
                  </c15:fullRef>
                </c:ext>
              </c:extLst>
              <c:f>(ReportData!$Q$66:$R$66,ReportData!$U$66:$Z$66)</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023D-4EA1-9C55-9E3B1D866CAD}"/>
            </c:ext>
          </c:extLst>
        </c:ser>
        <c:ser>
          <c:idx val="1"/>
          <c:order val="1"/>
          <c:tx>
            <c:strRef>
              <c:f>ReportData!$O$67</c:f>
              <c:strCache>
                <c:ptCount val="1"/>
                <c:pt idx="0">
                  <c:v>EBITDA Margin</c:v>
                </c:pt>
              </c:strCache>
            </c:strRef>
          </c:tx>
          <c:spPr>
            <a:ln w="28575" cap="rnd">
              <a:solidFill>
                <a:schemeClr val="tx1">
                  <a:lumMod val="95000"/>
                  <a:lumOff val="5000"/>
                </a:schemeClr>
              </a:solidFill>
              <a:round/>
            </a:ln>
            <a:effectLst/>
          </c:spPr>
          <c:marker>
            <c:symbol val="circle"/>
            <c:size val="5"/>
            <c:spPr>
              <a:solidFill>
                <a:schemeClr val="accent2"/>
              </a:solidFill>
              <a:ln w="9525">
                <a:solidFill>
                  <a:schemeClr val="tx1">
                    <a:lumMod val="95000"/>
                    <a:lumOff val="5000"/>
                  </a:schemeClr>
                </a:solidFill>
              </a:ln>
              <a:effectLst/>
            </c:spPr>
          </c:marker>
          <c:dLbls>
            <c:spPr>
              <a:solidFill>
                <a:schemeClr val="tx1">
                  <a:lumMod val="95000"/>
                  <a:lumOff val="5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ReportData!$Q$67:$Z$67</c15:sqref>
                  </c15:fullRef>
                </c:ext>
              </c:extLst>
              <c:f>(ReportData!$Q$67:$R$67,ReportData!$U$67:$Z$67)</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023D-4EA1-9C55-9E3B1D866CAD}"/>
            </c:ext>
          </c:extLst>
        </c:ser>
        <c:ser>
          <c:idx val="2"/>
          <c:order val="2"/>
          <c:tx>
            <c:strRef>
              <c:f>ReportData!$O$68</c:f>
              <c:strCache>
                <c:ptCount val="1"/>
                <c:pt idx="0">
                  <c:v>Net Margin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solidFill>
                <a:schemeClr val="accent3"/>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ReportData!$Q$65:$Z$65</c15:sqref>
                  </c15:fullRef>
                </c:ext>
              </c:extLst>
              <c:f>(ReportData!$Q$65:$R$65,ReportData!$U$65:$Z$65)</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ReportData!$Q$68:$Z$68</c15:sqref>
                  </c15:fullRef>
                </c:ext>
              </c:extLst>
              <c:f>(ReportData!$Q$68:$R$68,ReportData!$U$68:$Z$68)</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023D-4EA1-9C55-9E3B1D866CAD}"/>
            </c:ext>
          </c:extLst>
        </c:ser>
        <c:dLbls>
          <c:dLblPos val="ctr"/>
          <c:showLegendKey val="0"/>
          <c:showVal val="1"/>
          <c:showCatName val="0"/>
          <c:showSerName val="0"/>
          <c:showPercent val="0"/>
          <c:showBubbleSize val="0"/>
        </c:dLbls>
        <c:marker val="1"/>
        <c:smooth val="0"/>
        <c:axId val="1829441984"/>
        <c:axId val="1833874944"/>
      </c:lineChart>
      <c:catAx>
        <c:axId val="182944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33874944"/>
        <c:crosses val="autoZero"/>
        <c:auto val="1"/>
        <c:lblAlgn val="ctr"/>
        <c:lblOffset val="100"/>
        <c:noMultiLvlLbl val="0"/>
      </c:catAx>
      <c:valAx>
        <c:axId val="1833874944"/>
        <c:scaling>
          <c:orientation val="minMax"/>
        </c:scaling>
        <c:delete val="1"/>
        <c:axPos val="l"/>
        <c:numFmt formatCode="0%" sourceLinked="1"/>
        <c:majorTickMark val="none"/>
        <c:minorTickMark val="none"/>
        <c:tickLblPos val="nextTo"/>
        <c:crossAx val="182944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385773957613536E-2"/>
          <c:y val="3.6447261712258226E-2"/>
          <c:w val="0.90495902845237086"/>
          <c:h val="0.67634933495657434"/>
        </c:manualLayout>
      </c:layout>
      <c:barChart>
        <c:barDir val="col"/>
        <c:grouping val="stacked"/>
        <c:varyColors val="0"/>
        <c:ser>
          <c:idx val="0"/>
          <c:order val="0"/>
          <c:tx>
            <c:strRef>
              <c:f>ReportData!$O$55</c:f>
              <c:strCache>
                <c:ptCount val="1"/>
                <c:pt idx="0">
                  <c:v>Direct Costs</c:v>
                </c:pt>
              </c:strCache>
            </c:strRef>
          </c:tx>
          <c:spPr>
            <a:solidFill>
              <a:schemeClr val="accent1"/>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ReportData!$P$55:$Z$55</c15:sqref>
                  </c15:fullRef>
                </c:ext>
              </c:extLst>
              <c:f>(ReportData!$P$55:$R$55,ReportData!$U$55:$Z$55)</c:f>
              <c:numCache>
                <c:formatCode>_(* #,##0_);_(* \(#,##0\);_(*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A50-4367-A134-5D24DAB02F13}"/>
            </c:ext>
          </c:extLst>
        </c:ser>
        <c:ser>
          <c:idx val="1"/>
          <c:order val="1"/>
          <c:tx>
            <c:strRef>
              <c:f>ReportData!$O$56</c:f>
              <c:strCache>
                <c:ptCount val="1"/>
                <c:pt idx="0">
                  <c:v>Staff salaries </c:v>
                </c:pt>
              </c:strCache>
            </c:strRef>
          </c:tx>
          <c:spPr>
            <a:solidFill>
              <a:schemeClr val="accent2"/>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ReportData!$P$56:$Z$56</c15:sqref>
                  </c15:fullRef>
                </c:ext>
              </c:extLst>
              <c:f>(ReportData!$P$56:$R$56,ReportData!$U$56:$Z$56)</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1-2A50-4367-A134-5D24DAB02F13}"/>
            </c:ext>
          </c:extLst>
        </c:ser>
        <c:ser>
          <c:idx val="2"/>
          <c:order val="2"/>
          <c:tx>
            <c:strRef>
              <c:f>ReportData!$O$57</c:f>
              <c:strCache>
                <c:ptCount val="1"/>
                <c:pt idx="0">
                  <c:v>Commission</c:v>
                </c:pt>
              </c:strCache>
            </c:strRef>
          </c:tx>
          <c:spPr>
            <a:solidFill>
              <a:schemeClr val="accent3"/>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ReportData!$P$57:$Z$57</c15:sqref>
                  </c15:fullRef>
                </c:ext>
              </c:extLst>
              <c:f>(ReportData!$P$57:$R$57,ReportData!$U$57:$Z$57)</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2-2A50-4367-A134-5D24DAB02F13}"/>
            </c:ext>
          </c:extLst>
        </c:ser>
        <c:ser>
          <c:idx val="3"/>
          <c:order val="3"/>
          <c:tx>
            <c:strRef>
              <c:f>ReportData!$O$58</c:f>
              <c:strCache>
                <c:ptCount val="1"/>
                <c:pt idx="0">
                  <c:v>Rent</c:v>
                </c:pt>
              </c:strCache>
            </c:strRef>
          </c:tx>
          <c:spPr>
            <a:solidFill>
              <a:schemeClr val="accent4"/>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ReportData!$P$58:$Z$58</c15:sqref>
                  </c15:fullRef>
                </c:ext>
              </c:extLst>
              <c:f>(ReportData!$P$58:$R$58,ReportData!$U$58:$Z$58)</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3-2A50-4367-A134-5D24DAB02F13}"/>
            </c:ext>
          </c:extLst>
        </c:ser>
        <c:ser>
          <c:idx val="4"/>
          <c:order val="4"/>
          <c:tx>
            <c:strRef>
              <c:f>ReportData!$O$59</c:f>
              <c:strCache>
                <c:ptCount val="1"/>
                <c:pt idx="0">
                  <c:v>Legal and professional fee</c:v>
                </c:pt>
              </c:strCache>
            </c:strRef>
          </c:tx>
          <c:spPr>
            <a:solidFill>
              <a:schemeClr val="accent5"/>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ReportData!$P$59:$Z$59</c15:sqref>
                  </c15:fullRef>
                </c:ext>
              </c:extLst>
              <c:f>(ReportData!$P$59:$R$59,ReportData!$U$59:$Z$59)</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4-2A50-4367-A134-5D24DAB02F13}"/>
            </c:ext>
          </c:extLst>
        </c:ser>
        <c:ser>
          <c:idx val="5"/>
          <c:order val="5"/>
          <c:tx>
            <c:strRef>
              <c:f>ReportData!$O$60</c:f>
              <c:strCache>
                <c:ptCount val="1"/>
                <c:pt idx="0">
                  <c:v>Travelling &amp; communication</c:v>
                </c:pt>
              </c:strCache>
            </c:strRef>
          </c:tx>
          <c:spPr>
            <a:solidFill>
              <a:schemeClr val="accent6"/>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ReportData!$P$60:$Z$60</c15:sqref>
                  </c15:fullRef>
                </c:ext>
              </c:extLst>
              <c:f>(ReportData!$P$60:$R$60,ReportData!$U$60:$Z$60)</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5-2A50-4367-A134-5D24DAB02F13}"/>
            </c:ext>
          </c:extLst>
        </c:ser>
        <c:ser>
          <c:idx val="6"/>
          <c:order val="6"/>
          <c:tx>
            <c:strRef>
              <c:f>ReportData!$O$61</c:f>
              <c:strCache>
                <c:ptCount val="1"/>
                <c:pt idx="0">
                  <c:v>Printing &amp; Stationary</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ReportData!$P$61:$Z$61</c15:sqref>
                  </c15:fullRef>
                </c:ext>
              </c:extLst>
              <c:f>(ReportData!$P$61:$R$61,ReportData!$U$61:$Z$61)</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6-2A50-4367-A134-5D24DAB02F13}"/>
            </c:ext>
          </c:extLst>
        </c:ser>
        <c:ser>
          <c:idx val="7"/>
          <c:order val="7"/>
          <c:tx>
            <c:strRef>
              <c:f>ReportData!$O$62</c:f>
              <c:strCache>
                <c:ptCount val="1"/>
                <c:pt idx="0">
                  <c:v>Utilities</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ReportData!$P$62:$Z$62</c15:sqref>
                  </c15:fullRef>
                </c:ext>
              </c:extLst>
              <c:f>(ReportData!$P$62:$R$62,ReportData!$U$62:$Z$62)</c:f>
              <c:numCache>
                <c:formatCode>_(* #,##0_);_(* \(#,##0\);_(* "-"_);_(@_)</c:formatCode>
                <c:ptCount val="9"/>
                <c:pt idx="0">
                  <c:v>0</c:v>
                </c:pt>
                <c:pt idx="1">
                  <c:v>0</c:v>
                </c:pt>
                <c:pt idx="2">
                  <c:v>0</c:v>
                </c:pt>
                <c:pt idx="3">
                  <c:v>5000</c:v>
                </c:pt>
                <c:pt idx="4">
                  <c:v>5000</c:v>
                </c:pt>
                <c:pt idx="5">
                  <c:v>5000</c:v>
                </c:pt>
                <c:pt idx="6">
                  <c:v>5000</c:v>
                </c:pt>
                <c:pt idx="7">
                  <c:v>5000</c:v>
                </c:pt>
                <c:pt idx="8">
                  <c:v>5000</c:v>
                </c:pt>
              </c:numCache>
            </c:numRef>
          </c:val>
          <c:extLst>
            <c:ext xmlns:c16="http://schemas.microsoft.com/office/drawing/2014/chart" uri="{C3380CC4-5D6E-409C-BE32-E72D297353CC}">
              <c16:uniqueId val="{00000007-2A50-4367-A134-5D24DAB02F13}"/>
            </c:ext>
          </c:extLst>
        </c:ser>
        <c:ser>
          <c:idx val="8"/>
          <c:order val="8"/>
          <c:tx>
            <c:strRef>
              <c:f>ReportData!$O$63</c:f>
              <c:strCache>
                <c:ptCount val="1"/>
                <c:pt idx="0">
                  <c:v> Total Costs </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ReportData!$P$54:$Z$54</c15:sqref>
                  </c15:fullRef>
                </c:ext>
              </c:extLst>
              <c:f>(ReportData!$P$54:$R$54,ReportData!$U$54:$Z$54)</c:f>
              <c:strCache>
                <c:ptCount val="9"/>
                <c:pt idx="0">
                  <c:v>FY21</c:v>
                </c:pt>
                <c:pt idx="1">
                  <c:v>FY22</c:v>
                </c:pt>
                <c:pt idx="2">
                  <c:v>FY23</c:v>
                </c:pt>
                <c:pt idx="3">
                  <c:v>FY24</c:v>
                </c:pt>
                <c:pt idx="4">
                  <c:v>FY25</c:v>
                </c:pt>
                <c:pt idx="5">
                  <c:v>FY26</c:v>
                </c:pt>
                <c:pt idx="6">
                  <c:v>FY27</c:v>
                </c:pt>
                <c:pt idx="7">
                  <c:v>FY28</c:v>
                </c:pt>
                <c:pt idx="8">
                  <c:v>FY29</c:v>
                </c:pt>
              </c:strCache>
            </c:strRef>
          </c:cat>
          <c:val>
            <c:numRef>
              <c:extLst>
                <c:ext xmlns:c15="http://schemas.microsoft.com/office/drawing/2012/chart" uri="{02D57815-91ED-43cb-92C2-25804820EDAC}">
                  <c15:fullRef>
                    <c15:sqref>ReportData!$P$63:$Z$63</c15:sqref>
                  </c15:fullRef>
                </c:ext>
              </c:extLst>
              <c:f>(ReportData!$P$63:$R$63,ReportData!$U$63:$Z$63)</c:f>
              <c:numCache>
                <c:formatCode>_(* #,##0.0_);_(* \(#,##0.0\);_(* "-"_);_(@_)</c:formatCode>
                <c:ptCount val="9"/>
                <c:pt idx="0">
                  <c:v>0</c:v>
                </c:pt>
                <c:pt idx="1">
                  <c:v>0</c:v>
                </c:pt>
                <c:pt idx="2">
                  <c:v>0</c:v>
                </c:pt>
                <c:pt idx="3">
                  <c:v>35000</c:v>
                </c:pt>
                <c:pt idx="4">
                  <c:v>35000</c:v>
                </c:pt>
                <c:pt idx="5">
                  <c:v>35000</c:v>
                </c:pt>
                <c:pt idx="6">
                  <c:v>35000</c:v>
                </c:pt>
                <c:pt idx="7">
                  <c:v>35000</c:v>
                </c:pt>
                <c:pt idx="8">
                  <c:v>35000</c:v>
                </c:pt>
              </c:numCache>
            </c:numRef>
          </c:val>
          <c:extLst>
            <c:ext xmlns:c16="http://schemas.microsoft.com/office/drawing/2014/chart" uri="{C3380CC4-5D6E-409C-BE32-E72D297353CC}">
              <c16:uniqueId val="{00000008-2A50-4367-A134-5D24DAB02F13}"/>
            </c:ext>
          </c:extLst>
        </c:ser>
        <c:dLbls>
          <c:showLegendKey val="0"/>
          <c:showVal val="0"/>
          <c:showCatName val="0"/>
          <c:showSerName val="0"/>
          <c:showPercent val="0"/>
          <c:showBubbleSize val="0"/>
        </c:dLbls>
        <c:gapWidth val="150"/>
        <c:overlap val="100"/>
        <c:axId val="1054035791"/>
        <c:axId val="1054045871"/>
      </c:barChart>
      <c:catAx>
        <c:axId val="105403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045871"/>
        <c:crosses val="autoZero"/>
        <c:auto val="1"/>
        <c:lblAlgn val="ctr"/>
        <c:lblOffset val="100"/>
        <c:noMultiLvlLbl val="0"/>
      </c:catAx>
      <c:valAx>
        <c:axId val="105404587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035791"/>
        <c:crosses val="autoZero"/>
        <c:crossBetween val="between"/>
      </c:valAx>
      <c:spPr>
        <a:noFill/>
        <a:ln>
          <a:noFill/>
        </a:ln>
        <a:effectLst/>
      </c:spPr>
    </c:plotArea>
    <c:legend>
      <c:legendPos val="b"/>
      <c:layout>
        <c:manualLayout>
          <c:xMode val="edge"/>
          <c:yMode val="edge"/>
          <c:x val="7.3415555010723239E-3"/>
          <c:y val="0.82818865538534403"/>
          <c:w val="0.99265836028924015"/>
          <c:h val="0.169050643523568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ReportData!$U$11</c:f>
          <c:strCache>
            <c:ptCount val="1"/>
            <c:pt idx="0">
              <c:v>Working Capital Balance in USD 'Units &amp; as a % of Revenue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5.381892723122611E-2"/>
          <c:y val="5.2731481481481483E-2"/>
          <c:w val="0.90845081397430683"/>
          <c:h val="0.55768226888305639"/>
        </c:manualLayout>
      </c:layout>
      <c:barChart>
        <c:barDir val="col"/>
        <c:grouping val="stacked"/>
        <c:varyColors val="0"/>
        <c:ser>
          <c:idx val="0"/>
          <c:order val="0"/>
          <c:tx>
            <c:strRef>
              <c:f>ReportData!$O$89</c:f>
              <c:strCache>
                <c:ptCount val="1"/>
                <c:pt idx="0">
                  <c:v>Trade Receivables Days</c:v>
                </c:pt>
              </c:strCache>
            </c:strRef>
          </c:tx>
          <c:spPr>
            <a:solidFill>
              <a:srgbClr val="00CCE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ReportData!$Q$89:$Z$89</c15:sqref>
                  </c15:fullRef>
                </c:ext>
              </c:extLst>
              <c:f>(ReportData!$Q$89:$R$89,ReportData!$U$89:$Z$89)</c:f>
              <c:numCache>
                <c:formatCode>_(* #,##0_);_(* \(#,##0\);_(* "-"_);_(@_)</c:formatCode>
                <c:ptCount val="8"/>
                <c:pt idx="0">
                  <c:v>0</c:v>
                </c:pt>
                <c:pt idx="1">
                  <c:v>0</c:v>
                </c:pt>
                <c:pt idx="2">
                  <c:v>0</c:v>
                </c:pt>
                <c:pt idx="3">
                  <c:v>0</c:v>
                </c:pt>
                <c:pt idx="4">
                  <c:v>0</c:v>
                </c:pt>
                <c:pt idx="5">
                  <c:v>0</c:v>
                </c:pt>
                <c:pt idx="6">
                  <c:v>0</c:v>
                </c:pt>
                <c:pt idx="7">
                  <c:v>0</c:v>
                </c:pt>
              </c:numCache>
            </c:numRef>
          </c:val>
          <c:extLst xmlns:c15="http://schemas.microsoft.com/office/drawing/2012/chart">
            <c:ext xmlns:c16="http://schemas.microsoft.com/office/drawing/2014/chart" uri="{C3380CC4-5D6E-409C-BE32-E72D297353CC}">
              <c16:uniqueId val="{00000000-0490-47B0-8FD4-F52326BB3E94}"/>
            </c:ext>
          </c:extLst>
        </c:ser>
        <c:ser>
          <c:idx val="1"/>
          <c:order val="1"/>
          <c:tx>
            <c:strRef>
              <c:f>ReportData!$O$90</c:f>
              <c:strCache>
                <c:ptCount val="1"/>
                <c:pt idx="0">
                  <c:v>Advances to Suppliers</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ReportData!$Q$90:$Z$90</c15:sqref>
                  </c15:fullRef>
                </c:ext>
              </c:extLst>
              <c:f>(ReportData!$Q$90:$R$90,ReportData!$U$90:$Z$90)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0490-47B0-8FD4-F52326BB3E94}"/>
            </c:ext>
          </c:extLst>
        </c:ser>
        <c:ser>
          <c:idx val="2"/>
          <c:order val="2"/>
          <c:tx>
            <c:strRef>
              <c:f>ReportData!$O$91</c:f>
              <c:strCache>
                <c:ptCount val="1"/>
                <c:pt idx="0">
                  <c:v>Other Receivables Days</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ReportData!$Q$91:$Z$91</c15:sqref>
                  </c15:fullRef>
                </c:ext>
              </c:extLst>
              <c:f>(ReportData!$Q$91:$R$91,ReportData!$U$91:$Z$91)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0490-47B0-8FD4-F52326BB3E94}"/>
            </c:ext>
          </c:extLst>
        </c:ser>
        <c:ser>
          <c:idx val="3"/>
          <c:order val="3"/>
          <c:tx>
            <c:strRef>
              <c:f>ReportData!$O$92</c:f>
              <c:strCache>
                <c:ptCount val="1"/>
                <c:pt idx="0">
                  <c:v>Inventory Days </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ReportData!$Q$92:$Z$92</c15:sqref>
                  </c15:fullRef>
                </c:ext>
              </c:extLst>
              <c:f>(ReportData!$Q$92:$R$92,ReportData!$U$92:$Z$92)</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0490-47B0-8FD4-F52326BB3E94}"/>
            </c:ext>
          </c:extLst>
        </c:ser>
        <c:ser>
          <c:idx val="4"/>
          <c:order val="4"/>
          <c:tx>
            <c:strRef>
              <c:f>ReportData!$O$93</c:f>
              <c:strCache>
                <c:ptCount val="1"/>
                <c:pt idx="0">
                  <c:v>Prepaid Expenses &amp; Other Days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ReportData!$Q$93:$Z$93</c15:sqref>
                  </c15:fullRef>
                </c:ext>
              </c:extLst>
              <c:f>(ReportData!$Q$93:$R$93,ReportData!$U$93:$Z$93)</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0490-47B0-8FD4-F52326BB3E94}"/>
            </c:ext>
          </c:extLst>
        </c:ser>
        <c:ser>
          <c:idx val="5"/>
          <c:order val="5"/>
          <c:tx>
            <c:strRef>
              <c:f>ReportData!$O$94</c:f>
              <c:strCache>
                <c:ptCount val="1"/>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ReportData!$Q$94:$Z$94</c15:sqref>
                  </c15:fullRef>
                </c:ext>
              </c:extLst>
              <c:f>(ReportData!$Q$94:$R$94,ReportData!$U$94:$Z$94)</c:f>
              <c:numCache>
                <c:formatCode>_(* #,##0_);_(* \(#,##0\);_(* "-"_);_(@_)</c:formatCode>
                <c:ptCount val="8"/>
              </c:numCache>
            </c:numRef>
          </c:val>
          <c:extLst>
            <c:ext xmlns:c16="http://schemas.microsoft.com/office/drawing/2014/chart" uri="{C3380CC4-5D6E-409C-BE32-E72D297353CC}">
              <c16:uniqueId val="{00000005-0490-47B0-8FD4-F52326BB3E94}"/>
            </c:ext>
          </c:extLst>
        </c:ser>
        <c:ser>
          <c:idx val="6"/>
          <c:order val="6"/>
          <c:tx>
            <c:strRef>
              <c:f>ReportData!$O$95</c:f>
              <c:strCache>
                <c:ptCount val="1"/>
                <c:pt idx="0">
                  <c:v>Trade Payables Days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ReportData!$Q$95:$Z$95</c15:sqref>
                  </c15:fullRef>
                </c:ext>
              </c:extLst>
              <c:f>(ReportData!$Q$95:$R$95,ReportData!$U$95:$Z$95)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0490-47B0-8FD4-F52326BB3E94}"/>
            </c:ext>
          </c:extLst>
        </c:ser>
        <c:ser>
          <c:idx val="7"/>
          <c:order val="7"/>
          <c:tx>
            <c:strRef>
              <c:f>ReportData!$O$96</c:f>
              <c:strCache>
                <c:ptCount val="1"/>
                <c:pt idx="0">
                  <c:v>Advances from Customers</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ReportData!$Q$96:$Z$96</c15:sqref>
                  </c15:fullRef>
                </c:ext>
              </c:extLst>
              <c:f>(ReportData!$Q$96:$R$96,ReportData!$U$96:$Z$96)</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0490-47B0-8FD4-F52326BB3E94}"/>
            </c:ext>
          </c:extLst>
        </c:ser>
        <c:ser>
          <c:idx val="8"/>
          <c:order val="8"/>
          <c:tx>
            <c:strRef>
              <c:f>ReportData!$O$97</c:f>
              <c:strCache>
                <c:ptCount val="1"/>
                <c:pt idx="0">
                  <c:v>Salaries Payable</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ReportData!$Q$97:$Z$97</c15:sqref>
                  </c15:fullRef>
                </c:ext>
              </c:extLst>
              <c:f>(ReportData!$Q$97:$R$97,ReportData!$U$97:$Z$97)</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0490-47B0-8FD4-F52326BB3E94}"/>
            </c:ext>
          </c:extLst>
        </c:ser>
        <c:ser>
          <c:idx val="9"/>
          <c:order val="9"/>
          <c:tx>
            <c:strRef>
              <c:f>ReportData!$O$98</c:f>
              <c:strCache>
                <c:ptCount val="1"/>
                <c:pt idx="0">
                  <c:v>Accrued Expenses Days </c:v>
                </c:pt>
              </c:strCache>
            </c:strRef>
          </c:tx>
          <c:spPr>
            <a:solidFill>
              <a:srgbClr val="00339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ReportData!$Q$98:$Z$98</c15:sqref>
                  </c15:fullRef>
                </c:ext>
              </c:extLst>
              <c:f>(ReportData!$Q$98:$R$98,ReportData!$U$98:$Z$98)</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0490-47B0-8FD4-F52326BB3E94}"/>
            </c:ext>
          </c:extLst>
        </c:ser>
        <c:ser>
          <c:idx val="10"/>
          <c:order val="10"/>
          <c:tx>
            <c:strRef>
              <c:f>ReportData!$O$99</c:f>
              <c:strCache>
                <c:ptCount val="1"/>
                <c:pt idx="0">
                  <c:v>Tax Payables Days </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ReportData!$Q$99:$Z$99</c15:sqref>
                  </c15:fullRef>
                </c:ext>
              </c:extLst>
              <c:f>(ReportData!$Q$99:$R$99,ReportData!$U$99:$Z$99)</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A-0490-47B0-8FD4-F52326BB3E94}"/>
            </c:ext>
          </c:extLst>
        </c:ser>
        <c:ser>
          <c:idx val="11"/>
          <c:order val="11"/>
          <c:tx>
            <c:strRef>
              <c:f>ReportData!$O$100</c:f>
              <c:strCache>
                <c:ptCount val="1"/>
                <c:pt idx="0">
                  <c:v>Other Payables Days </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ReportData!$Q$100:$Z$100</c15:sqref>
                  </c15:fullRef>
                </c:ext>
              </c:extLst>
              <c:f>(ReportData!$Q$100:$R$100,ReportData!$U$100:$Z$100)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0490-47B0-8FD4-F52326BB3E94}"/>
            </c:ext>
          </c:extLst>
        </c:ser>
        <c:dLbls>
          <c:showLegendKey val="0"/>
          <c:showVal val="0"/>
          <c:showCatName val="0"/>
          <c:showSerName val="0"/>
          <c:showPercent val="0"/>
          <c:showBubbleSize val="0"/>
        </c:dLbls>
        <c:gapWidth val="50"/>
        <c:overlap val="100"/>
        <c:axId val="1493104720"/>
        <c:axId val="141848303"/>
      </c:barChart>
      <c:lineChart>
        <c:grouping val="standard"/>
        <c:varyColors val="0"/>
        <c:ser>
          <c:idx val="12"/>
          <c:order val="12"/>
          <c:tx>
            <c:strRef>
              <c:f>ReportData!$O$102</c:f>
              <c:strCache>
                <c:ptCount val="1"/>
                <c:pt idx="0">
                  <c:v>NWC as a % of sales</c:v>
                </c:pt>
              </c:strCache>
            </c:strRef>
          </c:tx>
          <c:spPr>
            <a:ln w="28575" cap="rnd">
              <a:solidFill>
                <a:schemeClr val="accent3"/>
              </a:solidFill>
              <a:round/>
            </a:ln>
            <a:effectLst/>
          </c:spPr>
          <c:marker>
            <c:symbol val="none"/>
          </c:marker>
          <c:dLbls>
            <c:spPr>
              <a:solidFill>
                <a:schemeClr val="accent3"/>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ReportData!$Q$87:$Z$87</c15:sqref>
                  </c15:fullRef>
                </c:ext>
              </c:extLst>
              <c:f>(ReportData!$Q$87:$R$87,ReportData!$U$87:$Z$87)</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ReportData!$Q$102:$Z$102</c15:sqref>
                  </c15:fullRef>
                </c:ext>
              </c:extLst>
              <c:f>(ReportData!$Q$102:$R$102,ReportData!$U$102:$Z$102)</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C-0490-47B0-8FD4-F52326BB3E94}"/>
            </c:ext>
          </c:extLst>
        </c:ser>
        <c:dLbls>
          <c:showLegendKey val="0"/>
          <c:showVal val="0"/>
          <c:showCatName val="0"/>
          <c:showSerName val="0"/>
          <c:showPercent val="0"/>
          <c:showBubbleSize val="0"/>
        </c:dLbls>
        <c:marker val="1"/>
        <c:smooth val="0"/>
        <c:axId val="207062399"/>
        <c:axId val="234557935"/>
      </c:lineChart>
      <c:catAx>
        <c:axId val="149310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1848303"/>
        <c:crosses val="autoZero"/>
        <c:auto val="1"/>
        <c:lblAlgn val="ctr"/>
        <c:lblOffset val="100"/>
        <c:noMultiLvlLbl val="0"/>
      </c:catAx>
      <c:valAx>
        <c:axId val="141848303"/>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crossAx val="1493104720"/>
        <c:crosses val="autoZero"/>
        <c:crossBetween val="between"/>
      </c:valAx>
      <c:valAx>
        <c:axId val="23455793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300" b="0" i="0" u="none" strike="noStrike" kern="1200" baseline="0">
                <a:solidFill>
                  <a:schemeClr val="bg1"/>
                </a:solidFill>
                <a:latin typeface="Leelawadee" panose="020B0502040204020203" pitchFamily="34" charset="-34"/>
                <a:ea typeface="+mn-ea"/>
                <a:cs typeface="Leelawadee" panose="020B0502040204020203" pitchFamily="34" charset="-34"/>
              </a:defRPr>
            </a:pPr>
            <a:endParaRPr lang="en-US"/>
          </a:p>
        </c:txPr>
        <c:crossAx val="207062399"/>
        <c:crosses val="max"/>
        <c:crossBetween val="between"/>
      </c:valAx>
      <c:catAx>
        <c:axId val="207062399"/>
        <c:scaling>
          <c:orientation val="minMax"/>
        </c:scaling>
        <c:delete val="1"/>
        <c:axPos val="b"/>
        <c:numFmt formatCode="General" sourceLinked="1"/>
        <c:majorTickMark val="out"/>
        <c:minorTickMark val="none"/>
        <c:tickLblPos val="nextTo"/>
        <c:crossAx val="234557935"/>
        <c:crosses val="autoZero"/>
        <c:auto val="1"/>
        <c:lblAlgn val="ctr"/>
        <c:lblOffset val="100"/>
        <c:noMultiLvlLbl val="0"/>
      </c:catAx>
      <c:spPr>
        <a:noFill/>
        <a:ln>
          <a:noFill/>
        </a:ln>
        <a:effectLst/>
      </c:spPr>
    </c:plotArea>
    <c:legend>
      <c:legendPos val="b"/>
      <c:layout>
        <c:manualLayout>
          <c:xMode val="edge"/>
          <c:yMode val="edge"/>
          <c:x val="8.0928579476680588E-3"/>
          <c:y val="0.75752490464270228"/>
          <c:w val="0.98922366536803807"/>
          <c:h val="0.242475095357297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ReportData!$U$12</c:f>
          <c:strCache>
            <c:ptCount val="1"/>
            <c:pt idx="0">
              <c:v>Capital Expenditure in USD 'Units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barChart>
        <c:barDir val="col"/>
        <c:grouping val="stacked"/>
        <c:varyColors val="0"/>
        <c:ser>
          <c:idx val="0"/>
          <c:order val="0"/>
          <c:tx>
            <c:strRef>
              <c:f>ReportData!$O$105</c:f>
              <c:strCache>
                <c:ptCount val="1"/>
                <c:pt idx="0">
                  <c:v>Expansion Capex</c:v>
                </c:pt>
              </c:strCache>
            </c:strRef>
          </c:tx>
          <c:spPr>
            <a:solidFill>
              <a:schemeClr val="tx1">
                <a:lumMod val="95000"/>
                <a:lumOff val="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ReportData!$Q$105:$Z$105</c15:sqref>
                  </c15:fullRef>
                </c:ext>
              </c:extLst>
              <c:f>(ReportData!$Q$105:$R$105,ReportData!$U$105:$Z$105)</c:f>
              <c:numCache>
                <c:formatCode>General</c:formatCode>
                <c:ptCount val="8"/>
                <c:pt idx="3">
                  <c:v>0</c:v>
                </c:pt>
                <c:pt idx="4">
                  <c:v>0</c:v>
                </c:pt>
                <c:pt idx="5">
                  <c:v>0</c:v>
                </c:pt>
                <c:pt idx="6">
                  <c:v>0</c:v>
                </c:pt>
                <c:pt idx="7">
                  <c:v>0</c:v>
                </c:pt>
              </c:numCache>
            </c:numRef>
          </c:val>
          <c:extLst>
            <c:ext xmlns:c16="http://schemas.microsoft.com/office/drawing/2014/chart" uri="{C3380CC4-5D6E-409C-BE32-E72D297353CC}">
              <c16:uniqueId val="{00000000-51CE-4DB6-B225-86B2B352CF8F}"/>
            </c:ext>
          </c:extLst>
        </c:ser>
        <c:ser>
          <c:idx val="1"/>
          <c:order val="1"/>
          <c:tx>
            <c:strRef>
              <c:f>ReportData!$O$106</c:f>
              <c:strCache>
                <c:ptCount val="1"/>
                <c:pt idx="0">
                  <c:v>Maintenance Capex</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ReportData!$Q$106:$Z$106</c15:sqref>
                  </c15:fullRef>
                </c:ext>
              </c:extLst>
              <c:f>(ReportData!$Q$106:$R$106,ReportData!$U$106:$Z$106)</c:f>
              <c:numCache>
                <c:formatCode>0.0</c:formatCode>
                <c:ptCount val="8"/>
              </c:numCache>
            </c:numRef>
          </c:val>
          <c:extLst>
            <c:ext xmlns:c16="http://schemas.microsoft.com/office/drawing/2014/chart" uri="{C3380CC4-5D6E-409C-BE32-E72D297353CC}">
              <c16:uniqueId val="{00000001-51CE-4DB6-B225-86B2B352CF8F}"/>
            </c:ext>
          </c:extLst>
        </c:ser>
        <c:ser>
          <c:idx val="2"/>
          <c:order val="2"/>
          <c:tx>
            <c:strRef>
              <c:f>ReportData!$O$107</c:f>
              <c:strCache>
                <c:ptCount val="1"/>
                <c:pt idx="0">
                  <c:v> Total Capex </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ReportData!$Q$104:$Z$104</c15:sqref>
                  </c15:fullRef>
                </c:ext>
              </c:extLst>
              <c:f>(ReportData!$Q$104:$R$104,ReportData!$U$104:$Z$104)</c:f>
              <c:strCache>
                <c:ptCount val="8"/>
                <c:pt idx="0">
                  <c:v>FY22</c:v>
                </c:pt>
                <c:pt idx="1">
                  <c:v>FY23</c:v>
                </c:pt>
                <c:pt idx="2">
                  <c:v>FY24</c:v>
                </c:pt>
                <c:pt idx="3">
                  <c:v>FY25</c:v>
                </c:pt>
                <c:pt idx="4">
                  <c:v>FY26</c:v>
                </c:pt>
                <c:pt idx="5">
                  <c:v>FY27</c:v>
                </c:pt>
                <c:pt idx="6">
                  <c:v>FY28</c:v>
                </c:pt>
                <c:pt idx="7">
                  <c:v>FY29</c:v>
                </c:pt>
              </c:strCache>
            </c:strRef>
          </c:cat>
          <c:val>
            <c:numRef>
              <c:extLst>
                <c:ext xmlns:c15="http://schemas.microsoft.com/office/drawing/2012/chart" uri="{02D57815-91ED-43cb-92C2-25804820EDAC}">
                  <c15:fullRef>
                    <c15:sqref>ReportData!$Q$107:$Z$107</c15:sqref>
                  </c15:fullRef>
                </c:ext>
              </c:extLst>
              <c:f>(ReportData!$Q$107:$R$107,ReportData!$U$107:$Z$107)</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51CE-4DB6-B225-86B2B352CF8F}"/>
            </c:ext>
          </c:extLst>
        </c:ser>
        <c:dLbls>
          <c:dLblPos val="ctr"/>
          <c:showLegendKey val="0"/>
          <c:showVal val="1"/>
          <c:showCatName val="0"/>
          <c:showSerName val="0"/>
          <c:showPercent val="0"/>
          <c:showBubbleSize val="0"/>
        </c:dLbls>
        <c:gapWidth val="150"/>
        <c:overlap val="100"/>
        <c:axId val="141055279"/>
        <c:axId val="141846815"/>
      </c:barChart>
      <c:catAx>
        <c:axId val="14105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1846815"/>
        <c:crosses val="autoZero"/>
        <c:auto val="1"/>
        <c:lblAlgn val="ctr"/>
        <c:lblOffset val="100"/>
        <c:noMultiLvlLbl val="0"/>
      </c:catAx>
      <c:valAx>
        <c:axId val="141846815"/>
        <c:scaling>
          <c:orientation val="minMax"/>
        </c:scaling>
        <c:delete val="1"/>
        <c:axPos val="l"/>
        <c:numFmt formatCode="General" sourceLinked="1"/>
        <c:majorTickMark val="none"/>
        <c:minorTickMark val="none"/>
        <c:tickLblPos val="nextTo"/>
        <c:crossAx val="141055279"/>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r>
              <a:rPr lang="en-US"/>
              <a:t>Enterprise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title>
    <c:autoTitleDeleted val="0"/>
    <c:plotArea>
      <c:layout>
        <c:manualLayout>
          <c:layoutTarget val="inner"/>
          <c:xMode val="edge"/>
          <c:yMode val="edge"/>
          <c:x val="0.33473833581042439"/>
          <c:y val="0.28972643723135394"/>
          <c:w val="0.55713694397780811"/>
          <c:h val="0.51969832700080887"/>
        </c:manualLayout>
      </c:layout>
      <c:barChart>
        <c:barDir val="bar"/>
        <c:grouping val="stacked"/>
        <c:varyColors val="0"/>
        <c:ser>
          <c:idx val="0"/>
          <c:order val="0"/>
          <c:tx>
            <c:strRef>
              <c:f>ReportData!$P$8</c:f>
              <c:strCache>
                <c:ptCount val="1"/>
                <c:pt idx="0">
                  <c:v>Low</c:v>
                </c:pt>
              </c:strCache>
            </c:strRef>
          </c:tx>
          <c:spPr>
            <a:solidFill>
              <a:srgbClr val="00CC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ReportData!$O$9:$O$11</c:f>
              <c:strCache>
                <c:ptCount val="3"/>
                <c:pt idx="0">
                  <c:v> DCF Approach </c:v>
                </c:pt>
                <c:pt idx="1">
                  <c:v> Multiples Approach (EV/EBITDA) </c:v>
                </c:pt>
                <c:pt idx="2">
                  <c:v> Transactions Approach </c:v>
                </c:pt>
              </c:strCache>
            </c:strRef>
          </c:cat>
          <c:val>
            <c:numRef>
              <c:f>ReportData!$P$9:$P$11</c:f>
              <c:numCache>
                <c:formatCode>_(* #,##0.0_);_(* \(#,##0.0\);_(* "-"_);_(@_)</c:formatCode>
                <c:ptCount val="3"/>
                <c:pt idx="0">
                  <c:v>0</c:v>
                </c:pt>
                <c:pt idx="1">
                  <c:v>0</c:v>
                </c:pt>
                <c:pt idx="2">
                  <c:v>0</c:v>
                </c:pt>
              </c:numCache>
            </c:numRef>
          </c:val>
          <c:extLst>
            <c:ext xmlns:c16="http://schemas.microsoft.com/office/drawing/2014/chart" uri="{C3380CC4-5D6E-409C-BE32-E72D297353CC}">
              <c16:uniqueId val="{00000000-AB10-4B9E-B958-0C8E319DCA78}"/>
            </c:ext>
          </c:extLst>
        </c:ser>
        <c:ser>
          <c:idx val="1"/>
          <c:order val="1"/>
          <c:tx>
            <c:strRef>
              <c:f>ReportData!$Q$8</c:f>
              <c:strCache>
                <c:ptCount val="1"/>
                <c:pt idx="0">
                  <c:v>Difference</c:v>
                </c:pt>
              </c:strCache>
            </c:strRef>
          </c:tx>
          <c:spPr>
            <a:solidFill>
              <a:schemeClr val="tx1">
                <a:lumMod val="95000"/>
                <a:lumOff val="5000"/>
              </a:schemeClr>
            </a:solidFill>
            <a:ln>
              <a:noFill/>
            </a:ln>
            <a:effectLst/>
          </c:spPr>
          <c:invertIfNegative val="0"/>
          <c:dLbls>
            <c:delete val="1"/>
          </c:dLbls>
          <c:cat>
            <c:strRef>
              <c:f>ReportData!$O$9:$O$11</c:f>
              <c:strCache>
                <c:ptCount val="3"/>
                <c:pt idx="0">
                  <c:v> DCF Approach </c:v>
                </c:pt>
                <c:pt idx="1">
                  <c:v> Multiples Approach (EV/EBITDA) </c:v>
                </c:pt>
                <c:pt idx="2">
                  <c:v> Transactions Approach </c:v>
                </c:pt>
              </c:strCache>
            </c:strRef>
          </c:cat>
          <c:val>
            <c:numRef>
              <c:f>ReportData!$Q$9:$Q$11</c:f>
              <c:numCache>
                <c:formatCode>_(* #,##0.0_);_(* \(#,##0.0\);_(* "-"_);_(@_)</c:formatCode>
                <c:ptCount val="3"/>
                <c:pt idx="0">
                  <c:v>0</c:v>
                </c:pt>
                <c:pt idx="1">
                  <c:v>0</c:v>
                </c:pt>
                <c:pt idx="2">
                  <c:v>0</c:v>
                </c:pt>
              </c:numCache>
            </c:numRef>
          </c:val>
          <c:extLst>
            <c:ext xmlns:c16="http://schemas.microsoft.com/office/drawing/2014/chart" uri="{C3380CC4-5D6E-409C-BE32-E72D297353CC}">
              <c16:uniqueId val="{00000001-AB10-4B9E-B958-0C8E319DCA78}"/>
            </c:ext>
          </c:extLst>
        </c:ser>
        <c:ser>
          <c:idx val="2"/>
          <c:order val="2"/>
          <c:tx>
            <c:strRef>
              <c:f>ReportData!$R$8</c:f>
              <c:strCache>
                <c:ptCount val="1"/>
                <c:pt idx="0">
                  <c:v>High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eelawadee" panose="020B0502040204020203" pitchFamily="34" charset="-34"/>
                    <a:ea typeface="+mn-ea"/>
                    <a:cs typeface="Leelawadee" panose="020B0502040204020203" pitchFamily="34" charset="-34"/>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ReportData!$O$9:$O$11</c:f>
              <c:strCache>
                <c:ptCount val="3"/>
                <c:pt idx="0">
                  <c:v> DCF Approach </c:v>
                </c:pt>
                <c:pt idx="1">
                  <c:v> Multiples Approach (EV/EBITDA) </c:v>
                </c:pt>
                <c:pt idx="2">
                  <c:v> Transactions Approach </c:v>
                </c:pt>
              </c:strCache>
            </c:strRef>
          </c:cat>
          <c:val>
            <c:numRef>
              <c:f>ReportData!$R$9:$R$11</c:f>
              <c:numCache>
                <c:formatCode>_(* #,##0.0_);_(* \(#,##0.0\);_(* "-"_);_(@_)</c:formatCode>
                <c:ptCount val="3"/>
                <c:pt idx="0">
                  <c:v>0</c:v>
                </c:pt>
                <c:pt idx="1">
                  <c:v>0</c:v>
                </c:pt>
                <c:pt idx="2">
                  <c:v>0</c:v>
                </c:pt>
              </c:numCache>
            </c:numRef>
          </c:val>
          <c:extLst>
            <c:ext xmlns:c16="http://schemas.microsoft.com/office/drawing/2014/chart" uri="{C3380CC4-5D6E-409C-BE32-E72D297353CC}">
              <c16:uniqueId val="{00000002-AB10-4B9E-B958-0C8E319DCA78}"/>
            </c:ext>
          </c:extLst>
        </c:ser>
        <c:dLbls>
          <c:dLblPos val="ctr"/>
          <c:showLegendKey val="0"/>
          <c:showVal val="1"/>
          <c:showCatName val="0"/>
          <c:showSerName val="0"/>
          <c:showPercent val="0"/>
          <c:showBubbleSize val="0"/>
        </c:dLbls>
        <c:gapWidth val="150"/>
        <c:overlap val="100"/>
        <c:axId val="1816331920"/>
        <c:axId val="1467364672"/>
      </c:barChart>
      <c:catAx>
        <c:axId val="1816331920"/>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467364672"/>
        <c:crosses val="autoZero"/>
        <c:auto val="1"/>
        <c:lblAlgn val="ctr"/>
        <c:lblOffset val="100"/>
        <c:noMultiLvlLbl val="0"/>
      </c:catAx>
      <c:valAx>
        <c:axId val="146736467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eelawadee" panose="020B0502040204020203" pitchFamily="34" charset="-34"/>
                <a:ea typeface="+mn-ea"/>
                <a:cs typeface="Leelawadee" panose="020B0502040204020203" pitchFamily="34" charset="-34"/>
              </a:defRPr>
            </a:pPr>
            <a:endParaRPr lang="en-US"/>
          </a:p>
        </c:txPr>
        <c:crossAx val="18163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Leelawadee" panose="020B0502040204020203" pitchFamily="34" charset="-34"/>
          <a:cs typeface="Leelawadee" panose="020B0502040204020203" pitchFamily="34" charset="-34"/>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1" i="0" u="none" strike="noStrike" kern="1200" spc="0" baseline="0">
                <a:solidFill>
                  <a:schemeClr val="tx1">
                    <a:lumMod val="65000"/>
                    <a:lumOff val="35000"/>
                  </a:schemeClr>
                </a:solidFill>
                <a:latin typeface="GT Walsheim Pro" panose="02000503040000020003" pitchFamily="50" charset="0"/>
                <a:ea typeface="+mn-ea"/>
                <a:cs typeface="+mn-cs"/>
              </a:defRPr>
            </a:pPr>
            <a:r>
              <a:rPr lang="en-US" b="1"/>
              <a:t>Concluded Enterprise Value Range</a:t>
            </a:r>
          </a:p>
        </c:rich>
      </c:tx>
      <c:layout>
        <c:manualLayout>
          <c:xMode val="edge"/>
          <c:yMode val="edge"/>
          <c:x val="0.333678894694238"/>
          <c:y val="0"/>
        </c:manualLayout>
      </c:layout>
      <c:overlay val="0"/>
      <c:spPr>
        <a:noFill/>
        <a:ln>
          <a:noFill/>
        </a:ln>
        <a:effectLst/>
      </c:spPr>
      <c:txPr>
        <a:bodyPr rot="0" spcFirstLastPara="1" vertOverflow="ellipsis" vert="horz" wrap="square" anchor="ctr" anchorCtr="1"/>
        <a:lstStyle/>
        <a:p>
          <a:pPr>
            <a:defRPr sz="960" b="1" i="0" u="none" strike="noStrike" kern="1200" spc="0" baseline="0">
              <a:solidFill>
                <a:schemeClr val="tx1">
                  <a:lumMod val="65000"/>
                  <a:lumOff val="35000"/>
                </a:schemeClr>
              </a:solidFill>
              <a:latin typeface="GT Walsheim Pro" panose="02000503040000020003" pitchFamily="50" charset="0"/>
              <a:ea typeface="+mn-ea"/>
              <a:cs typeface="+mn-cs"/>
            </a:defRPr>
          </a:pPr>
          <a:endParaRPr lang="en-US"/>
        </a:p>
      </c:txPr>
    </c:title>
    <c:autoTitleDeleted val="0"/>
    <c:plotArea>
      <c:layout>
        <c:manualLayout>
          <c:layoutTarget val="inner"/>
          <c:xMode val="edge"/>
          <c:yMode val="edge"/>
          <c:x val="0.30933659577599532"/>
          <c:y val="0.28724534433195853"/>
          <c:w val="0.66729891824269627"/>
          <c:h val="0.66740318174513902"/>
        </c:manualLayout>
      </c:layout>
      <c:barChart>
        <c:barDir val="bar"/>
        <c:grouping val="stacked"/>
        <c:varyColors val="0"/>
        <c:ser>
          <c:idx val="1"/>
          <c:order val="1"/>
          <c:tx>
            <c:strRef>
              <c:f>ValSum!$D$77</c:f>
              <c:strCache>
                <c:ptCount val="1"/>
                <c:pt idx="0">
                  <c:v>Low</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ValSum!$B$78:$B$84</c:f>
              <c:strCache>
                <c:ptCount val="7"/>
                <c:pt idx="0">
                  <c:v>Discounted Cash Flow analysis</c:v>
                </c:pt>
                <c:pt idx="1">
                  <c:v>Guideline Public Company Method</c:v>
                </c:pt>
                <c:pt idx="2">
                  <c:v>Guideline Transaction Method</c:v>
                </c:pt>
                <c:pt idx="3">
                  <c:v>VC Method</c:v>
                </c:pt>
                <c:pt idx="4">
                  <c:v>CCF Method</c:v>
                </c:pt>
                <c:pt idx="5">
                  <c:v>Adjusted NBV Method</c:v>
                </c:pt>
                <c:pt idx="6">
                  <c:v>Concluded value range</c:v>
                </c:pt>
              </c:strCache>
            </c:strRef>
          </c:cat>
          <c:val>
            <c:numRef>
              <c:f>ValSum!$D$78:$D$84</c:f>
              <c:numCache>
                <c:formatCode>#,##0;\(#,##0\);\-</c:formatCode>
                <c:ptCount val="7"/>
                <c:pt idx="0">
                  <c:v>0</c:v>
                </c:pt>
                <c:pt idx="1">
                  <c:v>0</c:v>
                </c:pt>
                <c:pt idx="2">
                  <c:v>0</c:v>
                </c:pt>
                <c:pt idx="3">
                  <c:v>0</c:v>
                </c:pt>
                <c:pt idx="4">
                  <c:v>0</c:v>
                </c:pt>
                <c:pt idx="5">
                  <c:v>0</c:v>
                </c:pt>
                <c:pt idx="6" formatCode="_(* #,##0_);_(* \(#,##0\);_(* &quot;-&quot;_);_(@_)">
                  <c:v>0</c:v>
                </c:pt>
              </c:numCache>
            </c:numRef>
          </c:val>
          <c:extLst>
            <c:ext xmlns:c16="http://schemas.microsoft.com/office/drawing/2014/chart" uri="{C3380CC4-5D6E-409C-BE32-E72D297353CC}">
              <c16:uniqueId val="{00000001-6701-48CB-A0C6-BAF5F80DFB78}"/>
            </c:ext>
          </c:extLst>
        </c:ser>
        <c:ser>
          <c:idx val="2"/>
          <c:order val="2"/>
          <c:tx>
            <c:strRef>
              <c:f>ValSum!$E$77</c:f>
              <c:strCache>
                <c:ptCount val="1"/>
                <c:pt idx="0">
                  <c:v>Difference</c:v>
                </c:pt>
              </c:strCache>
            </c:strRef>
          </c:tx>
          <c:spPr>
            <a:solidFill>
              <a:srgbClr val="00CCE2"/>
            </a:solidFill>
            <a:ln>
              <a:noFill/>
            </a:ln>
            <a:effectLst/>
          </c:spPr>
          <c:invertIfNegative val="0"/>
          <c:dLbls>
            <c:delete val="1"/>
          </c:dLbls>
          <c:cat>
            <c:strRef>
              <c:f>ValSum!$B$78:$B$84</c:f>
              <c:strCache>
                <c:ptCount val="7"/>
                <c:pt idx="0">
                  <c:v>Discounted Cash Flow analysis</c:v>
                </c:pt>
                <c:pt idx="1">
                  <c:v>Guideline Public Company Method</c:v>
                </c:pt>
                <c:pt idx="2">
                  <c:v>Guideline Transaction Method</c:v>
                </c:pt>
                <c:pt idx="3">
                  <c:v>VC Method</c:v>
                </c:pt>
                <c:pt idx="4">
                  <c:v>CCF Method</c:v>
                </c:pt>
                <c:pt idx="5">
                  <c:v>Adjusted NBV Method</c:v>
                </c:pt>
                <c:pt idx="6">
                  <c:v>Concluded value range</c:v>
                </c:pt>
              </c:strCache>
            </c:strRef>
          </c:cat>
          <c:val>
            <c:numRef>
              <c:f>ValSum!$E$78:$E$84</c:f>
              <c:numCache>
                <c:formatCode>#,##0;\(#,##0\);\-</c:formatCode>
                <c:ptCount val="7"/>
                <c:pt idx="0">
                  <c:v>0</c:v>
                </c:pt>
                <c:pt idx="1">
                  <c:v>0</c:v>
                </c:pt>
                <c:pt idx="2">
                  <c:v>0</c:v>
                </c:pt>
                <c:pt idx="3">
                  <c:v>0</c:v>
                </c:pt>
                <c:pt idx="4">
                  <c:v>0</c:v>
                </c:pt>
                <c:pt idx="5">
                  <c:v>0</c:v>
                </c:pt>
                <c:pt idx="6" formatCode="_(* #,##0_);_(* \(#,##0\);_(* &quot;-&quot;_);_(@_)">
                  <c:v>0</c:v>
                </c:pt>
              </c:numCache>
            </c:numRef>
          </c:val>
          <c:extLst>
            <c:ext xmlns:c16="http://schemas.microsoft.com/office/drawing/2014/chart" uri="{C3380CC4-5D6E-409C-BE32-E72D297353CC}">
              <c16:uniqueId val="{00000002-6701-48CB-A0C6-BAF5F80DFB78}"/>
            </c:ext>
          </c:extLst>
        </c:ser>
        <c:ser>
          <c:idx val="3"/>
          <c:order val="3"/>
          <c:tx>
            <c:strRef>
              <c:f>ValSum!$F$77</c:f>
              <c:strCache>
                <c:ptCount val="1"/>
                <c:pt idx="0">
                  <c:v>High</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ValSum!$B$78:$B$84</c:f>
              <c:strCache>
                <c:ptCount val="7"/>
                <c:pt idx="0">
                  <c:v>Discounted Cash Flow analysis</c:v>
                </c:pt>
                <c:pt idx="1">
                  <c:v>Guideline Public Company Method</c:v>
                </c:pt>
                <c:pt idx="2">
                  <c:v>Guideline Transaction Method</c:v>
                </c:pt>
                <c:pt idx="3">
                  <c:v>VC Method</c:v>
                </c:pt>
                <c:pt idx="4">
                  <c:v>CCF Method</c:v>
                </c:pt>
                <c:pt idx="5">
                  <c:v>Adjusted NBV Method</c:v>
                </c:pt>
                <c:pt idx="6">
                  <c:v>Concluded value range</c:v>
                </c:pt>
              </c:strCache>
            </c:strRef>
          </c:cat>
          <c:val>
            <c:numRef>
              <c:f>ValSum!$F$78:$F$84</c:f>
              <c:numCache>
                <c:formatCode>#,##0;\(#,##0\);\-</c:formatCode>
                <c:ptCount val="7"/>
                <c:pt idx="0">
                  <c:v>0</c:v>
                </c:pt>
                <c:pt idx="1">
                  <c:v>0</c:v>
                </c:pt>
                <c:pt idx="2">
                  <c:v>0</c:v>
                </c:pt>
                <c:pt idx="3">
                  <c:v>0</c:v>
                </c:pt>
                <c:pt idx="4">
                  <c:v>0</c:v>
                </c:pt>
                <c:pt idx="5">
                  <c:v>0</c:v>
                </c:pt>
                <c:pt idx="6" formatCode="_(* #,##0_);_(* \(#,##0\);_(* &quot;-&quot;_);_(@_)">
                  <c:v>0</c:v>
                </c:pt>
              </c:numCache>
            </c:numRef>
          </c:val>
          <c:extLst>
            <c:ext xmlns:c16="http://schemas.microsoft.com/office/drawing/2014/chart" uri="{C3380CC4-5D6E-409C-BE32-E72D297353CC}">
              <c16:uniqueId val="{00000003-6701-48CB-A0C6-BAF5F80DFB78}"/>
            </c:ext>
          </c:extLst>
        </c:ser>
        <c:dLbls>
          <c:dLblPos val="ctr"/>
          <c:showLegendKey val="0"/>
          <c:showVal val="1"/>
          <c:showCatName val="0"/>
          <c:showSerName val="0"/>
          <c:showPercent val="0"/>
          <c:showBubbleSize val="0"/>
        </c:dLbls>
        <c:gapWidth val="150"/>
        <c:overlap val="100"/>
        <c:axId val="1274579231"/>
        <c:axId val="340570336"/>
        <c:extLst>
          <c:ext xmlns:c15="http://schemas.microsoft.com/office/drawing/2012/chart" uri="{02D57815-91ED-43cb-92C2-25804820EDAC}">
            <c15:filteredBarSeries>
              <c15:ser>
                <c:idx val="0"/>
                <c:order val="0"/>
                <c:tx>
                  <c:strRef>
                    <c:extLst>
                      <c:ext uri="{02D57815-91ED-43cb-92C2-25804820EDAC}">
                        <c15:formulaRef>
                          <c15:sqref>ValSum!$C$77</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GT Walsheim Pro" panose="02000503040000020003" pitchFamily="50" charset="0"/>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ValSum!$B$78:$B$84</c15:sqref>
                        </c15:formulaRef>
                      </c:ext>
                    </c:extLst>
                    <c:strCache>
                      <c:ptCount val="7"/>
                      <c:pt idx="0">
                        <c:v>Discounted Cash Flow analysis</c:v>
                      </c:pt>
                      <c:pt idx="1">
                        <c:v>Guideline Public Company Method</c:v>
                      </c:pt>
                      <c:pt idx="2">
                        <c:v>Guideline Transaction Method</c:v>
                      </c:pt>
                      <c:pt idx="3">
                        <c:v>VC Method</c:v>
                      </c:pt>
                      <c:pt idx="4">
                        <c:v>CCF Method</c:v>
                      </c:pt>
                      <c:pt idx="5">
                        <c:v>Adjusted NBV Method</c:v>
                      </c:pt>
                      <c:pt idx="6">
                        <c:v>Concluded value range</c:v>
                      </c:pt>
                    </c:strCache>
                  </c:strRef>
                </c:cat>
                <c:val>
                  <c:numRef>
                    <c:extLst>
                      <c:ext uri="{02D57815-91ED-43cb-92C2-25804820EDAC}">
                        <c15:formulaRef>
                          <c15:sqref>ValSum!$C$78:$C$84</c15:sqref>
                        </c15:formulaRef>
                      </c:ext>
                    </c:extLst>
                    <c:numCache>
                      <c:formatCode>General</c:formatCode>
                      <c:ptCount val="7"/>
                    </c:numCache>
                  </c:numRef>
                </c:val>
                <c:extLst>
                  <c:ext xmlns:c16="http://schemas.microsoft.com/office/drawing/2014/chart" uri="{C3380CC4-5D6E-409C-BE32-E72D297353CC}">
                    <c16:uniqueId val="{00000000-6701-48CB-A0C6-BAF5F80DFB78}"/>
                  </c:ext>
                </c:extLst>
              </c15:ser>
            </c15:filteredBarSeries>
          </c:ext>
        </c:extLst>
      </c:barChart>
      <c:catAx>
        <c:axId val="1274579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GT Walsheim Pro" panose="02000503040000020003" pitchFamily="50" charset="0"/>
                <a:ea typeface="+mn-ea"/>
                <a:cs typeface="+mn-cs"/>
              </a:defRPr>
            </a:pPr>
            <a:endParaRPr lang="en-US"/>
          </a:p>
        </c:txPr>
        <c:crossAx val="340570336"/>
        <c:crosses val="autoZero"/>
        <c:auto val="1"/>
        <c:lblAlgn val="ctr"/>
        <c:lblOffset val="100"/>
        <c:noMultiLvlLbl val="0"/>
      </c:catAx>
      <c:valAx>
        <c:axId val="340570336"/>
        <c:scaling>
          <c:orientation val="minMax"/>
        </c:scaling>
        <c:delete val="1"/>
        <c:axPos val="b"/>
        <c:numFmt formatCode="#,##0;\(#,##0\);\-" sourceLinked="1"/>
        <c:majorTickMark val="none"/>
        <c:minorTickMark val="none"/>
        <c:tickLblPos val="nextTo"/>
        <c:crossAx val="12745792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a:latin typeface="GT Walsheim Pro" panose="02000503040000020003" pitchFamily="50" charset="0"/>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EBITDA Margin</a:t>
            </a:r>
            <a:r>
              <a:rPr lang="en-US" baseline="0"/>
              <a:t> vs EV/Revenue (FYE)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Multiples!$R$9:$R$15</c:f>
              <c:numCache>
                <c:formatCode>0.0%</c:formatCode>
                <c:ptCount val="7"/>
                <c:pt idx="0">
                  <c:v>0</c:v>
                </c:pt>
                <c:pt idx="1">
                  <c:v>0</c:v>
                </c:pt>
                <c:pt idx="2">
                  <c:v>0</c:v>
                </c:pt>
                <c:pt idx="3">
                  <c:v>0</c:v>
                </c:pt>
                <c:pt idx="4">
                  <c:v>0</c:v>
                </c:pt>
                <c:pt idx="5">
                  <c:v>0</c:v>
                </c:pt>
                <c:pt idx="6">
                  <c:v>0</c:v>
                </c:pt>
              </c:numCache>
            </c:numRef>
          </c:xVal>
          <c:yVal>
            <c:numRef>
              <c:f>Multiples!$X$9:$X$15</c:f>
              <c:numCache>
                <c:formatCode>_(* #,##0.0\x_);_(* \(#,##0.0\x\);_(* "-"??_);_(@_)</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0-BBE9-4638-B68B-357BAD8814C3}"/>
            </c:ext>
          </c:extLst>
        </c:ser>
        <c:dLbls>
          <c:showLegendKey val="0"/>
          <c:showVal val="0"/>
          <c:showCatName val="0"/>
          <c:showSerName val="0"/>
          <c:showPercent val="0"/>
          <c:showBubbleSize val="0"/>
        </c:dLbls>
        <c:axId val="1976403055"/>
        <c:axId val="1728662207"/>
      </c:scatterChart>
      <c:valAx>
        <c:axId val="1976403055"/>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662207"/>
        <c:crosses val="autoZero"/>
        <c:crossBetween val="midCat"/>
      </c:valAx>
      <c:valAx>
        <c:axId val="1728662207"/>
        <c:scaling>
          <c:orientation val="minMax"/>
        </c:scaling>
        <c:delete val="0"/>
        <c:axPos val="l"/>
        <c:majorGridlines>
          <c:spPr>
            <a:ln w="9525" cap="flat" cmpd="sng" algn="ctr">
              <a:solidFill>
                <a:schemeClr val="tx1">
                  <a:lumMod val="15000"/>
                  <a:lumOff val="85000"/>
                </a:schemeClr>
              </a:solidFill>
              <a:round/>
            </a:ln>
            <a:effectLst/>
          </c:spPr>
        </c:majorGridlines>
        <c:numFmt formatCode="_(* #,##0.0\x_);_(* \(#,##0.0\x\);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4030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 (Revenue)</a:t>
            </a:r>
            <a:r>
              <a:rPr lang="en-US" baseline="0"/>
              <a:t> vs EV/EBITDA (FYE)</a:t>
            </a:r>
            <a:endParaRPr lang="en-US"/>
          </a:p>
        </c:rich>
      </c:tx>
      <c:layout>
        <c:manualLayout>
          <c:xMode val="edge"/>
          <c:yMode val="edge"/>
          <c:x val="0.3947360017497813"/>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Multiples!$I$9:$I$15</c:f>
              <c:numCache>
                <c:formatCode>_(* #,##0_);_(* \(#,##0\);_(* "-"_);_(@_)</c:formatCode>
                <c:ptCount val="7"/>
                <c:pt idx="0">
                  <c:v>0</c:v>
                </c:pt>
                <c:pt idx="1">
                  <c:v>0</c:v>
                </c:pt>
                <c:pt idx="2">
                  <c:v>0</c:v>
                </c:pt>
                <c:pt idx="3">
                  <c:v>0</c:v>
                </c:pt>
                <c:pt idx="4">
                  <c:v>0</c:v>
                </c:pt>
                <c:pt idx="5">
                  <c:v>0</c:v>
                </c:pt>
                <c:pt idx="6">
                  <c:v>0</c:v>
                </c:pt>
              </c:numCache>
            </c:numRef>
          </c:xVal>
          <c:yVal>
            <c:numRef>
              <c:f>Multiples!$AA$9:$AA$15</c:f>
              <c:numCache>
                <c:formatCode>_(* #,##0.0\x_);_(* \(#,##0.0\x\);_(* "-"??_);_(@_)</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2-F271-4ADB-9D17-7BBD6A7A195E}"/>
            </c:ext>
          </c:extLst>
        </c:ser>
        <c:dLbls>
          <c:showLegendKey val="0"/>
          <c:showVal val="0"/>
          <c:showCatName val="0"/>
          <c:showSerName val="0"/>
          <c:showPercent val="0"/>
          <c:showBubbleSize val="0"/>
        </c:dLbls>
        <c:axId val="1933461215"/>
        <c:axId val="1749846063"/>
      </c:scatterChart>
      <c:valAx>
        <c:axId val="1933461215"/>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9846063"/>
        <c:crosses val="autoZero"/>
        <c:crossBetween val="midCat"/>
      </c:valAx>
      <c:valAx>
        <c:axId val="1749846063"/>
        <c:scaling>
          <c:orientation val="minMax"/>
        </c:scaling>
        <c:delete val="0"/>
        <c:axPos val="l"/>
        <c:majorGridlines>
          <c:spPr>
            <a:ln w="9525" cap="flat" cmpd="sng" algn="ctr">
              <a:solidFill>
                <a:schemeClr val="tx1">
                  <a:lumMod val="15000"/>
                  <a:lumOff val="85000"/>
                </a:schemeClr>
              </a:solidFill>
              <a:round/>
            </a:ln>
            <a:effectLst/>
          </c:spPr>
        </c:majorGridlines>
        <c:numFmt formatCode="_(* #,##0.0\x_);_(* \(#,##0.0\x\);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46121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7030A0"/>
                </a:solidFill>
                <a:latin typeface="Calibri" panose="020F0502020204030204" pitchFamily="34" charset="0"/>
                <a:ea typeface="+mn-ea"/>
                <a:cs typeface="Calibri" panose="020F0502020204030204" pitchFamily="34" charset="0"/>
              </a:defRPr>
            </a:pPr>
            <a:r>
              <a:rPr lang="en-GB" sz="1400" b="1">
                <a:solidFill>
                  <a:srgbClr val="7030A0"/>
                </a:solidFill>
              </a:rPr>
              <a:t>GPC Rev Growth (2 year forecast CAGR)</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7030A0"/>
              </a:solidFill>
              <a:latin typeface="Calibri" panose="020F0502020204030204" pitchFamily="34" charset="0"/>
              <a:ea typeface="+mn-ea"/>
              <a:cs typeface="Calibri" panose="020F0502020204030204" pitchFamily="34" charset="0"/>
            </a:defRPr>
          </a:pPr>
          <a:endParaRPr lang="en-US"/>
        </a:p>
      </c:txPr>
    </c:title>
    <c:autoTitleDeleted val="0"/>
    <c:plotArea>
      <c:layout>
        <c:manualLayout>
          <c:layoutTarget val="inner"/>
          <c:xMode val="edge"/>
          <c:yMode val="edge"/>
          <c:x val="0.2461514532415231"/>
          <c:y val="8.05243590573156E-2"/>
          <c:w val="0.64608520190682783"/>
          <c:h val="0.82053270755908658"/>
        </c:manualLayout>
      </c:layout>
      <c:barChart>
        <c:barDir val="bar"/>
        <c:grouping val="clustered"/>
        <c:varyColors val="0"/>
        <c:ser>
          <c:idx val="0"/>
          <c:order val="1"/>
          <c:tx>
            <c:strRef>
              <c:f>Growth!$AD$8</c:f>
              <c:strCache>
                <c:ptCount val="1"/>
                <c:pt idx="0">
                  <c:v>2 Year CAGR</c:v>
                </c:pt>
              </c:strCache>
            </c:strRef>
          </c:tx>
          <c:spPr>
            <a:solidFill>
              <a:schemeClr val="accent1"/>
            </a:solidFill>
            <a:ln>
              <a:noFill/>
            </a:ln>
            <a:effectLst/>
          </c:spPr>
          <c:invertIfNegative val="0"/>
          <c:cat>
            <c:strRef>
              <c:f>Growth!GPCREVLABEL</c:f>
              <c:strCache>
                <c:ptCount val="30"/>
                <c:pt idx="0">
                  <c:v>Comp 1</c:v>
                </c:pt>
                <c:pt idx="1">
                  <c:v>Comp 2</c:v>
                </c:pt>
                <c:pt idx="2">
                  <c:v>Comp 3</c:v>
                </c:pt>
                <c:pt idx="3">
                  <c:v>Comp 4</c:v>
                </c:pt>
                <c:pt idx="4">
                  <c:v>Comp 5</c:v>
                </c:pt>
                <c:pt idx="5">
                  <c:v>Comp 6</c:v>
                </c:pt>
                <c:pt idx="6">
                  <c:v>Comp 7</c:v>
                </c:pt>
                <c:pt idx="7">
                  <c:v>Comp 8</c:v>
                </c:pt>
                <c:pt idx="8">
                  <c:v>Comp 9</c:v>
                </c:pt>
                <c:pt idx="9">
                  <c:v>Comp 10</c:v>
                </c:pt>
                <c:pt idx="10">
                  <c:v>Comp 11</c:v>
                </c:pt>
                <c:pt idx="11">
                  <c:v>Comp 12</c:v>
                </c:pt>
                <c:pt idx="12">
                  <c:v>Comp 13</c:v>
                </c:pt>
                <c:pt idx="13">
                  <c:v>Comp 14</c:v>
                </c:pt>
                <c:pt idx="14">
                  <c:v>Comp 15</c:v>
                </c:pt>
                <c:pt idx="15">
                  <c:v>Comp 16</c:v>
                </c:pt>
                <c:pt idx="16">
                  <c:v>Comp 17</c:v>
                </c:pt>
                <c:pt idx="17">
                  <c:v>Comp 18</c:v>
                </c:pt>
                <c:pt idx="18">
                  <c:v>Comp 19</c:v>
                </c:pt>
                <c:pt idx="19">
                  <c:v>Comp 20</c:v>
                </c:pt>
                <c:pt idx="20">
                  <c:v>Comp 21</c:v>
                </c:pt>
                <c:pt idx="21">
                  <c:v>Comp 22</c:v>
                </c:pt>
                <c:pt idx="22">
                  <c:v>Comp 23</c:v>
                </c:pt>
                <c:pt idx="23">
                  <c:v>Comp 24</c:v>
                </c:pt>
                <c:pt idx="24">
                  <c:v>Comp 25</c:v>
                </c:pt>
                <c:pt idx="25">
                  <c:v>Comp 26</c:v>
                </c:pt>
                <c:pt idx="26">
                  <c:v>Comp 27</c:v>
                </c:pt>
                <c:pt idx="27">
                  <c:v>Comp 28</c:v>
                </c:pt>
                <c:pt idx="28">
                  <c:v>Comp 29</c:v>
                </c:pt>
                <c:pt idx="29">
                  <c:v>Comp 30</c:v>
                </c:pt>
              </c:strCache>
            </c:strRef>
          </c:cat>
          <c:val>
            <c:numRef>
              <c:f>Growth!GPCREV</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65DF-4E0F-8458-9D2C383D6AEE}"/>
            </c:ext>
          </c:extLst>
        </c:ser>
        <c:dLbls>
          <c:showLegendKey val="0"/>
          <c:showVal val="0"/>
          <c:showCatName val="0"/>
          <c:showSerName val="0"/>
          <c:showPercent val="0"/>
          <c:showBubbleSize val="0"/>
        </c:dLbls>
        <c:gapWidth val="182"/>
        <c:axId val="919334064"/>
        <c:axId val="919327832"/>
      </c:barChart>
      <c:scatterChart>
        <c:scatterStyle val="lineMarker"/>
        <c:varyColors val="0"/>
        <c:ser>
          <c:idx val="2"/>
          <c:order val="0"/>
          <c:tx>
            <c:strRef>
              <c:f>Growth!$AE$8</c:f>
              <c:strCache>
                <c:ptCount val="1"/>
                <c:pt idx="0">
                  <c:v>Median</c:v>
                </c:pt>
              </c:strCache>
            </c:strRef>
          </c:tx>
          <c:spPr>
            <a:ln w="12700" cap="rnd">
              <a:solidFill>
                <a:schemeClr val="accent1">
                  <a:lumMod val="20000"/>
                  <a:lumOff val="80000"/>
                </a:schemeClr>
              </a:solidFill>
              <a:prstDash val="lgDash"/>
              <a:round/>
            </a:ln>
            <a:effectLst/>
          </c:spPr>
          <c:marker>
            <c:symbol val="none"/>
          </c:marker>
          <c:xVal>
            <c:numRef>
              <c:f>Growth!$AE$10:$AE$11</c:f>
              <c:numCache>
                <c:formatCode>0.0%</c:formatCode>
                <c:ptCount val="2"/>
                <c:pt idx="0">
                  <c:v>0</c:v>
                </c:pt>
                <c:pt idx="1">
                  <c:v>0</c:v>
                </c:pt>
              </c:numCache>
            </c:numRef>
          </c:xVal>
          <c:yVal>
            <c:numRef>
              <c:f>Growth!$AF$10:$AF$11</c:f>
              <c:numCache>
                <c:formatCode>General</c:formatCode>
                <c:ptCount val="2"/>
                <c:pt idx="0">
                  <c:v>0</c:v>
                </c:pt>
                <c:pt idx="1">
                  <c:v>1.5</c:v>
                </c:pt>
              </c:numCache>
            </c:numRef>
          </c:yVal>
          <c:smooth val="0"/>
          <c:extLst>
            <c:ext xmlns:c16="http://schemas.microsoft.com/office/drawing/2014/chart" uri="{C3380CC4-5D6E-409C-BE32-E72D297353CC}">
              <c16:uniqueId val="{00000002-65DF-4E0F-8458-9D2C383D6AEE}"/>
            </c:ext>
          </c:extLst>
        </c:ser>
        <c:dLbls>
          <c:showLegendKey val="0"/>
          <c:showVal val="0"/>
          <c:showCatName val="0"/>
          <c:showSerName val="0"/>
          <c:showPercent val="0"/>
          <c:showBubbleSize val="0"/>
        </c:dLbls>
        <c:axId val="919902248"/>
        <c:axId val="919902576"/>
      </c:scatterChart>
      <c:valAx>
        <c:axId val="919902248"/>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919902576"/>
        <c:crosses val="autoZero"/>
        <c:crossBetween val="midCat"/>
      </c:valAx>
      <c:valAx>
        <c:axId val="919902576"/>
        <c:scaling>
          <c:orientation val="minMax"/>
          <c:max val="1"/>
        </c:scaling>
        <c:delete val="0"/>
        <c:axPos val="l"/>
        <c:numFmt formatCode="General" sourceLinked="1"/>
        <c:majorTickMark val="out"/>
        <c:minorTickMark val="none"/>
        <c:tickLblPos val="nextTo"/>
        <c:spPr>
          <a:noFill/>
          <a:ln>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919902248"/>
        <c:crosses val="autoZero"/>
        <c:crossBetween val="midCat"/>
      </c:valAx>
      <c:valAx>
        <c:axId val="919327832"/>
        <c:scaling>
          <c:orientation val="minMax"/>
        </c:scaling>
        <c:delete val="1"/>
        <c:axPos val="t"/>
        <c:numFmt formatCode="0.0%" sourceLinked="1"/>
        <c:majorTickMark val="out"/>
        <c:minorTickMark val="none"/>
        <c:tickLblPos val="nextTo"/>
        <c:crossAx val="919334064"/>
        <c:crosses val="max"/>
        <c:crossBetween val="between"/>
      </c:valAx>
      <c:catAx>
        <c:axId val="919334064"/>
        <c:scaling>
          <c:orientation val="minMax"/>
        </c:scaling>
        <c:delete val="0"/>
        <c:axPos val="r"/>
        <c:numFmt formatCode="General" sourceLinked="1"/>
        <c:majorTickMark val="out"/>
        <c:minorTickMark val="none"/>
        <c:tickLblPos val="low"/>
        <c:spPr>
          <a:noFill/>
          <a:ln w="9525" cap="flat" cmpd="sng" algn="ctr">
            <a:no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919327832"/>
        <c:crosses val="max"/>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900">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2"/>
                </a:solidFill>
                <a:latin typeface="Calibri" panose="020F0502020204030204" pitchFamily="34" charset="0"/>
                <a:ea typeface="+mn-ea"/>
                <a:cs typeface="Calibri" panose="020F0502020204030204" pitchFamily="34" charset="0"/>
              </a:defRPr>
            </a:pPr>
            <a:r>
              <a:rPr lang="en-GB" sz="1400" b="1"/>
              <a:t>GPC EBITDA margins (FYE &amp; FYE+1)</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solidFill>
              <a:latin typeface="Calibri" panose="020F0502020204030204" pitchFamily="34" charset="0"/>
              <a:ea typeface="+mn-ea"/>
              <a:cs typeface="Calibri" panose="020F0502020204030204" pitchFamily="34" charset="0"/>
            </a:defRPr>
          </a:pPr>
          <a:endParaRPr lang="en-US"/>
        </a:p>
      </c:txPr>
    </c:title>
    <c:autoTitleDeleted val="0"/>
    <c:plotArea>
      <c:layout>
        <c:manualLayout>
          <c:layoutTarget val="inner"/>
          <c:xMode val="edge"/>
          <c:yMode val="edge"/>
          <c:x val="0.24139889882054621"/>
          <c:y val="7.605822710738129E-2"/>
          <c:w val="0.64608520190682783"/>
          <c:h val="0.82053270755908658"/>
        </c:manualLayout>
      </c:layout>
      <c:barChart>
        <c:barDir val="bar"/>
        <c:grouping val="clustered"/>
        <c:varyColors val="0"/>
        <c:ser>
          <c:idx val="0"/>
          <c:order val="1"/>
          <c:tx>
            <c:strRef>
              <c:f>Margins!$I$58</c:f>
              <c:strCache>
                <c:ptCount val="1"/>
                <c:pt idx="0">
                  <c:v>FYE</c:v>
                </c:pt>
              </c:strCache>
            </c:strRef>
          </c:tx>
          <c:spPr>
            <a:solidFill>
              <a:schemeClr val="accent1"/>
            </a:solidFill>
            <a:ln>
              <a:noFill/>
            </a:ln>
            <a:effectLst/>
          </c:spPr>
          <c:invertIfNegative val="0"/>
          <c:cat>
            <c:multiLvlStrRef>
              <c:f>Margins!GPCEBITDALABEL</c:f>
            </c:multiLvlStrRef>
          </c:cat>
          <c:val>
            <c:numRef>
              <c:f>Margins!GPCEBITDAFYE</c:f>
              <c:numCache>
                <c:formatCode>0.0%</c:formatCode>
                <c:ptCount val="10"/>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3E5F-41E6-A1B9-CFCF41735807}"/>
            </c:ext>
          </c:extLst>
        </c:ser>
        <c:ser>
          <c:idx val="1"/>
          <c:order val="2"/>
          <c:tx>
            <c:strRef>
              <c:f>Margins!$K$58</c:f>
              <c:strCache>
                <c:ptCount val="1"/>
                <c:pt idx="0">
                  <c:v>FYE + 1</c:v>
                </c:pt>
              </c:strCache>
            </c:strRef>
          </c:tx>
          <c:spPr>
            <a:solidFill>
              <a:schemeClr val="accent2"/>
            </a:solidFill>
            <a:ln>
              <a:noFill/>
            </a:ln>
            <a:effectLst/>
          </c:spPr>
          <c:invertIfNegative val="0"/>
          <c:cat>
            <c:multiLvlStrRef>
              <c:f>Margins!GPCEBITDALABEL</c:f>
            </c:multiLvlStrRef>
          </c:cat>
          <c:val>
            <c:numRef>
              <c:f>Margins!GPCEBITDAFYE1</c:f>
              <c:numCache>
                <c:formatCode>0.0%</c:formatCode>
                <c:ptCount val="31"/>
                <c:pt idx="1">
                  <c:v>0</c:v>
                </c:pt>
                <c:pt idx="2">
                  <c:v>0</c:v>
                </c:pt>
                <c:pt idx="3">
                  <c:v>0</c:v>
                </c:pt>
                <c:pt idx="4">
                  <c:v>0</c:v>
                </c:pt>
                <c:pt idx="5">
                  <c:v>0</c:v>
                </c:pt>
                <c:pt idx="6">
                  <c:v>0</c:v>
                </c:pt>
                <c:pt idx="7">
                  <c:v>0</c:v>
                </c:pt>
                <c:pt idx="8">
                  <c:v>0</c:v>
                </c:pt>
                <c:pt idx="9">
                  <c:v>0</c:v>
                </c:pt>
                <c:pt idx="30">
                  <c:v>0</c:v>
                </c:pt>
              </c:numCache>
            </c:numRef>
          </c:val>
          <c:extLst>
            <c:ext xmlns:c16="http://schemas.microsoft.com/office/drawing/2014/chart" uri="{C3380CC4-5D6E-409C-BE32-E72D297353CC}">
              <c16:uniqueId val="{00000001-3E5F-41E6-A1B9-CFCF41735807}"/>
            </c:ext>
          </c:extLst>
        </c:ser>
        <c:dLbls>
          <c:showLegendKey val="0"/>
          <c:showVal val="0"/>
          <c:showCatName val="0"/>
          <c:showSerName val="0"/>
          <c:showPercent val="0"/>
          <c:showBubbleSize val="0"/>
        </c:dLbls>
        <c:gapWidth val="182"/>
        <c:axId val="919334064"/>
        <c:axId val="919327832"/>
      </c:barChart>
      <c:scatterChart>
        <c:scatterStyle val="lineMarker"/>
        <c:varyColors val="0"/>
        <c:ser>
          <c:idx val="2"/>
          <c:order val="0"/>
          <c:tx>
            <c:strRef>
              <c:f>Margins!$V$57</c:f>
              <c:strCache>
                <c:ptCount val="1"/>
                <c:pt idx="0">
                  <c:v>Median</c:v>
                </c:pt>
              </c:strCache>
            </c:strRef>
          </c:tx>
          <c:spPr>
            <a:ln w="19050" cap="rnd">
              <a:solidFill>
                <a:srgbClr val="7030A0"/>
              </a:solidFill>
              <a:prstDash val="dash"/>
              <a:round/>
            </a:ln>
            <a:effectLst/>
          </c:spPr>
          <c:marker>
            <c:symbol val="none"/>
          </c:marker>
          <c:xVal>
            <c:numRef>
              <c:f>Margins!$V$59:$V$60</c:f>
              <c:numCache>
                <c:formatCode>0.0%</c:formatCode>
                <c:ptCount val="2"/>
                <c:pt idx="0">
                  <c:v>0</c:v>
                </c:pt>
                <c:pt idx="1">
                  <c:v>0</c:v>
                </c:pt>
              </c:numCache>
            </c:numRef>
          </c:xVal>
          <c:yVal>
            <c:numRef>
              <c:f>Margins!$X$59:$X$60</c:f>
              <c:numCache>
                <c:formatCode>General</c:formatCode>
                <c:ptCount val="2"/>
                <c:pt idx="0">
                  <c:v>0</c:v>
                </c:pt>
                <c:pt idx="1">
                  <c:v>1.5</c:v>
                </c:pt>
              </c:numCache>
            </c:numRef>
          </c:yVal>
          <c:smooth val="0"/>
          <c:extLst>
            <c:ext xmlns:c16="http://schemas.microsoft.com/office/drawing/2014/chart" uri="{C3380CC4-5D6E-409C-BE32-E72D297353CC}">
              <c16:uniqueId val="{00000002-3E5F-41E6-A1B9-CFCF41735807}"/>
            </c:ext>
          </c:extLst>
        </c:ser>
        <c:dLbls>
          <c:showLegendKey val="0"/>
          <c:showVal val="0"/>
          <c:showCatName val="0"/>
          <c:showSerName val="0"/>
          <c:showPercent val="0"/>
          <c:showBubbleSize val="0"/>
        </c:dLbls>
        <c:axId val="919902248"/>
        <c:axId val="919902576"/>
      </c:scatterChart>
      <c:valAx>
        <c:axId val="919902248"/>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919902576"/>
        <c:crosses val="autoZero"/>
        <c:crossBetween val="midCat"/>
      </c:valAx>
      <c:valAx>
        <c:axId val="919902576"/>
        <c:scaling>
          <c:orientation val="minMax"/>
          <c:max val="1"/>
        </c:scaling>
        <c:delete val="1"/>
        <c:axPos val="l"/>
        <c:numFmt formatCode="General" sourceLinked="1"/>
        <c:majorTickMark val="out"/>
        <c:minorTickMark val="none"/>
        <c:tickLblPos val="nextTo"/>
        <c:crossAx val="919902248"/>
        <c:crosses val="autoZero"/>
        <c:crossBetween val="midCat"/>
      </c:valAx>
      <c:valAx>
        <c:axId val="919327832"/>
        <c:scaling>
          <c:orientation val="minMax"/>
        </c:scaling>
        <c:delete val="1"/>
        <c:axPos val="t"/>
        <c:numFmt formatCode="0.0%" sourceLinked="1"/>
        <c:majorTickMark val="out"/>
        <c:minorTickMark val="none"/>
        <c:tickLblPos val="nextTo"/>
        <c:crossAx val="919334064"/>
        <c:crosses val="max"/>
        <c:crossBetween val="between"/>
      </c:valAx>
      <c:catAx>
        <c:axId val="919334064"/>
        <c:scaling>
          <c:orientation val="minMax"/>
        </c:scaling>
        <c:delete val="0"/>
        <c:axPos val="r"/>
        <c:numFmt formatCode="General" sourceLinked="1"/>
        <c:majorTickMark val="out"/>
        <c:minorTickMark val="none"/>
        <c:tickLblPos val="low"/>
        <c:spPr>
          <a:noFill/>
          <a:ln w="9525" cap="flat" cmpd="sng" algn="ctr">
            <a:noFill/>
            <a:round/>
          </a:ln>
          <a:effectLst/>
        </c:spPr>
        <c:txPr>
          <a:bodyPr rot="0" spcFirstLastPara="1" vertOverflow="ellipsis" wrap="square" anchor="ctr" anchorCtr="1"/>
          <a:lstStyle/>
          <a:p>
            <a:pPr>
              <a:defRPr sz="9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919327832"/>
        <c:crosses val="max"/>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2"/>
          </a:solidFill>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2"/>
                </a:solidFill>
                <a:latin typeface="Calibri" panose="020F0502020204030204" pitchFamily="34" charset="0"/>
                <a:ea typeface="+mn-ea"/>
                <a:cs typeface="Calibri" panose="020F0502020204030204" pitchFamily="34" charset="0"/>
              </a:defRPr>
            </a:pPr>
            <a:r>
              <a:rPr lang="en-GB" sz="1400" b="1"/>
              <a:t>GPC EBITDA margins (FYE &amp; FYE+1)</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solidFill>
              <a:latin typeface="Calibri" panose="020F0502020204030204" pitchFamily="34" charset="0"/>
              <a:ea typeface="+mn-ea"/>
              <a:cs typeface="Calibri" panose="020F0502020204030204" pitchFamily="34" charset="0"/>
            </a:defRPr>
          </a:pPr>
          <a:endParaRPr lang="en-US"/>
        </a:p>
      </c:txPr>
    </c:title>
    <c:autoTitleDeleted val="0"/>
    <c:plotArea>
      <c:layout>
        <c:manualLayout>
          <c:layoutTarget val="inner"/>
          <c:xMode val="edge"/>
          <c:yMode val="edge"/>
          <c:x val="0.24139889882054621"/>
          <c:y val="7.605822710738129E-2"/>
          <c:w val="0.64608520190682783"/>
          <c:h val="0.82053270755908658"/>
        </c:manualLayout>
      </c:layout>
      <c:barChart>
        <c:barDir val="bar"/>
        <c:grouping val="clustered"/>
        <c:varyColors val="0"/>
        <c:ser>
          <c:idx val="0"/>
          <c:order val="1"/>
          <c:tx>
            <c:strRef>
              <c:f>Margins!$I$58</c:f>
              <c:strCache>
                <c:ptCount val="1"/>
                <c:pt idx="0">
                  <c:v>FYE</c:v>
                </c:pt>
              </c:strCache>
            </c:strRef>
          </c:tx>
          <c:spPr>
            <a:solidFill>
              <a:schemeClr val="accent1"/>
            </a:solidFill>
            <a:ln>
              <a:noFill/>
            </a:ln>
            <a:effectLst/>
          </c:spPr>
          <c:invertIfNegative val="0"/>
          <c:cat>
            <c:multiLvlStrRef>
              <c:f>Margins!GPCEBITDALABEL</c:f>
            </c:multiLvlStrRef>
          </c:cat>
          <c:val>
            <c:numRef>
              <c:f>Margins!GPCEBITDAFYE</c:f>
              <c:numCache>
                <c:formatCode>0.0%</c:formatCode>
                <c:ptCount val="10"/>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558D-4B25-A772-213AB01A1DA9}"/>
            </c:ext>
          </c:extLst>
        </c:ser>
        <c:ser>
          <c:idx val="1"/>
          <c:order val="2"/>
          <c:tx>
            <c:strRef>
              <c:f>Margins!$K$58</c:f>
              <c:strCache>
                <c:ptCount val="1"/>
                <c:pt idx="0">
                  <c:v>FYE + 1</c:v>
                </c:pt>
              </c:strCache>
            </c:strRef>
          </c:tx>
          <c:spPr>
            <a:solidFill>
              <a:schemeClr val="accent2"/>
            </a:solidFill>
            <a:ln>
              <a:noFill/>
            </a:ln>
            <a:effectLst/>
          </c:spPr>
          <c:invertIfNegative val="0"/>
          <c:cat>
            <c:multiLvlStrRef>
              <c:f>Margins!GPCEBITDALABEL</c:f>
            </c:multiLvlStrRef>
          </c:cat>
          <c:val>
            <c:numRef>
              <c:f>Margins!GPCEBITDAFYE1</c:f>
              <c:numCache>
                <c:formatCode>0.0%</c:formatCode>
                <c:ptCount val="31"/>
                <c:pt idx="1">
                  <c:v>0</c:v>
                </c:pt>
                <c:pt idx="2">
                  <c:v>0</c:v>
                </c:pt>
                <c:pt idx="3">
                  <c:v>0</c:v>
                </c:pt>
                <c:pt idx="4">
                  <c:v>0</c:v>
                </c:pt>
                <c:pt idx="5">
                  <c:v>0</c:v>
                </c:pt>
                <c:pt idx="6">
                  <c:v>0</c:v>
                </c:pt>
                <c:pt idx="7">
                  <c:v>0</c:v>
                </c:pt>
                <c:pt idx="8">
                  <c:v>0</c:v>
                </c:pt>
                <c:pt idx="9">
                  <c:v>0</c:v>
                </c:pt>
                <c:pt idx="30">
                  <c:v>0</c:v>
                </c:pt>
              </c:numCache>
            </c:numRef>
          </c:val>
          <c:extLst>
            <c:ext xmlns:c16="http://schemas.microsoft.com/office/drawing/2014/chart" uri="{C3380CC4-5D6E-409C-BE32-E72D297353CC}">
              <c16:uniqueId val="{00000001-558D-4B25-A772-213AB01A1DA9}"/>
            </c:ext>
          </c:extLst>
        </c:ser>
        <c:dLbls>
          <c:showLegendKey val="0"/>
          <c:showVal val="0"/>
          <c:showCatName val="0"/>
          <c:showSerName val="0"/>
          <c:showPercent val="0"/>
          <c:showBubbleSize val="0"/>
        </c:dLbls>
        <c:gapWidth val="182"/>
        <c:axId val="919334064"/>
        <c:axId val="919327832"/>
      </c:barChart>
      <c:scatterChart>
        <c:scatterStyle val="lineMarker"/>
        <c:varyColors val="0"/>
        <c:ser>
          <c:idx val="2"/>
          <c:order val="0"/>
          <c:tx>
            <c:strRef>
              <c:f>Margins!$V$57</c:f>
              <c:strCache>
                <c:ptCount val="1"/>
                <c:pt idx="0">
                  <c:v>Median</c:v>
                </c:pt>
              </c:strCache>
            </c:strRef>
          </c:tx>
          <c:spPr>
            <a:ln w="19050" cap="rnd">
              <a:solidFill>
                <a:srgbClr val="7030A0"/>
              </a:solidFill>
              <a:prstDash val="dash"/>
              <a:round/>
            </a:ln>
            <a:effectLst/>
          </c:spPr>
          <c:marker>
            <c:symbol val="none"/>
          </c:marker>
          <c:xVal>
            <c:numRef>
              <c:f>Margins!$V$59:$V$60</c:f>
              <c:numCache>
                <c:formatCode>0.0%</c:formatCode>
                <c:ptCount val="2"/>
                <c:pt idx="0">
                  <c:v>0</c:v>
                </c:pt>
                <c:pt idx="1">
                  <c:v>0</c:v>
                </c:pt>
              </c:numCache>
            </c:numRef>
          </c:xVal>
          <c:yVal>
            <c:numRef>
              <c:f>Margins!$X$59:$X$60</c:f>
              <c:numCache>
                <c:formatCode>General</c:formatCode>
                <c:ptCount val="2"/>
                <c:pt idx="0">
                  <c:v>0</c:v>
                </c:pt>
                <c:pt idx="1">
                  <c:v>1.5</c:v>
                </c:pt>
              </c:numCache>
            </c:numRef>
          </c:yVal>
          <c:smooth val="0"/>
          <c:extLst>
            <c:ext xmlns:c16="http://schemas.microsoft.com/office/drawing/2014/chart" uri="{C3380CC4-5D6E-409C-BE32-E72D297353CC}">
              <c16:uniqueId val="{00000002-558D-4B25-A772-213AB01A1DA9}"/>
            </c:ext>
          </c:extLst>
        </c:ser>
        <c:dLbls>
          <c:showLegendKey val="0"/>
          <c:showVal val="0"/>
          <c:showCatName val="0"/>
          <c:showSerName val="0"/>
          <c:showPercent val="0"/>
          <c:showBubbleSize val="0"/>
        </c:dLbls>
        <c:axId val="919902248"/>
        <c:axId val="919902576"/>
      </c:scatterChart>
      <c:valAx>
        <c:axId val="919902248"/>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919902576"/>
        <c:crosses val="autoZero"/>
        <c:crossBetween val="midCat"/>
      </c:valAx>
      <c:valAx>
        <c:axId val="919902576"/>
        <c:scaling>
          <c:orientation val="minMax"/>
          <c:max val="1"/>
        </c:scaling>
        <c:delete val="1"/>
        <c:axPos val="l"/>
        <c:numFmt formatCode="General" sourceLinked="1"/>
        <c:majorTickMark val="out"/>
        <c:minorTickMark val="none"/>
        <c:tickLblPos val="nextTo"/>
        <c:crossAx val="919902248"/>
        <c:crosses val="autoZero"/>
        <c:crossBetween val="midCat"/>
      </c:valAx>
      <c:valAx>
        <c:axId val="919327832"/>
        <c:scaling>
          <c:orientation val="minMax"/>
        </c:scaling>
        <c:delete val="1"/>
        <c:axPos val="t"/>
        <c:numFmt formatCode="0.0%" sourceLinked="1"/>
        <c:majorTickMark val="out"/>
        <c:minorTickMark val="none"/>
        <c:tickLblPos val="nextTo"/>
        <c:crossAx val="919334064"/>
        <c:crosses val="max"/>
        <c:crossBetween val="between"/>
      </c:valAx>
      <c:catAx>
        <c:axId val="919334064"/>
        <c:scaling>
          <c:orientation val="minMax"/>
        </c:scaling>
        <c:delete val="0"/>
        <c:axPos val="r"/>
        <c:numFmt formatCode="General" sourceLinked="1"/>
        <c:majorTickMark val="out"/>
        <c:minorTickMark val="none"/>
        <c:tickLblPos val="low"/>
        <c:spPr>
          <a:noFill/>
          <a:ln w="9525" cap="flat" cmpd="sng" algn="ctr">
            <a:noFill/>
            <a:round/>
          </a:ln>
          <a:effectLst/>
        </c:spPr>
        <c:txPr>
          <a:bodyPr rot="0" spcFirstLastPara="1" vertOverflow="ellipsis" wrap="square" anchor="ctr" anchorCtr="1"/>
          <a:lstStyle/>
          <a:p>
            <a:pPr>
              <a:defRPr sz="9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919327832"/>
        <c:crosses val="max"/>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2"/>
          </a:solidFill>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WC as a % of revenue (FYE)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'Capex, Dep, WC'!$D$111:$D$117</c:f>
              <c:strCache>
                <c:ptCount val="7"/>
                <c:pt idx="0">
                  <c:v> Comp 1 </c:v>
                </c:pt>
                <c:pt idx="1">
                  <c:v> Comp 2 </c:v>
                </c:pt>
                <c:pt idx="2">
                  <c:v> Comp 3 </c:v>
                </c:pt>
                <c:pt idx="3">
                  <c:v> Comp 4 </c:v>
                </c:pt>
                <c:pt idx="4">
                  <c:v> Comp 5 </c:v>
                </c:pt>
                <c:pt idx="5">
                  <c:v> Comp 6 </c:v>
                </c:pt>
                <c:pt idx="6">
                  <c:v> Comp 7 </c:v>
                </c:pt>
              </c:strCache>
            </c:strRef>
          </c:cat>
          <c:val>
            <c:numRef>
              <c:f>'Capex, Dep, WC'!$I$111:$I$117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371C-4F0C-B7C5-EAC1F3B522FB}"/>
            </c:ext>
          </c:extLst>
        </c:ser>
        <c:dLbls>
          <c:showLegendKey val="0"/>
          <c:showVal val="0"/>
          <c:showCatName val="0"/>
          <c:showSerName val="0"/>
          <c:showPercent val="0"/>
          <c:showBubbleSize val="0"/>
        </c:dLbls>
        <c:gapWidth val="219"/>
        <c:overlap val="-27"/>
        <c:axId val="1731872719"/>
        <c:axId val="1702548431"/>
      </c:barChart>
      <c:catAx>
        <c:axId val="1731872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548431"/>
        <c:crosses val="autoZero"/>
        <c:auto val="1"/>
        <c:lblAlgn val="ctr"/>
        <c:lblOffset val="100"/>
        <c:noMultiLvlLbl val="0"/>
      </c:catAx>
      <c:valAx>
        <c:axId val="170254843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1872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chart" Target="../charts/chart22.xml"/><Relationship Id="rId18" Type="http://schemas.microsoft.com/office/2007/relationships/hdphoto" Target="../media/hdphoto1.wdp"/><Relationship Id="rId26" Type="http://schemas.openxmlformats.org/officeDocument/2006/relationships/image" Target="../media/image15.svg"/><Relationship Id="rId3" Type="http://schemas.openxmlformats.org/officeDocument/2006/relationships/chart" Target="../charts/chart16.xml"/><Relationship Id="rId21" Type="http://schemas.openxmlformats.org/officeDocument/2006/relationships/image" Target="../media/image10.png"/><Relationship Id="rId7" Type="http://schemas.openxmlformats.org/officeDocument/2006/relationships/image" Target="../media/image6.emf"/><Relationship Id="rId12" Type="http://schemas.openxmlformats.org/officeDocument/2006/relationships/chart" Target="../charts/chart21.xml"/><Relationship Id="rId17" Type="http://schemas.openxmlformats.org/officeDocument/2006/relationships/image" Target="../media/image8.png"/><Relationship Id="rId25" Type="http://schemas.openxmlformats.org/officeDocument/2006/relationships/image" Target="../media/image14.png"/><Relationship Id="rId2" Type="http://schemas.openxmlformats.org/officeDocument/2006/relationships/image" Target="../media/image2.png"/><Relationship Id="rId16" Type="http://schemas.openxmlformats.org/officeDocument/2006/relationships/chart" Target="../charts/chart24.xml"/><Relationship Id="rId20" Type="http://schemas.microsoft.com/office/2007/relationships/hdphoto" Target="../media/hdphoto2.wdp"/><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20.xml"/><Relationship Id="rId24" Type="http://schemas.openxmlformats.org/officeDocument/2006/relationships/image" Target="../media/image13.svg"/><Relationship Id="rId5" Type="http://schemas.openxmlformats.org/officeDocument/2006/relationships/image" Target="../media/image4.png"/><Relationship Id="rId15" Type="http://schemas.openxmlformats.org/officeDocument/2006/relationships/image" Target="../media/image7.emf"/><Relationship Id="rId23" Type="http://schemas.openxmlformats.org/officeDocument/2006/relationships/image" Target="../media/image12.png"/><Relationship Id="rId28" Type="http://schemas.openxmlformats.org/officeDocument/2006/relationships/image" Target="../media/image17.svg"/><Relationship Id="rId10" Type="http://schemas.openxmlformats.org/officeDocument/2006/relationships/chart" Target="../charts/chart19.xml"/><Relationship Id="rId19" Type="http://schemas.openxmlformats.org/officeDocument/2006/relationships/image" Target="../media/image9.png"/><Relationship Id="rId4" Type="http://schemas.openxmlformats.org/officeDocument/2006/relationships/image" Target="../media/image3.emf"/><Relationship Id="rId9" Type="http://schemas.openxmlformats.org/officeDocument/2006/relationships/chart" Target="../charts/chart18.xml"/><Relationship Id="rId14" Type="http://schemas.openxmlformats.org/officeDocument/2006/relationships/chart" Target="../charts/chart23.xml"/><Relationship Id="rId22" Type="http://schemas.openxmlformats.org/officeDocument/2006/relationships/image" Target="../media/image11.svg"/><Relationship Id="rId27" Type="http://schemas.openxmlformats.org/officeDocument/2006/relationships/image" Target="../media/image1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1.xml"/></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1</xdr:col>
      <xdr:colOff>175260</xdr:colOff>
      <xdr:row>5</xdr:row>
      <xdr:rowOff>76200</xdr:rowOff>
    </xdr:from>
    <xdr:to>
      <xdr:col>9</xdr:col>
      <xdr:colOff>236220</xdr:colOff>
      <xdr:row>17</xdr:row>
      <xdr:rowOff>53340</xdr:rowOff>
    </xdr:to>
    <xdr:graphicFrame macro="">
      <xdr:nvGraphicFramePr>
        <xdr:cNvPr id="2" name="Chart 1">
          <a:extLst>
            <a:ext uri="{FF2B5EF4-FFF2-40B4-BE49-F238E27FC236}">
              <a16:creationId xmlns:a16="http://schemas.microsoft.com/office/drawing/2014/main" id="{3E2A494C-1CB3-48B6-8882-349B2445E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373380</xdr:colOff>
      <xdr:row>5</xdr:row>
      <xdr:rowOff>60961</xdr:rowOff>
    </xdr:from>
    <xdr:to>
      <xdr:col>16</xdr:col>
      <xdr:colOff>716280</xdr:colOff>
      <xdr:row>17</xdr:row>
      <xdr:rowOff>45721</xdr:rowOff>
    </xdr:to>
    <xdr:graphicFrame macro="">
      <xdr:nvGraphicFramePr>
        <xdr:cNvPr id="3" name="Chart 2">
          <a:extLst>
            <a:ext uri="{FF2B5EF4-FFF2-40B4-BE49-F238E27FC236}">
              <a16:creationId xmlns:a16="http://schemas.microsoft.com/office/drawing/2014/main" id="{711F8A70-2197-4E2B-835C-83AE79CDF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28</xdr:row>
      <xdr:rowOff>64770</xdr:rowOff>
    </xdr:from>
    <xdr:to>
      <xdr:col>6</xdr:col>
      <xdr:colOff>182880</xdr:colOff>
      <xdr:row>42</xdr:row>
      <xdr:rowOff>140970</xdr:rowOff>
    </xdr:to>
    <xdr:graphicFrame macro="">
      <xdr:nvGraphicFramePr>
        <xdr:cNvPr id="2" name="Chart 1">
          <a:extLst>
            <a:ext uri="{FF2B5EF4-FFF2-40B4-BE49-F238E27FC236}">
              <a16:creationId xmlns:a16="http://schemas.microsoft.com/office/drawing/2014/main" id="{40C44C29-1437-9695-31B2-457ACEB3DC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266700</xdr:colOff>
      <xdr:row>28</xdr:row>
      <xdr:rowOff>64770</xdr:rowOff>
    </xdr:from>
    <xdr:to>
      <xdr:col>13</xdr:col>
      <xdr:colOff>542636</xdr:colOff>
      <xdr:row>42</xdr:row>
      <xdr:rowOff>140970</xdr:rowOff>
    </xdr:to>
    <xdr:graphicFrame macro="">
      <xdr:nvGraphicFramePr>
        <xdr:cNvPr id="3" name="Chart 2">
          <a:extLst>
            <a:ext uri="{FF2B5EF4-FFF2-40B4-BE49-F238E27FC236}">
              <a16:creationId xmlns:a16="http://schemas.microsoft.com/office/drawing/2014/main" id="{E8A6BA79-352C-F512-414B-8D68BA2292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255385</xdr:colOff>
      <xdr:row>51</xdr:row>
      <xdr:rowOff>34635</xdr:rowOff>
    </xdr:from>
    <xdr:to>
      <xdr:col>12</xdr:col>
      <xdr:colOff>438265</xdr:colOff>
      <xdr:row>60</xdr:row>
      <xdr:rowOff>23090</xdr:rowOff>
    </xdr:to>
    <xdr:graphicFrame macro="">
      <xdr:nvGraphicFramePr>
        <xdr:cNvPr id="4" name="Chart 3">
          <a:extLst>
            <a:ext uri="{FF2B5EF4-FFF2-40B4-BE49-F238E27FC236}">
              <a16:creationId xmlns:a16="http://schemas.microsoft.com/office/drawing/2014/main" id="{64EEF5F2-12F6-5E20-782F-593C9A20C5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123604</xdr:colOff>
      <xdr:row>51</xdr:row>
      <xdr:rowOff>34295</xdr:rowOff>
    </xdr:from>
    <xdr:to>
      <xdr:col>6</xdr:col>
      <xdr:colOff>179635</xdr:colOff>
      <xdr:row>60</xdr:row>
      <xdr:rowOff>23020</xdr:rowOff>
    </xdr:to>
    <xdr:graphicFrame macro="">
      <xdr:nvGraphicFramePr>
        <xdr:cNvPr id="5" name="Chart 4">
          <a:extLst>
            <a:ext uri="{FF2B5EF4-FFF2-40B4-BE49-F238E27FC236}">
              <a16:creationId xmlns:a16="http://schemas.microsoft.com/office/drawing/2014/main" id="{4AAFC05A-324B-4FF6-9D1A-66F343B2F2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5602</xdr:colOff>
      <xdr:row>70</xdr:row>
      <xdr:rowOff>62754</xdr:rowOff>
    </xdr:from>
    <xdr:to>
      <xdr:col>13</xdr:col>
      <xdr:colOff>611909</xdr:colOff>
      <xdr:row>81</xdr:row>
      <xdr:rowOff>100854</xdr:rowOff>
    </xdr:to>
    <xdr:graphicFrame macro="">
      <xdr:nvGraphicFramePr>
        <xdr:cNvPr id="8" name="Chart 7">
          <a:extLst>
            <a:ext uri="{FF2B5EF4-FFF2-40B4-BE49-F238E27FC236}">
              <a16:creationId xmlns:a16="http://schemas.microsoft.com/office/drawing/2014/main" id="{2606F36B-8FB1-8D21-A3EB-0E0DD7B137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16808</xdr:colOff>
      <xdr:row>96</xdr:row>
      <xdr:rowOff>44824</xdr:rowOff>
    </xdr:from>
    <xdr:to>
      <xdr:col>7</xdr:col>
      <xdr:colOff>537882</xdr:colOff>
      <xdr:row>106</xdr:row>
      <xdr:rowOff>105336</xdr:rowOff>
    </xdr:to>
    <xdr:graphicFrame macro="">
      <xdr:nvGraphicFramePr>
        <xdr:cNvPr id="9" name="Chart 8">
          <a:extLst>
            <a:ext uri="{FF2B5EF4-FFF2-40B4-BE49-F238E27FC236}">
              <a16:creationId xmlns:a16="http://schemas.microsoft.com/office/drawing/2014/main" id="{E3A89555-DA6C-9E66-D08D-887B03FD5A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22411</xdr:colOff>
      <xdr:row>83</xdr:row>
      <xdr:rowOff>0</xdr:rowOff>
    </xdr:from>
    <xdr:to>
      <xdr:col>12</xdr:col>
      <xdr:colOff>565898</xdr:colOff>
      <xdr:row>95</xdr:row>
      <xdr:rowOff>121023</xdr:rowOff>
    </xdr:to>
    <xdr:graphicFrame macro="">
      <xdr:nvGraphicFramePr>
        <xdr:cNvPr id="10" name="Chart 9">
          <a:extLst>
            <a:ext uri="{FF2B5EF4-FFF2-40B4-BE49-F238E27FC236}">
              <a16:creationId xmlns:a16="http://schemas.microsoft.com/office/drawing/2014/main" id="{43CAAF34-D28F-41B5-996E-1B3B8400A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112058</xdr:colOff>
      <xdr:row>7</xdr:row>
      <xdr:rowOff>22411</xdr:rowOff>
    </xdr:from>
    <xdr:to>
      <xdr:col>6</xdr:col>
      <xdr:colOff>560294</xdr:colOff>
      <xdr:row>16</xdr:row>
      <xdr:rowOff>56029</xdr:rowOff>
    </xdr:to>
    <xdr:graphicFrame macro="">
      <xdr:nvGraphicFramePr>
        <xdr:cNvPr id="11" name="Chart 10">
          <a:extLst>
            <a:ext uri="{FF2B5EF4-FFF2-40B4-BE49-F238E27FC236}">
              <a16:creationId xmlns:a16="http://schemas.microsoft.com/office/drawing/2014/main" id="{44F9ABC1-1FE6-3D46-9C8B-C53B7DEF1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168088</xdr:colOff>
      <xdr:row>7</xdr:row>
      <xdr:rowOff>22412</xdr:rowOff>
    </xdr:from>
    <xdr:to>
      <xdr:col>12</xdr:col>
      <xdr:colOff>616324</xdr:colOff>
      <xdr:row>16</xdr:row>
      <xdr:rowOff>56030</xdr:rowOff>
    </xdr:to>
    <xdr:graphicFrame macro="">
      <xdr:nvGraphicFramePr>
        <xdr:cNvPr id="12" name="Chart 11">
          <a:extLst>
            <a:ext uri="{FF2B5EF4-FFF2-40B4-BE49-F238E27FC236}">
              <a16:creationId xmlns:a16="http://schemas.microsoft.com/office/drawing/2014/main" id="{775588D1-865C-4953-AD4C-FF6B8133B6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17</xdr:row>
      <xdr:rowOff>0</xdr:rowOff>
    </xdr:from>
    <xdr:to>
      <xdr:col>6</xdr:col>
      <xdr:colOff>448236</xdr:colOff>
      <xdr:row>26</xdr:row>
      <xdr:rowOff>33618</xdr:rowOff>
    </xdr:to>
    <xdr:graphicFrame macro="">
      <xdr:nvGraphicFramePr>
        <xdr:cNvPr id="13" name="Chart 12">
          <a:extLst>
            <a:ext uri="{FF2B5EF4-FFF2-40B4-BE49-F238E27FC236}">
              <a16:creationId xmlns:a16="http://schemas.microsoft.com/office/drawing/2014/main" id="{4F4A48A1-5406-4A7E-96A0-24249736B4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56030</xdr:colOff>
      <xdr:row>17</xdr:row>
      <xdr:rowOff>1</xdr:rowOff>
    </xdr:from>
    <xdr:to>
      <xdr:col>12</xdr:col>
      <xdr:colOff>504266</xdr:colOff>
      <xdr:row>26</xdr:row>
      <xdr:rowOff>33619</xdr:rowOff>
    </xdr:to>
    <xdr:graphicFrame macro="">
      <xdr:nvGraphicFramePr>
        <xdr:cNvPr id="14" name="Chart 13">
          <a:extLst>
            <a:ext uri="{FF2B5EF4-FFF2-40B4-BE49-F238E27FC236}">
              <a16:creationId xmlns:a16="http://schemas.microsoft.com/office/drawing/2014/main" id="{013F7C8B-9150-4A5D-8166-E6F55FC23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34636</xdr:colOff>
      <xdr:row>43</xdr:row>
      <xdr:rowOff>8082</xdr:rowOff>
    </xdr:from>
    <xdr:to>
      <xdr:col>12</xdr:col>
      <xdr:colOff>473363</xdr:colOff>
      <xdr:row>50</xdr:row>
      <xdr:rowOff>173182</xdr:rowOff>
    </xdr:to>
    <xdr:graphicFrame macro="">
      <xdr:nvGraphicFramePr>
        <xdr:cNvPr id="6" name="Chart 5">
          <a:extLst>
            <a:ext uri="{FF2B5EF4-FFF2-40B4-BE49-F238E27FC236}">
              <a16:creationId xmlns:a16="http://schemas.microsoft.com/office/drawing/2014/main" id="{7F7F93AE-649D-82BE-8BEA-149EE72013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132773</xdr:colOff>
      <xdr:row>60</xdr:row>
      <xdr:rowOff>60036</xdr:rowOff>
    </xdr:from>
    <xdr:to>
      <xdr:col>12</xdr:col>
      <xdr:colOff>381000</xdr:colOff>
      <xdr:row>68</xdr:row>
      <xdr:rowOff>138546</xdr:rowOff>
    </xdr:to>
    <xdr:graphicFrame macro="">
      <xdr:nvGraphicFramePr>
        <xdr:cNvPr id="7" name="Chart 6">
          <a:extLst>
            <a:ext uri="{FF2B5EF4-FFF2-40B4-BE49-F238E27FC236}">
              <a16:creationId xmlns:a16="http://schemas.microsoft.com/office/drawing/2014/main" id="{1849C92D-A09C-3B4F-11D1-5D8D8C67A9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10888</xdr:colOff>
      <xdr:row>1</xdr:row>
      <xdr:rowOff>163284</xdr:rowOff>
    </xdr:from>
    <xdr:to>
      <xdr:col>4</xdr:col>
      <xdr:colOff>3062112</xdr:colOff>
      <xdr:row>45</xdr:row>
      <xdr:rowOff>163285</xdr:rowOff>
    </xdr:to>
    <xdr:grpSp>
      <xdr:nvGrpSpPr>
        <xdr:cNvPr id="35" name="Group 34">
          <a:extLst>
            <a:ext uri="{FF2B5EF4-FFF2-40B4-BE49-F238E27FC236}">
              <a16:creationId xmlns:a16="http://schemas.microsoft.com/office/drawing/2014/main" id="{F216DD71-6391-BB1D-BD8D-B5BE3969D33B}"/>
            </a:ext>
          </a:extLst>
        </xdr:cNvPr>
        <xdr:cNvGrpSpPr/>
      </xdr:nvGrpSpPr>
      <xdr:grpSpPr>
        <a:xfrm>
          <a:off x="480614" y="328558"/>
          <a:ext cx="8931498" cy="7680891"/>
          <a:chOff x="-45718" y="-5516"/>
          <a:chExt cx="8854437" cy="6863516"/>
        </a:xfrm>
      </xdr:grpSpPr>
      <xdr:grpSp>
        <xdr:nvGrpSpPr>
          <xdr:cNvPr id="36" name="Group 35">
            <a:extLst>
              <a:ext uri="{FF2B5EF4-FFF2-40B4-BE49-F238E27FC236}">
                <a16:creationId xmlns:a16="http://schemas.microsoft.com/office/drawing/2014/main" id="{AB9CD257-40E4-EB5E-6089-7F11D3B39A17}"/>
              </a:ext>
            </a:extLst>
          </xdr:cNvPr>
          <xdr:cNvGrpSpPr/>
        </xdr:nvGrpSpPr>
        <xdr:grpSpPr>
          <a:xfrm>
            <a:off x="-45718" y="0"/>
            <a:ext cx="8854437" cy="6858000"/>
            <a:chOff x="1" y="0"/>
            <a:chExt cx="8854437" cy="6858000"/>
          </a:xfrm>
        </xdr:grpSpPr>
        <xdr:pic>
          <xdr:nvPicPr>
            <xdr:cNvPr id="45" name="Picture 44" descr="Circle PNG transparent image download, size: 1890x1890px">
              <a:extLst>
                <a:ext uri="{FF2B5EF4-FFF2-40B4-BE49-F238E27FC236}">
                  <a16:creationId xmlns:a16="http://schemas.microsoft.com/office/drawing/2014/main" id="{9B529E71-ADE0-CC63-E922-E15DD945575B}"/>
                </a:ext>
              </a:extLst>
            </xdr:cNvPr>
            <xdr:cNvPicPr>
              <a:picLocks noChangeAspect="1" noChangeArrowheads="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37303" t="22195" r="8713" b="33894"/>
            <a:stretch/>
          </xdr:blipFill>
          <xdr:spPr bwMode="auto">
            <a:xfrm>
              <a:off x="45719" y="0"/>
              <a:ext cx="8808719" cy="685800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6" name="Picture 45" descr="Circle PNG transparent image download, size: 1890x1890px">
              <a:extLst>
                <a:ext uri="{FF2B5EF4-FFF2-40B4-BE49-F238E27FC236}">
                  <a16:creationId xmlns:a16="http://schemas.microsoft.com/office/drawing/2014/main" id="{5F056582-C6E2-4A8E-90E6-8F610306B139}"/>
                </a:ext>
              </a:extLst>
            </xdr:cNvPr>
            <xdr:cNvPicPr>
              <a:picLocks noChangeAspect="1" noChangeArrowheads="1"/>
            </xdr:cNvPicPr>
          </xdr:nvPicPr>
          <xdr:blipFill rotWithShape="1">
            <a:blip xmlns:r="http://schemas.openxmlformats.org/officeDocument/2006/relationships" r:embed="rId1">
              <a:duotone>
                <a:schemeClr val="bg2">
                  <a:shade val="45000"/>
                  <a:satMod val="135000"/>
                </a:schemeClr>
                <a:prstClr val="white"/>
              </a:duotone>
              <a:extLst>
                <a:ext uri="{28A0092B-C50C-407E-A947-70E740481C1C}">
                  <a14:useLocalDpi xmlns:a14="http://schemas.microsoft.com/office/drawing/2010/main" val="0"/>
                </a:ext>
              </a:extLst>
            </a:blip>
            <a:srcRect l="34594" t="22195" r="8713" b="22065"/>
            <a:stretch/>
          </xdr:blipFill>
          <xdr:spPr bwMode="auto">
            <a:xfrm>
              <a:off x="1" y="0"/>
              <a:ext cx="8519158" cy="6858000"/>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37" name="Picture 36" descr="Circle PNG transparent image download, size: 1890x1890px">
            <a:extLst>
              <a:ext uri="{FF2B5EF4-FFF2-40B4-BE49-F238E27FC236}">
                <a16:creationId xmlns:a16="http://schemas.microsoft.com/office/drawing/2014/main" id="{22010847-0FFD-FF4C-DCD6-E1666C01580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002" t="24292" r="8123" b="16260"/>
          <a:stretch/>
        </xdr:blipFill>
        <xdr:spPr bwMode="auto">
          <a:xfrm>
            <a:off x="-45718" y="-5516"/>
            <a:ext cx="8183877" cy="686351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4441372</xdr:colOff>
      <xdr:row>100</xdr:row>
      <xdr:rowOff>21770</xdr:rowOff>
    </xdr:from>
    <xdr:to>
      <xdr:col>6</xdr:col>
      <xdr:colOff>2</xdr:colOff>
      <xdr:row>140</xdr:row>
      <xdr:rowOff>2128</xdr:rowOff>
    </xdr:to>
    <xdr:grpSp>
      <xdr:nvGrpSpPr>
        <xdr:cNvPr id="38" name="Group 37">
          <a:extLst>
            <a:ext uri="{FF2B5EF4-FFF2-40B4-BE49-F238E27FC236}">
              <a16:creationId xmlns:a16="http://schemas.microsoft.com/office/drawing/2014/main" id="{B3AD8E91-3E9C-AD7B-F110-1303DC55B7E7}"/>
            </a:ext>
          </a:extLst>
        </xdr:cNvPr>
        <xdr:cNvGrpSpPr/>
      </xdr:nvGrpSpPr>
      <xdr:grpSpPr>
        <a:xfrm>
          <a:off x="5041577" y="18132318"/>
          <a:ext cx="7006028" cy="6939262"/>
          <a:chOff x="4898570" y="999356"/>
          <a:chExt cx="7293430" cy="5858644"/>
        </a:xfrm>
      </xdr:grpSpPr>
      <xdr:pic>
        <xdr:nvPicPr>
          <xdr:cNvPr id="39" name="Picture 38" descr="Circle PNG transparent image download, size: 1890x1890px">
            <a:extLst>
              <a:ext uri="{FF2B5EF4-FFF2-40B4-BE49-F238E27FC236}">
                <a16:creationId xmlns:a16="http://schemas.microsoft.com/office/drawing/2014/main" id="{CBE09E7A-DB52-8BC3-552B-86685B5172D4}"/>
              </a:ext>
            </a:extLst>
          </xdr:cNvPr>
          <xdr:cNvPicPr>
            <a:picLocks noChangeAspect="1" noChangeArrowheads="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9003" t="8844" r="52766" b="50192"/>
          <a:stretch/>
        </xdr:blipFill>
        <xdr:spPr bwMode="auto">
          <a:xfrm>
            <a:off x="4898570" y="999356"/>
            <a:ext cx="7293429" cy="585864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0" name="Picture 39" descr="Circle PNG transparent image download, size: 1890x1890px">
            <a:extLst>
              <a:ext uri="{FF2B5EF4-FFF2-40B4-BE49-F238E27FC236}">
                <a16:creationId xmlns:a16="http://schemas.microsoft.com/office/drawing/2014/main" id="{2F992487-2266-D05B-BBD9-1ABDA1D53191}"/>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9003" t="8844" r="52766" b="50192"/>
          <a:stretch/>
        </xdr:blipFill>
        <xdr:spPr bwMode="auto">
          <a:xfrm>
            <a:off x="5355771" y="999356"/>
            <a:ext cx="6836229" cy="585864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xdr:col>
      <xdr:colOff>3145971</xdr:colOff>
      <xdr:row>63</xdr:row>
      <xdr:rowOff>98075</xdr:rowOff>
    </xdr:from>
    <xdr:to>
      <xdr:col>5</xdr:col>
      <xdr:colOff>0</xdr:colOff>
      <xdr:row>92</xdr:row>
      <xdr:rowOff>159243</xdr:rowOff>
    </xdr:to>
    <xdr:pic>
      <xdr:nvPicPr>
        <xdr:cNvPr id="34" name="Picture 33">
          <a:extLst>
            <a:ext uri="{FF2B5EF4-FFF2-40B4-BE49-F238E27FC236}">
              <a16:creationId xmlns:a16="http://schemas.microsoft.com/office/drawing/2014/main" id="{B25356AF-DC44-4C7D-C38C-E1739BD2A583}"/>
            </a:ext>
          </a:extLst>
        </xdr:cNvPr>
        <xdr:cNvPicPr>
          <a:picLocks noChangeAspect="1"/>
        </xdr:cNvPicPr>
      </xdr:nvPicPr>
      <xdr:blipFill rotWithShape="1">
        <a:blip xmlns:r="http://schemas.openxmlformats.org/officeDocument/2006/relationships" r:embed="rId2"/>
        <a:srcRect t="-1" r="36470" b="50179"/>
        <a:stretch/>
      </xdr:blipFill>
      <xdr:spPr>
        <a:xfrm>
          <a:off x="3766457" y="3222275"/>
          <a:ext cx="8360229" cy="5112139"/>
        </a:xfrm>
        <a:prstGeom prst="rect">
          <a:avLst/>
        </a:prstGeom>
      </xdr:spPr>
    </xdr:pic>
    <xdr:clientData/>
  </xdr:twoCellAnchor>
  <xdr:twoCellAnchor>
    <xdr:from>
      <xdr:col>4</xdr:col>
      <xdr:colOff>38583</xdr:colOff>
      <xdr:row>148</xdr:row>
      <xdr:rowOff>5</xdr:rowOff>
    </xdr:from>
    <xdr:to>
      <xdr:col>4</xdr:col>
      <xdr:colOff>5430456</xdr:colOff>
      <xdr:row>158</xdr:row>
      <xdr:rowOff>112103</xdr:rowOff>
    </xdr:to>
    <xdr:graphicFrame macro="">
      <xdr:nvGraphicFramePr>
        <xdr:cNvPr id="3" name="Chart 2">
          <a:extLst>
            <a:ext uri="{FF2B5EF4-FFF2-40B4-BE49-F238E27FC236}">
              <a16:creationId xmlns:a16="http://schemas.microsoft.com/office/drawing/2014/main" id="{2131A828-0A05-4014-9027-4CBA01DF9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7620</xdr:colOff>
          <xdr:row>161</xdr:row>
          <xdr:rowOff>79768</xdr:rowOff>
        </xdr:from>
        <xdr:to>
          <xdr:col>4</xdr:col>
          <xdr:colOff>5478839</xdr:colOff>
          <xdr:row>168</xdr:row>
          <xdr:rowOff>107388</xdr:rowOff>
        </xdr:to>
        <xdr:pic>
          <xdr:nvPicPr>
            <xdr:cNvPr id="5" name="Picture 4">
              <a:extLst>
                <a:ext uri="{FF2B5EF4-FFF2-40B4-BE49-F238E27FC236}">
                  <a16:creationId xmlns:a16="http://schemas.microsoft.com/office/drawing/2014/main" id="{9702DF71-1A0B-FCCE-1847-1465A811646F}"/>
                </a:ext>
              </a:extLst>
            </xdr:cNvPr>
            <xdr:cNvPicPr>
              <a:picLocks noChangeAspect="1" noChangeArrowheads="1"/>
              <a:extLst>
                <a:ext uri="{84589F7E-364E-4C9E-8A38-B11213B215E9}">
                  <a14:cameraTool cellRange="ValSum!$B$87:$F$96" spid="_x0000_s946628"/>
                </a:ext>
              </a:extLst>
            </xdr:cNvPicPr>
          </xdr:nvPicPr>
          <xdr:blipFill>
            <a:blip xmlns:r="http://schemas.openxmlformats.org/officeDocument/2006/relationships" r:embed="rId4"/>
            <a:srcRect/>
            <a:stretch>
              <a:fillRect/>
            </a:stretch>
          </xdr:blipFill>
          <xdr:spPr bwMode="auto">
            <a:xfrm>
              <a:off x="6209721" y="11461540"/>
              <a:ext cx="5471064" cy="1245443"/>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4</xdr:col>
      <xdr:colOff>4912881</xdr:colOff>
      <xdr:row>49</xdr:row>
      <xdr:rowOff>48228</xdr:rowOff>
    </xdr:from>
    <xdr:to>
      <xdr:col>4</xdr:col>
      <xdr:colOff>5573146</xdr:colOff>
      <xdr:row>51</xdr:row>
      <xdr:rowOff>76422</xdr:rowOff>
    </xdr:to>
    <xdr:pic>
      <xdr:nvPicPr>
        <xdr:cNvPr id="2" name="Graphic 1">
          <a:extLst>
            <a:ext uri="{FF2B5EF4-FFF2-40B4-BE49-F238E27FC236}">
              <a16:creationId xmlns:a16="http://schemas.microsoft.com/office/drawing/2014/main" id="{8206F316-2910-4B0B-6ABF-1DA0EFA4AF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29267" y="377273"/>
          <a:ext cx="663618" cy="764217"/>
        </a:xfrm>
        <a:prstGeom prst="rect">
          <a:avLst/>
        </a:prstGeom>
      </xdr:spPr>
    </xdr:pic>
    <xdr:clientData/>
  </xdr:twoCellAnchor>
  <xdr:twoCellAnchor editAs="oneCell">
    <xdr:from>
      <xdr:col>4</xdr:col>
      <xdr:colOff>4915843</xdr:colOff>
      <xdr:row>96</xdr:row>
      <xdr:rowOff>9646</xdr:rowOff>
    </xdr:from>
    <xdr:to>
      <xdr:col>4</xdr:col>
      <xdr:colOff>5576108</xdr:colOff>
      <xdr:row>98</xdr:row>
      <xdr:rowOff>17034</xdr:rowOff>
    </xdr:to>
    <xdr:pic>
      <xdr:nvPicPr>
        <xdr:cNvPr id="4" name="Graphic 3">
          <a:extLst>
            <a:ext uri="{FF2B5EF4-FFF2-40B4-BE49-F238E27FC236}">
              <a16:creationId xmlns:a16="http://schemas.microsoft.com/office/drawing/2014/main" id="{978FD7D8-1AB6-47B5-8BCA-9A3BB1117AB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2229" y="6573237"/>
          <a:ext cx="663618" cy="763450"/>
        </a:xfrm>
        <a:prstGeom prst="rect">
          <a:avLst/>
        </a:prstGeom>
      </xdr:spPr>
    </xdr:pic>
    <xdr:clientData/>
  </xdr:twoCellAnchor>
  <xdr:twoCellAnchor editAs="oneCell">
    <xdr:from>
      <xdr:col>4</xdr:col>
      <xdr:colOff>4912381</xdr:colOff>
      <xdr:row>142</xdr:row>
      <xdr:rowOff>153389</xdr:rowOff>
    </xdr:from>
    <xdr:to>
      <xdr:col>4</xdr:col>
      <xdr:colOff>5572646</xdr:colOff>
      <xdr:row>145</xdr:row>
      <xdr:rowOff>2155</xdr:rowOff>
    </xdr:to>
    <xdr:pic>
      <xdr:nvPicPr>
        <xdr:cNvPr id="7" name="Graphic 6">
          <a:extLst>
            <a:ext uri="{FF2B5EF4-FFF2-40B4-BE49-F238E27FC236}">
              <a16:creationId xmlns:a16="http://schemas.microsoft.com/office/drawing/2014/main" id="{F664A203-08B6-484D-8100-984C04F653D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28767" y="11488139"/>
          <a:ext cx="663618" cy="763450"/>
        </a:xfrm>
        <a:prstGeom prst="rect">
          <a:avLst/>
        </a:prstGeom>
      </xdr:spPr>
    </xdr:pic>
    <xdr:clientData/>
  </xdr:twoCellAnchor>
  <xdr:twoCellAnchor editAs="oneCell">
    <xdr:from>
      <xdr:col>4</xdr:col>
      <xdr:colOff>4908919</xdr:colOff>
      <xdr:row>190</xdr:row>
      <xdr:rowOff>20045</xdr:rowOff>
    </xdr:from>
    <xdr:to>
      <xdr:col>4</xdr:col>
      <xdr:colOff>5569184</xdr:colOff>
      <xdr:row>192</xdr:row>
      <xdr:rowOff>36584</xdr:rowOff>
    </xdr:to>
    <xdr:pic>
      <xdr:nvPicPr>
        <xdr:cNvPr id="8" name="Graphic 7">
          <a:extLst>
            <a:ext uri="{FF2B5EF4-FFF2-40B4-BE49-F238E27FC236}">
              <a16:creationId xmlns:a16="http://schemas.microsoft.com/office/drawing/2014/main" id="{1BBE3E5B-2812-4F94-AB32-8CD1E46CC1E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25305" y="19225909"/>
          <a:ext cx="663618" cy="763450"/>
        </a:xfrm>
        <a:prstGeom prst="rect">
          <a:avLst/>
        </a:prstGeom>
      </xdr:spPr>
    </xdr:pic>
    <xdr:clientData/>
  </xdr:twoCellAnchor>
  <xdr:twoCellAnchor editAs="oneCell">
    <xdr:from>
      <xdr:col>4</xdr:col>
      <xdr:colOff>4909756</xdr:colOff>
      <xdr:row>238</xdr:row>
      <xdr:rowOff>16127</xdr:rowOff>
    </xdr:from>
    <xdr:to>
      <xdr:col>4</xdr:col>
      <xdr:colOff>5570021</xdr:colOff>
      <xdr:row>240</xdr:row>
      <xdr:rowOff>32668</xdr:rowOff>
    </xdr:to>
    <xdr:pic>
      <xdr:nvPicPr>
        <xdr:cNvPr id="9" name="Graphic 8">
          <a:extLst>
            <a:ext uri="{FF2B5EF4-FFF2-40B4-BE49-F238E27FC236}">
              <a16:creationId xmlns:a16="http://schemas.microsoft.com/office/drawing/2014/main" id="{362FBFA3-610D-4CA1-82F7-7E23BB5C4CB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27079417"/>
          <a:ext cx="660265" cy="77713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15240</xdr:colOff>
          <xdr:row>248</xdr:row>
          <xdr:rowOff>22368</xdr:rowOff>
        </xdr:from>
        <xdr:to>
          <xdr:col>4</xdr:col>
          <xdr:colOff>5423218</xdr:colOff>
          <xdr:row>258</xdr:row>
          <xdr:rowOff>149551</xdr:rowOff>
        </xdr:to>
        <xdr:pic>
          <xdr:nvPicPr>
            <xdr:cNvPr id="10" name="Picture 9">
              <a:extLst>
                <a:ext uri="{FF2B5EF4-FFF2-40B4-BE49-F238E27FC236}">
                  <a16:creationId xmlns:a16="http://schemas.microsoft.com/office/drawing/2014/main" id="{127CC2B9-8D3B-5CCE-627F-06F452E362B1}"/>
                </a:ext>
              </a:extLst>
            </xdr:cNvPr>
            <xdr:cNvPicPr>
              <a:picLocks noChangeAspect="1" noChangeArrowheads="1"/>
              <a:extLst>
                <a:ext uri="{84589F7E-364E-4C9E-8A38-B11213B215E9}">
                  <a14:cameraTool cellRange="Sensitivities!$B$3:$S$14" spid="_x0000_s946629"/>
                </a:ext>
              </a:extLst>
            </xdr:cNvPicPr>
          </xdr:nvPicPr>
          <xdr:blipFill>
            <a:blip xmlns:r="http://schemas.openxmlformats.org/officeDocument/2006/relationships" r:embed="rId7"/>
            <a:srcRect/>
            <a:stretch>
              <a:fillRect/>
            </a:stretch>
          </xdr:blipFill>
          <xdr:spPr bwMode="auto">
            <a:xfrm>
              <a:off x="715788" y="29211884"/>
              <a:ext cx="11254986" cy="196546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oneCellAnchor>
    <xdr:from>
      <xdr:col>4</xdr:col>
      <xdr:colOff>4909756</xdr:colOff>
      <xdr:row>285</xdr:row>
      <xdr:rowOff>16127</xdr:rowOff>
    </xdr:from>
    <xdr:ext cx="660265" cy="777137"/>
    <xdr:pic>
      <xdr:nvPicPr>
        <xdr:cNvPr id="11" name="Graphic 10">
          <a:extLst>
            <a:ext uri="{FF2B5EF4-FFF2-40B4-BE49-F238E27FC236}">
              <a16:creationId xmlns:a16="http://schemas.microsoft.com/office/drawing/2014/main" id="{D53F9E58-80F3-47A4-90CE-419D82C70A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27079417"/>
          <a:ext cx="660265" cy="777137"/>
        </a:xfrm>
        <a:prstGeom prst="rect">
          <a:avLst/>
        </a:prstGeom>
      </xdr:spPr>
    </xdr:pic>
    <xdr:clientData/>
  </xdr:oneCellAnchor>
  <xdr:twoCellAnchor>
    <xdr:from>
      <xdr:col>4</xdr:col>
      <xdr:colOff>24580</xdr:colOff>
      <xdr:row>290</xdr:row>
      <xdr:rowOff>86033</xdr:rowOff>
    </xdr:from>
    <xdr:to>
      <xdr:col>4</xdr:col>
      <xdr:colOff>5444614</xdr:colOff>
      <xdr:row>308</xdr:row>
      <xdr:rowOff>135193</xdr:rowOff>
    </xdr:to>
    <xdr:graphicFrame macro="">
      <xdr:nvGraphicFramePr>
        <xdr:cNvPr id="13" name="Chart 12">
          <a:extLst>
            <a:ext uri="{FF2B5EF4-FFF2-40B4-BE49-F238E27FC236}">
              <a16:creationId xmlns:a16="http://schemas.microsoft.com/office/drawing/2014/main" id="{FE153E53-32BA-423F-9C55-0970065552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159775</xdr:colOff>
      <xdr:row>299</xdr:row>
      <xdr:rowOff>102993</xdr:rowOff>
    </xdr:from>
    <xdr:to>
      <xdr:col>3</xdr:col>
      <xdr:colOff>12290</xdr:colOff>
      <xdr:row>309</xdr:row>
      <xdr:rowOff>12291</xdr:rowOff>
    </xdr:to>
    <xdr:graphicFrame macro="">
      <xdr:nvGraphicFramePr>
        <xdr:cNvPr id="14" name="Chart 13">
          <a:extLst>
            <a:ext uri="{FF2B5EF4-FFF2-40B4-BE49-F238E27FC236}">
              <a16:creationId xmlns:a16="http://schemas.microsoft.com/office/drawing/2014/main" id="{333543CE-889E-4D19-8E26-80956B859C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159774</xdr:colOff>
      <xdr:row>290</xdr:row>
      <xdr:rowOff>122903</xdr:rowOff>
    </xdr:from>
    <xdr:to>
      <xdr:col>3</xdr:col>
      <xdr:colOff>12290</xdr:colOff>
      <xdr:row>299</xdr:row>
      <xdr:rowOff>73742</xdr:rowOff>
    </xdr:to>
    <xdr:graphicFrame macro="">
      <xdr:nvGraphicFramePr>
        <xdr:cNvPr id="15" name="Chart 14">
          <a:extLst>
            <a:ext uri="{FF2B5EF4-FFF2-40B4-BE49-F238E27FC236}">
              <a16:creationId xmlns:a16="http://schemas.microsoft.com/office/drawing/2014/main" id="{FE37D5F6-00BE-4D38-8D05-C7FADAB237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4</xdr:col>
      <xdr:colOff>4909756</xdr:colOff>
      <xdr:row>332</xdr:row>
      <xdr:rowOff>16127</xdr:rowOff>
    </xdr:from>
    <xdr:ext cx="660265" cy="777137"/>
    <xdr:pic>
      <xdr:nvPicPr>
        <xdr:cNvPr id="16" name="Graphic 15">
          <a:extLst>
            <a:ext uri="{FF2B5EF4-FFF2-40B4-BE49-F238E27FC236}">
              <a16:creationId xmlns:a16="http://schemas.microsoft.com/office/drawing/2014/main" id="{AB950275-EEA8-4951-B2F7-E62D1279E66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33703901"/>
          <a:ext cx="660265" cy="777137"/>
        </a:xfrm>
        <a:prstGeom prst="rect">
          <a:avLst/>
        </a:prstGeom>
      </xdr:spPr>
    </xdr:pic>
    <xdr:clientData/>
  </xdr:oneCellAnchor>
  <xdr:twoCellAnchor>
    <xdr:from>
      <xdr:col>4</xdr:col>
      <xdr:colOff>24581</xdr:colOff>
      <xdr:row>337</xdr:row>
      <xdr:rowOff>36871</xdr:rowOff>
    </xdr:from>
    <xdr:to>
      <xdr:col>4</xdr:col>
      <xdr:colOff>5432322</xdr:colOff>
      <xdr:row>352</xdr:row>
      <xdr:rowOff>49160</xdr:rowOff>
    </xdr:to>
    <xdr:graphicFrame macro="">
      <xdr:nvGraphicFramePr>
        <xdr:cNvPr id="20" name="Chart 19">
          <a:extLst>
            <a:ext uri="{FF2B5EF4-FFF2-40B4-BE49-F238E27FC236}">
              <a16:creationId xmlns:a16="http://schemas.microsoft.com/office/drawing/2014/main" id="{3D5C7C7C-1C00-45A0-898C-8984254C1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208935</xdr:colOff>
      <xdr:row>337</xdr:row>
      <xdr:rowOff>73741</xdr:rowOff>
    </xdr:from>
    <xdr:to>
      <xdr:col>3</xdr:col>
      <xdr:colOff>12290</xdr:colOff>
      <xdr:row>352</xdr:row>
      <xdr:rowOff>122902</xdr:rowOff>
    </xdr:to>
    <xdr:graphicFrame macro="">
      <xdr:nvGraphicFramePr>
        <xdr:cNvPr id="21" name="Chart 20">
          <a:extLst>
            <a:ext uri="{FF2B5EF4-FFF2-40B4-BE49-F238E27FC236}">
              <a16:creationId xmlns:a16="http://schemas.microsoft.com/office/drawing/2014/main" id="{9373724B-F19C-4756-87D4-A5C895536E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4</xdr:col>
      <xdr:colOff>4909756</xdr:colOff>
      <xdr:row>379</xdr:row>
      <xdr:rowOff>16127</xdr:rowOff>
    </xdr:from>
    <xdr:ext cx="660265" cy="777137"/>
    <xdr:pic>
      <xdr:nvPicPr>
        <xdr:cNvPr id="22" name="Graphic 21">
          <a:extLst>
            <a:ext uri="{FF2B5EF4-FFF2-40B4-BE49-F238E27FC236}">
              <a16:creationId xmlns:a16="http://schemas.microsoft.com/office/drawing/2014/main" id="{29C82028-EF99-4970-89AF-5CA67EB9343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40697095"/>
          <a:ext cx="660265" cy="777137"/>
        </a:xfrm>
        <a:prstGeom prst="rect">
          <a:avLst/>
        </a:prstGeom>
      </xdr:spPr>
    </xdr:pic>
    <xdr:clientData/>
  </xdr:oneCellAnchor>
  <xdr:twoCellAnchor>
    <xdr:from>
      <xdr:col>2</xdr:col>
      <xdr:colOff>12290</xdr:colOff>
      <xdr:row>384</xdr:row>
      <xdr:rowOff>73742</xdr:rowOff>
    </xdr:from>
    <xdr:to>
      <xdr:col>3</xdr:col>
      <xdr:colOff>0</xdr:colOff>
      <xdr:row>403</xdr:row>
      <xdr:rowOff>0</xdr:rowOff>
    </xdr:to>
    <xdr:graphicFrame macro="">
      <xdr:nvGraphicFramePr>
        <xdr:cNvPr id="25" name="Chart 24">
          <a:extLst>
            <a:ext uri="{FF2B5EF4-FFF2-40B4-BE49-F238E27FC236}">
              <a16:creationId xmlns:a16="http://schemas.microsoft.com/office/drawing/2014/main" id="{8F40706D-DCB6-4483-8592-178089625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xdr:colOff>
      <xdr:row>384</xdr:row>
      <xdr:rowOff>73741</xdr:rowOff>
    </xdr:from>
    <xdr:to>
      <xdr:col>4</xdr:col>
      <xdr:colOff>5469192</xdr:colOff>
      <xdr:row>402</xdr:row>
      <xdr:rowOff>147483</xdr:rowOff>
    </xdr:to>
    <xdr:graphicFrame macro="">
      <xdr:nvGraphicFramePr>
        <xdr:cNvPr id="26" name="Chart 25">
          <a:extLst>
            <a:ext uri="{FF2B5EF4-FFF2-40B4-BE49-F238E27FC236}">
              <a16:creationId xmlns:a16="http://schemas.microsoft.com/office/drawing/2014/main" id="{659008C3-A568-434D-9519-B2DDAAAD29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4</xdr:col>
      <xdr:colOff>4909756</xdr:colOff>
      <xdr:row>426</xdr:row>
      <xdr:rowOff>16127</xdr:rowOff>
    </xdr:from>
    <xdr:ext cx="660265" cy="777137"/>
    <xdr:pic>
      <xdr:nvPicPr>
        <xdr:cNvPr id="27" name="Graphic 26">
          <a:extLst>
            <a:ext uri="{FF2B5EF4-FFF2-40B4-BE49-F238E27FC236}">
              <a16:creationId xmlns:a16="http://schemas.microsoft.com/office/drawing/2014/main" id="{AAA1530B-65AA-4CB2-90CD-420566C1026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47690288"/>
          <a:ext cx="660265" cy="777137"/>
        </a:xfrm>
        <a:prstGeom prst="rect">
          <a:avLst/>
        </a:prstGeom>
      </xdr:spPr>
    </xdr:pic>
    <xdr:clientData/>
  </xdr:oneCellAnchor>
  <xdr:oneCellAnchor>
    <xdr:from>
      <xdr:col>4</xdr:col>
      <xdr:colOff>4909756</xdr:colOff>
      <xdr:row>473</xdr:row>
      <xdr:rowOff>16127</xdr:rowOff>
    </xdr:from>
    <xdr:ext cx="660265" cy="777137"/>
    <xdr:pic>
      <xdr:nvPicPr>
        <xdr:cNvPr id="30" name="Graphic 29">
          <a:extLst>
            <a:ext uri="{FF2B5EF4-FFF2-40B4-BE49-F238E27FC236}">
              <a16:creationId xmlns:a16="http://schemas.microsoft.com/office/drawing/2014/main" id="{02B1F306-C01B-424B-B5FD-259A1A9E069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37595" y="54683482"/>
          <a:ext cx="660265" cy="77713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518160</xdr:colOff>
          <xdr:row>478</xdr:row>
          <xdr:rowOff>45717</xdr:rowOff>
        </xdr:from>
        <xdr:to>
          <xdr:col>4</xdr:col>
          <xdr:colOff>5533670</xdr:colOff>
          <xdr:row>487</xdr:row>
          <xdr:rowOff>6874</xdr:rowOff>
        </xdr:to>
        <xdr:pic>
          <xdr:nvPicPr>
            <xdr:cNvPr id="31" name="Picture 30">
              <a:extLst>
                <a:ext uri="{FF2B5EF4-FFF2-40B4-BE49-F238E27FC236}">
                  <a16:creationId xmlns:a16="http://schemas.microsoft.com/office/drawing/2014/main" id="{7B8E8A8F-E232-17C6-6E3A-232F5290CE43}"/>
                </a:ext>
              </a:extLst>
            </xdr:cNvPr>
            <xdr:cNvPicPr>
              <a:picLocks noChangeAspect="1" noChangeArrowheads="1"/>
              <a:extLst>
                <a:ext uri="{84589F7E-364E-4C9E-8A38-B11213B215E9}">
                  <a14:cameraTool cellRange="ReportData!$O$19:$R$25" spid="_x0000_s946630"/>
                </a:ext>
              </a:extLst>
            </xdr:cNvPicPr>
          </xdr:nvPicPr>
          <xdr:blipFill>
            <a:blip xmlns:r="http://schemas.openxmlformats.org/officeDocument/2006/relationships" r:embed="rId15"/>
            <a:srcRect/>
            <a:stretch>
              <a:fillRect/>
            </a:stretch>
          </xdr:blipFill>
          <xdr:spPr bwMode="auto">
            <a:xfrm>
              <a:off x="6990456" y="71109273"/>
              <a:ext cx="5015510" cy="158312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2</xdr:col>
      <xdr:colOff>36871</xdr:colOff>
      <xdr:row>477</xdr:row>
      <xdr:rowOff>178584</xdr:rowOff>
    </xdr:from>
    <xdr:to>
      <xdr:col>3</xdr:col>
      <xdr:colOff>147483</xdr:colOff>
      <xdr:row>488</xdr:row>
      <xdr:rowOff>35772</xdr:rowOff>
    </xdr:to>
    <xdr:graphicFrame macro="">
      <xdr:nvGraphicFramePr>
        <xdr:cNvPr id="32" name="Chart 31">
          <a:extLst>
            <a:ext uri="{FF2B5EF4-FFF2-40B4-BE49-F238E27FC236}">
              <a16:creationId xmlns:a16="http://schemas.microsoft.com/office/drawing/2014/main" id="{4D4DD03C-42E2-41D9-8D1D-9C848C8A6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2</xdr:col>
      <xdr:colOff>56444</xdr:colOff>
      <xdr:row>243</xdr:row>
      <xdr:rowOff>28223</xdr:rowOff>
    </xdr:from>
    <xdr:ext cx="11317111" cy="766877"/>
    <xdr:sp macro="" textlink="">
      <xdr:nvSpPr>
        <xdr:cNvPr id="6" name="TextBox 5">
          <a:extLst>
            <a:ext uri="{FF2B5EF4-FFF2-40B4-BE49-F238E27FC236}">
              <a16:creationId xmlns:a16="http://schemas.microsoft.com/office/drawing/2014/main" id="{EA753F7D-CDDE-04ED-1272-A329A972DFEC}"/>
            </a:ext>
          </a:extLst>
        </xdr:cNvPr>
        <xdr:cNvSpPr txBox="1"/>
      </xdr:nvSpPr>
      <xdr:spPr>
        <a:xfrm>
          <a:off x="752592" y="32455556"/>
          <a:ext cx="11317111" cy="766877"/>
        </a:xfrm>
        <a:prstGeom prst="rect">
          <a:avLst/>
        </a:prstGeom>
        <a:noFill/>
      </xdr:spPr>
      <xdr:txBody>
        <a:bodyPr vertOverflow="clip" horzOverflow="clip" wrap="square" lIns="0" tIns="0" rIns="0" bIns="0" rtlCol="0" anchor="t">
          <a:spAutoFit/>
        </a:bodyPr>
        <a:lstStyle/>
        <a:p>
          <a:r>
            <a:rPr lang="en-US" sz="1000" b="0" i="0" kern="1200" dirty="0">
              <a:solidFill>
                <a:schemeClr val="tx1"/>
              </a:solidFill>
              <a:effectLst/>
              <a:latin typeface="Leelawadee" panose="020B0502040204020203" pitchFamily="34" charset="-34"/>
              <a:ea typeface="+mn-ea"/>
              <a:cs typeface="Leelawadee" panose="020B0502040204020203" pitchFamily="34" charset="-34"/>
            </a:rPr>
            <a:t>Within our valuation analysis, we have sense-checked the provided financial forecasts with current market averages based on the determined peers of the business, and highlighted discrepancies where applicable. </a:t>
          </a:r>
          <a:br>
            <a:rPr lang="en-US" sz="1000" b="0" i="0" kern="1200" dirty="0">
              <a:solidFill>
                <a:schemeClr val="tx1"/>
              </a:solidFill>
              <a:effectLst/>
              <a:latin typeface="Leelawadee" panose="020B0502040204020203" pitchFamily="34" charset="-34"/>
              <a:ea typeface="+mn-ea"/>
              <a:cs typeface="Leelawadee" panose="020B0502040204020203" pitchFamily="34" charset="-34"/>
            </a:rPr>
          </a:br>
          <a:br>
            <a:rPr lang="en-US" sz="1000" b="0" i="0" kern="1200" dirty="0">
              <a:solidFill>
                <a:schemeClr val="tx1"/>
              </a:solidFill>
              <a:effectLst/>
              <a:latin typeface="Leelawadee" panose="020B0502040204020203" pitchFamily="34" charset="-34"/>
              <a:ea typeface="+mn-ea"/>
              <a:cs typeface="Leelawadee" panose="020B0502040204020203" pitchFamily="34" charset="-34"/>
            </a:rPr>
          </a:br>
          <a:r>
            <a:rPr lang="en-US" sz="1000" b="0" i="0" kern="1200" dirty="0">
              <a:solidFill>
                <a:schemeClr val="tx1"/>
              </a:solidFill>
              <a:effectLst/>
              <a:latin typeface="Leelawadee" panose="020B0502040204020203" pitchFamily="34" charset="-34"/>
              <a:ea typeface="+mn-ea"/>
              <a:cs typeface="Leelawadee" panose="020B0502040204020203" pitchFamily="34" charset="-34"/>
            </a:rPr>
            <a:t>While the Management case may retain some of these discrepancies validated by Management rationale, the Valify case provides a pure market-aligned valuation by sensitizing all identified discrepancies to market-level.</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2</xdr:col>
      <xdr:colOff>37630</xdr:colOff>
      <xdr:row>71</xdr:row>
      <xdr:rowOff>9414</xdr:rowOff>
    </xdr:from>
    <xdr:ext cx="5635037" cy="2140201"/>
    <xdr:sp macro="" textlink="">
      <xdr:nvSpPr>
        <xdr:cNvPr id="12" name="TextBox 11">
          <a:extLst>
            <a:ext uri="{FF2B5EF4-FFF2-40B4-BE49-F238E27FC236}">
              <a16:creationId xmlns:a16="http://schemas.microsoft.com/office/drawing/2014/main" id="{3E4ABA4D-57E9-C71B-642D-BF9E20BB3D0D}"/>
            </a:ext>
          </a:extLst>
        </xdr:cNvPr>
        <xdr:cNvSpPr txBox="1"/>
      </xdr:nvSpPr>
      <xdr:spPr>
        <a:xfrm>
          <a:off x="733778" y="4637858"/>
          <a:ext cx="5635037" cy="2140201"/>
        </a:xfrm>
        <a:prstGeom prst="rect">
          <a:avLst/>
        </a:prstGeom>
        <a:noFill/>
      </xdr:spPr>
      <xdr:txBody>
        <a:bodyPr vertOverflow="clip" horzOverflow="clip" wrap="square" lIns="0" tIns="0" rIns="0" bIns="0" rtlCol="0" anchor="t">
          <a:spAutoFit/>
        </a:bodyPr>
        <a:lstStyle/>
        <a:p>
          <a:pPr>
            <a:lnSpc>
              <a:spcPts val="1400"/>
            </a:lnSpc>
          </a:pP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Our Report is limited to reviewing the information on the Subject Company made available to us by you, and other publicly available information sources that we considered appropriate. Whilst we have no reason to believe that these sources are not reliable or accurate, we do not warrant their accuracy, completeness or correctness.</a:t>
          </a:r>
        </a:p>
        <a:p>
          <a:pPr>
            <a:lnSpc>
              <a:spcPts val="1400"/>
            </a:lnSpc>
          </a:pPr>
          <a:endParaRPr lang="en-US" sz="1000" b="1" i="0" kern="1200" dirty="0">
            <a:solidFill>
              <a:srgbClr val="00CCE2"/>
            </a:solidFill>
            <a:effectLst/>
            <a:latin typeface="Leelawadee" panose="020B0502040204020203" pitchFamily="34" charset="-34"/>
            <a:ea typeface="+mn-ea"/>
            <a:cs typeface="Leelawadee" panose="020B0502040204020203" pitchFamily="34" charset="-34"/>
          </a:endParaRPr>
        </a:p>
        <a:p>
          <a:pPr>
            <a:lnSpc>
              <a:spcPts val="1400"/>
            </a:lnSpc>
          </a:pPr>
          <a:r>
            <a:rPr lang="en-US" sz="1000" b="1" i="0" kern="1200" dirty="0">
              <a:solidFill>
                <a:srgbClr val="00CCE2"/>
              </a:solidFill>
              <a:effectLst/>
              <a:latin typeface="Leelawadee" panose="020B0502040204020203" pitchFamily="34" charset="-34"/>
              <a:ea typeface="+mn-ea"/>
              <a:cs typeface="Leelawadee" panose="020B0502040204020203" pitchFamily="34" charset="-34"/>
            </a:rPr>
            <a:t>Methodology:</a:t>
          </a:r>
          <a:br>
            <a:rPr lang="en-US" sz="1000" b="0" i="0" kern="1200" dirty="0">
              <a:solidFill>
                <a:schemeClr val="tx1"/>
              </a:solidFill>
              <a:effectLst/>
              <a:latin typeface="Leelawadee" panose="020B0502040204020203" pitchFamily="34" charset="-34"/>
              <a:ea typeface="+mn-ea"/>
              <a:cs typeface="Leelawadee" panose="020B0502040204020203" pitchFamily="34" charset="-34"/>
            </a:rPr>
          </a:br>
          <a:r>
            <a:rPr lang="en-US" sz="1000" b="0" i="0" kern="1200" dirty="0">
              <a:solidFill>
                <a:schemeClr val="tx1"/>
              </a:solidFill>
              <a:effectLst/>
              <a:latin typeface="Leelawadee" panose="020B0502040204020203" pitchFamily="34" charset="-34"/>
              <a:ea typeface="+mn-ea"/>
              <a:cs typeface="Leelawadee" panose="020B0502040204020203" pitchFamily="34" charset="-34"/>
            </a:rPr>
            <a:t>This valuation exercise has been conducted in line with internationally accepted valuation standards and best practices and is based primarily on information and explanations provided by You, along with publicly available information in the form of desktop research into the market and the competitive landscape. We have utilised the income approach, more specifically the discounted cashflow (“DCF”) approach, whilst the market approach has been used to corroborate the valuation conclusion. </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4</xdr:col>
      <xdr:colOff>20695</xdr:colOff>
      <xdr:row>62</xdr:row>
      <xdr:rowOff>20710</xdr:rowOff>
    </xdr:from>
    <xdr:ext cx="5635037" cy="2678810"/>
    <xdr:sp macro="" textlink="">
      <xdr:nvSpPr>
        <xdr:cNvPr id="18" name="TextBox 17">
          <a:extLst>
            <a:ext uri="{FF2B5EF4-FFF2-40B4-BE49-F238E27FC236}">
              <a16:creationId xmlns:a16="http://schemas.microsoft.com/office/drawing/2014/main" id="{1383A7A4-BDDC-4C78-951A-442CAE3F93F1}"/>
            </a:ext>
          </a:extLst>
        </xdr:cNvPr>
        <xdr:cNvSpPr txBox="1"/>
      </xdr:nvSpPr>
      <xdr:spPr>
        <a:xfrm>
          <a:off x="6492991" y="3040488"/>
          <a:ext cx="5635037" cy="2678810"/>
        </a:xfrm>
        <a:prstGeom prst="rect">
          <a:avLst/>
        </a:prstGeom>
        <a:noFill/>
      </xdr:spPr>
      <xdr:txBody>
        <a:bodyPr vertOverflow="clip" horzOverflow="clip" wrap="square" lIns="0" tIns="0" rIns="0" bIns="0" rtlCol="0" anchor="t">
          <a:spAutoFit/>
        </a:bodyPr>
        <a:lstStyle/>
        <a:p>
          <a:pPr>
            <a:lnSpc>
              <a:spcPts val="1400"/>
            </a:lnSpc>
          </a:pPr>
          <a:r>
            <a:rPr lang="en-US" sz="1000" b="1" i="0" kern="1200" dirty="0">
              <a:solidFill>
                <a:srgbClr val="00CCE2"/>
              </a:solidFill>
              <a:effectLst/>
              <a:latin typeface="Leelawadee" panose="020B0502040204020203" pitchFamily="34" charset="-34"/>
              <a:ea typeface="+mn-ea"/>
              <a:cs typeface="Leelawadee" panose="020B0502040204020203" pitchFamily="34" charset="-34"/>
            </a:rPr>
            <a:t>Information we relied on:</a:t>
          </a:r>
          <a:b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b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The information used as part of this valuation analysis is set out on Page 6 within the Executive Summary Section, and includes the below:</a:t>
          </a:r>
          <a:b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b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1)   Historical and year to date financial data shared by you.</a:t>
          </a:r>
        </a:p>
        <a:p>
          <a:pPr>
            <a:lnSpc>
              <a:spcPts val="1400"/>
            </a:lnSpc>
          </a:pP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2)   Management forecasts for income statement, NWC &amp; Capex shared by You</a:t>
          </a:r>
        </a:p>
        <a:p>
          <a:pPr>
            <a:lnSpc>
              <a:spcPts val="1400"/>
            </a:lnSpc>
          </a:pP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3)   Query responses to help us understand the key drivers of the business, and</a:t>
          </a:r>
        </a:p>
        <a:p>
          <a:pPr>
            <a:lnSpc>
              <a:spcPts val="1400"/>
            </a:lnSpc>
          </a:pPr>
          <a: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t>4)   Market data relevant to the business accessed through various verified data providers.</a:t>
          </a:r>
          <a:br>
            <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rPr>
          </a:br>
          <a:endParaRPr lang="en-US" sz="1000" b="0" i="0" kern="1200" dirty="0">
            <a:solidFill>
              <a:sysClr val="windowText" lastClr="000000"/>
            </a:solidFill>
            <a:effectLst/>
            <a:latin typeface="Leelawadee" panose="020B0502040204020203" pitchFamily="34" charset="-34"/>
            <a:ea typeface="+mn-ea"/>
            <a:cs typeface="Leelawadee" panose="020B0502040204020203" pitchFamily="34" charset="-34"/>
          </a:endParaRPr>
        </a:p>
        <a:p>
          <a:pPr>
            <a:lnSpc>
              <a:spcPts val="1400"/>
            </a:lnSpc>
          </a:pPr>
          <a:r>
            <a:rPr lang="en-US" sz="1000" b="1" i="0" kern="1200" dirty="0">
              <a:solidFill>
                <a:srgbClr val="00CCE2"/>
              </a:solidFill>
              <a:effectLst/>
              <a:latin typeface="Leelawadee" panose="020B0502040204020203" pitchFamily="34" charset="-34"/>
              <a:ea typeface="+mn-ea"/>
              <a:cs typeface="Leelawadee" panose="020B0502040204020203" pitchFamily="34" charset="-34"/>
            </a:rPr>
            <a:t>Limitations to our work:</a:t>
          </a:r>
          <a:br>
            <a:rPr lang="en-US" sz="1000" b="0" i="0" kern="1200" dirty="0">
              <a:solidFill>
                <a:schemeClr val="tx1"/>
              </a:solidFill>
              <a:effectLst/>
              <a:latin typeface="Leelawadee" panose="020B0502040204020203" pitchFamily="34" charset="-34"/>
              <a:ea typeface="+mn-ea"/>
              <a:cs typeface="Leelawadee" panose="020B0502040204020203" pitchFamily="34" charset="-34"/>
            </a:rPr>
          </a:br>
          <a:r>
            <a:rPr lang="en-US" sz="1000" b="0" i="0" kern="1200" dirty="0">
              <a:solidFill>
                <a:schemeClr val="tx1"/>
              </a:solidFill>
              <a:effectLst/>
              <a:latin typeface="Leelawadee" panose="020B0502040204020203" pitchFamily="34" charset="-34"/>
              <a:ea typeface="+mn-ea"/>
              <a:cs typeface="Leelawadee" panose="020B0502040204020203" pitchFamily="34" charset="-34"/>
            </a:rPr>
            <a:t>During our valuation exercise, our analysis has been impacted by a number of key limitations as noted within Appendix B - Important Notice.</a:t>
          </a:r>
        </a:p>
        <a:p>
          <a:pPr>
            <a:lnSpc>
              <a:spcPts val="1400"/>
            </a:lnSpc>
          </a:pPr>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A valuation is not a fact; it is an estimate of the most probable range of possible outcomes based on the assumptions made in the valuation process. Should any of these assumptions cease to be valid, the valuation conclusion may be subject to change.</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oneCellAnchor>
  <xdr:twoCellAnchor>
    <xdr:from>
      <xdr:col>2</xdr:col>
      <xdr:colOff>37631</xdr:colOff>
      <xdr:row>102</xdr:row>
      <xdr:rowOff>1</xdr:rowOff>
    </xdr:from>
    <xdr:to>
      <xdr:col>3</xdr:col>
      <xdr:colOff>84668</xdr:colOff>
      <xdr:row>124</xdr:row>
      <xdr:rowOff>68478</xdr:rowOff>
    </xdr:to>
    <xdr:grpSp>
      <xdr:nvGrpSpPr>
        <xdr:cNvPr id="29" name="Group 28">
          <a:extLst>
            <a:ext uri="{FF2B5EF4-FFF2-40B4-BE49-F238E27FC236}">
              <a16:creationId xmlns:a16="http://schemas.microsoft.com/office/drawing/2014/main" id="{E3823273-111C-94D5-0239-4E3C727E5F31}"/>
            </a:ext>
          </a:extLst>
        </xdr:cNvPr>
        <xdr:cNvGrpSpPr/>
      </xdr:nvGrpSpPr>
      <xdr:grpSpPr>
        <a:xfrm>
          <a:off x="637836" y="18458494"/>
          <a:ext cx="5614161" cy="3895874"/>
          <a:chOff x="733779" y="9002890"/>
          <a:chExt cx="5635037" cy="3793810"/>
        </a:xfrm>
      </xdr:grpSpPr>
      <xdr:sp macro="" textlink="">
        <xdr:nvSpPr>
          <xdr:cNvPr id="24" name="TextBox 23">
            <a:extLst>
              <a:ext uri="{FF2B5EF4-FFF2-40B4-BE49-F238E27FC236}">
                <a16:creationId xmlns:a16="http://schemas.microsoft.com/office/drawing/2014/main" id="{5FFD6926-C9F5-4887-9AD4-E88C8F202228}"/>
              </a:ext>
            </a:extLst>
          </xdr:cNvPr>
          <xdr:cNvSpPr txBox="1"/>
        </xdr:nvSpPr>
        <xdr:spPr>
          <a:xfrm>
            <a:off x="733779" y="9002890"/>
            <a:ext cx="5635037" cy="1242520"/>
          </a:xfrm>
          <a:prstGeom prst="rect">
            <a:avLst/>
          </a:prstGeom>
          <a:noFill/>
        </xdr:spPr>
        <xdr:txBody>
          <a:bodyPr vertOverflow="clip" horzOverflow="clip" wrap="square" lIns="0" tIns="0" rIns="0" bIns="0" rtlCol="0" anchor="t">
            <a:spAutoFit/>
          </a:bodyPr>
          <a:lstStyle/>
          <a:p>
            <a:pPr>
              <a:lnSpc>
                <a:spcPts val="1350"/>
              </a:lnSpc>
            </a:pPr>
            <a:r>
              <a:rPr lang="en-US" sz="1000" b="1" i="0" kern="1200" dirty="0">
                <a:solidFill>
                  <a:srgbClr val="00CCE2"/>
                </a:solidFill>
                <a:effectLst/>
                <a:latin typeface="Leelawadee" panose="020B0502040204020203" pitchFamily="34" charset="-34"/>
                <a:ea typeface="+mn-ea"/>
                <a:cs typeface="Leelawadee" panose="020B0502040204020203" pitchFamily="34" charset="-34"/>
              </a:rPr>
              <a:t>Disclaimer:</a:t>
            </a:r>
            <a:br>
              <a:rPr lang="en-US" sz="1000" b="0" i="0" kern="1200" dirty="0">
                <a:solidFill>
                  <a:schemeClr val="tx1"/>
                </a:solidFill>
                <a:effectLst/>
                <a:latin typeface="Leelawadee" panose="020B0502040204020203" pitchFamily="34" charset="-34"/>
                <a:ea typeface="+mn-ea"/>
                <a:cs typeface="Leelawadee" panose="020B0502040204020203" pitchFamily="34" charset="-34"/>
              </a:rPr>
            </a:br>
            <a:r>
              <a:rPr lang="en-US" sz="1000" b="0" i="0" kern="1200" dirty="0">
                <a:solidFill>
                  <a:schemeClr val="tx1"/>
                </a:solidFill>
                <a:effectLst/>
                <a:latin typeface="Leelawadee" panose="020B0502040204020203" pitchFamily="34" charset="-34"/>
                <a:ea typeface="+mn-ea"/>
                <a:cs typeface="Leelawadee" panose="020B0502040204020203" pitchFamily="34" charset="-34"/>
              </a:rPr>
              <a:t>The Valuer confirms that, to the best of its knowledge, all the factual information provided to us during the process was accurate and that there were no material omissions. We reserve the right</a:t>
            </a: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 to alter our valuation conclusions in the event that any information that was not made available to us and/or were not made aware of at the time of the preparation of this report was to come to light subsequent to the issuance of this report and has a material impact on our valuation conclusions of the business.</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sp macro="" textlink="">
        <xdr:nvSpPr>
          <xdr:cNvPr id="28" name="TextBox 27">
            <a:extLst>
              <a:ext uri="{FF2B5EF4-FFF2-40B4-BE49-F238E27FC236}">
                <a16:creationId xmlns:a16="http://schemas.microsoft.com/office/drawing/2014/main" id="{9CA91986-A5B4-4756-AB71-C4075D0B3031}"/>
              </a:ext>
            </a:extLst>
          </xdr:cNvPr>
          <xdr:cNvSpPr txBox="1"/>
        </xdr:nvSpPr>
        <xdr:spPr>
          <a:xfrm>
            <a:off x="733779" y="11554180"/>
            <a:ext cx="5635037" cy="1242520"/>
          </a:xfrm>
          <a:prstGeom prst="rect">
            <a:avLst/>
          </a:prstGeom>
          <a:noFill/>
        </xdr:spPr>
        <xdr:txBody>
          <a:bodyPr vertOverflow="clip" horzOverflow="clip" wrap="square" lIns="0" tIns="0" rIns="0" bIns="0" rtlCol="0" anchor="t">
            <a:spAutoFit/>
          </a:bodyPr>
          <a:lstStyle/>
          <a:p>
            <a:pPr>
              <a:lnSpc>
                <a:spcPts val="135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If you have any concerns in respect of this report and its contents, please do not hesitate to contact us.</a:t>
            </a:r>
          </a:p>
          <a:p>
            <a:pPr>
              <a:lnSpc>
                <a:spcPts val="1350"/>
              </a:lnSpc>
            </a:pPr>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a:p>
            <a:pPr>
              <a:lnSpc>
                <a:spcPts val="1350"/>
              </a:lnSpc>
            </a:pPr>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a:p>
            <a:pPr>
              <a:lnSpc>
                <a:spcPts val="1350"/>
              </a:lnSpc>
            </a:pPr>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a:p>
            <a:pPr>
              <a:lnSpc>
                <a:spcPts val="135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Yours faithfully,</a:t>
            </a:r>
            <a:endParaRPr lang="en-US" sz="1000" b="0" i="0" kern="1200" baseline="0" dirty="0">
              <a:solidFill>
                <a:schemeClr val="tx1"/>
              </a:solidFill>
              <a:effectLst/>
              <a:latin typeface="Leelawadee" panose="020B0502040204020203" pitchFamily="34" charset="-34"/>
              <a:ea typeface="+mn-ea"/>
              <a:cs typeface="Leelawadee" panose="020B0502040204020203" pitchFamily="34" charset="-34"/>
            </a:endParaRPr>
          </a:p>
          <a:p>
            <a:pPr>
              <a:lnSpc>
                <a:spcPts val="1350"/>
              </a:lnSpc>
            </a:pP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Valify Team</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grpSp>
    <xdr:clientData/>
  </xdr:twoCellAnchor>
  <xdr:twoCellAnchor editAs="oneCell">
    <xdr:from>
      <xdr:col>4</xdr:col>
      <xdr:colOff>862463</xdr:colOff>
      <xdr:row>126</xdr:row>
      <xdr:rowOff>221</xdr:rowOff>
    </xdr:from>
    <xdr:to>
      <xdr:col>4</xdr:col>
      <xdr:colOff>1994459</xdr:colOff>
      <xdr:row>132</xdr:row>
      <xdr:rowOff>89350</xdr:rowOff>
    </xdr:to>
    <xdr:pic>
      <xdr:nvPicPr>
        <xdr:cNvPr id="41" name="Picture 40" descr="A person in a red dress&#10;&#10;Description automatically generated">
          <a:extLst>
            <a:ext uri="{FF2B5EF4-FFF2-40B4-BE49-F238E27FC236}">
              <a16:creationId xmlns:a16="http://schemas.microsoft.com/office/drawing/2014/main" id="{6B4E0B1A-E133-5EB6-B8A1-641A0FA0ED55}"/>
            </a:ext>
          </a:extLst>
        </xdr:cNvPr>
        <xdr:cNvPicPr>
          <a:picLocks noChangeAspect="1"/>
        </xdr:cNvPicPr>
      </xdr:nvPicPr>
      <xdr:blipFill rotWithShape="1">
        <a:blip xmlns:r="http://schemas.openxmlformats.org/officeDocument/2006/relationships" r:embed="rId17" cstate="screen">
          <a:extLst>
            <a:ext uri="{BEBA8EAE-BF5A-486C-A8C5-ECC9F3942E4B}">
              <a14:imgProps xmlns:a14="http://schemas.microsoft.com/office/drawing/2010/main">
                <a14:imgLayer r:embed="rId18">
                  <a14:imgEffect>
                    <a14:brightnessContrast bright="20000"/>
                  </a14:imgEffect>
                </a14:imgLayer>
              </a14:imgProps>
            </a:ext>
            <a:ext uri="{28A0092B-C50C-407E-A947-70E740481C1C}">
              <a14:useLocalDpi xmlns:a14="http://schemas.microsoft.com/office/drawing/2010/main" val="0"/>
            </a:ext>
          </a:extLst>
        </a:blip>
        <a:srcRect l="35870" t="37217" r="28472" b="35987"/>
        <a:stretch/>
      </xdr:blipFill>
      <xdr:spPr>
        <a:xfrm>
          <a:off x="7263263" y="13727107"/>
          <a:ext cx="1131996" cy="1134158"/>
        </a:xfrm>
        <a:prstGeom prst="ellipse">
          <a:avLst/>
        </a:prstGeom>
        <a:ln>
          <a:solidFill>
            <a:srgbClr val="51D3E1"/>
          </a:solidFill>
        </a:ln>
      </xdr:spPr>
    </xdr:pic>
    <xdr:clientData/>
  </xdr:twoCellAnchor>
  <xdr:twoCellAnchor editAs="oneCell">
    <xdr:from>
      <xdr:col>4</xdr:col>
      <xdr:colOff>850667</xdr:colOff>
      <xdr:row>116</xdr:row>
      <xdr:rowOff>54428</xdr:rowOff>
    </xdr:from>
    <xdr:to>
      <xdr:col>4</xdr:col>
      <xdr:colOff>2006256</xdr:colOff>
      <xdr:row>123</xdr:row>
      <xdr:rowOff>71220</xdr:rowOff>
    </xdr:to>
    <xdr:pic>
      <xdr:nvPicPr>
        <xdr:cNvPr id="42" name="Picture 41" descr="A person with her arms crossed&#10;&#10;Description automatically generated with medium confidence">
          <a:extLst>
            <a:ext uri="{FF2B5EF4-FFF2-40B4-BE49-F238E27FC236}">
              <a16:creationId xmlns:a16="http://schemas.microsoft.com/office/drawing/2014/main" id="{223B63E4-D37C-7226-24DF-BCEDD4701FB9}"/>
            </a:ext>
          </a:extLst>
        </xdr:cNvPr>
        <xdr:cNvPicPr>
          <a:picLocks noChangeAspect="1"/>
        </xdr:cNvPicPr>
      </xdr:nvPicPr>
      <xdr:blipFill rotWithShape="1">
        <a:blip xmlns:r="http://schemas.openxmlformats.org/officeDocument/2006/relationships" r:embed="rId19" cstate="screen">
          <a:extLst>
            <a:ext uri="{BEBA8EAE-BF5A-486C-A8C5-ECC9F3942E4B}">
              <a14:imgProps xmlns:a14="http://schemas.microsoft.com/office/drawing/2010/main">
                <a14:imgLayer r:embed="rId20">
                  <a14:imgEffect>
                    <a14:saturation sat="120000"/>
                  </a14:imgEffect>
                  <a14:imgEffect>
                    <a14:brightnessContrast bright="10000"/>
                  </a14:imgEffect>
                </a14:imgLayer>
              </a14:imgProps>
            </a:ext>
            <a:ext uri="{28A0092B-C50C-407E-A947-70E740481C1C}">
              <a14:useLocalDpi xmlns:a14="http://schemas.microsoft.com/office/drawing/2010/main" val="0"/>
            </a:ext>
          </a:extLst>
        </a:blip>
        <a:srcRect l="11727" r="12546"/>
        <a:stretch/>
      </xdr:blipFill>
      <xdr:spPr>
        <a:xfrm>
          <a:off x="7251467" y="12148457"/>
          <a:ext cx="1155589" cy="1235992"/>
        </a:xfrm>
        <a:prstGeom prst="ellipse">
          <a:avLst/>
        </a:prstGeom>
        <a:ln>
          <a:solidFill>
            <a:srgbClr val="00CCE2"/>
          </a:solidFill>
        </a:ln>
      </xdr:spPr>
    </xdr:pic>
    <xdr:clientData/>
  </xdr:twoCellAnchor>
  <xdr:twoCellAnchor>
    <xdr:from>
      <xdr:col>4</xdr:col>
      <xdr:colOff>2133601</xdr:colOff>
      <xdr:row>117</xdr:row>
      <xdr:rowOff>10886</xdr:rowOff>
    </xdr:from>
    <xdr:to>
      <xdr:col>4</xdr:col>
      <xdr:colOff>5373601</xdr:colOff>
      <xdr:row>123</xdr:row>
      <xdr:rowOff>39244</xdr:rowOff>
    </xdr:to>
    <xdr:sp macro="" textlink="">
      <xdr:nvSpPr>
        <xdr:cNvPr id="43" name="Text Placeholder 6">
          <a:extLst>
            <a:ext uri="{FF2B5EF4-FFF2-40B4-BE49-F238E27FC236}">
              <a16:creationId xmlns:a16="http://schemas.microsoft.com/office/drawing/2014/main" id="{6DA43869-ADA3-5111-20DB-695F26F7A676}"/>
            </a:ext>
          </a:extLst>
        </xdr:cNvPr>
        <xdr:cNvSpPr txBox="1"/>
      </xdr:nvSpPr>
      <xdr:spPr>
        <a:xfrm>
          <a:off x="8534401" y="12268200"/>
          <a:ext cx="3240000" cy="1008073"/>
        </a:xfrm>
        <a:prstGeom prst="rect">
          <a:avLst/>
        </a:prstGeom>
      </xdr:spPr>
      <xdr:txBody>
        <a:bodyPr vert="horz" wrap="square" lIns="0" tIns="0" rIns="0" bIns="0" rtlCol="0">
          <a:noAutofit/>
        </a:bodyPr>
        <a:lstStyle>
          <a:defPPr>
            <a:defRPr lang="en-US"/>
          </a:defPPr>
          <a:lvl1pPr marL="0" indent="0" algn="l" defTabSz="946862" rtl="0" eaLnBrk="1" latinLnBrk="0" hangingPunct="1">
            <a:lnSpc>
              <a:spcPct val="100000"/>
            </a:lnSpc>
            <a:spcBef>
              <a:spcPts val="0"/>
            </a:spcBef>
            <a:spcAft>
              <a:spcPts val="600"/>
            </a:spcAft>
            <a:buFont typeface="Arial" panose="020B0604020202020204" pitchFamily="34" charset="0"/>
            <a:buNone/>
            <a:defRPr lang="en-US" sz="900" b="0" kern="1200" dirty="0">
              <a:solidFill>
                <a:schemeClr val="tx1"/>
              </a:solidFill>
              <a:latin typeface="+mn-lt"/>
              <a:ea typeface="+mn-ea"/>
              <a:cs typeface="+mn-cs"/>
            </a:defRPr>
          </a:lvl1pPr>
          <a:lvl2pPr marL="169092" indent="-169092" algn="l" defTabSz="946862" rtl="0" eaLnBrk="1" latinLnBrk="0" hangingPunct="1">
            <a:lnSpc>
              <a:spcPct val="100000"/>
            </a:lnSpc>
            <a:spcBef>
              <a:spcPts val="0"/>
            </a:spcBef>
            <a:spcAft>
              <a:spcPts val="600"/>
            </a:spcAft>
            <a:buFont typeface="Arial" panose="020B0604020202020204" pitchFamily="34" charset="0"/>
            <a:buChar char="•"/>
            <a:defRPr sz="900" b="0" kern="1200">
              <a:solidFill>
                <a:schemeClr val="tx1"/>
              </a:solidFill>
              <a:latin typeface="+mn-lt"/>
              <a:ea typeface="+mn-ea"/>
              <a:cs typeface="+mn-cs"/>
            </a:defRPr>
          </a:lvl2pPr>
          <a:lvl3pPr marL="338184" indent="-169092" algn="l" defTabSz="946862" rtl="0" eaLnBrk="1" latinLnBrk="0" hangingPunct="1">
            <a:lnSpc>
              <a:spcPct val="100000"/>
            </a:lnSpc>
            <a:spcBef>
              <a:spcPts val="0"/>
            </a:spcBef>
            <a:spcAft>
              <a:spcPts val="600"/>
            </a:spcAft>
            <a:buFont typeface="Arial" panose="020B0604020202020204" pitchFamily="34" charset="0"/>
            <a:buChar char="–"/>
            <a:defRPr sz="900" kern="1200">
              <a:solidFill>
                <a:schemeClr val="tx1"/>
              </a:solidFill>
              <a:latin typeface="+mn-lt"/>
              <a:ea typeface="+mn-ea"/>
              <a:cs typeface="+mn-cs"/>
            </a:defRPr>
          </a:lvl3pPr>
          <a:lvl4pPr marL="540000" indent="-180000" algn="l" defTabSz="946862" rtl="0" eaLnBrk="1" latinLnBrk="0" hangingPunct="1">
            <a:lnSpc>
              <a:spcPct val="100000"/>
            </a:lnSpc>
            <a:spcBef>
              <a:spcPts val="0"/>
            </a:spcBef>
            <a:spcAft>
              <a:spcPts val="600"/>
            </a:spcAft>
            <a:buFont typeface="Arial" panose="020B0604020202020204" pitchFamily="34" charset="0"/>
            <a:buChar char="–"/>
            <a:defRPr sz="900" kern="1200">
              <a:solidFill>
                <a:schemeClr val="tx1"/>
              </a:solidFill>
              <a:latin typeface="+mn-lt"/>
              <a:ea typeface="+mn-ea"/>
              <a:cs typeface="+mn-cs"/>
            </a:defRPr>
          </a:lvl4pPr>
          <a:lvl5pPr marL="0" indent="-180000" algn="l" defTabSz="946862" rtl="0" eaLnBrk="1" latinLnBrk="0" hangingPunct="1">
            <a:lnSpc>
              <a:spcPct val="100000"/>
            </a:lnSpc>
            <a:spcBef>
              <a:spcPts val="0"/>
            </a:spcBef>
            <a:spcAft>
              <a:spcPts val="600"/>
            </a:spcAft>
            <a:buFont typeface="+mj-lt"/>
            <a:buAutoNum type="arabicPeriod"/>
            <a:defRPr sz="900" kern="1200">
              <a:solidFill>
                <a:schemeClr val="tx1"/>
              </a:solidFill>
              <a:latin typeface="+mn-lt"/>
              <a:ea typeface="+mn-ea"/>
              <a:cs typeface="+mn-cs"/>
            </a:defRPr>
          </a:lvl5pPr>
          <a:lvl6pPr marL="360000" indent="-180000" algn="l" defTabSz="946862" rtl="0" eaLnBrk="1" latinLnBrk="0" hangingPunct="1">
            <a:lnSpc>
              <a:spcPct val="100000"/>
            </a:lnSpc>
            <a:spcBef>
              <a:spcPts val="0"/>
            </a:spcBef>
            <a:spcAft>
              <a:spcPts val="600"/>
            </a:spcAft>
            <a:buFont typeface="+mj-lt"/>
            <a:buAutoNum type="alphaLcPeriod"/>
            <a:defRPr sz="900" b="0" kern="1200">
              <a:solidFill>
                <a:schemeClr val="tx1"/>
              </a:solidFill>
              <a:latin typeface="+mn-lt"/>
              <a:ea typeface="+mn-ea"/>
              <a:cs typeface="+mn-cs"/>
            </a:defRPr>
          </a:lvl6pPr>
          <a:lvl7pPr marL="0" indent="0" algn="l" defTabSz="946862" rtl="0" eaLnBrk="1" latinLnBrk="0" hangingPunct="1">
            <a:lnSpc>
              <a:spcPct val="100000"/>
            </a:lnSpc>
            <a:spcBef>
              <a:spcPts val="0"/>
            </a:spcBef>
            <a:spcAft>
              <a:spcPts val="600"/>
            </a:spcAft>
            <a:buFont typeface="Arial" panose="020B0604020202020204" pitchFamily="34" charset="0"/>
            <a:buNone/>
            <a:defRPr lang="en-US" sz="1350" kern="1200" dirty="0">
              <a:solidFill>
                <a:schemeClr val="accent1"/>
              </a:solidFill>
              <a:latin typeface="+mn-lt"/>
              <a:ea typeface="+mn-ea"/>
              <a:cs typeface="+mn-cs"/>
            </a:defRPr>
          </a:lvl7pPr>
          <a:lvl8pPr marL="0" indent="0" algn="l" defTabSz="946862" rtl="0" eaLnBrk="1" latinLnBrk="0" hangingPunct="1">
            <a:lnSpc>
              <a:spcPct val="100000"/>
            </a:lnSpc>
            <a:spcBef>
              <a:spcPts val="0"/>
            </a:spcBef>
            <a:spcAft>
              <a:spcPts val="900"/>
            </a:spcAft>
            <a:buFont typeface="Arial" panose="020B0604020202020204" pitchFamily="34" charset="0"/>
            <a:buNone/>
            <a:defRPr lang="en-US" sz="900" b="1" kern="1200" dirty="0">
              <a:solidFill>
                <a:schemeClr val="accent3"/>
              </a:solidFill>
              <a:latin typeface="+mn-lt"/>
              <a:ea typeface="+mn-ea"/>
              <a:cs typeface="+mn-cs"/>
            </a:defRPr>
          </a:lvl8pPr>
          <a:lvl9pPr marL="0" indent="0" algn="l" defTabSz="946862" rtl="0" eaLnBrk="1" latinLnBrk="0" hangingPunct="1">
            <a:lnSpc>
              <a:spcPct val="100000"/>
            </a:lnSpc>
            <a:spcBef>
              <a:spcPts val="0"/>
            </a:spcBef>
            <a:spcAft>
              <a:spcPts val="600"/>
            </a:spcAft>
            <a:buFont typeface="Arial" panose="020B0604020202020204" pitchFamily="34" charset="0"/>
            <a:buNone/>
            <a:defRPr lang="en-US" sz="900" b="1" kern="1200" dirty="0">
              <a:solidFill>
                <a:schemeClr val="tx1"/>
              </a:solidFill>
              <a:latin typeface="+mn-lt"/>
              <a:ea typeface="+mn-ea"/>
              <a:cs typeface="+mn-cs"/>
            </a:defRPr>
          </a:lvl9pPr>
        </a:lstStyle>
        <a:p>
          <a:pPr lvl="0">
            <a:spcAft>
              <a:spcPts val="300"/>
            </a:spcAft>
            <a:buClr>
              <a:srgbClr val="000000"/>
            </a:buClr>
            <a:defRPr/>
          </a:pPr>
          <a:r>
            <a:rPr lang="en-GB" sz="1600" b="0">
              <a:solidFill>
                <a:srgbClr val="00CCE2"/>
              </a:solidFill>
              <a:latin typeface="GT Walsheim Pro Medium" panose="02000603040000020003" pitchFamily="50" charset="0"/>
              <a:cs typeface="Calibri Light" panose="020F0302020204030204" pitchFamily="34" charset="0"/>
            </a:rPr>
            <a:t>Samina Burhani, CFA, AFM</a:t>
          </a:r>
        </a:p>
        <a:p>
          <a:pPr lvl="1" defTabSz="1018632">
            <a:spcAft>
              <a:spcPts val="300"/>
            </a:spcAft>
            <a:buClr>
              <a:srgbClr val="000000"/>
            </a:buClr>
            <a:defRPr/>
          </a:pPr>
          <a:r>
            <a:rPr lang="en-US" sz="1100">
              <a:solidFill>
                <a:schemeClr val="bg1"/>
              </a:solidFill>
              <a:latin typeface="GT Walsheim Pro Light" panose="02000503040000020003" pitchFamily="50" charset="0"/>
              <a:cs typeface="Calibri Light" panose="020F0302020204030204" pitchFamily="34" charset="0"/>
            </a:rPr>
            <a:t>Advanced Financial Modeler &amp; Transaction Advisory Consultant</a:t>
          </a:r>
        </a:p>
        <a:p>
          <a:pPr indent="-228558" defTabSz="1018632">
            <a:spcAft>
              <a:spcPts val="300"/>
            </a:spcAft>
            <a:buClr>
              <a:srgbClr val="000000"/>
            </a:buClr>
            <a:defRPr/>
          </a:pPr>
          <a:endParaRPr lang="en-GB" sz="1400" b="0">
            <a:solidFill>
              <a:schemeClr val="bg1"/>
            </a:solidFill>
            <a:latin typeface="GT Walsheim Pro Medium" panose="02000603040000020003" pitchFamily="50" charset="0"/>
            <a:cs typeface="Calibri Light" panose="020F0302020204030204" pitchFamily="34" charset="0"/>
          </a:endParaRPr>
        </a:p>
        <a:p>
          <a:pPr indent="-228558" defTabSz="1018632">
            <a:spcAft>
              <a:spcPts val="300"/>
            </a:spcAft>
            <a:buClr>
              <a:srgbClr val="000000"/>
            </a:buClr>
            <a:defRPr/>
          </a:pPr>
          <a:endParaRPr lang="en-GB" sz="1400" b="0">
            <a:solidFill>
              <a:schemeClr val="bg1"/>
            </a:solidFill>
            <a:latin typeface="GT Walsheim Pro Medium" panose="02000603040000020003" pitchFamily="50" charset="0"/>
            <a:cs typeface="Calibri Light" panose="020F0302020204030204" pitchFamily="34" charset="0"/>
          </a:endParaRPr>
        </a:p>
      </xdr:txBody>
    </xdr:sp>
    <xdr:clientData/>
  </xdr:twoCellAnchor>
  <xdr:twoCellAnchor>
    <xdr:from>
      <xdr:col>4</xdr:col>
      <xdr:colOff>2133601</xdr:colOff>
      <xdr:row>126</xdr:row>
      <xdr:rowOff>124389</xdr:rowOff>
    </xdr:from>
    <xdr:to>
      <xdr:col>4</xdr:col>
      <xdr:colOff>5373601</xdr:colOff>
      <xdr:row>132</xdr:row>
      <xdr:rowOff>152748</xdr:rowOff>
    </xdr:to>
    <xdr:sp macro="" textlink="">
      <xdr:nvSpPr>
        <xdr:cNvPr id="44" name="Text Placeholder 6">
          <a:extLst>
            <a:ext uri="{FF2B5EF4-FFF2-40B4-BE49-F238E27FC236}">
              <a16:creationId xmlns:a16="http://schemas.microsoft.com/office/drawing/2014/main" id="{223DE4B1-FD32-B91D-08CE-F4A8B24B3E9C}"/>
            </a:ext>
          </a:extLst>
        </xdr:cNvPr>
        <xdr:cNvSpPr txBox="1"/>
      </xdr:nvSpPr>
      <xdr:spPr>
        <a:xfrm>
          <a:off x="8534401" y="13851275"/>
          <a:ext cx="3240000" cy="1008073"/>
        </a:xfrm>
        <a:prstGeom prst="rect">
          <a:avLst/>
        </a:prstGeom>
      </xdr:spPr>
      <xdr:txBody>
        <a:bodyPr vert="horz" wrap="square" lIns="0" tIns="0" rIns="0" bIns="0" rtlCol="0">
          <a:noAutofit/>
        </a:bodyPr>
        <a:lstStyle>
          <a:defPPr>
            <a:defRPr lang="en-US"/>
          </a:defPPr>
          <a:lvl1pPr marL="0" indent="0" algn="l" defTabSz="946862" rtl="0" eaLnBrk="1" latinLnBrk="0" hangingPunct="1">
            <a:lnSpc>
              <a:spcPct val="100000"/>
            </a:lnSpc>
            <a:spcBef>
              <a:spcPts val="0"/>
            </a:spcBef>
            <a:spcAft>
              <a:spcPts val="600"/>
            </a:spcAft>
            <a:buFont typeface="Arial" panose="020B0604020202020204" pitchFamily="34" charset="0"/>
            <a:buNone/>
            <a:defRPr lang="en-US" sz="900" b="0" kern="1200" dirty="0">
              <a:solidFill>
                <a:schemeClr val="tx1"/>
              </a:solidFill>
              <a:latin typeface="+mn-lt"/>
              <a:ea typeface="+mn-ea"/>
              <a:cs typeface="+mn-cs"/>
            </a:defRPr>
          </a:lvl1pPr>
          <a:lvl2pPr marL="169092" indent="-169092" algn="l" defTabSz="946862" rtl="0" eaLnBrk="1" latinLnBrk="0" hangingPunct="1">
            <a:lnSpc>
              <a:spcPct val="100000"/>
            </a:lnSpc>
            <a:spcBef>
              <a:spcPts val="0"/>
            </a:spcBef>
            <a:spcAft>
              <a:spcPts val="600"/>
            </a:spcAft>
            <a:buFont typeface="Arial" panose="020B0604020202020204" pitchFamily="34" charset="0"/>
            <a:buChar char="•"/>
            <a:defRPr sz="900" b="0" kern="1200">
              <a:solidFill>
                <a:schemeClr val="tx1"/>
              </a:solidFill>
              <a:latin typeface="+mn-lt"/>
              <a:ea typeface="+mn-ea"/>
              <a:cs typeface="+mn-cs"/>
            </a:defRPr>
          </a:lvl2pPr>
          <a:lvl3pPr marL="338184" indent="-169092" algn="l" defTabSz="946862" rtl="0" eaLnBrk="1" latinLnBrk="0" hangingPunct="1">
            <a:lnSpc>
              <a:spcPct val="100000"/>
            </a:lnSpc>
            <a:spcBef>
              <a:spcPts val="0"/>
            </a:spcBef>
            <a:spcAft>
              <a:spcPts val="600"/>
            </a:spcAft>
            <a:buFont typeface="Arial" panose="020B0604020202020204" pitchFamily="34" charset="0"/>
            <a:buChar char="–"/>
            <a:defRPr sz="900" kern="1200">
              <a:solidFill>
                <a:schemeClr val="tx1"/>
              </a:solidFill>
              <a:latin typeface="+mn-lt"/>
              <a:ea typeface="+mn-ea"/>
              <a:cs typeface="+mn-cs"/>
            </a:defRPr>
          </a:lvl3pPr>
          <a:lvl4pPr marL="540000" indent="-180000" algn="l" defTabSz="946862" rtl="0" eaLnBrk="1" latinLnBrk="0" hangingPunct="1">
            <a:lnSpc>
              <a:spcPct val="100000"/>
            </a:lnSpc>
            <a:spcBef>
              <a:spcPts val="0"/>
            </a:spcBef>
            <a:spcAft>
              <a:spcPts val="600"/>
            </a:spcAft>
            <a:buFont typeface="Arial" panose="020B0604020202020204" pitchFamily="34" charset="0"/>
            <a:buChar char="–"/>
            <a:defRPr sz="900" kern="1200">
              <a:solidFill>
                <a:schemeClr val="tx1"/>
              </a:solidFill>
              <a:latin typeface="+mn-lt"/>
              <a:ea typeface="+mn-ea"/>
              <a:cs typeface="+mn-cs"/>
            </a:defRPr>
          </a:lvl4pPr>
          <a:lvl5pPr marL="0" indent="-180000" algn="l" defTabSz="946862" rtl="0" eaLnBrk="1" latinLnBrk="0" hangingPunct="1">
            <a:lnSpc>
              <a:spcPct val="100000"/>
            </a:lnSpc>
            <a:spcBef>
              <a:spcPts val="0"/>
            </a:spcBef>
            <a:spcAft>
              <a:spcPts val="600"/>
            </a:spcAft>
            <a:buFont typeface="+mj-lt"/>
            <a:buAutoNum type="arabicPeriod"/>
            <a:defRPr sz="900" kern="1200">
              <a:solidFill>
                <a:schemeClr val="tx1"/>
              </a:solidFill>
              <a:latin typeface="+mn-lt"/>
              <a:ea typeface="+mn-ea"/>
              <a:cs typeface="+mn-cs"/>
            </a:defRPr>
          </a:lvl5pPr>
          <a:lvl6pPr marL="360000" indent="-180000" algn="l" defTabSz="946862" rtl="0" eaLnBrk="1" latinLnBrk="0" hangingPunct="1">
            <a:lnSpc>
              <a:spcPct val="100000"/>
            </a:lnSpc>
            <a:spcBef>
              <a:spcPts val="0"/>
            </a:spcBef>
            <a:spcAft>
              <a:spcPts val="600"/>
            </a:spcAft>
            <a:buFont typeface="+mj-lt"/>
            <a:buAutoNum type="alphaLcPeriod"/>
            <a:defRPr sz="900" b="0" kern="1200">
              <a:solidFill>
                <a:schemeClr val="tx1"/>
              </a:solidFill>
              <a:latin typeface="+mn-lt"/>
              <a:ea typeface="+mn-ea"/>
              <a:cs typeface="+mn-cs"/>
            </a:defRPr>
          </a:lvl6pPr>
          <a:lvl7pPr marL="0" indent="0" algn="l" defTabSz="946862" rtl="0" eaLnBrk="1" latinLnBrk="0" hangingPunct="1">
            <a:lnSpc>
              <a:spcPct val="100000"/>
            </a:lnSpc>
            <a:spcBef>
              <a:spcPts val="0"/>
            </a:spcBef>
            <a:spcAft>
              <a:spcPts val="600"/>
            </a:spcAft>
            <a:buFont typeface="Arial" panose="020B0604020202020204" pitchFamily="34" charset="0"/>
            <a:buNone/>
            <a:defRPr lang="en-US" sz="1350" kern="1200" dirty="0">
              <a:solidFill>
                <a:schemeClr val="accent1"/>
              </a:solidFill>
              <a:latin typeface="+mn-lt"/>
              <a:ea typeface="+mn-ea"/>
              <a:cs typeface="+mn-cs"/>
            </a:defRPr>
          </a:lvl7pPr>
          <a:lvl8pPr marL="0" indent="0" algn="l" defTabSz="946862" rtl="0" eaLnBrk="1" latinLnBrk="0" hangingPunct="1">
            <a:lnSpc>
              <a:spcPct val="100000"/>
            </a:lnSpc>
            <a:spcBef>
              <a:spcPts val="0"/>
            </a:spcBef>
            <a:spcAft>
              <a:spcPts val="900"/>
            </a:spcAft>
            <a:buFont typeface="Arial" panose="020B0604020202020204" pitchFamily="34" charset="0"/>
            <a:buNone/>
            <a:defRPr lang="en-US" sz="900" b="1" kern="1200" dirty="0">
              <a:solidFill>
                <a:schemeClr val="accent3"/>
              </a:solidFill>
              <a:latin typeface="+mn-lt"/>
              <a:ea typeface="+mn-ea"/>
              <a:cs typeface="+mn-cs"/>
            </a:defRPr>
          </a:lvl8pPr>
          <a:lvl9pPr marL="0" indent="0" algn="l" defTabSz="946862" rtl="0" eaLnBrk="1" latinLnBrk="0" hangingPunct="1">
            <a:lnSpc>
              <a:spcPct val="100000"/>
            </a:lnSpc>
            <a:spcBef>
              <a:spcPts val="0"/>
            </a:spcBef>
            <a:spcAft>
              <a:spcPts val="600"/>
            </a:spcAft>
            <a:buFont typeface="Arial" panose="020B0604020202020204" pitchFamily="34" charset="0"/>
            <a:buNone/>
            <a:defRPr lang="en-US" sz="900" b="1" kern="1200" dirty="0">
              <a:solidFill>
                <a:schemeClr val="tx1"/>
              </a:solidFill>
              <a:latin typeface="+mn-lt"/>
              <a:ea typeface="+mn-ea"/>
              <a:cs typeface="+mn-cs"/>
            </a:defRPr>
          </a:lvl9pPr>
        </a:lstStyle>
        <a:p>
          <a:pPr lvl="0">
            <a:spcAft>
              <a:spcPts val="300"/>
            </a:spcAft>
            <a:buClr>
              <a:srgbClr val="000000"/>
            </a:buClr>
            <a:defRPr/>
          </a:pPr>
          <a:r>
            <a:rPr lang="en-GB" sz="1600">
              <a:solidFill>
                <a:srgbClr val="00CCE2"/>
              </a:solidFill>
              <a:latin typeface="GT Walsheim Pro Medium" panose="02000603040000020003" pitchFamily="50" charset="0"/>
              <a:cs typeface="Calibri Light" panose="020F0302020204030204" pitchFamily="34" charset="0"/>
            </a:rPr>
            <a:t>Alifiya Burhani</a:t>
          </a:r>
        </a:p>
        <a:p>
          <a:pPr lvl="1" defTabSz="1018632">
            <a:spcAft>
              <a:spcPts val="300"/>
            </a:spcAft>
            <a:buClr>
              <a:srgbClr val="000000"/>
            </a:buClr>
            <a:defRPr/>
          </a:pPr>
          <a:r>
            <a:rPr lang="en-US" sz="1100">
              <a:solidFill>
                <a:schemeClr val="bg1"/>
              </a:solidFill>
              <a:latin typeface="GT Walsheim Pro Light" panose="02000503040000020003" pitchFamily="50" charset="0"/>
              <a:cs typeface="Calibri Light" panose="020F0302020204030204" pitchFamily="34" charset="0"/>
            </a:rPr>
            <a:t>Double Masters in Finance (NIMMS) &amp; International Political Economics (Kings College London)</a:t>
          </a:r>
        </a:p>
        <a:p>
          <a:pPr lvl="1" defTabSz="1018632">
            <a:spcAft>
              <a:spcPts val="300"/>
            </a:spcAft>
            <a:buClr>
              <a:srgbClr val="000000"/>
            </a:buClr>
            <a:defRPr/>
          </a:pPr>
          <a:endParaRPr lang="en-US" sz="1100">
            <a:solidFill>
              <a:schemeClr val="bg1"/>
            </a:solidFill>
            <a:latin typeface="GT Walsheim Pro Light" panose="02000503040000020003" pitchFamily="50" charset="0"/>
            <a:cs typeface="Calibri Light" panose="020F0302020204030204" pitchFamily="34" charset="0"/>
          </a:endParaRPr>
        </a:p>
        <a:p>
          <a:pPr indent="-228558" defTabSz="1018632">
            <a:spcAft>
              <a:spcPts val="300"/>
            </a:spcAft>
            <a:buClr>
              <a:srgbClr val="000000"/>
            </a:buClr>
            <a:defRPr/>
          </a:pPr>
          <a:endParaRPr lang="en-GB" sz="1400">
            <a:solidFill>
              <a:schemeClr val="bg1"/>
            </a:solidFill>
            <a:latin typeface="GT Walsheim Pro Medium" panose="02000603040000020003" pitchFamily="50" charset="0"/>
            <a:cs typeface="Calibri Light" panose="020F0302020204030204" pitchFamily="34" charset="0"/>
          </a:endParaRPr>
        </a:p>
        <a:p>
          <a:pPr indent="-228558" defTabSz="1018632">
            <a:spcAft>
              <a:spcPts val="300"/>
            </a:spcAft>
            <a:buClr>
              <a:srgbClr val="000000"/>
            </a:buClr>
            <a:defRPr/>
          </a:pPr>
          <a:endParaRPr lang="en-GB" sz="1400">
            <a:solidFill>
              <a:schemeClr val="bg1"/>
            </a:solidFill>
            <a:latin typeface="GT Walsheim Pro Medium" panose="02000603040000020003" pitchFamily="50" charset="0"/>
            <a:cs typeface="Calibri Light" panose="020F0302020204030204" pitchFamily="34" charset="0"/>
          </a:endParaRPr>
        </a:p>
      </xdr:txBody>
    </xdr:sp>
    <xdr:clientData/>
  </xdr:twoCellAnchor>
  <xdr:oneCellAnchor>
    <xdr:from>
      <xdr:col>4</xdr:col>
      <xdr:colOff>2800783</xdr:colOff>
      <xdr:row>1</xdr:row>
      <xdr:rowOff>163535</xdr:rowOff>
    </xdr:from>
    <xdr:ext cx="2636092" cy="3067910"/>
    <xdr:pic>
      <xdr:nvPicPr>
        <xdr:cNvPr id="19" name="Graphic 18">
          <a:extLst>
            <a:ext uri="{FF2B5EF4-FFF2-40B4-BE49-F238E27FC236}">
              <a16:creationId xmlns:a16="http://schemas.microsoft.com/office/drawing/2014/main" id="{16CEB6F7-CA25-48B5-B3E4-9A3996380B8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207227" y="332868"/>
          <a:ext cx="2636092" cy="3067910"/>
        </a:xfrm>
        <a:prstGeom prst="rect">
          <a:avLst/>
        </a:prstGeom>
      </xdr:spPr>
    </xdr:pic>
    <xdr:clientData/>
  </xdr:oneCellAnchor>
  <xdr:oneCellAnchor>
    <xdr:from>
      <xdr:col>2</xdr:col>
      <xdr:colOff>406801</xdr:colOff>
      <xdr:row>6</xdr:row>
      <xdr:rowOff>326572</xdr:rowOff>
    </xdr:from>
    <xdr:ext cx="6324197" cy="1804206"/>
    <xdr:sp macro="" textlink="Log!I2">
      <xdr:nvSpPr>
        <xdr:cNvPr id="47" name="TextBox 46">
          <a:extLst>
            <a:ext uri="{FF2B5EF4-FFF2-40B4-BE49-F238E27FC236}">
              <a16:creationId xmlns:a16="http://schemas.microsoft.com/office/drawing/2014/main" id="{D6D9BC7D-BA42-D733-2251-78CC5BE3B379}"/>
            </a:ext>
          </a:extLst>
        </xdr:cNvPr>
        <xdr:cNvSpPr txBox="1"/>
      </xdr:nvSpPr>
      <xdr:spPr>
        <a:xfrm>
          <a:off x="1027690" y="1342572"/>
          <a:ext cx="6324197" cy="1804206"/>
        </a:xfrm>
        <a:prstGeom prst="rect">
          <a:avLst/>
        </a:prstGeom>
        <a:noFill/>
      </xdr:spPr>
      <xdr:txBody>
        <a:bodyPr vertOverflow="clip" horzOverflow="clip" wrap="square" lIns="0" tIns="0" rIns="0" bIns="0" rtlCol="0" anchor="t">
          <a:noAutofit/>
        </a:bodyPr>
        <a:lstStyle/>
        <a:p>
          <a:fld id="{7DAFB647-77CC-429B-A2EF-7FF4110C4EB7}" type="TxLink">
            <a:rPr lang="en-US" sz="3200" b="1" i="0" u="none" strike="noStrike" kern="1200" dirty="0" smtClean="0">
              <a:solidFill>
                <a:srgbClr val="00CCE2"/>
              </a:solidFill>
              <a:effectLst/>
              <a:latin typeface="Leelawadee"/>
              <a:ea typeface="+mn-ea"/>
              <a:cs typeface="Leelawadee"/>
            </a:rPr>
            <a:pPr/>
            <a:t>Valuation of Aerial Arts India XXXXXXXXXXXXXXXXX</a:t>
          </a:fld>
          <a:endParaRPr lang="en-AE" sz="9600" b="1" i="0" kern="1200" dirty="0">
            <a:solidFill>
              <a:srgbClr val="00CCE2"/>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2</xdr:col>
      <xdr:colOff>406801</xdr:colOff>
      <xdr:row>17</xdr:row>
      <xdr:rowOff>53619</xdr:rowOff>
    </xdr:from>
    <xdr:ext cx="6810427" cy="1357491"/>
    <xdr:sp macro="" textlink="Log!I3">
      <xdr:nvSpPr>
        <xdr:cNvPr id="48" name="TextBox 47">
          <a:extLst>
            <a:ext uri="{FF2B5EF4-FFF2-40B4-BE49-F238E27FC236}">
              <a16:creationId xmlns:a16="http://schemas.microsoft.com/office/drawing/2014/main" id="{7A620507-ECE9-4027-95C5-400C6D38B007}"/>
            </a:ext>
          </a:extLst>
        </xdr:cNvPr>
        <xdr:cNvSpPr txBox="1"/>
      </xdr:nvSpPr>
      <xdr:spPr>
        <a:xfrm>
          <a:off x="1027690" y="3341508"/>
          <a:ext cx="6810427" cy="1357491"/>
        </a:xfrm>
        <a:prstGeom prst="rect">
          <a:avLst/>
        </a:prstGeom>
        <a:noFill/>
      </xdr:spPr>
      <xdr:txBody>
        <a:bodyPr vertOverflow="clip" horzOverflow="clip" wrap="square" lIns="0" tIns="0" rIns="0" bIns="0" rtlCol="0" anchor="t">
          <a:noAutofit/>
        </a:bodyPr>
        <a:lstStyle/>
        <a:p>
          <a:fld id="{7C853982-6A5F-49AB-BEB0-4E62F21B23A2}" type="TxLink">
            <a:rPr lang="en-US" sz="3200" b="1" i="0" u="none" strike="noStrike" kern="1200" dirty="0" smtClean="0">
              <a:solidFill>
                <a:schemeClr val="bg1"/>
              </a:solidFill>
              <a:effectLst/>
              <a:latin typeface="Leelawadee"/>
              <a:ea typeface="+mn-ea"/>
              <a:cs typeface="Leelawadee"/>
            </a:rPr>
            <a:pPr/>
            <a:t>for Client Company Name</a:t>
          </a:fld>
          <a:endParaRPr lang="en-AE" sz="49600" b="1" i="0" kern="1200" dirty="0">
            <a:solidFill>
              <a:schemeClr val="bg1"/>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2</xdr:col>
      <xdr:colOff>406801</xdr:colOff>
      <xdr:row>27</xdr:row>
      <xdr:rowOff>47977</xdr:rowOff>
    </xdr:from>
    <xdr:ext cx="5856514" cy="306687"/>
    <xdr:sp macro="" textlink="Log!I4">
      <xdr:nvSpPr>
        <xdr:cNvPr id="49" name="TextBox 48">
          <a:extLst>
            <a:ext uri="{FF2B5EF4-FFF2-40B4-BE49-F238E27FC236}">
              <a16:creationId xmlns:a16="http://schemas.microsoft.com/office/drawing/2014/main" id="{1B4BABF4-12A8-49C4-BA9A-37EF53FB9A9B}"/>
            </a:ext>
          </a:extLst>
        </xdr:cNvPr>
        <xdr:cNvSpPr txBox="1"/>
      </xdr:nvSpPr>
      <xdr:spPr>
        <a:xfrm>
          <a:off x="1027690" y="5029199"/>
          <a:ext cx="5856514" cy="306687"/>
        </a:xfrm>
        <a:prstGeom prst="rect">
          <a:avLst/>
        </a:prstGeom>
        <a:noFill/>
      </xdr:spPr>
      <xdr:txBody>
        <a:bodyPr vertOverflow="clip" horzOverflow="clip" wrap="square" lIns="0" tIns="0" rIns="0" bIns="0" rtlCol="0" anchor="t">
          <a:spAutoFit/>
        </a:bodyPr>
        <a:lstStyle/>
        <a:p>
          <a:fld id="{BD86FD90-2C90-4C49-8F2C-056326E9343C}" type="TxLink">
            <a:rPr lang="en-US" sz="2000" b="0" i="0" u="none" strike="noStrike" kern="1200" dirty="0" smtClean="0">
              <a:solidFill>
                <a:schemeClr val="bg1"/>
              </a:solidFill>
              <a:effectLst/>
              <a:latin typeface="Leelawadee"/>
              <a:ea typeface="+mn-ea"/>
              <a:cs typeface="Leelawadee"/>
            </a:rPr>
            <a:pPr/>
            <a:t>Valuation as at 30 September 2024</a:t>
          </a:fld>
          <a:endParaRPr lang="en-AE" sz="148100" b="1" i="0" kern="1200" dirty="0">
            <a:solidFill>
              <a:schemeClr val="bg1"/>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2</xdr:col>
      <xdr:colOff>406801</xdr:colOff>
      <xdr:row>33</xdr:row>
      <xdr:rowOff>71757</xdr:rowOff>
    </xdr:from>
    <xdr:ext cx="5856514" cy="214739"/>
    <xdr:sp macro="" textlink="Log!I5">
      <xdr:nvSpPr>
        <xdr:cNvPr id="50" name="TextBox 49">
          <a:extLst>
            <a:ext uri="{FF2B5EF4-FFF2-40B4-BE49-F238E27FC236}">
              <a16:creationId xmlns:a16="http://schemas.microsoft.com/office/drawing/2014/main" id="{DDCBB5D5-85DD-4F03-A789-7B3CA0518EDA}"/>
            </a:ext>
          </a:extLst>
        </xdr:cNvPr>
        <xdr:cNvSpPr txBox="1"/>
      </xdr:nvSpPr>
      <xdr:spPr>
        <a:xfrm>
          <a:off x="1027690" y="6068979"/>
          <a:ext cx="5856514" cy="214739"/>
        </a:xfrm>
        <a:prstGeom prst="rect">
          <a:avLst/>
        </a:prstGeom>
        <a:noFill/>
      </xdr:spPr>
      <xdr:txBody>
        <a:bodyPr vertOverflow="clip" horzOverflow="clip" wrap="square" lIns="0" tIns="0" rIns="0" bIns="0" rtlCol="0" anchor="t">
          <a:spAutoFit/>
        </a:bodyPr>
        <a:lstStyle/>
        <a:p>
          <a:fld id="{7B0B2B91-F43C-4B16-A8B1-5304E2EF2248}" type="TxLink">
            <a:rPr lang="en-US" sz="1400" b="0" i="0" u="none" strike="noStrike" kern="1200" dirty="0" smtClean="0">
              <a:solidFill>
                <a:schemeClr val="bg1"/>
              </a:solidFill>
              <a:effectLst/>
              <a:latin typeface="Leelawadee"/>
              <a:ea typeface="+mn-ea"/>
              <a:cs typeface="Leelawadee"/>
            </a:rPr>
            <a:pPr/>
            <a:t>21 November 2024</a:t>
          </a:fld>
          <a:endParaRPr lang="en-AE" sz="1400" b="1" i="0" kern="1200" dirty="0">
            <a:solidFill>
              <a:schemeClr val="bg1"/>
            </a:solidFill>
            <a:effectLst/>
            <a:latin typeface="Leelawadee" panose="020B0502040204020203" pitchFamily="34" charset="-34"/>
            <a:ea typeface="+mn-ea"/>
            <a:cs typeface="Leelawadee" panose="020B0502040204020203" pitchFamily="34" charset="-34"/>
          </a:endParaRPr>
        </a:p>
      </xdr:txBody>
    </xdr:sp>
    <xdr:clientData/>
  </xdr:oneCellAnchor>
  <xdr:oneCellAnchor>
    <xdr:from>
      <xdr:col>2</xdr:col>
      <xdr:colOff>406801</xdr:colOff>
      <xdr:row>36</xdr:row>
      <xdr:rowOff>43540</xdr:rowOff>
    </xdr:from>
    <xdr:ext cx="5856514" cy="214739"/>
    <xdr:sp macro="" textlink="">
      <xdr:nvSpPr>
        <xdr:cNvPr id="51" name="TextBox 50">
          <a:extLst>
            <a:ext uri="{FF2B5EF4-FFF2-40B4-BE49-F238E27FC236}">
              <a16:creationId xmlns:a16="http://schemas.microsoft.com/office/drawing/2014/main" id="{5B72BE90-2D70-4235-BCD8-DF0511AC921F}"/>
            </a:ext>
          </a:extLst>
        </xdr:cNvPr>
        <xdr:cNvSpPr txBox="1"/>
      </xdr:nvSpPr>
      <xdr:spPr>
        <a:xfrm>
          <a:off x="1027690" y="6548762"/>
          <a:ext cx="5856514" cy="214739"/>
        </a:xfrm>
        <a:prstGeom prst="rect">
          <a:avLst/>
        </a:prstGeom>
        <a:noFill/>
      </xdr:spPr>
      <xdr:txBody>
        <a:bodyPr vertOverflow="clip" horzOverflow="clip" wrap="square" lIns="0" tIns="0" rIns="0" bIns="0" rtlCol="0" anchor="t">
          <a:spAutoFit/>
        </a:bodyPr>
        <a:lstStyle/>
        <a:p>
          <a:r>
            <a:rPr lang="en-US" sz="1400" b="0" i="0" u="none" strike="noStrike" kern="1200" dirty="0">
              <a:solidFill>
                <a:schemeClr val="bg1"/>
              </a:solidFill>
              <a:effectLst/>
              <a:latin typeface="Leelawadee"/>
              <a:ea typeface="+mn-ea"/>
              <a:cs typeface="Leelawadee"/>
            </a:rPr>
            <a:t>Valify - Digital</a:t>
          </a:r>
          <a:r>
            <a:rPr lang="en-US" sz="1400" b="0" i="0" u="none" strike="noStrike" kern="1200" baseline="0" dirty="0">
              <a:solidFill>
                <a:schemeClr val="bg1"/>
              </a:solidFill>
              <a:effectLst/>
              <a:latin typeface="Leelawadee"/>
              <a:ea typeface="+mn-ea"/>
              <a:cs typeface="Leelawadee"/>
            </a:rPr>
            <a:t> Valuation platform</a:t>
          </a:r>
          <a:endParaRPr lang="en-US" sz="1400" b="0" i="0" u="none" strike="noStrike" kern="1200" dirty="0">
            <a:solidFill>
              <a:schemeClr val="bg1"/>
            </a:solidFill>
            <a:effectLst/>
            <a:latin typeface="Leelawadee"/>
            <a:ea typeface="+mn-ea"/>
            <a:cs typeface="Leelawadee"/>
          </a:endParaRPr>
        </a:p>
      </xdr:txBody>
    </xdr:sp>
    <xdr:clientData/>
  </xdr:oneCellAnchor>
  <xdr:oneCellAnchor>
    <xdr:from>
      <xdr:col>2</xdr:col>
      <xdr:colOff>24554</xdr:colOff>
      <xdr:row>163</xdr:row>
      <xdr:rowOff>26275</xdr:rowOff>
    </xdr:from>
    <xdr:ext cx="5582401" cy="1242520"/>
    <xdr:sp macro="" textlink="">
      <xdr:nvSpPr>
        <xdr:cNvPr id="58" name="TextBox 57">
          <a:extLst>
            <a:ext uri="{FF2B5EF4-FFF2-40B4-BE49-F238E27FC236}">
              <a16:creationId xmlns:a16="http://schemas.microsoft.com/office/drawing/2014/main" id="{A85B1472-4F8F-46A8-B9D5-095850A92C69}"/>
            </a:ext>
          </a:extLst>
        </xdr:cNvPr>
        <xdr:cNvSpPr txBox="1"/>
      </xdr:nvSpPr>
      <xdr:spPr>
        <a:xfrm>
          <a:off x="637296" y="29359347"/>
          <a:ext cx="5582401" cy="1242520"/>
        </a:xfrm>
        <a:prstGeom prst="rect">
          <a:avLst/>
        </a:prstGeom>
        <a:noFill/>
      </xdr:spPr>
      <xdr:txBody>
        <a:bodyPr vertOverflow="clip" horzOverflow="clip" wrap="square" lIns="0" tIns="0" rIns="0" bIns="0" rtlCol="0" anchor="t">
          <a:spAutoFit/>
        </a:bodyPr>
        <a:lstStyle/>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Please note that we have not carried out an audit of the information provided to us by the Company and do not comment on the achievability of the forecasts prepared by them. The scope of our work has been limited by the information, market research and time made available to us to complete our work.</a:t>
          </a:r>
        </a:p>
        <a:p>
          <a:pPr>
            <a:lnSpc>
              <a:spcPts val="1400"/>
            </a:lnSpc>
          </a:pPr>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The valuation provided hereafter is subject to a due diligence exercise, based on which the</a:t>
          </a: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 </a:t>
          </a:r>
          <a:r>
            <a:rPr lang="en-US" sz="1000" b="0" i="0" kern="1200" dirty="0">
              <a:solidFill>
                <a:schemeClr val="tx1"/>
              </a:solidFill>
              <a:effectLst/>
              <a:latin typeface="Leelawadee" panose="020B0502040204020203" pitchFamily="34" charset="-34"/>
              <a:ea typeface="+mn-ea"/>
              <a:cs typeface="Leelawadee" panose="020B0502040204020203" pitchFamily="34" charset="-34"/>
            </a:rPr>
            <a:t>valuation provided is subject to change.</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oneCellAnchor>
  <xdr:twoCellAnchor>
    <xdr:from>
      <xdr:col>2</xdr:col>
      <xdr:colOff>27694</xdr:colOff>
      <xdr:row>172</xdr:row>
      <xdr:rowOff>8983</xdr:rowOff>
    </xdr:from>
    <xdr:to>
      <xdr:col>2</xdr:col>
      <xdr:colOff>5615442</xdr:colOff>
      <xdr:row>186</xdr:row>
      <xdr:rowOff>33422</xdr:rowOff>
    </xdr:to>
    <xdr:grpSp>
      <xdr:nvGrpSpPr>
        <xdr:cNvPr id="62" name="Group 61">
          <a:extLst>
            <a:ext uri="{FF2B5EF4-FFF2-40B4-BE49-F238E27FC236}">
              <a16:creationId xmlns:a16="http://schemas.microsoft.com/office/drawing/2014/main" id="{14139D94-717D-A6BF-9CF7-51E4FCDECF81}"/>
            </a:ext>
          </a:extLst>
        </xdr:cNvPr>
        <xdr:cNvGrpSpPr/>
      </xdr:nvGrpSpPr>
      <xdr:grpSpPr>
        <a:xfrm>
          <a:off x="627899" y="31080490"/>
          <a:ext cx="5543298" cy="2460055"/>
          <a:chOff x="649326" y="31130667"/>
          <a:chExt cx="5587748" cy="2457492"/>
        </a:xfrm>
      </xdr:grpSpPr>
      <xdr:sp macro="" textlink="">
        <xdr:nvSpPr>
          <xdr:cNvPr id="59" name="TextBox 58">
            <a:extLst>
              <a:ext uri="{FF2B5EF4-FFF2-40B4-BE49-F238E27FC236}">
                <a16:creationId xmlns:a16="http://schemas.microsoft.com/office/drawing/2014/main" id="{0A0EFCAD-5BBC-465A-A9BE-500CDFDAA692}"/>
              </a:ext>
            </a:extLst>
          </xdr:cNvPr>
          <xdr:cNvSpPr txBox="1"/>
        </xdr:nvSpPr>
        <xdr:spPr>
          <a:xfrm>
            <a:off x="650663" y="31130667"/>
            <a:ext cx="5582401" cy="572544"/>
          </a:xfrm>
          <a:prstGeom prst="rect">
            <a:avLst/>
          </a:prstGeom>
          <a:noFill/>
        </xdr:spPr>
        <xdr:txBody>
          <a:bodyPr vertOverflow="clip" horzOverflow="clip" wrap="square" lIns="0" tIns="0" rIns="0" bIns="0" rtlCol="0" anchor="t">
            <a:noAutofit/>
          </a:bodyPr>
          <a:lstStyle/>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To estimate at an Enterprise Value range of the Company, we have adopted the below-listed methodologies</a:t>
            </a: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 that we believe are best suited for valuation of the described business characteristics, growth level &amp; phase:</a:t>
            </a:r>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sp macro="" textlink="">
        <xdr:nvSpPr>
          <xdr:cNvPr id="60" name="TextBox 59">
            <a:extLst>
              <a:ext uri="{FF2B5EF4-FFF2-40B4-BE49-F238E27FC236}">
                <a16:creationId xmlns:a16="http://schemas.microsoft.com/office/drawing/2014/main" id="{7F8CA9A1-00D1-4AC9-B614-898A4BF59035}"/>
              </a:ext>
            </a:extLst>
          </xdr:cNvPr>
          <xdr:cNvSpPr txBox="1"/>
        </xdr:nvSpPr>
        <xdr:spPr>
          <a:xfrm>
            <a:off x="649326" y="32172067"/>
            <a:ext cx="5582401" cy="781091"/>
          </a:xfrm>
          <a:prstGeom prst="rect">
            <a:avLst/>
          </a:prstGeom>
          <a:noFill/>
        </xdr:spPr>
        <xdr:txBody>
          <a:bodyPr vertOverflow="clip" horzOverflow="clip" wrap="square" lIns="0" tIns="0" rIns="0" bIns="0" rtlCol="0" anchor="t">
            <a:noAutofit/>
          </a:bodyPr>
          <a:lstStyle/>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We have applied the below approaches within our analysis:</a:t>
            </a:r>
          </a:p>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a.</a:t>
            </a: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 </a:t>
            </a:r>
            <a:r>
              <a:rPr lang="en-US" sz="1000" b="0" i="0" kern="1200" dirty="0">
                <a:solidFill>
                  <a:schemeClr val="tx1"/>
                </a:solidFill>
                <a:effectLst/>
                <a:latin typeface="Leelawadee" panose="020B0502040204020203" pitchFamily="34" charset="-34"/>
                <a:ea typeface="+mn-ea"/>
                <a:cs typeface="Leelawadee" panose="020B0502040204020203" pitchFamily="34" charset="-34"/>
              </a:rPr>
              <a:t>‘Management Case’ which adopts Management forecasts provided by you, and</a:t>
            </a:r>
          </a:p>
          <a:p>
            <a:pPr>
              <a:lnSpc>
                <a:spcPts val="1400"/>
              </a:lnSpc>
            </a:pPr>
            <a:r>
              <a:rPr lang="en-US" sz="1000" b="0" i="0" kern="1200" dirty="0">
                <a:solidFill>
                  <a:schemeClr val="tx1"/>
                </a:solidFill>
                <a:effectLst/>
                <a:latin typeface="Leelawadee" panose="020B0502040204020203" pitchFamily="34" charset="-34"/>
                <a:ea typeface="+mn-ea"/>
                <a:cs typeface="Leelawadee" panose="020B0502040204020203" pitchFamily="34" charset="-34"/>
              </a:rPr>
              <a:t>b. ‘Valify Case’ which includes sensitivities to the Management case based on</a:t>
            </a:r>
            <a:r>
              <a:rPr lang="en-US" sz="1000" b="0" i="0" kern="1200" baseline="0" dirty="0">
                <a:solidFill>
                  <a:schemeClr val="tx1"/>
                </a:solidFill>
                <a:effectLst/>
                <a:latin typeface="Leelawadee" panose="020B0502040204020203" pitchFamily="34" charset="-34"/>
                <a:ea typeface="+mn-ea"/>
                <a:cs typeface="Leelawadee" panose="020B0502040204020203" pitchFamily="34" charset="-34"/>
              </a:rPr>
              <a:t> market parameters</a:t>
            </a:r>
            <a:r>
              <a:rPr lang="en-US" sz="1000" b="0" i="0" kern="1200" dirty="0">
                <a:solidFill>
                  <a:schemeClr val="tx1"/>
                </a:solidFill>
                <a:effectLst/>
                <a:latin typeface="Leelawadee" panose="020B0502040204020203" pitchFamily="34" charset="-34"/>
                <a:ea typeface="+mn-ea"/>
                <a:cs typeface="Leelawadee" panose="020B0502040204020203" pitchFamily="34" charset="-34"/>
              </a:rPr>
              <a:t>; (please refer to the ‘Business Plan Assumptions - Scenarios’ section for further detail)</a:t>
            </a:r>
          </a:p>
        </xdr:txBody>
      </xdr:sp>
      <xdr:sp macro="" textlink="Log!I11">
        <xdr:nvSpPr>
          <xdr:cNvPr id="61" name="TextBox 60">
            <a:extLst>
              <a:ext uri="{FF2B5EF4-FFF2-40B4-BE49-F238E27FC236}">
                <a16:creationId xmlns:a16="http://schemas.microsoft.com/office/drawing/2014/main" id="{8983A147-1212-4A39-8387-8425B249FCB6}"/>
              </a:ext>
            </a:extLst>
          </xdr:cNvPr>
          <xdr:cNvSpPr txBox="1"/>
        </xdr:nvSpPr>
        <xdr:spPr>
          <a:xfrm>
            <a:off x="654673" y="33039679"/>
            <a:ext cx="5582401" cy="548480"/>
          </a:xfrm>
          <a:prstGeom prst="rect">
            <a:avLst/>
          </a:prstGeom>
          <a:noFill/>
        </xdr:spPr>
        <xdr:txBody>
          <a:bodyPr vertOverflow="clip" horzOverflow="clip" wrap="square" lIns="0" tIns="0" rIns="0" bIns="0" rtlCol="0" anchor="t">
            <a:noAutofit/>
          </a:bodyPr>
          <a:lstStyle/>
          <a:p>
            <a:pPr>
              <a:lnSpc>
                <a:spcPts val="1400"/>
              </a:lnSpc>
            </a:pPr>
            <a:fld id="{5961F721-F2EB-4031-AB38-84E15098FF10}" type="TxLink">
              <a:rPr lang="en-US" sz="1000" b="0" i="0" u="none" strike="noStrike" kern="1200" dirty="0" smtClean="0">
                <a:solidFill>
                  <a:srgbClr val="000000"/>
                </a:solidFill>
                <a:effectLst/>
                <a:latin typeface="Leelawadee"/>
                <a:ea typeface="+mn-ea"/>
                <a:cs typeface="Leelawadee"/>
              </a:rPr>
              <a:pPr>
                <a:lnSpc>
                  <a:spcPts val="1400"/>
                </a:lnSpc>
              </a:pPr>
              <a:t>We have corroborated our analysis using the Market approach, which considers market multiples (EV/EBITDA) of a set of publicly listed companies comparable to Aerial Arts India XXXXXXXXXXXXXXXXX.</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grpSp>
    <xdr:clientData/>
  </xdr:twoCellAnchor>
  <xdr:oneCellAnchor>
    <xdr:from>
      <xdr:col>2</xdr:col>
      <xdr:colOff>29033</xdr:colOff>
      <xdr:row>156</xdr:row>
      <xdr:rowOff>8978</xdr:rowOff>
    </xdr:from>
    <xdr:ext cx="5582401" cy="344838"/>
    <xdr:sp macro="" textlink="Log!I10">
      <xdr:nvSpPr>
        <xdr:cNvPr id="63" name="TextBox 62">
          <a:extLst>
            <a:ext uri="{FF2B5EF4-FFF2-40B4-BE49-F238E27FC236}">
              <a16:creationId xmlns:a16="http://schemas.microsoft.com/office/drawing/2014/main" id="{8FDD1EC4-35B3-49CC-ADD1-833ACF8B65B5}"/>
            </a:ext>
          </a:extLst>
        </xdr:cNvPr>
        <xdr:cNvSpPr txBox="1"/>
      </xdr:nvSpPr>
      <xdr:spPr>
        <a:xfrm>
          <a:off x="650665" y="28350031"/>
          <a:ext cx="5582401" cy="344838"/>
        </a:xfrm>
        <a:prstGeom prst="rect">
          <a:avLst/>
        </a:prstGeom>
        <a:noFill/>
      </xdr:spPr>
      <xdr:txBody>
        <a:bodyPr vertOverflow="clip" horzOverflow="clip" wrap="square" lIns="0" tIns="0" rIns="0" bIns="0" rtlCol="0" anchor="t">
          <a:spAutoFit/>
        </a:bodyPr>
        <a:lstStyle/>
        <a:p>
          <a:pPr>
            <a:lnSpc>
              <a:spcPts val="1400"/>
            </a:lnSpc>
          </a:pPr>
          <a:fld id="{2DCEBC9B-7176-4A89-B604-92E517E4285F}" type="TxLink">
            <a:rPr lang="en-US" sz="1000" b="0" i="0" u="none" strike="noStrike" kern="1200" dirty="0" smtClean="0">
              <a:solidFill>
                <a:srgbClr val="000000"/>
              </a:solidFill>
              <a:effectLst/>
              <a:latin typeface="Leelawadee"/>
              <a:ea typeface="+mn-ea"/>
              <a:cs typeface="Leelawadee"/>
            </a:rPr>
            <a:pPr>
              <a:lnSpc>
                <a:spcPts val="1400"/>
              </a:lnSpc>
            </a:pPr>
            <a:t>#REF!</a:t>
          </a:fld>
          <a:endParaRPr lang="en-AE"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oneCellAnchor>
  <xdr:twoCellAnchor>
    <xdr:from>
      <xdr:col>4</xdr:col>
      <xdr:colOff>27695</xdr:colOff>
      <xdr:row>176</xdr:row>
      <xdr:rowOff>18393</xdr:rowOff>
    </xdr:from>
    <xdr:to>
      <xdr:col>4</xdr:col>
      <xdr:colOff>5610096</xdr:colOff>
      <xdr:row>179</xdr:row>
      <xdr:rowOff>47038</xdr:rowOff>
    </xdr:to>
    <xdr:sp macro="" textlink="Log!I12">
      <xdr:nvSpPr>
        <xdr:cNvPr id="64" name="TextBox 63">
          <a:extLst>
            <a:ext uri="{FF2B5EF4-FFF2-40B4-BE49-F238E27FC236}">
              <a16:creationId xmlns:a16="http://schemas.microsoft.com/office/drawing/2014/main" id="{98E76AA8-3670-467A-9ADC-07D7C8CBB241}"/>
            </a:ext>
          </a:extLst>
        </xdr:cNvPr>
        <xdr:cNvSpPr txBox="1"/>
      </xdr:nvSpPr>
      <xdr:spPr>
        <a:xfrm>
          <a:off x="6490584" y="32530393"/>
          <a:ext cx="5582401" cy="564867"/>
        </a:xfrm>
        <a:prstGeom prst="rect">
          <a:avLst/>
        </a:prstGeom>
        <a:noFill/>
      </xdr:spPr>
      <xdr:txBody>
        <a:bodyPr vertOverflow="clip" horzOverflow="clip" wrap="square" lIns="0" tIns="0" rIns="0" bIns="0" rtlCol="0" anchor="t">
          <a:noAutofit/>
        </a:bodyPr>
        <a:lstStyle/>
        <a:p>
          <a:pPr>
            <a:lnSpc>
              <a:spcPts val="1400"/>
            </a:lnSpc>
          </a:pPr>
          <a:fld id="{05105FAD-3253-45DA-92A6-60C46C660F48}" type="TxLink">
            <a:rPr lang="en-US" sz="1000" b="0" i="0" u="none" strike="noStrike" kern="1200" dirty="0" smtClean="0">
              <a:solidFill>
                <a:srgbClr val="000000"/>
              </a:solidFill>
              <a:effectLst/>
              <a:latin typeface="Leelawadee"/>
              <a:ea typeface="+mn-ea"/>
              <a:cs typeface="Leelawadee"/>
            </a:rPr>
            <a:pPr>
              <a:lnSpc>
                <a:spcPts val="1400"/>
              </a:lnSpc>
            </a:pPr>
            <a:t>#NAME?</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twoCellAnchor>
    <xdr:from>
      <xdr:col>2</xdr:col>
      <xdr:colOff>489186</xdr:colOff>
      <xdr:row>195</xdr:row>
      <xdr:rowOff>150519</xdr:rowOff>
    </xdr:from>
    <xdr:to>
      <xdr:col>2</xdr:col>
      <xdr:colOff>5647152</xdr:colOff>
      <xdr:row>198</xdr:row>
      <xdr:rowOff>9402</xdr:rowOff>
    </xdr:to>
    <xdr:sp macro="" textlink="Log!I14">
      <xdr:nvSpPr>
        <xdr:cNvPr id="65" name="TextBox 64">
          <a:extLst>
            <a:ext uri="{FF2B5EF4-FFF2-40B4-BE49-F238E27FC236}">
              <a16:creationId xmlns:a16="http://schemas.microsoft.com/office/drawing/2014/main" id="{7A1DD0E0-8D26-4C95-BAE4-0C840064DAFE}"/>
            </a:ext>
          </a:extLst>
        </xdr:cNvPr>
        <xdr:cNvSpPr txBox="1"/>
      </xdr:nvSpPr>
      <xdr:spPr>
        <a:xfrm>
          <a:off x="1105049" y="36183724"/>
          <a:ext cx="5157966" cy="391240"/>
        </a:xfrm>
        <a:prstGeom prst="rect">
          <a:avLst/>
        </a:prstGeom>
        <a:noFill/>
      </xdr:spPr>
      <xdr:txBody>
        <a:bodyPr vertOverflow="clip" horzOverflow="clip" wrap="square" lIns="0" tIns="0" rIns="0" bIns="0" rtlCol="0" anchor="t">
          <a:noAutofit/>
        </a:bodyPr>
        <a:lstStyle/>
        <a:p>
          <a:pPr>
            <a:lnSpc>
              <a:spcPts val="1400"/>
            </a:lnSpc>
          </a:pPr>
          <a:fld id="{DCD0A223-68DC-42B7-95CD-2407C7B9CE4C}" type="TxLink">
            <a:rPr lang="en-US" sz="1000" b="0" i="0" u="none" strike="noStrike" kern="1200" dirty="0" smtClean="0">
              <a:solidFill>
                <a:srgbClr val="000000"/>
              </a:solidFill>
              <a:effectLst/>
              <a:latin typeface="Leelawadee"/>
              <a:ea typeface="+mn-ea"/>
              <a:cs typeface="Leelawadee"/>
            </a:rPr>
            <a:pPr>
              <a:lnSpc>
                <a:spcPts val="1400"/>
              </a:lnSpc>
            </a:pPr>
            <a:t>Aerial Arts India XXXXXXXXXXXXXXXXXis a Growing Retailer in the Apparel industry in United Arab Emirates.</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twoCellAnchor editAs="oneCell">
    <xdr:from>
      <xdr:col>2</xdr:col>
      <xdr:colOff>18815</xdr:colOff>
      <xdr:row>195</xdr:row>
      <xdr:rowOff>112885</xdr:rowOff>
    </xdr:from>
    <xdr:to>
      <xdr:col>2</xdr:col>
      <xdr:colOff>442149</xdr:colOff>
      <xdr:row>198</xdr:row>
      <xdr:rowOff>1285</xdr:rowOff>
    </xdr:to>
    <xdr:pic>
      <xdr:nvPicPr>
        <xdr:cNvPr id="67" name="Graphic 66" descr="Badge Question Mark with solid fill">
          <a:extLst>
            <a:ext uri="{FF2B5EF4-FFF2-40B4-BE49-F238E27FC236}">
              <a16:creationId xmlns:a16="http://schemas.microsoft.com/office/drawing/2014/main" id="{22A7BA7A-5050-474F-D8D7-2E7C679C075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39704" y="36425478"/>
          <a:ext cx="423334" cy="423334"/>
        </a:xfrm>
        <a:prstGeom prst="rect">
          <a:avLst/>
        </a:prstGeom>
      </xdr:spPr>
    </xdr:pic>
    <xdr:clientData/>
  </xdr:twoCellAnchor>
  <xdr:twoCellAnchor>
    <xdr:from>
      <xdr:col>2</xdr:col>
      <xdr:colOff>404518</xdr:colOff>
      <xdr:row>200</xdr:row>
      <xdr:rowOff>39513</xdr:rowOff>
    </xdr:from>
    <xdr:to>
      <xdr:col>2</xdr:col>
      <xdr:colOff>5625630</xdr:colOff>
      <xdr:row>202</xdr:row>
      <xdr:rowOff>77136</xdr:rowOff>
    </xdr:to>
    <xdr:sp macro="" textlink="Log!I15">
      <xdr:nvSpPr>
        <xdr:cNvPr id="68" name="TextBox 67">
          <a:extLst>
            <a:ext uri="{FF2B5EF4-FFF2-40B4-BE49-F238E27FC236}">
              <a16:creationId xmlns:a16="http://schemas.microsoft.com/office/drawing/2014/main" id="{90A7DD45-8E4F-4042-B8C1-347E901BBBEB}"/>
            </a:ext>
          </a:extLst>
        </xdr:cNvPr>
        <xdr:cNvSpPr txBox="1"/>
      </xdr:nvSpPr>
      <xdr:spPr>
        <a:xfrm>
          <a:off x="1025407" y="37245809"/>
          <a:ext cx="5221112" cy="395105"/>
        </a:xfrm>
        <a:prstGeom prst="rect">
          <a:avLst/>
        </a:prstGeom>
        <a:noFill/>
      </xdr:spPr>
      <xdr:txBody>
        <a:bodyPr vertOverflow="clip" horzOverflow="clip" wrap="square" lIns="0" tIns="0" rIns="0" bIns="0" rtlCol="0" anchor="t">
          <a:noAutofit/>
        </a:bodyPr>
        <a:lstStyle/>
        <a:p>
          <a:pPr>
            <a:lnSpc>
              <a:spcPts val="1400"/>
            </a:lnSpc>
          </a:pPr>
          <a:fld id="{A0D5E1FE-586B-4123-90E8-3E104236F3C4}" type="TxLink">
            <a:rPr lang="en-US" sz="1000" b="0" i="0" u="none" strike="noStrike" kern="1200" dirty="0" smtClean="0">
              <a:solidFill>
                <a:srgbClr val="000000"/>
              </a:solidFill>
              <a:effectLst/>
              <a:latin typeface="Leelawadee"/>
              <a:ea typeface="+mn-ea"/>
              <a:cs typeface="Leelawadee"/>
            </a:rPr>
            <a:pPr>
              <a:lnSpc>
                <a:spcPts val="1400"/>
              </a:lnSpc>
            </a:pPr>
            <a:t>#REF!</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twoCellAnchor>
    <xdr:from>
      <xdr:col>2</xdr:col>
      <xdr:colOff>404518</xdr:colOff>
      <xdr:row>202</xdr:row>
      <xdr:rowOff>69616</xdr:rowOff>
    </xdr:from>
    <xdr:to>
      <xdr:col>2</xdr:col>
      <xdr:colOff>5625630</xdr:colOff>
      <xdr:row>204</xdr:row>
      <xdr:rowOff>107240</xdr:rowOff>
    </xdr:to>
    <xdr:sp macro="" textlink="Log!I16">
      <xdr:nvSpPr>
        <xdr:cNvPr id="69" name="TextBox 68">
          <a:extLst>
            <a:ext uri="{FF2B5EF4-FFF2-40B4-BE49-F238E27FC236}">
              <a16:creationId xmlns:a16="http://schemas.microsoft.com/office/drawing/2014/main" id="{7BE79F7D-6F8B-4179-8937-4C55D6A33481}"/>
            </a:ext>
          </a:extLst>
        </xdr:cNvPr>
        <xdr:cNvSpPr txBox="1"/>
      </xdr:nvSpPr>
      <xdr:spPr>
        <a:xfrm>
          <a:off x="1025407" y="37633394"/>
          <a:ext cx="5221112" cy="395105"/>
        </a:xfrm>
        <a:prstGeom prst="rect">
          <a:avLst/>
        </a:prstGeom>
        <a:noFill/>
      </xdr:spPr>
      <xdr:txBody>
        <a:bodyPr vertOverflow="clip" horzOverflow="clip" wrap="square" lIns="0" tIns="0" rIns="0" bIns="0" rtlCol="0" anchor="t">
          <a:noAutofit/>
        </a:bodyPr>
        <a:lstStyle/>
        <a:p>
          <a:pPr>
            <a:lnSpc>
              <a:spcPts val="1400"/>
            </a:lnSpc>
          </a:pPr>
          <a:fld id="{FFD19572-B21E-4210-BF96-EF912AF54DB4}" type="TxLink">
            <a:rPr lang="en-US" sz="1000" b="0" i="0" u="none" strike="noStrike" kern="1200" dirty="0" smtClean="0">
              <a:solidFill>
                <a:srgbClr val="000000"/>
              </a:solidFill>
              <a:effectLst/>
              <a:latin typeface="Leelawadee"/>
              <a:ea typeface="+mn-ea"/>
              <a:cs typeface="Leelawadee"/>
            </a:rPr>
            <a:pPr>
              <a:lnSpc>
                <a:spcPts val="1400"/>
              </a:lnSpc>
            </a:pPr>
            <a:t>Further, as per provided information, Corporate Clients, NA, NA, NA are in confirmed pipeline during the next 5 years.</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twoCellAnchor>
    <xdr:from>
      <xdr:col>2</xdr:col>
      <xdr:colOff>404518</xdr:colOff>
      <xdr:row>205</xdr:row>
      <xdr:rowOff>127942</xdr:rowOff>
    </xdr:from>
    <xdr:to>
      <xdr:col>2</xdr:col>
      <xdr:colOff>5625630</xdr:colOff>
      <xdr:row>207</xdr:row>
      <xdr:rowOff>165566</xdr:rowOff>
    </xdr:to>
    <xdr:sp macro="" textlink="Log!I17">
      <xdr:nvSpPr>
        <xdr:cNvPr id="70" name="TextBox 69">
          <a:extLst>
            <a:ext uri="{FF2B5EF4-FFF2-40B4-BE49-F238E27FC236}">
              <a16:creationId xmlns:a16="http://schemas.microsoft.com/office/drawing/2014/main" id="{0E6948F9-1F35-4762-8822-716B20C0F4CC}"/>
            </a:ext>
          </a:extLst>
        </xdr:cNvPr>
        <xdr:cNvSpPr txBox="1"/>
      </xdr:nvSpPr>
      <xdr:spPr>
        <a:xfrm>
          <a:off x="1025407" y="38227942"/>
          <a:ext cx="5221112" cy="395105"/>
        </a:xfrm>
        <a:prstGeom prst="rect">
          <a:avLst/>
        </a:prstGeom>
        <a:noFill/>
      </xdr:spPr>
      <xdr:txBody>
        <a:bodyPr vertOverflow="clip" horzOverflow="clip" wrap="square" lIns="0" tIns="0" rIns="0" bIns="0" rtlCol="0" anchor="t">
          <a:noAutofit/>
        </a:bodyPr>
        <a:lstStyle/>
        <a:p>
          <a:pPr>
            <a:lnSpc>
              <a:spcPts val="1400"/>
            </a:lnSpc>
          </a:pPr>
          <a:fld id="{B172D30C-35A7-4E61-8CC0-5F52E03926CE}" type="TxLink">
            <a:rPr lang="en-US" sz="1000" b="0" i="0" u="none" strike="noStrike" kern="1200" dirty="0" smtClean="0">
              <a:solidFill>
                <a:srgbClr val="000000"/>
              </a:solidFill>
              <a:effectLst/>
              <a:latin typeface="Leelawadee"/>
              <a:ea typeface="+mn-ea"/>
              <a:cs typeface="Leelawadee"/>
            </a:rPr>
            <a:pPr>
              <a:lnSpc>
                <a:spcPts val="1400"/>
              </a:lnSpc>
            </a:pPr>
            <a:t>Lastly, as per the provided information, the Company aims to develop business into Business Events, NA, NA and NA over the next 5 years.</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twoCellAnchor editAs="oneCell">
    <xdr:from>
      <xdr:col>1</xdr:col>
      <xdr:colOff>84666</xdr:colOff>
      <xdr:row>202</xdr:row>
      <xdr:rowOff>28223</xdr:rowOff>
    </xdr:from>
    <xdr:to>
      <xdr:col>2</xdr:col>
      <xdr:colOff>367925</xdr:colOff>
      <xdr:row>204</xdr:row>
      <xdr:rowOff>95112</xdr:rowOff>
    </xdr:to>
    <xdr:pic>
      <xdr:nvPicPr>
        <xdr:cNvPr id="72" name="Graphic 71" descr="Handshake with solid fill">
          <a:extLst>
            <a:ext uri="{FF2B5EF4-FFF2-40B4-BE49-F238E27FC236}">
              <a16:creationId xmlns:a16="http://schemas.microsoft.com/office/drawing/2014/main" id="{45CA40D8-DB5F-AA77-0957-F924D43BCF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64444" y="37592001"/>
          <a:ext cx="424370" cy="424370"/>
        </a:xfrm>
        <a:prstGeom prst="rect">
          <a:avLst/>
        </a:prstGeom>
      </xdr:spPr>
    </xdr:pic>
    <xdr:clientData/>
  </xdr:twoCellAnchor>
  <xdr:twoCellAnchor editAs="oneCell">
    <xdr:from>
      <xdr:col>1</xdr:col>
      <xdr:colOff>103481</xdr:colOff>
      <xdr:row>205</xdr:row>
      <xdr:rowOff>131183</xdr:rowOff>
    </xdr:from>
    <xdr:to>
      <xdr:col>2</xdr:col>
      <xdr:colOff>349110</xdr:colOff>
      <xdr:row>207</xdr:row>
      <xdr:rowOff>160442</xdr:rowOff>
    </xdr:to>
    <xdr:pic>
      <xdr:nvPicPr>
        <xdr:cNvPr id="74" name="Graphic 73" descr="Crops with solid fill">
          <a:extLst>
            <a:ext uri="{FF2B5EF4-FFF2-40B4-BE49-F238E27FC236}">
              <a16:creationId xmlns:a16="http://schemas.microsoft.com/office/drawing/2014/main" id="{407F21D9-F44E-31E7-B901-EB1A0D1A11A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83259" y="38231183"/>
          <a:ext cx="386740" cy="386740"/>
        </a:xfrm>
        <a:prstGeom prst="rect">
          <a:avLst/>
        </a:prstGeom>
      </xdr:spPr>
    </xdr:pic>
    <xdr:clientData/>
  </xdr:twoCellAnchor>
  <xdr:twoCellAnchor editAs="oneCell">
    <xdr:from>
      <xdr:col>2</xdr:col>
      <xdr:colOff>9408</xdr:colOff>
      <xdr:row>200</xdr:row>
      <xdr:rowOff>27185</xdr:rowOff>
    </xdr:from>
    <xdr:to>
      <xdr:col>2</xdr:col>
      <xdr:colOff>330296</xdr:colOff>
      <xdr:row>201</xdr:row>
      <xdr:rowOff>169332</xdr:rowOff>
    </xdr:to>
    <xdr:pic>
      <xdr:nvPicPr>
        <xdr:cNvPr id="76" name="Graphic 75" descr="Briefcase with solid fill">
          <a:extLst>
            <a:ext uri="{FF2B5EF4-FFF2-40B4-BE49-F238E27FC236}">
              <a16:creationId xmlns:a16="http://schemas.microsoft.com/office/drawing/2014/main" id="{C481C069-AFC6-D5DC-5EB8-4A56D9DEC2B1}"/>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30297" y="37233481"/>
          <a:ext cx="320888" cy="320888"/>
        </a:xfrm>
        <a:prstGeom prst="rect">
          <a:avLst/>
        </a:prstGeom>
      </xdr:spPr>
    </xdr:pic>
    <xdr:clientData/>
  </xdr:twoCellAnchor>
  <xdr:twoCellAnchor>
    <xdr:from>
      <xdr:col>2</xdr:col>
      <xdr:colOff>37628</xdr:colOff>
      <xdr:row>218</xdr:row>
      <xdr:rowOff>16943</xdr:rowOff>
    </xdr:from>
    <xdr:to>
      <xdr:col>3</xdr:col>
      <xdr:colOff>75257</xdr:colOff>
      <xdr:row>220</xdr:row>
      <xdr:rowOff>54567</xdr:rowOff>
    </xdr:to>
    <xdr:sp macro="" textlink="Log!I19">
      <xdr:nvSpPr>
        <xdr:cNvPr id="77" name="TextBox 76">
          <a:extLst>
            <a:ext uri="{FF2B5EF4-FFF2-40B4-BE49-F238E27FC236}">
              <a16:creationId xmlns:a16="http://schemas.microsoft.com/office/drawing/2014/main" id="{22759FC9-30F0-4B35-95A5-7C29E7B1EAD9}"/>
            </a:ext>
          </a:extLst>
        </xdr:cNvPr>
        <xdr:cNvSpPr txBox="1"/>
      </xdr:nvSpPr>
      <xdr:spPr>
        <a:xfrm>
          <a:off x="658517" y="40421758"/>
          <a:ext cx="5691481" cy="395105"/>
        </a:xfrm>
        <a:prstGeom prst="rect">
          <a:avLst/>
        </a:prstGeom>
        <a:noFill/>
      </xdr:spPr>
      <xdr:txBody>
        <a:bodyPr vertOverflow="clip" horzOverflow="clip" wrap="square" lIns="0" tIns="0" rIns="0" bIns="0" rtlCol="0" anchor="t">
          <a:noAutofit/>
        </a:bodyPr>
        <a:lstStyle/>
        <a:p>
          <a:pPr>
            <a:lnSpc>
              <a:spcPts val="1400"/>
            </a:lnSpc>
          </a:pPr>
          <a:fld id="{D0CE999B-EC04-4E04-806C-2E0282EB06CB}" type="TxLink">
            <a:rPr lang="en-US" sz="1000" b="0" i="0" u="none" strike="noStrike" kern="1200" dirty="0" smtClean="0">
              <a:solidFill>
                <a:srgbClr val="000000"/>
              </a:solidFill>
              <a:effectLst/>
              <a:latin typeface="Leelawadee"/>
              <a:ea typeface="+mn-ea"/>
              <a:cs typeface="Leelawadee"/>
            </a:rPr>
            <a:pPr>
              <a:lnSpc>
                <a:spcPts val="1400"/>
              </a:lnSpc>
            </a:pPr>
            <a:t>#REF!</a:t>
          </a:fld>
          <a:endParaRPr lang="en-US" sz="1000" b="0" i="0" kern="1200" dirty="0">
            <a:solidFill>
              <a:schemeClr val="tx1"/>
            </a:solidFill>
            <a:effectLst/>
            <a:latin typeface="Leelawadee" panose="020B0502040204020203" pitchFamily="34" charset="-34"/>
            <a:ea typeface="+mn-ea"/>
            <a:cs typeface="Leelawadee" panose="020B0502040204020203" pitchFamily="34" charset="-3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213360</xdr:colOff>
      <xdr:row>5</xdr:row>
      <xdr:rowOff>106680</xdr:rowOff>
    </xdr:from>
    <xdr:to>
      <xdr:col>5</xdr:col>
      <xdr:colOff>723900</xdr:colOff>
      <xdr:row>14</xdr:row>
      <xdr:rowOff>60960</xdr:rowOff>
    </xdr:to>
    <xdr:graphicFrame macro="">
      <xdr:nvGraphicFramePr>
        <xdr:cNvPr id="2" name="Chart 1">
          <a:extLst>
            <a:ext uri="{FF2B5EF4-FFF2-40B4-BE49-F238E27FC236}">
              <a16:creationId xmlns:a16="http://schemas.microsoft.com/office/drawing/2014/main" id="{A9ADE914-C183-64C8-24D0-66A93FA0B1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117732</xdr:colOff>
      <xdr:row>38</xdr:row>
      <xdr:rowOff>113689</xdr:rowOff>
    </xdr:from>
    <xdr:to>
      <xdr:col>5</xdr:col>
      <xdr:colOff>0</xdr:colOff>
      <xdr:row>58</xdr:row>
      <xdr:rowOff>149677</xdr:rowOff>
    </xdr:to>
    <xdr:graphicFrame macro="">
      <xdr:nvGraphicFramePr>
        <xdr:cNvPr id="3" name="Chart 2">
          <a:extLst>
            <a:ext uri="{FF2B5EF4-FFF2-40B4-BE49-F238E27FC236}">
              <a16:creationId xmlns:a16="http://schemas.microsoft.com/office/drawing/2014/main" id="{00000000-0008-0000-1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38</xdr:row>
      <xdr:rowOff>92540</xdr:rowOff>
    </xdr:from>
    <xdr:to>
      <xdr:col>24</xdr:col>
      <xdr:colOff>56641</xdr:colOff>
      <xdr:row>56</xdr:row>
      <xdr:rowOff>92908</xdr:rowOff>
    </xdr:to>
    <xdr:graphicFrame macro="">
      <xdr:nvGraphicFramePr>
        <xdr:cNvPr id="2" name="Chart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26</xdr:col>
      <xdr:colOff>304870</xdr:colOff>
      <xdr:row>5</xdr:row>
      <xdr:rowOff>17379</xdr:rowOff>
    </xdr:from>
    <xdr:to>
      <xdr:col>34</xdr:col>
      <xdr:colOff>575909</xdr:colOff>
      <xdr:row>43</xdr:row>
      <xdr:rowOff>44133</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430370</xdr:colOff>
      <xdr:row>90</xdr:row>
      <xdr:rowOff>102655</xdr:rowOff>
    </xdr:from>
    <xdr:to>
      <xdr:col>27</xdr:col>
      <xdr:colOff>107560</xdr:colOff>
      <xdr:row>105</xdr:row>
      <xdr:rowOff>78215</xdr:rowOff>
    </xdr:to>
    <xdr:graphicFrame macro="">
      <xdr:nvGraphicFramePr>
        <xdr:cNvPr id="3"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430370</xdr:colOff>
      <xdr:row>40</xdr:row>
      <xdr:rowOff>102655</xdr:rowOff>
    </xdr:from>
    <xdr:to>
      <xdr:col>27</xdr:col>
      <xdr:colOff>107560</xdr:colOff>
      <xdr:row>55</xdr:row>
      <xdr:rowOff>0</xdr:rowOff>
    </xdr:to>
    <xdr:graphicFrame macro="">
      <xdr:nvGraphicFramePr>
        <xdr:cNvPr id="2" name="Chart 1">
          <a:extLst>
            <a:ext uri="{FF2B5EF4-FFF2-40B4-BE49-F238E27FC236}">
              <a16:creationId xmlns:a16="http://schemas.microsoft.com/office/drawing/2014/main" id="{6EFEC8D1-509A-4110-8749-266065483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576792</xdr:colOff>
      <xdr:row>109</xdr:row>
      <xdr:rowOff>115357</xdr:rowOff>
    </xdr:from>
    <xdr:to>
      <xdr:col>25</xdr:col>
      <xdr:colOff>598714</xdr:colOff>
      <xdr:row>140</xdr:row>
      <xdr:rowOff>0</xdr:rowOff>
    </xdr:to>
    <xdr:graphicFrame macro="">
      <xdr:nvGraphicFramePr>
        <xdr:cNvPr id="2" name="Chart 1">
          <a:extLst>
            <a:ext uri="{FF2B5EF4-FFF2-40B4-BE49-F238E27FC236}">
              <a16:creationId xmlns:a16="http://schemas.microsoft.com/office/drawing/2014/main" id="{CF2B54C4-0356-414B-AC09-E3362B267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NFAC\INFOBASE\DOCSOPEN\PROGS\DOCS\TRANSLIB\0001696.0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muel%20J%20Beesley/AppData/Roaming/OpenText/OTEdit/EC_grantthornton/c95144469/DEZ.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amuel%20J%20Beesley/AppData/Roaming/OpenText/OTEdit/EC_grantthornton/c95144469/Yosemite%20Model%2006-30-04%20CSB.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amina.burhani/Desktop/Work/Valify/Valify%20Storyboard%200102202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amina.burhani/Desktop/Work/Valify/Valify%20Form%20Update.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gtuae.sharepoint.com/transAdv/Transactional%20Advisory%20Documents/CF%20Shared/Center3/D%20-%20Reports%20and%20Deliverables/F%20-%20Valuation%20model/20231006_GT%20Valuation%20model%20(for%20center3).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d.docs.live.net/Finance/MAN_ACCS/2007-2008/Monthly/Sep%2008/Group%20Management%20Pack%20Sep%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d.docs.live.net/Finance/Head%20Office%20MAN_ACCS/2009-2010/F%20April%202010/Budget%20Template%20REVIEW%20v2%20YTD.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NTSERVER/OFFICE/HOME/OFFICE/DAMAS/Damas99/Diamond%20Division/HOME/OFFICE/DAMAS/Damas99/Shop%20Division/AAJT99.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Valify_Questionnaire%20Update%2021112024.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Valify_Questionnaire%20Update_21112024.xls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USTIC"/>
      <sheetName val="Domprice"/>
      <sheetName val="Sch#5"/>
    </sheetNames>
    <sheetDataSet>
      <sheetData sheetId="0"/>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ck Chart"/>
      <sheetName val="Financial Ovw"/>
      <sheetName val="DATA"/>
      <sheetName val="Instructions"/>
      <sheetName val="LTM"/>
      <sheetName val="Base Case CM Version"/>
      <sheetName val="BS"/>
      <sheetName val="IS"/>
      <sheetName val="CF"/>
      <sheetName val="Misc Info"/>
      <sheetName val="Blank"/>
      <sheetName val="10Yr IS"/>
      <sheetName val="10Yr BS"/>
      <sheetName val="10Yr CF"/>
      <sheetName val="Addl Info"/>
      <sheetName val="FX"/>
      <sheetName val="0000000"/>
      <sheetName val="IDR Output"/>
      <sheetName val="IDR Scenarios"/>
      <sheetName val="IDR Synerg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ck Analysis"/>
      <sheetName val="0000000"/>
      <sheetName val="Instructions"/>
      <sheetName val="Summary Output"/>
      <sheetName val="Summary"/>
      <sheetName val="OM Walk"/>
      <sheetName val="Base Model"/>
      <sheetName val="Financials"/>
      <sheetName val="Financials Balance Sheet"/>
      <sheetName val="Financials Synergies"/>
      <sheetName val="Financials PA Costs"/>
      <sheetName val="Financials Non-PA Costs"/>
      <sheetName val="One Pager"/>
      <sheetName val="Stock"/>
      <sheetName val="Volu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 val="Peer Analysis"/>
      <sheetName val="Inputs"/>
      <sheetName val="Hist.Fin"/>
      <sheetName val="Sources"/>
      <sheetName val="IT Scope"/>
      <sheetName val="Report Codes"/>
      <sheetName val="Flags"/>
      <sheetName val="Client Workflow"/>
      <sheetName val="Workflow"/>
      <sheetName val="Budget"/>
      <sheetName val="Industry Averages"/>
      <sheetName val="ERPs by country"/>
      <sheetName val="PE_Data"/>
      <sheetName val="Purple List"/>
      <sheetName val="Survey Contacts"/>
    </sheetNames>
    <sheetDataSet>
      <sheetData sheetId="0"/>
      <sheetData sheetId="1" refreshError="1"/>
      <sheetData sheetId="2">
        <row r="7">
          <cell r="E7" t="str">
            <v>Sample Client Company</v>
          </cell>
        </row>
        <row r="9">
          <cell r="E9" t="str">
            <v>Valuation of Sample Target Ltd</v>
          </cell>
        </row>
        <row r="14">
          <cell r="E14">
            <v>45199</v>
          </cell>
        </row>
        <row r="15">
          <cell r="E15">
            <v>45291</v>
          </cell>
        </row>
        <row r="18">
          <cell r="E18">
            <v>3</v>
          </cell>
        </row>
        <row r="19">
          <cell r="E19">
            <v>9</v>
          </cell>
        </row>
        <row r="29">
          <cell r="E29" t="str">
            <v>USD</v>
          </cell>
        </row>
        <row r="30">
          <cell r="E30" t="str">
            <v>000s</v>
          </cell>
        </row>
        <row r="31">
          <cell r="E31" t="str">
            <v>USD '000s</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dated Base Form"/>
      <sheetName val="Base Form"/>
      <sheetName val="Burhan Form"/>
      <sheetName val="Lazure Form"/>
      <sheetName val="Amiri Form"/>
      <sheetName val="Hist.Fin"/>
      <sheetName val="Shazpha"/>
      <sheetName val="Sources"/>
      <sheetName val="IT Scope"/>
      <sheetName val="Report Codes"/>
      <sheetName val="Flags"/>
      <sheetName val="AD Industry Beta"/>
      <sheetName val="DamodaranCRP"/>
      <sheetName val="Workflow"/>
      <sheetName val="Inputs"/>
      <sheetName val="Budget"/>
      <sheetName val="Industry Averages"/>
      <sheetName val="ERPs by country"/>
      <sheetName val="PE_Data"/>
      <sheetName val="Purple List"/>
      <sheetName val="Survey Contac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7">
          <cell r="E7" t="str">
            <v>Sample Client Company</v>
          </cell>
        </row>
        <row r="9">
          <cell r="E9" t="str">
            <v>Valuation of Sample Target Ltd</v>
          </cell>
        </row>
        <row r="14">
          <cell r="E14">
            <v>45199</v>
          </cell>
        </row>
        <row r="15">
          <cell r="E15">
            <v>45291</v>
          </cell>
        </row>
        <row r="18">
          <cell r="E18">
            <v>3</v>
          </cell>
        </row>
        <row r="19">
          <cell r="E19">
            <v>9</v>
          </cell>
        </row>
        <row r="29">
          <cell r="E29" t="str">
            <v>USD</v>
          </cell>
        </row>
        <row r="30">
          <cell r="E30" t="str">
            <v>000s</v>
          </cell>
        </row>
        <row r="31">
          <cell r="E31" t="str">
            <v>USD '000s</v>
          </cell>
        </row>
      </sheetData>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Valuation ---&gt;"/>
      <sheetName val="Val input"/>
      <sheetName val="Val summary - standalone"/>
      <sheetName val="Val summary - synergies"/>
      <sheetName val="DCF - Scenario c3"/>
      <sheetName val="DCF - Scenario c3- c3synergies"/>
      <sheetName val="DCF -Scenario c3- stc synergies"/>
      <sheetName val="Net Debt"/>
      <sheetName val="GPC valuation"/>
      <sheetName val="GPT valuation"/>
      <sheetName val="GPC analysis"/>
      <sheetName val="Transactions"/>
      <sheetName val="Analysis"/>
      <sheetName val="Hist IS"/>
      <sheetName val="Hist BS"/>
      <sheetName val="WACC computation --&gt;"/>
      <sheetName val="WACC"/>
      <sheetName val="Country risk premium"/>
      <sheetName val=" GPC analysis - WACC"/>
      <sheetName val="ADL forecasts --&gt;"/>
      <sheetName val="Legend"/>
      <sheetName val="Lists"/>
      <sheetName val="Cover"/>
      <sheetName val="New c3 scenario --&gt;"/>
      <sheetName val="Assumptions - c3"/>
      <sheetName val="Revenue buildup - c3"/>
      <sheetName val="Inputs - c3"/>
      <sheetName val="Sales person monthly - c3"/>
      <sheetName val="Income Stat &amp; CFs - c3"/>
      <sheetName val="c3 updated scen 28Sept'23 -&gt;"/>
      <sheetName val="Assumptions - c3new"/>
      <sheetName val="Income Stat &amp; CFs - c3new"/>
      <sheetName val="Revenue buildup -c3new"/>
      <sheetName val="Inputs - c3new"/>
      <sheetName val="Sales person monthly - c3new"/>
      <sheetName val="Synergy Chart"/>
      <sheetName val="Synergy case - final"/>
      <sheetName val="Synergy case - final (stc)"/>
      <sheetName val="Alt scen -&gt;"/>
      <sheetName val="Sensitivity Analysis"/>
      <sheetName val="DCF - Scenario A"/>
      <sheetName val="DCF - Scenario A - synergies"/>
      <sheetName val="DCF - Scenario B"/>
      <sheetName val="DCF - Scenario B - synergies"/>
      <sheetName val="DCF - AC"/>
      <sheetName val="DCF - AC - synergies"/>
      <sheetName val="Payback period"/>
      <sheetName val="DCF - Scenario c3- c3 syn - Lum"/>
      <sheetName val="DCF -Scenario c3- stc syn - Lum"/>
      <sheetName val="Scenario A forecasts --&gt;"/>
      <sheetName val="Assumptions - A"/>
      <sheetName val="Revenue buildup - A"/>
      <sheetName val="Inputs - A"/>
      <sheetName val="Sales person monthly - A"/>
      <sheetName val="Income Stat &amp; CFs - Final - A"/>
      <sheetName val="Scenario B forecasts --&gt;"/>
      <sheetName val="Assumptions - B"/>
      <sheetName val="Revenue buildup - B"/>
      <sheetName val="Inputs - B"/>
      <sheetName val="Sales person monthly - B"/>
      <sheetName val="Income Stat &amp; CFs - B"/>
      <sheetName val="Aspiration case forecasts --&gt;"/>
      <sheetName val="Assumptions - AC"/>
      <sheetName val="Revenue buildup - AC"/>
      <sheetName val="Inputs - AC"/>
      <sheetName val="Sales person monthly - AC"/>
      <sheetName val="Income Stat &amp; CFs - AC"/>
      <sheetName val="Synergies"/>
      <sheetName val="Synergies v2"/>
      <sheetName val="Synergy case v3"/>
      <sheetName val="Synergy (stc case)"/>
      <sheetName val="GDP (Nominal)"/>
      <sheetName val="Real GDP Growth"/>
      <sheetName val="UPSLIDE_Undo"/>
    </sheetNames>
    <sheetDataSet>
      <sheetData sheetId="0"/>
      <sheetData sheetId="1"/>
      <sheetData sheetId="2">
        <row r="8">
          <cell r="E8">
            <v>45016</v>
          </cell>
        </row>
        <row r="9">
          <cell r="E9">
            <v>45382</v>
          </cell>
        </row>
        <row r="10">
          <cell r="E10">
            <v>12.032876712328768</v>
          </cell>
        </row>
        <row r="11">
          <cell r="E11" t="str">
            <v>Valuation Date:  March 31, 2023</v>
          </cell>
        </row>
        <row r="15">
          <cell r="E15" t="str">
            <v>center3</v>
          </cell>
        </row>
        <row r="17">
          <cell r="E17" t="str">
            <v>Valuation of CMC Networks</v>
          </cell>
        </row>
        <row r="19">
          <cell r="E19" t="str">
            <v>DRAFT Analysis; Subject to Change</v>
          </cell>
        </row>
        <row r="26">
          <cell r="E26">
            <v>0.16111011355083471</v>
          </cell>
        </row>
        <row r="28">
          <cell r="E28">
            <v>-4.4433199719543334E-2</v>
          </cell>
        </row>
      </sheetData>
      <sheetData sheetId="3"/>
      <sheetData sheetId="4"/>
      <sheetData sheetId="5">
        <row r="66">
          <cell r="K66">
            <v>62.781235311985256</v>
          </cell>
        </row>
      </sheetData>
      <sheetData sheetId="6"/>
      <sheetData sheetId="7"/>
      <sheetData sheetId="8"/>
      <sheetData sheetId="9"/>
      <sheetData sheetId="10"/>
      <sheetData sheetId="11">
        <row r="35">
          <cell r="F35">
            <v>6.7148366957930099</v>
          </cell>
        </row>
      </sheetData>
      <sheetData sheetId="12"/>
      <sheetData sheetId="13"/>
      <sheetData sheetId="14"/>
      <sheetData sheetId="15">
        <row r="7">
          <cell r="E7" t="str">
            <v>FY20
Audited</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66">
          <cell r="K66">
            <v>52.948404173322558</v>
          </cell>
        </row>
      </sheetData>
      <sheetData sheetId="42"/>
      <sheetData sheetId="43">
        <row r="66">
          <cell r="K66">
            <v>41.350431328330714</v>
          </cell>
        </row>
      </sheetData>
      <sheetData sheetId="44"/>
      <sheetData sheetId="45">
        <row r="66">
          <cell r="K66">
            <v>73.04376232602857</v>
          </cell>
        </row>
      </sheetData>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aults"/>
      <sheetName val="DataSheet (AC)"/>
      <sheetName val="DataSheet (AB)"/>
      <sheetName val="1. Summary P&amp;L"/>
      <sheetName val="C1. NED Revenue"/>
      <sheetName val="C2. NED Op Profit"/>
      <sheetName val="C3. NED RoS %"/>
      <sheetName val="C4. NED Op Cash"/>
      <sheetName val="C5. NED Cash Conv %"/>
      <sheetName val="CHECK BEFORE YOU RELEASE ACCTS"/>
      <sheetName val="FX anal"/>
      <sheetName val="1. GP1 "/>
      <sheetName val="2. GP2"/>
      <sheetName val="3. GP 3"/>
      <sheetName val="4. Act Orders - Seg"/>
      <sheetName val="4. Act Orders - Reg"/>
      <sheetName val="5. Orders Analysis"/>
      <sheetName val="6. Act Rev -Segment"/>
      <sheetName val="6. Act Rev - Region"/>
      <sheetName val="7. Act Op Profit Seg"/>
      <sheetName val="7. Act Op Profit Reg"/>
      <sheetName val="8. Op Cash - Seg Act"/>
      <sheetName val="8. Op Cash - Reg Act"/>
      <sheetName val="9. Capex "/>
      <sheetName val="10. Intangible assets"/>
      <sheetName val="10. Intangible Assets Additions"/>
      <sheetName val="10. Intangible Assets Group"/>
      <sheetName val="11. Staff No.s"/>
    </sheetNames>
    <sheetDataSet>
      <sheetData sheetId="0">
        <row r="19">
          <cell r="B19" t="str">
            <v>0809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s_AgXLB_WorkbookFile"/>
      <sheetName val="Budget 2009-10"/>
      <sheetName val="Budget 91"/>
      <sheetName val="Budget 92"/>
      <sheetName val="Budget 93"/>
      <sheetName val="Budget 94"/>
      <sheetName val="Budget 96"/>
      <sheetName val="Budget 97"/>
      <sheetName val="Budget 98"/>
      <sheetName val="Budget 99"/>
      <sheetName val="Budget 100"/>
      <sheetName val="Menu"/>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ow r="3">
          <cell r="B3" t="str">
            <v>PLC - All</v>
          </cell>
        </row>
        <row r="4">
          <cell r="B4" t="str">
            <v>91 - Directors</v>
          </cell>
        </row>
        <row r="5">
          <cell r="B5" t="str">
            <v>92 - Finance</v>
          </cell>
        </row>
        <row r="6">
          <cell r="B6" t="str">
            <v>93 - Company Secretary</v>
          </cell>
        </row>
        <row r="7">
          <cell r="B7" t="str">
            <v>94 - Marketing</v>
          </cell>
        </row>
        <row r="8">
          <cell r="B8" t="str">
            <v>96 - IT &amp; Communications</v>
          </cell>
        </row>
        <row r="9">
          <cell r="B9" t="str">
            <v>97 - Health &amp; Safety</v>
          </cell>
        </row>
        <row r="10">
          <cell r="B10" t="str">
            <v>98 - NEDs</v>
          </cell>
        </row>
        <row r="11">
          <cell r="B11" t="str">
            <v>99 - Special Projects</v>
          </cell>
        </row>
        <row r="12">
          <cell r="B12" t="str">
            <v xml:space="preserve">100 - International </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R98"/>
      <sheetName val="AAJTGRP99"/>
      <sheetName val="Gold stk"/>
      <sheetName val="Deval"/>
      <sheetName val="Shop JV"/>
      <sheetName val="DMSA"/>
      <sheetName val="ABS"/>
      <sheetName val="GRADJ"/>
      <sheetName val="bankrep"/>
      <sheetName val="Sheet1"/>
      <sheetName val="Sheet2"/>
      <sheetName val="Sheet3"/>
      <sheetName val="#REF"/>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vigationList"/>
      <sheetName val="Cover"/>
      <sheetName val="Form"/>
      <sheetName val="Hist.Fin"/>
      <sheetName val="Inputs"/>
      <sheetName val="WACC"/>
      <sheetName val="Notes"/>
      <sheetName val="Sheet4"/>
      <sheetName val="Val_Sum2"/>
      <sheetName val="CFS"/>
      <sheetName val="DCF"/>
      <sheetName val="ANBV"/>
      <sheetName val="Workings&gt;&gt;"/>
      <sheetName val="IS_Calcs"/>
      <sheetName val="BS_Calc"/>
      <sheetName val="GPC Analysis &gt;"/>
      <sheetName val="_CIQHiddenCacheSheet"/>
      <sheetName val="PubCoValue"/>
      <sheetName val="NCDFWC"/>
      <sheetName val="Multiples"/>
      <sheetName val="Transact"/>
      <sheetName val="Growth"/>
      <sheetName val="Margins"/>
      <sheetName val="Capex, Dep, WC"/>
      <sheetName val="CapXDepTax"/>
      <sheetName val="GPCDes"/>
      <sheetName val="D|E"/>
      <sheetName val="GPCRatios"/>
      <sheetName val="PBC&gt;&gt;"/>
      <sheetName val="FS"/>
      <sheetName val="Sources&gt;"/>
      <sheetName val="DamodaranCRP"/>
      <sheetName val="Industry Beta"/>
      <sheetName val="SizePremia"/>
      <sheetName val="GPCTradingData"/>
      <sheetName val="Tax"/>
      <sheetName val="GPC Data"/>
    </sheetNames>
    <sheetDataSet>
      <sheetData sheetId="0"/>
      <sheetData sheetId="1">
        <row r="6">
          <cell r="D6" t="str">
            <v>Subject Company Name:</v>
          </cell>
        </row>
      </sheetData>
      <sheetData sheetId="2"/>
      <sheetData sheetId="3"/>
      <sheetData sheetId="4"/>
      <sheetData sheetId="5">
        <row r="26">
          <cell r="D26">
            <v>0.12909999999999999</v>
          </cell>
        </row>
      </sheetData>
      <sheetData sheetId="6"/>
      <sheetData sheetId="7"/>
      <sheetData sheetId="8"/>
      <sheetData sheetId="9"/>
      <sheetData sheetId="10"/>
      <sheetData sheetId="11"/>
      <sheetData sheetId="12"/>
      <sheetData sheetId="13">
        <row r="7">
          <cell r="C7" t="str">
            <v>All amounts in USD</v>
          </cell>
        </row>
      </sheetData>
      <sheetData sheetId="14"/>
      <sheetData sheetId="15"/>
      <sheetData sheetId="16"/>
      <sheetData sheetId="17"/>
      <sheetData sheetId="18">
        <row r="27">
          <cell r="F27" t="str">
            <v>Guidelines</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New"/>
      <sheetName val="InputsNew"/>
      <sheetName val="Notes"/>
    </sheetNames>
    <sheetDataSet>
      <sheetData sheetId="0"/>
      <sheetData sheetId="1"/>
      <sheetData sheetId="2"/>
    </sheetDataSet>
  </externalBook>
</externalLink>
</file>

<file path=xl/theme/theme1.xml><?xml version="1.0" encoding="utf-8"?>
<a:theme xmlns:a="http://schemas.openxmlformats.org/drawingml/2006/main" name="GT theme">
  <a:themeElements>
    <a:clrScheme name="_Purple-Green">
      <a:dk1>
        <a:sysClr val="windowText" lastClr="000000"/>
      </a:dk1>
      <a:lt1>
        <a:sysClr val="window" lastClr="FFFFFF"/>
      </a:lt1>
      <a:dk2>
        <a:srgbClr val="4F2D7F"/>
      </a:dk2>
      <a:lt2>
        <a:srgbClr val="FFFFFF"/>
      </a:lt2>
      <a:accent1>
        <a:srgbClr val="4F2D7F"/>
      </a:accent1>
      <a:accent2>
        <a:srgbClr val="9581B2"/>
      </a:accent2>
      <a:accent3>
        <a:srgbClr val="9BD732"/>
      </a:accent3>
      <a:accent4>
        <a:srgbClr val="C3E784"/>
      </a:accent4>
      <a:accent5>
        <a:srgbClr val="C8BEAF"/>
      </a:accent5>
      <a:accent6>
        <a:srgbClr val="E9E5DF"/>
      </a:accent6>
      <a:hlink>
        <a:srgbClr val="4F2D7F"/>
      </a:hlink>
      <a:folHlink>
        <a:srgbClr val="4F2D7F"/>
      </a:folHlink>
    </a:clrScheme>
    <a:fontScheme name="_Grant_Thornton">
      <a:majorFont>
        <a:latin typeface="Arial"/>
        <a:ea typeface=""/>
        <a:cs typeface=""/>
      </a:majorFont>
      <a:minorFont>
        <a:latin typeface="Arial"/>
        <a:ea typeface=""/>
        <a:cs typeface=""/>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spAutoFit/>
      </a:bodyPr>
      <a:lstStyle>
        <a:defPPr>
          <a:defRPr sz="600" b="0" i="0" kern="1200" dirty="0" smtClean="0">
            <a:solidFill>
              <a:schemeClr val="tx1"/>
            </a:solidFill>
            <a:effectLst/>
            <a:latin typeface="+mn-lt"/>
            <a:ea typeface="+mn-ea"/>
            <a:cs typeface="+mn-cs"/>
          </a:defRPr>
        </a:defPPr>
      </a:lstStyle>
    </a:txDef>
  </a:objectDefaults>
  <a:extraClrSchemeLst/>
  <a:extLst>
    <a:ext uri="{05A4C25C-085E-4340-85A3-A5531E510DB2}">
      <thm15:themeFamily xmlns:thm15="http://schemas.microsoft.com/office/thememl/2012/main" name="GT theme" id="{0D285C3A-784B-41F2-B9A3-11E14356538B}" vid="{D2AE6816-39E2-427C-8CC1-6A8CF8A03ED6}"/>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home.treasury.gov/resource-center/data-chart-center/interest-rates/TextView?type=daily_treasury_yield_curve&amp;field_tdr_date_value=2024" TargetMode="External"/><Relationship Id="rId2" Type="http://schemas.openxmlformats.org/officeDocument/2006/relationships/hyperlink" Target="http://www.imf.org/en/Countries/ARE" TargetMode="External"/><Relationship Id="rId1" Type="http://schemas.openxmlformats.org/officeDocument/2006/relationships/hyperlink" Target="http://www.imf.org/en/Countries/USA"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9.bin"/><Relationship Id="rId4" Type="http://schemas.openxmlformats.org/officeDocument/2006/relationships/comments" Target="../comments3.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1.bin"/><Relationship Id="rId4" Type="http://schemas.openxmlformats.org/officeDocument/2006/relationships/comments" Target="../comments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3.bin"/><Relationship Id="rId4" Type="http://schemas.openxmlformats.org/officeDocument/2006/relationships/comments" Target="../comments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2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26" Type="http://schemas.openxmlformats.org/officeDocument/2006/relationships/hyperlink" Target="https://tradingeconomics.com/cambodia/corporate-tax-rate" TargetMode="External"/><Relationship Id="rId117" Type="http://schemas.openxmlformats.org/officeDocument/2006/relationships/hyperlink" Target="https://tradingeconomics.com/philippines/corporate-tax-rate" TargetMode="External"/><Relationship Id="rId21" Type="http://schemas.openxmlformats.org/officeDocument/2006/relationships/hyperlink" Target="https://tradingeconomics.com/botswana/corporate-tax-rate" TargetMode="External"/><Relationship Id="rId42" Type="http://schemas.openxmlformats.org/officeDocument/2006/relationships/hyperlink" Target="https://tradingeconomics.com/egypt/corporate-tax-rate" TargetMode="External"/><Relationship Id="rId47" Type="http://schemas.openxmlformats.org/officeDocument/2006/relationships/hyperlink" Target="https://tradingeconomics.com/euro-area/corporate-tax-rate" TargetMode="External"/><Relationship Id="rId63" Type="http://schemas.openxmlformats.org/officeDocument/2006/relationships/hyperlink" Target="https://tradingeconomics.com/hungary/corporate-tax-rate" TargetMode="External"/><Relationship Id="rId68" Type="http://schemas.openxmlformats.org/officeDocument/2006/relationships/hyperlink" Target="https://tradingeconomics.com/ireland/corporate-tax-rate" TargetMode="External"/><Relationship Id="rId84" Type="http://schemas.openxmlformats.org/officeDocument/2006/relationships/hyperlink" Target="https://tradingeconomics.com/libya/corporate-tax-rate" TargetMode="External"/><Relationship Id="rId89" Type="http://schemas.openxmlformats.org/officeDocument/2006/relationships/hyperlink" Target="https://tradingeconomics.com/macedonia/corporate-tax-rate" TargetMode="External"/><Relationship Id="rId112" Type="http://schemas.openxmlformats.org/officeDocument/2006/relationships/hyperlink" Target="https://tradingeconomics.com/pakistan/corporate-tax-rate" TargetMode="External"/><Relationship Id="rId133" Type="http://schemas.openxmlformats.org/officeDocument/2006/relationships/hyperlink" Target="https://tradingeconomics.com/slovakia/corporate-tax-rate" TargetMode="External"/><Relationship Id="rId138" Type="http://schemas.openxmlformats.org/officeDocument/2006/relationships/hyperlink" Target="https://tradingeconomics.com/spain/corporate-tax-rate" TargetMode="External"/><Relationship Id="rId154" Type="http://schemas.openxmlformats.org/officeDocument/2006/relationships/hyperlink" Target="https://tradingeconomics.com/ukraine/corporate-tax-rate" TargetMode="External"/><Relationship Id="rId159" Type="http://schemas.openxmlformats.org/officeDocument/2006/relationships/hyperlink" Target="https://tradingeconomics.com/uzbekistan/corporate-tax-rate" TargetMode="External"/><Relationship Id="rId16" Type="http://schemas.openxmlformats.org/officeDocument/2006/relationships/hyperlink" Target="https://tradingeconomics.com/belgium/corporate-tax-rate" TargetMode="External"/><Relationship Id="rId107" Type="http://schemas.openxmlformats.org/officeDocument/2006/relationships/hyperlink" Target="https://tradingeconomics.com/new-zealand/corporate-tax-rate" TargetMode="External"/><Relationship Id="rId11" Type="http://schemas.openxmlformats.org/officeDocument/2006/relationships/hyperlink" Target="https://tradingeconomics.com/bahamas/corporate-tax-rate" TargetMode="External"/><Relationship Id="rId32" Type="http://schemas.openxmlformats.org/officeDocument/2006/relationships/hyperlink" Target="https://tradingeconomics.com/china/corporate-tax-rate" TargetMode="External"/><Relationship Id="rId37" Type="http://schemas.openxmlformats.org/officeDocument/2006/relationships/hyperlink" Target="https://tradingeconomics.com/cyprus/corporate-tax-rate" TargetMode="External"/><Relationship Id="rId53" Type="http://schemas.openxmlformats.org/officeDocument/2006/relationships/hyperlink" Target="https://tradingeconomics.com/gambia/corporate-tax-rate" TargetMode="External"/><Relationship Id="rId58" Type="http://schemas.openxmlformats.org/officeDocument/2006/relationships/hyperlink" Target="https://tradingeconomics.com/guam/corporate-tax-rate" TargetMode="External"/><Relationship Id="rId74" Type="http://schemas.openxmlformats.org/officeDocument/2006/relationships/hyperlink" Target="https://tradingeconomics.com/japan/corporate-tax-rate" TargetMode="External"/><Relationship Id="rId79" Type="http://schemas.openxmlformats.org/officeDocument/2006/relationships/hyperlink" Target="https://tradingeconomics.com/kuwait/corporate-tax-rate" TargetMode="External"/><Relationship Id="rId102" Type="http://schemas.openxmlformats.org/officeDocument/2006/relationships/hyperlink" Target="https://tradingeconomics.com/morocco/corporate-tax-rate" TargetMode="External"/><Relationship Id="rId123" Type="http://schemas.openxmlformats.org/officeDocument/2006/relationships/hyperlink" Target="https://tradingeconomics.com/romania/corporate-tax-rate" TargetMode="External"/><Relationship Id="rId128" Type="http://schemas.openxmlformats.org/officeDocument/2006/relationships/hyperlink" Target="https://tradingeconomics.com/senegal/corporate-tax-rate" TargetMode="External"/><Relationship Id="rId144" Type="http://schemas.openxmlformats.org/officeDocument/2006/relationships/hyperlink" Target="https://tradingeconomics.com/switzerland/corporate-tax-rate" TargetMode="External"/><Relationship Id="rId149" Type="http://schemas.openxmlformats.org/officeDocument/2006/relationships/hyperlink" Target="https://tradingeconomics.com/tonga/corporate-tax-rate" TargetMode="External"/><Relationship Id="rId5" Type="http://schemas.openxmlformats.org/officeDocument/2006/relationships/hyperlink" Target="https://tradingeconomics.com/argentina/corporate-tax-rate" TargetMode="External"/><Relationship Id="rId90" Type="http://schemas.openxmlformats.org/officeDocument/2006/relationships/hyperlink" Target="https://tradingeconomics.com/madagascar/corporate-tax-rate" TargetMode="External"/><Relationship Id="rId95" Type="http://schemas.openxmlformats.org/officeDocument/2006/relationships/hyperlink" Target="https://tradingeconomics.com/mauritania/corporate-tax-rate" TargetMode="External"/><Relationship Id="rId160" Type="http://schemas.openxmlformats.org/officeDocument/2006/relationships/hyperlink" Target="https://tradingeconomics.com/vanuatu/corporate-tax-rate" TargetMode="External"/><Relationship Id="rId165" Type="http://schemas.openxmlformats.org/officeDocument/2006/relationships/printerSettings" Target="../printerSettings/printerSettings31.bin"/><Relationship Id="rId22" Type="http://schemas.openxmlformats.org/officeDocument/2006/relationships/hyperlink" Target="https://tradingeconomics.com/brazil/corporate-tax-rate" TargetMode="External"/><Relationship Id="rId27" Type="http://schemas.openxmlformats.org/officeDocument/2006/relationships/hyperlink" Target="https://tradingeconomics.com/cameroon/corporate-tax-rate" TargetMode="External"/><Relationship Id="rId43" Type="http://schemas.openxmlformats.org/officeDocument/2006/relationships/hyperlink" Target="https://tradingeconomics.com/el-salvador/corporate-tax-rate" TargetMode="External"/><Relationship Id="rId48" Type="http://schemas.openxmlformats.org/officeDocument/2006/relationships/hyperlink" Target="https://tradingeconomics.com/european-union/corporate-tax-rate" TargetMode="External"/><Relationship Id="rId64" Type="http://schemas.openxmlformats.org/officeDocument/2006/relationships/hyperlink" Target="https://tradingeconomics.com/iceland/corporate-tax-rate" TargetMode="External"/><Relationship Id="rId69" Type="http://schemas.openxmlformats.org/officeDocument/2006/relationships/hyperlink" Target="https://tradingeconomics.com/isle-of-man/corporate-tax-rate" TargetMode="External"/><Relationship Id="rId113" Type="http://schemas.openxmlformats.org/officeDocument/2006/relationships/hyperlink" Target="https://tradingeconomics.com/panama/corporate-tax-rate" TargetMode="External"/><Relationship Id="rId118" Type="http://schemas.openxmlformats.org/officeDocument/2006/relationships/hyperlink" Target="https://tradingeconomics.com/poland/corporate-tax-rate" TargetMode="External"/><Relationship Id="rId134" Type="http://schemas.openxmlformats.org/officeDocument/2006/relationships/hyperlink" Target="https://tradingeconomics.com/slovenia/corporate-tax-rate" TargetMode="External"/><Relationship Id="rId139" Type="http://schemas.openxmlformats.org/officeDocument/2006/relationships/hyperlink" Target="https://tradingeconomics.com/sri-lanka/corporate-tax-rate" TargetMode="External"/><Relationship Id="rId80" Type="http://schemas.openxmlformats.org/officeDocument/2006/relationships/hyperlink" Target="https://tradingeconomics.com/laos/corporate-tax-rate" TargetMode="External"/><Relationship Id="rId85" Type="http://schemas.openxmlformats.org/officeDocument/2006/relationships/hyperlink" Target="https://tradingeconomics.com/liechtenstein/corporate-tax-rate" TargetMode="External"/><Relationship Id="rId150" Type="http://schemas.openxmlformats.org/officeDocument/2006/relationships/hyperlink" Target="https://tradingeconomics.com/trinidad-and-tobago/corporate-tax-rate" TargetMode="External"/><Relationship Id="rId155" Type="http://schemas.openxmlformats.org/officeDocument/2006/relationships/hyperlink" Target="https://tradingeconomics.com/united-arab-emirates/corporate-tax-rate" TargetMode="External"/><Relationship Id="rId12" Type="http://schemas.openxmlformats.org/officeDocument/2006/relationships/hyperlink" Target="https://tradingeconomics.com/bahrain/corporate-tax-rate" TargetMode="External"/><Relationship Id="rId17" Type="http://schemas.openxmlformats.org/officeDocument/2006/relationships/hyperlink" Target="https://tradingeconomics.com/benin/corporate-tax-rate" TargetMode="External"/><Relationship Id="rId33" Type="http://schemas.openxmlformats.org/officeDocument/2006/relationships/hyperlink" Target="https://tradingeconomics.com/colombia/corporate-tax-rate" TargetMode="External"/><Relationship Id="rId38" Type="http://schemas.openxmlformats.org/officeDocument/2006/relationships/hyperlink" Target="https://tradingeconomics.com/czech-republic/corporate-tax-rate" TargetMode="External"/><Relationship Id="rId59" Type="http://schemas.openxmlformats.org/officeDocument/2006/relationships/hyperlink" Target="https://tradingeconomics.com/guatemala/corporate-tax-rate" TargetMode="External"/><Relationship Id="rId103" Type="http://schemas.openxmlformats.org/officeDocument/2006/relationships/hyperlink" Target="https://tradingeconomics.com/mozambique/corporate-tax-rate" TargetMode="External"/><Relationship Id="rId108" Type="http://schemas.openxmlformats.org/officeDocument/2006/relationships/hyperlink" Target="https://tradingeconomics.com/nicaragua/corporate-tax-rate" TargetMode="External"/><Relationship Id="rId124" Type="http://schemas.openxmlformats.org/officeDocument/2006/relationships/hyperlink" Target="https://tradingeconomics.com/russia/corporate-tax-rate" TargetMode="External"/><Relationship Id="rId129" Type="http://schemas.openxmlformats.org/officeDocument/2006/relationships/hyperlink" Target="https://tradingeconomics.com/serbia/corporate-tax-rate" TargetMode="External"/><Relationship Id="rId54" Type="http://schemas.openxmlformats.org/officeDocument/2006/relationships/hyperlink" Target="https://tradingeconomics.com/georgia/corporate-tax-rate" TargetMode="External"/><Relationship Id="rId70" Type="http://schemas.openxmlformats.org/officeDocument/2006/relationships/hyperlink" Target="https://tradingeconomics.com/israel/corporate-tax-rate" TargetMode="External"/><Relationship Id="rId75" Type="http://schemas.openxmlformats.org/officeDocument/2006/relationships/hyperlink" Target="https://tradingeconomics.com/jordan/corporate-tax-rate" TargetMode="External"/><Relationship Id="rId91" Type="http://schemas.openxmlformats.org/officeDocument/2006/relationships/hyperlink" Target="https://tradingeconomics.com/malawi/corporate-tax-rate" TargetMode="External"/><Relationship Id="rId96" Type="http://schemas.openxmlformats.org/officeDocument/2006/relationships/hyperlink" Target="https://tradingeconomics.com/mauritius/corporate-tax-rate" TargetMode="External"/><Relationship Id="rId140" Type="http://schemas.openxmlformats.org/officeDocument/2006/relationships/hyperlink" Target="https://tradingeconomics.com/sudan/corporate-tax-rate" TargetMode="External"/><Relationship Id="rId145" Type="http://schemas.openxmlformats.org/officeDocument/2006/relationships/hyperlink" Target="https://tradingeconomics.com/syria/corporate-tax-rate" TargetMode="External"/><Relationship Id="rId161" Type="http://schemas.openxmlformats.org/officeDocument/2006/relationships/hyperlink" Target="https://tradingeconomics.com/venezuela/corporate-tax-rate" TargetMode="External"/><Relationship Id="rId1" Type="http://schemas.openxmlformats.org/officeDocument/2006/relationships/hyperlink" Target="https://tradingeconomics.com/afghanistan/corporate-tax-rate" TargetMode="External"/><Relationship Id="rId6" Type="http://schemas.openxmlformats.org/officeDocument/2006/relationships/hyperlink" Target="https://tradingeconomics.com/armenia/corporate-tax-rate" TargetMode="External"/><Relationship Id="rId15" Type="http://schemas.openxmlformats.org/officeDocument/2006/relationships/hyperlink" Target="https://tradingeconomics.com/belarus/corporate-tax-rate" TargetMode="External"/><Relationship Id="rId23" Type="http://schemas.openxmlformats.org/officeDocument/2006/relationships/hyperlink" Target="https://tradingeconomics.com/brunei/corporate-tax-rate" TargetMode="External"/><Relationship Id="rId28" Type="http://schemas.openxmlformats.org/officeDocument/2006/relationships/hyperlink" Target="https://tradingeconomics.com/canada/corporate-tax-rate" TargetMode="External"/><Relationship Id="rId36" Type="http://schemas.openxmlformats.org/officeDocument/2006/relationships/hyperlink" Target="https://tradingeconomics.com/croatia/corporate-tax-rate" TargetMode="External"/><Relationship Id="rId49" Type="http://schemas.openxmlformats.org/officeDocument/2006/relationships/hyperlink" Target="https://tradingeconomics.com/fiji/corporate-tax-rate" TargetMode="External"/><Relationship Id="rId57" Type="http://schemas.openxmlformats.org/officeDocument/2006/relationships/hyperlink" Target="https://tradingeconomics.com/greece/corporate-tax-rate" TargetMode="External"/><Relationship Id="rId106" Type="http://schemas.openxmlformats.org/officeDocument/2006/relationships/hyperlink" Target="https://tradingeconomics.com/netherlands/corporate-tax-rate" TargetMode="External"/><Relationship Id="rId114" Type="http://schemas.openxmlformats.org/officeDocument/2006/relationships/hyperlink" Target="https://tradingeconomics.com/papua-new-guinea/corporate-tax-rate" TargetMode="External"/><Relationship Id="rId119" Type="http://schemas.openxmlformats.org/officeDocument/2006/relationships/hyperlink" Target="https://tradingeconomics.com/portugal/corporate-tax-rate" TargetMode="External"/><Relationship Id="rId127" Type="http://schemas.openxmlformats.org/officeDocument/2006/relationships/hyperlink" Target="https://tradingeconomics.com/saudi-arabia/corporate-tax-rate" TargetMode="External"/><Relationship Id="rId10" Type="http://schemas.openxmlformats.org/officeDocument/2006/relationships/hyperlink" Target="https://tradingeconomics.com/azerbaijan/corporate-tax-rate" TargetMode="External"/><Relationship Id="rId31" Type="http://schemas.openxmlformats.org/officeDocument/2006/relationships/hyperlink" Target="https://tradingeconomics.com/chile/corporate-tax-rate" TargetMode="External"/><Relationship Id="rId44" Type="http://schemas.openxmlformats.org/officeDocument/2006/relationships/hyperlink" Target="https://tradingeconomics.com/equatorial-guinea/corporate-tax-rate" TargetMode="External"/><Relationship Id="rId52" Type="http://schemas.openxmlformats.org/officeDocument/2006/relationships/hyperlink" Target="https://tradingeconomics.com/gabon/corporate-tax-rate" TargetMode="External"/><Relationship Id="rId60" Type="http://schemas.openxmlformats.org/officeDocument/2006/relationships/hyperlink" Target="https://tradingeconomics.com/guinea/corporate-tax-rate" TargetMode="External"/><Relationship Id="rId65" Type="http://schemas.openxmlformats.org/officeDocument/2006/relationships/hyperlink" Target="https://tradingeconomics.com/india/corporate-tax-rate" TargetMode="External"/><Relationship Id="rId73" Type="http://schemas.openxmlformats.org/officeDocument/2006/relationships/hyperlink" Target="https://tradingeconomics.com/jamaica/corporate-tax-rate" TargetMode="External"/><Relationship Id="rId78" Type="http://schemas.openxmlformats.org/officeDocument/2006/relationships/hyperlink" Target="https://tradingeconomics.com/kosovo/corporate-tax-rate" TargetMode="External"/><Relationship Id="rId81" Type="http://schemas.openxmlformats.org/officeDocument/2006/relationships/hyperlink" Target="https://tradingeconomics.com/latvia/corporate-tax-rate" TargetMode="External"/><Relationship Id="rId86" Type="http://schemas.openxmlformats.org/officeDocument/2006/relationships/hyperlink" Target="https://tradingeconomics.com/lithuania/corporate-tax-rate" TargetMode="External"/><Relationship Id="rId94" Type="http://schemas.openxmlformats.org/officeDocument/2006/relationships/hyperlink" Target="https://tradingeconomics.com/malta/corporate-tax-rate" TargetMode="External"/><Relationship Id="rId99" Type="http://schemas.openxmlformats.org/officeDocument/2006/relationships/hyperlink" Target="https://tradingeconomics.com/moldova/corporate-tax-rate" TargetMode="External"/><Relationship Id="rId101" Type="http://schemas.openxmlformats.org/officeDocument/2006/relationships/hyperlink" Target="https://tradingeconomics.com/montenegro/corporate-tax-rate" TargetMode="External"/><Relationship Id="rId122" Type="http://schemas.openxmlformats.org/officeDocument/2006/relationships/hyperlink" Target="https://tradingeconomics.com/republic-of-the-congo/corporate-tax-rate" TargetMode="External"/><Relationship Id="rId130" Type="http://schemas.openxmlformats.org/officeDocument/2006/relationships/hyperlink" Target="https://tradingeconomics.com/seychelles/corporate-tax-rate" TargetMode="External"/><Relationship Id="rId135" Type="http://schemas.openxmlformats.org/officeDocument/2006/relationships/hyperlink" Target="https://tradingeconomics.com/solomon-islands/corporate-tax-rate" TargetMode="External"/><Relationship Id="rId143" Type="http://schemas.openxmlformats.org/officeDocument/2006/relationships/hyperlink" Target="https://tradingeconomics.com/sweden/corporate-tax-rate" TargetMode="External"/><Relationship Id="rId148" Type="http://schemas.openxmlformats.org/officeDocument/2006/relationships/hyperlink" Target="https://tradingeconomics.com/thailand/corporate-tax-rate" TargetMode="External"/><Relationship Id="rId151" Type="http://schemas.openxmlformats.org/officeDocument/2006/relationships/hyperlink" Target="https://tradingeconomics.com/tunisia/corporate-tax-rate" TargetMode="External"/><Relationship Id="rId156" Type="http://schemas.openxmlformats.org/officeDocument/2006/relationships/hyperlink" Target="https://tradingeconomics.com/united-kingdom/corporate-tax-rate" TargetMode="External"/><Relationship Id="rId164" Type="http://schemas.openxmlformats.org/officeDocument/2006/relationships/hyperlink" Target="https://tradingeconomics.com/zimbabwe/corporate-tax-rate" TargetMode="External"/><Relationship Id="rId4" Type="http://schemas.openxmlformats.org/officeDocument/2006/relationships/hyperlink" Target="https://tradingeconomics.com/angola/corporate-tax-rate" TargetMode="External"/><Relationship Id="rId9" Type="http://schemas.openxmlformats.org/officeDocument/2006/relationships/hyperlink" Target="https://tradingeconomics.com/austria/corporate-tax-rate" TargetMode="External"/><Relationship Id="rId13" Type="http://schemas.openxmlformats.org/officeDocument/2006/relationships/hyperlink" Target="https://tradingeconomics.com/bangladesh/corporate-tax-rate" TargetMode="External"/><Relationship Id="rId18" Type="http://schemas.openxmlformats.org/officeDocument/2006/relationships/hyperlink" Target="https://tradingeconomics.com/bermuda/corporate-tax-rate" TargetMode="External"/><Relationship Id="rId39" Type="http://schemas.openxmlformats.org/officeDocument/2006/relationships/hyperlink" Target="https://tradingeconomics.com/denmark/corporate-tax-rate" TargetMode="External"/><Relationship Id="rId109" Type="http://schemas.openxmlformats.org/officeDocument/2006/relationships/hyperlink" Target="https://tradingeconomics.com/nigeria/corporate-tax-rate" TargetMode="External"/><Relationship Id="rId34" Type="http://schemas.openxmlformats.org/officeDocument/2006/relationships/hyperlink" Target="https://tradingeconomics.com/congo/corporate-tax-rate" TargetMode="External"/><Relationship Id="rId50" Type="http://schemas.openxmlformats.org/officeDocument/2006/relationships/hyperlink" Target="https://tradingeconomics.com/finland/corporate-tax-rate" TargetMode="External"/><Relationship Id="rId55" Type="http://schemas.openxmlformats.org/officeDocument/2006/relationships/hyperlink" Target="https://tradingeconomics.com/germany/corporate-tax-rate" TargetMode="External"/><Relationship Id="rId76" Type="http://schemas.openxmlformats.org/officeDocument/2006/relationships/hyperlink" Target="https://tradingeconomics.com/kazakhstan/corporate-tax-rate" TargetMode="External"/><Relationship Id="rId97" Type="http://schemas.openxmlformats.org/officeDocument/2006/relationships/hyperlink" Target="https://tradingeconomics.com/mexico/corporate-tax-rate" TargetMode="External"/><Relationship Id="rId104" Type="http://schemas.openxmlformats.org/officeDocument/2006/relationships/hyperlink" Target="https://tradingeconomics.com/myanmar/corporate-tax-rate" TargetMode="External"/><Relationship Id="rId120" Type="http://schemas.openxmlformats.org/officeDocument/2006/relationships/hyperlink" Target="https://tradingeconomics.com/puerto-rico/corporate-tax-rate" TargetMode="External"/><Relationship Id="rId125" Type="http://schemas.openxmlformats.org/officeDocument/2006/relationships/hyperlink" Target="https://tradingeconomics.com/rwanda/corporate-tax-rate" TargetMode="External"/><Relationship Id="rId141" Type="http://schemas.openxmlformats.org/officeDocument/2006/relationships/hyperlink" Target="https://tradingeconomics.com/suriname/corporate-tax-rate" TargetMode="External"/><Relationship Id="rId146" Type="http://schemas.openxmlformats.org/officeDocument/2006/relationships/hyperlink" Target="https://tradingeconomics.com/taiwan/corporate-tax-rate" TargetMode="External"/><Relationship Id="rId7" Type="http://schemas.openxmlformats.org/officeDocument/2006/relationships/hyperlink" Target="https://tradingeconomics.com/aruba/corporate-tax-rate" TargetMode="External"/><Relationship Id="rId71" Type="http://schemas.openxmlformats.org/officeDocument/2006/relationships/hyperlink" Target="https://tradingeconomics.com/italy/corporate-tax-rate" TargetMode="External"/><Relationship Id="rId92" Type="http://schemas.openxmlformats.org/officeDocument/2006/relationships/hyperlink" Target="https://tradingeconomics.com/malaysia/corporate-tax-rate" TargetMode="External"/><Relationship Id="rId162" Type="http://schemas.openxmlformats.org/officeDocument/2006/relationships/hyperlink" Target="https://tradingeconomics.com/vietnam/corporate-tax-rate" TargetMode="External"/><Relationship Id="rId2" Type="http://schemas.openxmlformats.org/officeDocument/2006/relationships/hyperlink" Target="https://tradingeconomics.com/albania/corporate-tax-rate" TargetMode="External"/><Relationship Id="rId29" Type="http://schemas.openxmlformats.org/officeDocument/2006/relationships/hyperlink" Target="https://tradingeconomics.com/cayman-islands/corporate-tax-rate" TargetMode="External"/><Relationship Id="rId24" Type="http://schemas.openxmlformats.org/officeDocument/2006/relationships/hyperlink" Target="https://tradingeconomics.com/bulgaria/corporate-tax-rate" TargetMode="External"/><Relationship Id="rId40" Type="http://schemas.openxmlformats.org/officeDocument/2006/relationships/hyperlink" Target="https://tradingeconomics.com/dominican-republic/corporate-tax-rate" TargetMode="External"/><Relationship Id="rId45" Type="http://schemas.openxmlformats.org/officeDocument/2006/relationships/hyperlink" Target="https://tradingeconomics.com/estonia/corporate-tax-rate" TargetMode="External"/><Relationship Id="rId66" Type="http://schemas.openxmlformats.org/officeDocument/2006/relationships/hyperlink" Target="https://tradingeconomics.com/indonesia/corporate-tax-rate" TargetMode="External"/><Relationship Id="rId87" Type="http://schemas.openxmlformats.org/officeDocument/2006/relationships/hyperlink" Target="https://tradingeconomics.com/luxembourg/corporate-tax-rate" TargetMode="External"/><Relationship Id="rId110" Type="http://schemas.openxmlformats.org/officeDocument/2006/relationships/hyperlink" Target="https://tradingeconomics.com/norway/corporate-tax-rate" TargetMode="External"/><Relationship Id="rId115" Type="http://schemas.openxmlformats.org/officeDocument/2006/relationships/hyperlink" Target="https://tradingeconomics.com/paraguay/corporate-tax-rate" TargetMode="External"/><Relationship Id="rId131" Type="http://schemas.openxmlformats.org/officeDocument/2006/relationships/hyperlink" Target="https://tradingeconomics.com/sierra-leone/corporate-tax-rate" TargetMode="External"/><Relationship Id="rId136" Type="http://schemas.openxmlformats.org/officeDocument/2006/relationships/hyperlink" Target="https://tradingeconomics.com/south-africa/corporate-tax-rate" TargetMode="External"/><Relationship Id="rId157" Type="http://schemas.openxmlformats.org/officeDocument/2006/relationships/hyperlink" Target="https://tradingeconomics.com/united-states/corporate-tax-rate" TargetMode="External"/><Relationship Id="rId61" Type="http://schemas.openxmlformats.org/officeDocument/2006/relationships/hyperlink" Target="https://tradingeconomics.com/honduras/corporate-tax-rate" TargetMode="External"/><Relationship Id="rId82" Type="http://schemas.openxmlformats.org/officeDocument/2006/relationships/hyperlink" Target="https://tradingeconomics.com/lebanon/corporate-tax-rate" TargetMode="External"/><Relationship Id="rId152" Type="http://schemas.openxmlformats.org/officeDocument/2006/relationships/hyperlink" Target="https://tradingeconomics.com/turkey/corporate-tax-rate" TargetMode="External"/><Relationship Id="rId19" Type="http://schemas.openxmlformats.org/officeDocument/2006/relationships/hyperlink" Target="https://tradingeconomics.com/bolivia/corporate-tax-rate" TargetMode="External"/><Relationship Id="rId14" Type="http://schemas.openxmlformats.org/officeDocument/2006/relationships/hyperlink" Target="https://tradingeconomics.com/barbados/corporate-tax-rate" TargetMode="External"/><Relationship Id="rId30" Type="http://schemas.openxmlformats.org/officeDocument/2006/relationships/hyperlink" Target="https://tradingeconomics.com/chad/corporate-tax-rate" TargetMode="External"/><Relationship Id="rId35" Type="http://schemas.openxmlformats.org/officeDocument/2006/relationships/hyperlink" Target="https://tradingeconomics.com/costa-rica/corporate-tax-rate" TargetMode="External"/><Relationship Id="rId56" Type="http://schemas.openxmlformats.org/officeDocument/2006/relationships/hyperlink" Target="https://tradingeconomics.com/ghana/corporate-tax-rate" TargetMode="External"/><Relationship Id="rId77" Type="http://schemas.openxmlformats.org/officeDocument/2006/relationships/hyperlink" Target="https://tradingeconomics.com/kenya/corporate-tax-rate" TargetMode="External"/><Relationship Id="rId100" Type="http://schemas.openxmlformats.org/officeDocument/2006/relationships/hyperlink" Target="https://tradingeconomics.com/mongolia/corporate-tax-rate" TargetMode="External"/><Relationship Id="rId105" Type="http://schemas.openxmlformats.org/officeDocument/2006/relationships/hyperlink" Target="https://tradingeconomics.com/namibia/corporate-tax-rate" TargetMode="External"/><Relationship Id="rId126" Type="http://schemas.openxmlformats.org/officeDocument/2006/relationships/hyperlink" Target="https://tradingeconomics.com/samoa/corporate-tax-rate" TargetMode="External"/><Relationship Id="rId147" Type="http://schemas.openxmlformats.org/officeDocument/2006/relationships/hyperlink" Target="https://tradingeconomics.com/tanzania/corporate-tax-rate" TargetMode="External"/><Relationship Id="rId8" Type="http://schemas.openxmlformats.org/officeDocument/2006/relationships/hyperlink" Target="https://tradingeconomics.com/australia/corporate-tax-rate" TargetMode="External"/><Relationship Id="rId51" Type="http://schemas.openxmlformats.org/officeDocument/2006/relationships/hyperlink" Target="https://tradingeconomics.com/france/corporate-tax-rate" TargetMode="External"/><Relationship Id="rId72" Type="http://schemas.openxmlformats.org/officeDocument/2006/relationships/hyperlink" Target="https://tradingeconomics.com/ivory-coast/corporate-tax-rate" TargetMode="External"/><Relationship Id="rId93" Type="http://schemas.openxmlformats.org/officeDocument/2006/relationships/hyperlink" Target="https://tradingeconomics.com/maldives/corporate-tax-rate" TargetMode="External"/><Relationship Id="rId98" Type="http://schemas.openxmlformats.org/officeDocument/2006/relationships/hyperlink" Target="https://tradingeconomics.com/micronesia/corporate-tax-rate" TargetMode="External"/><Relationship Id="rId121" Type="http://schemas.openxmlformats.org/officeDocument/2006/relationships/hyperlink" Target="https://tradingeconomics.com/qatar/corporate-tax-rate" TargetMode="External"/><Relationship Id="rId142" Type="http://schemas.openxmlformats.org/officeDocument/2006/relationships/hyperlink" Target="https://tradingeconomics.com/swaziland/corporate-tax-rate" TargetMode="External"/><Relationship Id="rId163" Type="http://schemas.openxmlformats.org/officeDocument/2006/relationships/hyperlink" Target="https://tradingeconomics.com/zambia/corporate-tax-rate" TargetMode="External"/><Relationship Id="rId3" Type="http://schemas.openxmlformats.org/officeDocument/2006/relationships/hyperlink" Target="https://tradingeconomics.com/algeria/corporate-tax-rate" TargetMode="External"/><Relationship Id="rId25" Type="http://schemas.openxmlformats.org/officeDocument/2006/relationships/hyperlink" Target="https://tradingeconomics.com/burkina-faso/corporate-tax-rate" TargetMode="External"/><Relationship Id="rId46" Type="http://schemas.openxmlformats.org/officeDocument/2006/relationships/hyperlink" Target="https://tradingeconomics.com/ethiopia/corporate-tax-rate" TargetMode="External"/><Relationship Id="rId67" Type="http://schemas.openxmlformats.org/officeDocument/2006/relationships/hyperlink" Target="https://tradingeconomics.com/iraq/corporate-tax-rate" TargetMode="External"/><Relationship Id="rId116" Type="http://schemas.openxmlformats.org/officeDocument/2006/relationships/hyperlink" Target="https://tradingeconomics.com/peru/corporate-tax-rate" TargetMode="External"/><Relationship Id="rId137" Type="http://schemas.openxmlformats.org/officeDocument/2006/relationships/hyperlink" Target="https://tradingeconomics.com/south-korea/corporate-tax-rate" TargetMode="External"/><Relationship Id="rId158" Type="http://schemas.openxmlformats.org/officeDocument/2006/relationships/hyperlink" Target="https://tradingeconomics.com/uruguay/corporate-tax-rate" TargetMode="External"/><Relationship Id="rId20" Type="http://schemas.openxmlformats.org/officeDocument/2006/relationships/hyperlink" Target="https://tradingeconomics.com/bosnia-and-herzegovina/corporate-tax-rate" TargetMode="External"/><Relationship Id="rId41" Type="http://schemas.openxmlformats.org/officeDocument/2006/relationships/hyperlink" Target="https://tradingeconomics.com/ecuador/corporate-tax-rate" TargetMode="External"/><Relationship Id="rId62" Type="http://schemas.openxmlformats.org/officeDocument/2006/relationships/hyperlink" Target="https://tradingeconomics.com/hong-kong/corporate-tax-rate" TargetMode="External"/><Relationship Id="rId83" Type="http://schemas.openxmlformats.org/officeDocument/2006/relationships/hyperlink" Target="https://tradingeconomics.com/lesotho/corporate-tax-rate" TargetMode="External"/><Relationship Id="rId88" Type="http://schemas.openxmlformats.org/officeDocument/2006/relationships/hyperlink" Target="https://tradingeconomics.com/macau/corporate-tax-rate" TargetMode="External"/><Relationship Id="rId111" Type="http://schemas.openxmlformats.org/officeDocument/2006/relationships/hyperlink" Target="https://tradingeconomics.com/oman/corporate-tax-rate" TargetMode="External"/><Relationship Id="rId132" Type="http://schemas.openxmlformats.org/officeDocument/2006/relationships/hyperlink" Target="https://tradingeconomics.com/singapore/corporate-tax-rate" TargetMode="External"/><Relationship Id="rId153" Type="http://schemas.openxmlformats.org/officeDocument/2006/relationships/hyperlink" Target="https://tradingeconomics.com/uganda/corporate-tax-ra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5"/>
  <dimension ref="A1:E105"/>
  <sheetViews>
    <sheetView workbookViewId="0">
      <selection activeCell="F2" sqref="F2"/>
    </sheetView>
  </sheetViews>
  <sheetFormatPr defaultColWidth="8.84375" defaultRowHeight="12.5"/>
  <cols>
    <col min="1" max="1" width="43.4609375" style="1" customWidth="1"/>
    <col min="2" max="2" width="6.84375" style="1" customWidth="1"/>
    <col min="3" max="3" width="17.15234375" style="1" customWidth="1"/>
    <col min="4" max="4" width="6.4609375" style="1" customWidth="1"/>
    <col min="5" max="16384" width="8.84375" style="1"/>
  </cols>
  <sheetData>
    <row r="1" spans="1:5">
      <c r="A1" s="1" t="s">
        <v>0</v>
      </c>
      <c r="B1" s="3">
        <v>0</v>
      </c>
      <c r="C1" s="1" t="str">
        <f>IF($B1=0,"Internal Schedule","Schedule "&amp;TEXT(SUM($B1:$B$1),"0"))</f>
        <v>Internal Schedule</v>
      </c>
      <c r="D1" s="3">
        <f>ROW()</f>
        <v>1</v>
      </c>
    </row>
    <row r="2" spans="1:5">
      <c r="A2" s="1" t="s">
        <v>1</v>
      </c>
      <c r="B2" s="3">
        <v>0</v>
      </c>
      <c r="C2" s="1" t="str">
        <f>IF($B2=0,"Internal Schedule","Schedule "&amp;TEXT(SUM($B$1:$B2),"0"))</f>
        <v>Internal Schedule</v>
      </c>
      <c r="D2" s="3">
        <f>ROW()</f>
        <v>2</v>
      </c>
      <c r="E2" s="1" t="e">
        <f ca="1">OFFSET(INDIRECT("A" &amp;(VLOOKUP(E1,A1:D105,4,FALSE))),-1,0)</f>
        <v>#N/A</v>
      </c>
    </row>
    <row r="3" spans="1:5">
      <c r="A3" s="1" t="s">
        <v>2</v>
      </c>
      <c r="B3" s="3">
        <v>0</v>
      </c>
      <c r="C3" s="1" t="str">
        <f>IF($B3=0,"Internal Schedule","Schedule "&amp;TEXT(SUM($B$1:$B3),"0"))</f>
        <v>Internal Schedule</v>
      </c>
      <c r="D3" s="3">
        <f>ROW()</f>
        <v>3</v>
      </c>
      <c r="E3" s="1" t="e">
        <f ca="1">OFFSET(INDIRECT("A" &amp;(VLOOKUP(E1,A1:D105,4,FALSE))),1,0)</f>
        <v>#N/A</v>
      </c>
    </row>
    <row r="4" spans="1:5">
      <c r="A4" s="1" t="s">
        <v>3</v>
      </c>
      <c r="B4" s="3">
        <v>0</v>
      </c>
      <c r="C4" s="1" t="str">
        <f>IF($B4=0,"Internal Schedule","Schedule "&amp;TEXT(SUM($B$1:$B4),"0"))</f>
        <v>Internal Schedule</v>
      </c>
      <c r="D4" s="3">
        <f>ROW()</f>
        <v>4</v>
      </c>
    </row>
    <row r="5" spans="1:5">
      <c r="A5" s="1" t="s">
        <v>4</v>
      </c>
      <c r="B5" s="3">
        <v>0</v>
      </c>
      <c r="C5" s="1" t="str">
        <f>IF($B5=0,"Internal Schedule","Schedule "&amp;TEXT(SUM($B$1:$B5),"0"))</f>
        <v>Internal Schedule</v>
      </c>
      <c r="D5" s="3">
        <f>ROW()</f>
        <v>5</v>
      </c>
    </row>
    <row r="6" spans="1:5">
      <c r="A6" s="1" t="s">
        <v>5</v>
      </c>
      <c r="B6" s="3">
        <v>0</v>
      </c>
      <c r="C6" s="1" t="str">
        <f>IF($B6=0,"Internal Schedule","Schedule "&amp;TEXT(SUM($B$1:$B6),"0"))</f>
        <v>Internal Schedule</v>
      </c>
      <c r="D6" s="3">
        <f>ROW()</f>
        <v>6</v>
      </c>
    </row>
    <row r="7" spans="1:5">
      <c r="A7" s="1" t="s">
        <v>6</v>
      </c>
      <c r="B7" s="3">
        <v>0</v>
      </c>
      <c r="C7" s="1" t="str">
        <f>IF($B7=0,"Internal Schedule","Schedule "&amp;TEXT(SUM($B$1:$B7),"0"))</f>
        <v>Internal Schedule</v>
      </c>
      <c r="D7" s="3">
        <f>ROW()</f>
        <v>7</v>
      </c>
    </row>
    <row r="8" spans="1:5">
      <c r="A8" s="1" t="s">
        <v>7</v>
      </c>
      <c r="B8" s="3">
        <v>0</v>
      </c>
      <c r="C8" s="1" t="str">
        <f>IF($B8=0,"Internal Schedule","Schedule "&amp;TEXT(SUM($B$1:$B8),"0"))</f>
        <v>Internal Schedule</v>
      </c>
      <c r="D8" s="3">
        <f>ROW()</f>
        <v>8</v>
      </c>
    </row>
    <row r="9" spans="1:5">
      <c r="A9" s="1" t="s">
        <v>8</v>
      </c>
      <c r="B9" s="3">
        <v>0</v>
      </c>
      <c r="C9" s="1" t="str">
        <f>IF($B9=0,"Internal Schedule","Schedule "&amp;TEXT(SUM($B$1:$B9),"0"))</f>
        <v>Internal Schedule</v>
      </c>
      <c r="D9" s="3">
        <f>ROW()</f>
        <v>9</v>
      </c>
    </row>
    <row r="10" spans="1:5">
      <c r="A10" s="1" t="s">
        <v>9</v>
      </c>
      <c r="B10" s="3">
        <v>0</v>
      </c>
      <c r="C10" s="1" t="str">
        <f>IF($B10=0,"Internal Schedule","Schedule "&amp;TEXT(SUM($B$1:$B10),"0"))</f>
        <v>Internal Schedule</v>
      </c>
      <c r="D10" s="3">
        <f>ROW()</f>
        <v>10</v>
      </c>
    </row>
    <row r="11" spans="1:5">
      <c r="A11" s="1" t="s">
        <v>10</v>
      </c>
      <c r="B11" s="3">
        <v>0</v>
      </c>
      <c r="C11" s="1" t="str">
        <f>IF($B11=0,"Internal Schedule","Schedule "&amp;TEXT(SUM($B$1:$B11),"0"))</f>
        <v>Internal Schedule</v>
      </c>
      <c r="D11" s="3">
        <f>ROW()</f>
        <v>11</v>
      </c>
    </row>
    <row r="12" spans="1:5">
      <c r="A12" s="1" t="s">
        <v>11</v>
      </c>
      <c r="B12" s="3">
        <v>0</v>
      </c>
      <c r="C12" s="1" t="str">
        <f>IF($B12=0,"Internal Schedule","Schedule "&amp;TEXT(SUM($B$1:$B12),"0"))</f>
        <v>Internal Schedule</v>
      </c>
      <c r="D12" s="3">
        <f>ROW()</f>
        <v>12</v>
      </c>
    </row>
    <row r="13" spans="1:5">
      <c r="A13" s="1" t="s">
        <v>12</v>
      </c>
      <c r="B13" s="3">
        <v>0</v>
      </c>
      <c r="C13" s="1" t="str">
        <f>IF($B13=0,"Internal Schedule","Schedule "&amp;TEXT(SUM($B$1:$B13),"0"))</f>
        <v>Internal Schedule</v>
      </c>
      <c r="D13" s="3">
        <f>ROW()</f>
        <v>13</v>
      </c>
    </row>
    <row r="14" spans="1:5">
      <c r="A14" s="1" t="s">
        <v>13</v>
      </c>
      <c r="B14" s="3">
        <v>0</v>
      </c>
      <c r="C14" s="1" t="str">
        <f>IF($B14=0,"Internal Schedule","Schedule "&amp;TEXT(SUM($B$1:$B14),"0"))</f>
        <v>Internal Schedule</v>
      </c>
      <c r="D14" s="3">
        <f>ROW()</f>
        <v>14</v>
      </c>
    </row>
    <row r="15" spans="1:5">
      <c r="A15" s="1" t="s">
        <v>14</v>
      </c>
      <c r="B15" s="3">
        <v>0</v>
      </c>
      <c r="C15" s="1" t="str">
        <f>IF($B15=0,"Internal Schedule","Schedule "&amp;TEXT(SUM($B$1:$B15),"0"))</f>
        <v>Internal Schedule</v>
      </c>
      <c r="D15" s="3">
        <f>ROW()</f>
        <v>15</v>
      </c>
    </row>
    <row r="16" spans="1:5">
      <c r="A16" s="1" t="s">
        <v>15</v>
      </c>
      <c r="B16" s="3">
        <v>0</v>
      </c>
      <c r="C16" s="1" t="str">
        <f>IF($B16=0,"Internal Schedule","Schedule "&amp;TEXT(SUM($B$1:$B16),"0"))</f>
        <v>Internal Schedule</v>
      </c>
      <c r="D16" s="3">
        <f>ROW()</f>
        <v>16</v>
      </c>
    </row>
    <row r="17" spans="1:4">
      <c r="A17" s="1" t="s">
        <v>16</v>
      </c>
      <c r="B17" s="3">
        <v>0</v>
      </c>
      <c r="C17" s="1" t="str">
        <f>IF($B17=0,"Internal Schedule","Schedule "&amp;TEXT(SUM($B$1:$B17),"0"))</f>
        <v>Internal Schedule</v>
      </c>
      <c r="D17" s="3">
        <f>ROW()</f>
        <v>17</v>
      </c>
    </row>
    <row r="18" spans="1:4">
      <c r="A18" s="1" t="s">
        <v>17</v>
      </c>
      <c r="B18" s="3">
        <v>0</v>
      </c>
      <c r="C18" s="1" t="str">
        <f>IF($B18=0,"Internal Schedule","Schedule "&amp;TEXT(SUM($B$1:$B18),"0"))</f>
        <v>Internal Schedule</v>
      </c>
      <c r="D18" s="3">
        <f>ROW()</f>
        <v>18</v>
      </c>
    </row>
    <row r="19" spans="1:4">
      <c r="A19" s="1" t="s">
        <v>18</v>
      </c>
      <c r="B19" s="3">
        <v>0</v>
      </c>
      <c r="C19" s="1" t="str">
        <f>IF($B19=0,"Internal Schedule","Schedule "&amp;TEXT(SUM($B$1:$B19),"0"))</f>
        <v>Internal Schedule</v>
      </c>
      <c r="D19" s="3">
        <f>ROW()</f>
        <v>19</v>
      </c>
    </row>
    <row r="20" spans="1:4">
      <c r="A20" s="1" t="s">
        <v>19</v>
      </c>
      <c r="B20" s="3">
        <v>0</v>
      </c>
      <c r="C20" s="1" t="str">
        <f>IF($B20=0,"Internal Schedule","Schedule "&amp;TEXT(SUM($B$1:$B20),"0"))</f>
        <v>Internal Schedule</v>
      </c>
      <c r="D20" s="3">
        <f>ROW()</f>
        <v>20</v>
      </c>
    </row>
    <row r="21" spans="1:4">
      <c r="A21" s="1" t="s">
        <v>20</v>
      </c>
      <c r="B21" s="3">
        <v>0</v>
      </c>
      <c r="C21" s="1" t="str">
        <f>IF($B21=0,"Internal Schedule","Schedule "&amp;TEXT(SUM($B$1:$B21),"0"))</f>
        <v>Internal Schedule</v>
      </c>
      <c r="D21" s="3">
        <f>ROW()</f>
        <v>21</v>
      </c>
    </row>
    <row r="22" spans="1:4">
      <c r="A22" s="1" t="s">
        <v>21</v>
      </c>
      <c r="B22" s="3">
        <v>0</v>
      </c>
      <c r="C22" s="1" t="str">
        <f>IF($B22=0,"Internal Schedule","Schedule "&amp;TEXT(SUM($B$1:$B22),"0"))</f>
        <v>Internal Schedule</v>
      </c>
      <c r="D22" s="3">
        <f>ROW()</f>
        <v>22</v>
      </c>
    </row>
    <row r="23" spans="1:4">
      <c r="A23" s="1" t="s">
        <v>22</v>
      </c>
      <c r="B23" s="3">
        <v>0</v>
      </c>
      <c r="C23" s="1" t="str">
        <f>IF($B23=0,"Internal Schedule","Schedule "&amp;TEXT(SUM($B$1:$B23),"0"))</f>
        <v>Internal Schedule</v>
      </c>
      <c r="D23" s="3">
        <f>ROW()</f>
        <v>23</v>
      </c>
    </row>
    <row r="24" spans="1:4">
      <c r="A24" s="1" t="s">
        <v>23</v>
      </c>
      <c r="B24" s="3">
        <v>0</v>
      </c>
      <c r="C24" s="1" t="str">
        <f>IF($B24=0,"Internal Schedule","Schedule "&amp;TEXT(SUM($B$1:$B24),"0"))</f>
        <v>Internal Schedule</v>
      </c>
      <c r="D24" s="3">
        <f>ROW()</f>
        <v>24</v>
      </c>
    </row>
    <row r="25" spans="1:4">
      <c r="A25" s="1" t="s">
        <v>24</v>
      </c>
      <c r="B25" s="3">
        <v>0</v>
      </c>
      <c r="C25" s="1" t="str">
        <f>IF($B25=0,"Internal Schedule","Schedule "&amp;TEXT(SUM($B$1:$B25),"0"))</f>
        <v>Internal Schedule</v>
      </c>
      <c r="D25" s="3">
        <f>ROW()</f>
        <v>25</v>
      </c>
    </row>
    <row r="26" spans="1:4">
      <c r="A26" s="1" t="s">
        <v>25</v>
      </c>
      <c r="B26" s="3">
        <v>0</v>
      </c>
      <c r="C26" s="1" t="str">
        <f>IF($B26=0,"Internal Schedule","Schedule "&amp;TEXT(SUM($B$1:$B26),"0"))</f>
        <v>Internal Schedule</v>
      </c>
      <c r="D26" s="3">
        <f>ROW()</f>
        <v>26</v>
      </c>
    </row>
    <row r="27" spans="1:4">
      <c r="A27" s="1" t="s">
        <v>26</v>
      </c>
      <c r="B27" s="3">
        <v>0</v>
      </c>
      <c r="C27" s="1" t="str">
        <f>IF($B27=0,"Internal Schedule","Schedule "&amp;TEXT(SUM($B$1:$B27),"0"))</f>
        <v>Internal Schedule</v>
      </c>
      <c r="D27" s="3">
        <f>ROW()</f>
        <v>27</v>
      </c>
    </row>
    <row r="28" spans="1:4">
      <c r="A28" s="1" t="s">
        <v>27</v>
      </c>
      <c r="B28" s="3">
        <v>0</v>
      </c>
      <c r="C28" s="1" t="str">
        <f>IF($B28=0,"Internal Schedule","Schedule "&amp;TEXT(SUM($B$1:$B28),"0"))</f>
        <v>Internal Schedule</v>
      </c>
      <c r="D28" s="3">
        <f>ROW()</f>
        <v>28</v>
      </c>
    </row>
    <row r="29" spans="1:4">
      <c r="A29" s="1" t="s">
        <v>28</v>
      </c>
      <c r="B29" s="3">
        <v>0</v>
      </c>
      <c r="C29" s="1" t="str">
        <f>IF($B29=0,"Internal Schedule","Schedule "&amp;TEXT(SUM($B$1:$B29),"0"))</f>
        <v>Internal Schedule</v>
      </c>
      <c r="D29" s="3">
        <f>ROW()</f>
        <v>29</v>
      </c>
    </row>
    <row r="30" spans="1:4">
      <c r="A30" s="1" t="s">
        <v>29</v>
      </c>
      <c r="B30" s="3">
        <v>0</v>
      </c>
      <c r="C30" s="1" t="str">
        <f>IF($B30=0,"Internal Schedule","Schedule "&amp;TEXT(SUM($B$1:$B30),"0"))</f>
        <v>Internal Schedule</v>
      </c>
      <c r="D30" s="3">
        <f>ROW()</f>
        <v>30</v>
      </c>
    </row>
    <row r="31" spans="1:4">
      <c r="A31" s="1" t="s">
        <v>30</v>
      </c>
      <c r="B31" s="3">
        <v>0</v>
      </c>
      <c r="C31" s="1" t="str">
        <f>IF($B31=0,"Internal Schedule","Schedule "&amp;TEXT(SUM($B$1:$B31),"0"))</f>
        <v>Internal Schedule</v>
      </c>
      <c r="D31" s="3">
        <f>ROW()</f>
        <v>31</v>
      </c>
    </row>
    <row r="32" spans="1:4">
      <c r="A32" s="1" t="s">
        <v>31</v>
      </c>
      <c r="B32" s="3">
        <v>0</v>
      </c>
      <c r="C32" s="1" t="str">
        <f>IF($B32=0,"Internal Schedule","Schedule "&amp;TEXT(SUM($B$1:$B32),"0"))</f>
        <v>Internal Schedule</v>
      </c>
      <c r="D32" s="3">
        <f>ROW()</f>
        <v>32</v>
      </c>
    </row>
    <row r="33" spans="1:4">
      <c r="A33" s="1" t="s">
        <v>32</v>
      </c>
      <c r="B33" s="3">
        <v>0</v>
      </c>
      <c r="C33" s="1" t="str">
        <f>IF($B33=0,"Internal Schedule","Schedule "&amp;TEXT(SUM($B$1:$B33),"0"))</f>
        <v>Internal Schedule</v>
      </c>
      <c r="D33" s="3">
        <f>ROW()</f>
        <v>33</v>
      </c>
    </row>
    <row r="34" spans="1:4">
      <c r="A34" s="1" t="s">
        <v>33</v>
      </c>
      <c r="B34" s="3">
        <v>0</v>
      </c>
      <c r="C34" s="1" t="str">
        <f>IF($B34=0,"Internal Schedule","Schedule "&amp;TEXT(SUM($B$1:$B34),"0"))</f>
        <v>Internal Schedule</v>
      </c>
      <c r="D34" s="3">
        <f>ROW()</f>
        <v>34</v>
      </c>
    </row>
    <row r="35" spans="1:4">
      <c r="A35" s="1" t="s">
        <v>34</v>
      </c>
      <c r="B35" s="3">
        <v>0</v>
      </c>
      <c r="C35" s="1" t="str">
        <f>IF($B35=0,"Internal Schedule","Schedule "&amp;TEXT(SUM($B$1:$B35),"0"))</f>
        <v>Internal Schedule</v>
      </c>
      <c r="D35" s="3">
        <f>ROW()</f>
        <v>35</v>
      </c>
    </row>
    <row r="36" spans="1:4">
      <c r="A36" s="1" t="s">
        <v>35</v>
      </c>
      <c r="B36" s="3">
        <v>0</v>
      </c>
      <c r="C36" s="1" t="str">
        <f>IF($B36=0,"Internal Schedule","Schedule "&amp;TEXT(SUM($B$1:$B36),"0"))</f>
        <v>Internal Schedule</v>
      </c>
      <c r="D36" s="3">
        <f>ROW()</f>
        <v>36</v>
      </c>
    </row>
    <row r="37" spans="1:4">
      <c r="A37" s="1" t="s">
        <v>36</v>
      </c>
      <c r="B37" s="3">
        <v>0</v>
      </c>
      <c r="C37" s="1" t="str">
        <f>IF($B37=0,"Internal Schedule","Schedule "&amp;TEXT(SUM($B$1:$B37),"0"))</f>
        <v>Internal Schedule</v>
      </c>
      <c r="D37" s="3">
        <f>ROW()</f>
        <v>37</v>
      </c>
    </row>
    <row r="38" spans="1:4">
      <c r="A38" s="1" t="s">
        <v>37</v>
      </c>
      <c r="B38" s="3">
        <v>0</v>
      </c>
      <c r="C38" s="1" t="str">
        <f>IF($B38=0,"Internal Schedule","Schedule "&amp;TEXT(SUM($B$1:$B38),"0"))</f>
        <v>Internal Schedule</v>
      </c>
      <c r="D38" s="3">
        <f>ROW()</f>
        <v>38</v>
      </c>
    </row>
    <row r="39" spans="1:4">
      <c r="A39" s="1" t="s">
        <v>38</v>
      </c>
      <c r="B39" s="3">
        <v>0</v>
      </c>
      <c r="C39" s="1" t="str">
        <f>IF($B39=0,"Internal Schedule","Schedule "&amp;TEXT(SUM($B$1:$B39),"0"))</f>
        <v>Internal Schedule</v>
      </c>
      <c r="D39" s="3">
        <f>ROW()</f>
        <v>39</v>
      </c>
    </row>
    <row r="40" spans="1:4">
      <c r="A40" s="1" t="s">
        <v>39</v>
      </c>
      <c r="B40" s="3">
        <v>0</v>
      </c>
      <c r="C40" s="1" t="str">
        <f>IF($B40=0,"Internal Schedule","Schedule "&amp;TEXT(SUM($B$1:$B40),"0"))</f>
        <v>Internal Schedule</v>
      </c>
      <c r="D40" s="3">
        <f>ROW()</f>
        <v>40</v>
      </c>
    </row>
    <row r="41" spans="1:4">
      <c r="A41" s="1" t="s">
        <v>40</v>
      </c>
      <c r="B41" s="3">
        <v>0</v>
      </c>
      <c r="C41" s="1" t="str">
        <f>IF($B41=0,"Internal Schedule","Schedule "&amp;TEXT(SUM($B$1:$B41),"0"))</f>
        <v>Internal Schedule</v>
      </c>
      <c r="D41" s="3">
        <f>ROW()</f>
        <v>41</v>
      </c>
    </row>
    <row r="42" spans="1:4">
      <c r="A42" s="1" t="s">
        <v>41</v>
      </c>
      <c r="B42" s="3">
        <v>0</v>
      </c>
      <c r="C42" s="1" t="str">
        <f>IF($B42=0,"Internal Schedule","Schedule "&amp;TEXT(SUM($B$1:$B42),"0"))</f>
        <v>Internal Schedule</v>
      </c>
      <c r="D42" s="3">
        <f>ROW()</f>
        <v>42</v>
      </c>
    </row>
    <row r="43" spans="1:4">
      <c r="A43" s="1" t="s">
        <v>42</v>
      </c>
      <c r="B43" s="3">
        <v>0</v>
      </c>
      <c r="C43" s="1" t="str">
        <f>IF($B43=0,"Internal Schedule","Schedule "&amp;TEXT(SUM($B$1:$B43),"0"))</f>
        <v>Internal Schedule</v>
      </c>
      <c r="D43" s="3">
        <f>ROW()</f>
        <v>43</v>
      </c>
    </row>
    <row r="44" spans="1:4">
      <c r="A44" s="1" t="s">
        <v>43</v>
      </c>
      <c r="B44" s="3">
        <v>0</v>
      </c>
      <c r="C44" s="1" t="str">
        <f>IF($B44=0,"Internal Schedule","Schedule "&amp;TEXT(SUM($B$1:$B44),"0"))</f>
        <v>Internal Schedule</v>
      </c>
      <c r="D44" s="3">
        <f>ROW()</f>
        <v>44</v>
      </c>
    </row>
    <row r="45" spans="1:4">
      <c r="A45" s="1" t="s">
        <v>44</v>
      </c>
      <c r="B45" s="3">
        <v>0</v>
      </c>
      <c r="C45" s="1" t="str">
        <f>IF($B45=0,"Internal Schedule","Schedule "&amp;TEXT(SUM($B$1:$B45),"0"))</f>
        <v>Internal Schedule</v>
      </c>
      <c r="D45" s="3">
        <f>ROW()</f>
        <v>45</v>
      </c>
    </row>
    <row r="46" spans="1:4">
      <c r="A46" s="1" t="s">
        <v>45</v>
      </c>
      <c r="B46" s="3">
        <v>0</v>
      </c>
      <c r="C46" s="1" t="str">
        <f>IF($B46=0,"Internal Schedule","Schedule "&amp;TEXT(SUM($B$1:$B46),"0"))</f>
        <v>Internal Schedule</v>
      </c>
      <c r="D46" s="3">
        <f>ROW()</f>
        <v>46</v>
      </c>
    </row>
    <row r="47" spans="1:4">
      <c r="A47" s="1" t="s">
        <v>46</v>
      </c>
      <c r="B47" s="3">
        <v>0</v>
      </c>
      <c r="C47" s="1" t="str">
        <f>IF($B47=0,"Internal Schedule","Schedule "&amp;TEXT(SUM($B$1:$B47),"0"))</f>
        <v>Internal Schedule</v>
      </c>
      <c r="D47" s="3">
        <f>ROW()</f>
        <v>47</v>
      </c>
    </row>
    <row r="48" spans="1:4">
      <c r="A48" s="1" t="s">
        <v>47</v>
      </c>
      <c r="B48" s="3">
        <v>0</v>
      </c>
      <c r="C48" s="1" t="str">
        <f>IF($B48=0,"Internal Schedule","Schedule "&amp;TEXT(SUM($B$1:$B48),"0"))</f>
        <v>Internal Schedule</v>
      </c>
      <c r="D48" s="3">
        <f>ROW()</f>
        <v>48</v>
      </c>
    </row>
    <row r="49" spans="1:4">
      <c r="A49" s="1" t="s">
        <v>48</v>
      </c>
      <c r="B49" s="3">
        <v>0</v>
      </c>
      <c r="C49" s="1" t="str">
        <f>IF($B49=0,"Internal Schedule","Schedule "&amp;TEXT(SUM($B$1:$B49),"0"))</f>
        <v>Internal Schedule</v>
      </c>
      <c r="D49" s="3">
        <f>ROW()</f>
        <v>49</v>
      </c>
    </row>
    <row r="50" spans="1:4">
      <c r="A50" s="1" t="s">
        <v>49</v>
      </c>
      <c r="B50" s="3">
        <v>0</v>
      </c>
      <c r="C50" s="1" t="str">
        <f>IF($B50=0,"Internal Schedule","Schedule "&amp;TEXT(SUM($B$1:$B50),"0"))</f>
        <v>Internal Schedule</v>
      </c>
      <c r="D50" s="3">
        <f>ROW()</f>
        <v>50</v>
      </c>
    </row>
    <row r="51" spans="1:4">
      <c r="A51" s="1" t="s">
        <v>50</v>
      </c>
      <c r="B51" s="3">
        <v>0</v>
      </c>
      <c r="C51" s="1" t="str">
        <f>IF($B51=0,"Internal Schedule","Schedule "&amp;TEXT(SUM($B$1:$B51),"0"))</f>
        <v>Internal Schedule</v>
      </c>
      <c r="D51" s="3">
        <f>ROW()</f>
        <v>51</v>
      </c>
    </row>
    <row r="52" spans="1:4">
      <c r="A52" s="1" t="s">
        <v>51</v>
      </c>
      <c r="B52" s="3">
        <v>0</v>
      </c>
      <c r="C52" s="1" t="str">
        <f>IF($B52=0,"Internal Schedule","Schedule "&amp;TEXT(SUM($B$1:$B52),"0"))</f>
        <v>Internal Schedule</v>
      </c>
      <c r="D52" s="3">
        <f>ROW()</f>
        <v>52</v>
      </c>
    </row>
    <row r="53" spans="1:4">
      <c r="A53" s="1" t="s">
        <v>52</v>
      </c>
      <c r="B53" s="3">
        <v>0</v>
      </c>
      <c r="C53" s="1" t="str">
        <f>IF($B53=0,"Internal Schedule","Schedule "&amp;TEXT(SUM($B$1:$B53),"0"))</f>
        <v>Internal Schedule</v>
      </c>
      <c r="D53" s="3">
        <f>ROW()</f>
        <v>53</v>
      </c>
    </row>
    <row r="54" spans="1:4">
      <c r="A54" s="1" t="s">
        <v>53</v>
      </c>
      <c r="B54" s="3">
        <v>0</v>
      </c>
      <c r="C54" s="1" t="str">
        <f>IF($B54=0,"Internal Schedule","Schedule "&amp;TEXT(SUM($B$1:$B54),"0"))</f>
        <v>Internal Schedule</v>
      </c>
      <c r="D54" s="3">
        <f>ROW()</f>
        <v>54</v>
      </c>
    </row>
    <row r="55" spans="1:4">
      <c r="A55" s="1" t="s">
        <v>54</v>
      </c>
      <c r="B55" s="3">
        <v>0</v>
      </c>
      <c r="C55" s="1" t="str">
        <f>IF($B55=0,"Internal Schedule","Schedule "&amp;TEXT(SUM($B$1:$B55),"0"))</f>
        <v>Internal Schedule</v>
      </c>
      <c r="D55" s="3">
        <f>ROW()</f>
        <v>55</v>
      </c>
    </row>
    <row r="56" spans="1:4">
      <c r="A56" s="1" t="s">
        <v>55</v>
      </c>
      <c r="B56" s="3">
        <v>0</v>
      </c>
      <c r="C56" s="1" t="str">
        <f>IF($B56=0,"Internal Schedule","Schedule "&amp;TEXT(SUM($B$1:$B56),"0"))</f>
        <v>Internal Schedule</v>
      </c>
      <c r="D56" s="3">
        <f>ROW()</f>
        <v>56</v>
      </c>
    </row>
    <row r="57" spans="1:4">
      <c r="A57" s="1" t="s">
        <v>56</v>
      </c>
      <c r="B57" s="3">
        <v>0</v>
      </c>
      <c r="C57" s="1" t="str">
        <f>IF($B57=0,"Internal Schedule","Schedule "&amp;TEXT(SUM($B$1:$B57),"0"))</f>
        <v>Internal Schedule</v>
      </c>
      <c r="D57" s="3">
        <f>ROW()</f>
        <v>57</v>
      </c>
    </row>
    <row r="58" spans="1:4">
      <c r="A58" s="1" t="s">
        <v>57</v>
      </c>
      <c r="B58" s="3">
        <v>0</v>
      </c>
      <c r="C58" s="1" t="str">
        <f>IF($B58=0,"Internal Schedule","Schedule "&amp;TEXT(SUM($B$1:$B58),"0"))</f>
        <v>Internal Schedule</v>
      </c>
      <c r="D58" s="3">
        <f>ROW()</f>
        <v>58</v>
      </c>
    </row>
    <row r="59" spans="1:4">
      <c r="A59" s="1" t="s">
        <v>58</v>
      </c>
      <c r="B59" s="3">
        <v>0</v>
      </c>
      <c r="C59" s="1" t="str">
        <f>IF($B59=0,"Internal Schedule","Schedule "&amp;TEXT(SUM($B$1:$B59),"0"))</f>
        <v>Internal Schedule</v>
      </c>
      <c r="D59" s="3">
        <f>ROW()</f>
        <v>59</v>
      </c>
    </row>
    <row r="60" spans="1:4">
      <c r="A60" s="1" t="s">
        <v>59</v>
      </c>
      <c r="B60" s="3">
        <v>0</v>
      </c>
      <c r="C60" s="1" t="str">
        <f>IF($B60=0,"Internal Schedule","Schedule "&amp;TEXT(SUM($B$1:$B60),"0"))</f>
        <v>Internal Schedule</v>
      </c>
      <c r="D60" s="3">
        <f>ROW()</f>
        <v>60</v>
      </c>
    </row>
    <row r="61" spans="1:4">
      <c r="A61" s="1" t="s">
        <v>60</v>
      </c>
      <c r="B61" s="3">
        <v>0</v>
      </c>
      <c r="C61" s="1" t="str">
        <f>IF($B61=0,"Internal Schedule","Schedule "&amp;TEXT(SUM($B$1:$B61),"0"))</f>
        <v>Internal Schedule</v>
      </c>
      <c r="D61" s="3">
        <f>ROW()</f>
        <v>61</v>
      </c>
    </row>
    <row r="62" spans="1:4">
      <c r="A62" s="1" t="s">
        <v>61</v>
      </c>
      <c r="B62" s="3">
        <v>0</v>
      </c>
      <c r="C62" s="1" t="str">
        <f>IF($B62=0,"Internal Schedule","Schedule "&amp;TEXT(SUM($B$1:$B62),"0"))</f>
        <v>Internal Schedule</v>
      </c>
      <c r="D62" s="3">
        <f>ROW()</f>
        <v>62</v>
      </c>
    </row>
    <row r="63" spans="1:4">
      <c r="A63" s="1" t="s">
        <v>62</v>
      </c>
      <c r="B63" s="3">
        <v>0</v>
      </c>
      <c r="C63" s="1" t="str">
        <f>IF($B63=0,"Internal Schedule","Schedule "&amp;TEXT(SUM($B$1:$B63),"0"))</f>
        <v>Internal Schedule</v>
      </c>
      <c r="D63" s="3">
        <f>ROW()</f>
        <v>63</v>
      </c>
    </row>
    <row r="64" spans="1:4">
      <c r="A64" s="1" t="s">
        <v>63</v>
      </c>
      <c r="B64" s="3">
        <v>0</v>
      </c>
      <c r="C64" s="1" t="str">
        <f>IF($B64=0,"Internal Schedule","Schedule "&amp;TEXT(SUM($B$1:$B64),"0"))</f>
        <v>Internal Schedule</v>
      </c>
      <c r="D64" s="3">
        <f>ROW()</f>
        <v>64</v>
      </c>
    </row>
    <row r="65" spans="1:4">
      <c r="A65" s="1" t="s">
        <v>64</v>
      </c>
      <c r="B65" s="3">
        <v>0</v>
      </c>
      <c r="C65" s="1" t="str">
        <f>IF($B65=0,"Internal Schedule","Schedule "&amp;TEXT(SUM($B$1:$B65),"0"))</f>
        <v>Internal Schedule</v>
      </c>
      <c r="D65" s="3">
        <f>ROW()</f>
        <v>65</v>
      </c>
    </row>
    <row r="66" spans="1:4">
      <c r="A66" s="1" t="s">
        <v>65</v>
      </c>
      <c r="B66" s="3">
        <v>0</v>
      </c>
      <c r="C66" s="1" t="str">
        <f>IF($B66=0,"Internal Schedule","Schedule "&amp;TEXT(SUM($B$1:$B66),"0"))</f>
        <v>Internal Schedule</v>
      </c>
      <c r="D66" s="3">
        <f>ROW()</f>
        <v>66</v>
      </c>
    </row>
    <row r="67" spans="1:4">
      <c r="A67" s="1" t="s">
        <v>66</v>
      </c>
      <c r="B67" s="3">
        <v>0</v>
      </c>
      <c r="C67" s="1" t="str">
        <f>IF($B67=0,"Internal Schedule","Schedule "&amp;TEXT(SUM($B$1:$B67),"0"))</f>
        <v>Internal Schedule</v>
      </c>
      <c r="D67" s="3">
        <f>ROW()</f>
        <v>67</v>
      </c>
    </row>
    <row r="68" spans="1:4">
      <c r="A68" s="1" t="s">
        <v>67</v>
      </c>
      <c r="B68" s="3">
        <v>0</v>
      </c>
      <c r="C68" s="1" t="str">
        <f>IF($B68=0,"Internal Schedule","Schedule "&amp;TEXT(SUM($B$1:$B68),"0"))</f>
        <v>Internal Schedule</v>
      </c>
      <c r="D68" s="3">
        <f>ROW()</f>
        <v>68</v>
      </c>
    </row>
    <row r="69" spans="1:4">
      <c r="A69" s="1" t="s">
        <v>68</v>
      </c>
      <c r="B69" s="3">
        <v>0</v>
      </c>
      <c r="C69" s="1" t="str">
        <f>IF($B69=0,"Internal Schedule","Schedule "&amp;TEXT(SUM($B$1:$B69),"0"))</f>
        <v>Internal Schedule</v>
      </c>
      <c r="D69" s="3">
        <f>ROW()</f>
        <v>69</v>
      </c>
    </row>
    <row r="70" spans="1:4">
      <c r="A70" s="1" t="s">
        <v>69</v>
      </c>
      <c r="B70" s="3">
        <v>0</v>
      </c>
      <c r="C70" s="1" t="str">
        <f>IF($B70=0,"Internal Schedule","Schedule "&amp;TEXT(SUM($B$1:$B70),"0"))</f>
        <v>Internal Schedule</v>
      </c>
      <c r="D70" s="3">
        <f>ROW()</f>
        <v>70</v>
      </c>
    </row>
    <row r="71" spans="1:4">
      <c r="A71" s="1" t="s">
        <v>70</v>
      </c>
      <c r="B71" s="3">
        <v>0</v>
      </c>
      <c r="C71" s="1" t="str">
        <f>IF($B71=0,"Internal Schedule","Schedule "&amp;TEXT(SUM($B$1:$B71),"0"))</f>
        <v>Internal Schedule</v>
      </c>
      <c r="D71" s="3">
        <f>ROW()</f>
        <v>71</v>
      </c>
    </row>
    <row r="72" spans="1:4">
      <c r="A72" s="1" t="s">
        <v>71</v>
      </c>
      <c r="B72" s="3">
        <v>0</v>
      </c>
      <c r="C72" s="1" t="str">
        <f>IF($B72=0,"Internal Schedule","Schedule "&amp;TEXT(SUM($B$1:$B72),"0"))</f>
        <v>Internal Schedule</v>
      </c>
      <c r="D72" s="3">
        <f>ROW()</f>
        <v>72</v>
      </c>
    </row>
    <row r="73" spans="1:4">
      <c r="A73" s="1" t="s">
        <v>72</v>
      </c>
      <c r="B73" s="3">
        <v>0</v>
      </c>
      <c r="C73" s="1" t="str">
        <f>IF($B73=0,"Internal Schedule","Schedule "&amp;TEXT(SUM($B$1:$B73),"0"))</f>
        <v>Internal Schedule</v>
      </c>
      <c r="D73" s="3">
        <f>ROW()</f>
        <v>73</v>
      </c>
    </row>
    <row r="74" spans="1:4">
      <c r="A74" s="1" t="s">
        <v>73</v>
      </c>
      <c r="B74" s="3">
        <v>0</v>
      </c>
      <c r="C74" s="1" t="str">
        <f>IF($B74=0,"Internal Schedule","Schedule "&amp;TEXT(SUM($B$1:$B74),"0"))</f>
        <v>Internal Schedule</v>
      </c>
      <c r="D74" s="3">
        <f>ROW()</f>
        <v>74</v>
      </c>
    </row>
    <row r="75" spans="1:4">
      <c r="A75" s="1" t="s">
        <v>74</v>
      </c>
      <c r="B75" s="3">
        <v>0</v>
      </c>
      <c r="C75" s="1" t="str">
        <f>IF($B75=0,"Internal Schedule","Schedule "&amp;TEXT(SUM($B$1:$B75),"0"))</f>
        <v>Internal Schedule</v>
      </c>
      <c r="D75" s="3">
        <f>ROW()</f>
        <v>75</v>
      </c>
    </row>
    <row r="76" spans="1:4">
      <c r="A76" s="1" t="s">
        <v>75</v>
      </c>
      <c r="B76" s="3">
        <v>0</v>
      </c>
      <c r="C76" s="1" t="str">
        <f>IF($B76=0,"Internal Schedule","Schedule "&amp;TEXT(SUM($B$1:$B76),"0"))</f>
        <v>Internal Schedule</v>
      </c>
      <c r="D76" s="3">
        <f>ROW()</f>
        <v>76</v>
      </c>
    </row>
    <row r="77" spans="1:4">
      <c r="A77" s="1" t="s">
        <v>76</v>
      </c>
      <c r="B77" s="3">
        <v>0</v>
      </c>
      <c r="C77" s="1" t="str">
        <f>IF($B77=0,"Internal Schedule","Schedule "&amp;TEXT(SUM($B$1:$B77),"0"))</f>
        <v>Internal Schedule</v>
      </c>
      <c r="D77" s="3">
        <f>ROW()</f>
        <v>77</v>
      </c>
    </row>
    <row r="78" spans="1:4">
      <c r="A78" s="1" t="s">
        <v>77</v>
      </c>
      <c r="B78" s="3">
        <v>0</v>
      </c>
      <c r="C78" s="1" t="str">
        <f>IF($B78=0,"Internal Schedule","Schedule "&amp;TEXT(SUM($B$1:$B78),"0"))</f>
        <v>Internal Schedule</v>
      </c>
      <c r="D78" s="3">
        <f>ROW()</f>
        <v>78</v>
      </c>
    </row>
    <row r="79" spans="1:4">
      <c r="A79" s="1" t="s">
        <v>78</v>
      </c>
      <c r="B79" s="3">
        <v>0</v>
      </c>
      <c r="C79" s="1" t="str">
        <f>IF($B79=0,"Internal Schedule","Schedule "&amp;TEXT(SUM($B$1:$B79),"0"))</f>
        <v>Internal Schedule</v>
      </c>
      <c r="D79" s="3">
        <f>ROW()</f>
        <v>79</v>
      </c>
    </row>
    <row r="80" spans="1:4">
      <c r="A80" s="1" t="s">
        <v>79</v>
      </c>
      <c r="B80" s="3">
        <v>0</v>
      </c>
      <c r="C80" s="1" t="str">
        <f>IF($B80=0,"Internal Schedule","Schedule "&amp;TEXT(SUM($B$1:$B80),"0"))</f>
        <v>Internal Schedule</v>
      </c>
      <c r="D80" s="3">
        <f>ROW()</f>
        <v>80</v>
      </c>
    </row>
    <row r="81" spans="1:4">
      <c r="A81" s="1" t="s">
        <v>80</v>
      </c>
      <c r="B81" s="3">
        <v>0</v>
      </c>
      <c r="C81" s="1" t="str">
        <f>IF($B81=0,"Internal Schedule","Schedule "&amp;TEXT(SUM($B$1:$B81),"0"))</f>
        <v>Internal Schedule</v>
      </c>
      <c r="D81" s="3">
        <f>ROW()</f>
        <v>81</v>
      </c>
    </row>
    <row r="82" spans="1:4">
      <c r="A82" s="1" t="s">
        <v>81</v>
      </c>
      <c r="B82" s="3">
        <v>0</v>
      </c>
      <c r="C82" s="1" t="str">
        <f>IF($B82=0,"Internal Schedule","Schedule "&amp;TEXT(SUM($B$1:$B82),"0"))</f>
        <v>Internal Schedule</v>
      </c>
      <c r="D82" s="3">
        <f>ROW()</f>
        <v>82</v>
      </c>
    </row>
    <row r="83" spans="1:4">
      <c r="A83" s="1" t="s">
        <v>82</v>
      </c>
      <c r="B83" s="3">
        <v>0</v>
      </c>
      <c r="C83" s="1" t="str">
        <f>IF($B83=0,"Internal Schedule","Schedule "&amp;TEXT(SUM($B$1:$B83),"0"))</f>
        <v>Internal Schedule</v>
      </c>
      <c r="D83" s="3">
        <f>ROW()</f>
        <v>83</v>
      </c>
    </row>
    <row r="84" spans="1:4">
      <c r="A84" s="1" t="s">
        <v>83</v>
      </c>
      <c r="B84" s="3">
        <v>0</v>
      </c>
      <c r="C84" s="1" t="str">
        <f>IF($B84=0,"Internal Schedule","Schedule "&amp;TEXT(SUM($B$1:$B84),"0"))</f>
        <v>Internal Schedule</v>
      </c>
      <c r="D84" s="3">
        <f>ROW()</f>
        <v>84</v>
      </c>
    </row>
    <row r="85" spans="1:4">
      <c r="A85" s="1" t="s">
        <v>84</v>
      </c>
      <c r="B85" s="3">
        <v>0</v>
      </c>
      <c r="C85" s="1" t="str">
        <f>IF($B85=0,"Internal Schedule","Schedule "&amp;TEXT(SUM($B$1:$B85),"0"))</f>
        <v>Internal Schedule</v>
      </c>
      <c r="D85" s="3">
        <f>ROW()</f>
        <v>85</v>
      </c>
    </row>
    <row r="86" spans="1:4">
      <c r="A86" s="1" t="s">
        <v>85</v>
      </c>
      <c r="B86" s="3">
        <v>0</v>
      </c>
      <c r="C86" s="1" t="str">
        <f>IF($B86=0,"Internal Schedule","Schedule "&amp;TEXT(SUM($B$1:$B86),"0"))</f>
        <v>Internal Schedule</v>
      </c>
      <c r="D86" s="3">
        <f>ROW()</f>
        <v>86</v>
      </c>
    </row>
    <row r="87" spans="1:4">
      <c r="A87" s="1" t="s">
        <v>86</v>
      </c>
      <c r="B87" s="3">
        <v>0</v>
      </c>
      <c r="C87" s="1" t="str">
        <f>IF($B87=0,"Internal Schedule","Schedule "&amp;TEXT(SUM($B$1:$B87),"0"))</f>
        <v>Internal Schedule</v>
      </c>
      <c r="D87" s="3">
        <f>ROW()</f>
        <v>87</v>
      </c>
    </row>
    <row r="88" spans="1:4">
      <c r="A88" s="1" t="s">
        <v>87</v>
      </c>
      <c r="B88" s="3">
        <v>0</v>
      </c>
      <c r="C88" s="1" t="str">
        <f>IF($B88=0,"Internal Schedule","Schedule "&amp;TEXT(SUM($B$1:$B88),"0"))</f>
        <v>Internal Schedule</v>
      </c>
      <c r="D88" s="3">
        <f>ROW()</f>
        <v>88</v>
      </c>
    </row>
    <row r="89" spans="1:4">
      <c r="A89" s="1" t="s">
        <v>88</v>
      </c>
      <c r="B89" s="3">
        <v>0</v>
      </c>
      <c r="C89" s="1" t="str">
        <f>IF($B89=0,"Internal Schedule","Schedule "&amp;TEXT(SUM($B$1:$B89),"0"))</f>
        <v>Internal Schedule</v>
      </c>
      <c r="D89" s="3">
        <f>ROW()</f>
        <v>89</v>
      </c>
    </row>
    <row r="90" spans="1:4">
      <c r="A90" s="1" t="s">
        <v>89</v>
      </c>
      <c r="B90" s="3">
        <v>0</v>
      </c>
      <c r="C90" s="1" t="str">
        <f>IF($B90=0,"Internal Schedule","Schedule "&amp;TEXT(SUM($B$1:$B90),"0"))</f>
        <v>Internal Schedule</v>
      </c>
      <c r="D90" s="3">
        <f>ROW()</f>
        <v>90</v>
      </c>
    </row>
    <row r="91" spans="1:4">
      <c r="A91" s="1" t="s">
        <v>90</v>
      </c>
      <c r="B91" s="3">
        <v>0</v>
      </c>
      <c r="C91" s="1" t="str">
        <f>IF($B91=0,"Internal Schedule","Schedule "&amp;TEXT(SUM($B$1:$B91),"0"))</f>
        <v>Internal Schedule</v>
      </c>
      <c r="D91" s="3">
        <f>ROW()</f>
        <v>91</v>
      </c>
    </row>
    <row r="92" spans="1:4">
      <c r="A92" s="1" t="s">
        <v>91</v>
      </c>
      <c r="B92" s="3">
        <v>0</v>
      </c>
      <c r="C92" s="1" t="str">
        <f>IF($B92=0,"Internal Schedule","Schedule "&amp;TEXT(SUM($B$1:$B92),"0"))</f>
        <v>Internal Schedule</v>
      </c>
      <c r="D92" s="3">
        <f>ROW()</f>
        <v>92</v>
      </c>
    </row>
    <row r="93" spans="1:4">
      <c r="B93" s="3"/>
      <c r="C93" s="1" t="str">
        <f>IF($B93=0,"Internal Schedule","Schedule "&amp;TEXT(SUM($B$1:$B93),"0"))</f>
        <v>Internal Schedule</v>
      </c>
      <c r="D93" s="3">
        <f>ROW()</f>
        <v>93</v>
      </c>
    </row>
    <row r="94" spans="1:4">
      <c r="B94" s="3"/>
      <c r="C94" s="1" t="str">
        <f>IF($B94=0,"Internal Schedule","Schedule "&amp;TEXT(SUM($B$1:$B94),"0"))</f>
        <v>Internal Schedule</v>
      </c>
      <c r="D94" s="3">
        <f>ROW()</f>
        <v>94</v>
      </c>
    </row>
    <row r="95" spans="1:4">
      <c r="B95" s="3"/>
      <c r="C95" s="1" t="str">
        <f>IF($B95=0,"Internal Schedule","Schedule "&amp;TEXT(SUM($B$1:$B95),"0"))</f>
        <v>Internal Schedule</v>
      </c>
      <c r="D95" s="3">
        <f>ROW()</f>
        <v>95</v>
      </c>
    </row>
    <row r="96" spans="1:4">
      <c r="B96" s="3"/>
      <c r="C96" s="1" t="str">
        <f>IF($B96=0,"Internal Schedule","Schedule "&amp;TEXT(SUM($B$1:$B96),"0"))</f>
        <v>Internal Schedule</v>
      </c>
      <c r="D96" s="3">
        <f>ROW()</f>
        <v>96</v>
      </c>
    </row>
    <row r="97" spans="2:4">
      <c r="B97" s="3"/>
      <c r="C97" s="1" t="str">
        <f>IF($B97=0,"Internal Schedule","Schedule "&amp;TEXT(SUM($B$1:$B97),"0"))</f>
        <v>Internal Schedule</v>
      </c>
      <c r="D97" s="3">
        <f>ROW()</f>
        <v>97</v>
      </c>
    </row>
    <row r="98" spans="2:4">
      <c r="B98" s="3"/>
      <c r="C98" s="1" t="str">
        <f>IF($B98=0,"Internal Schedule","Schedule "&amp;TEXT(SUM($B$1:$B98),"0"))</f>
        <v>Internal Schedule</v>
      </c>
      <c r="D98" s="3">
        <f>ROW()</f>
        <v>98</v>
      </c>
    </row>
    <row r="99" spans="2:4">
      <c r="B99" s="3"/>
      <c r="C99" s="1" t="str">
        <f>IF($B99=0,"Internal Schedule","Schedule "&amp;TEXT(SUM($B$1:$B99),"0"))</f>
        <v>Internal Schedule</v>
      </c>
      <c r="D99" s="3">
        <f>ROW()</f>
        <v>99</v>
      </c>
    </row>
    <row r="100" spans="2:4">
      <c r="B100" s="3"/>
      <c r="C100" s="1" t="str">
        <f>IF($B100=0,"Internal Schedule","Schedule "&amp;TEXT(SUM($B$1:$B100),"0"))</f>
        <v>Internal Schedule</v>
      </c>
      <c r="D100" s="3">
        <f>ROW()</f>
        <v>100</v>
      </c>
    </row>
    <row r="101" spans="2:4">
      <c r="B101" s="3"/>
      <c r="C101" s="1" t="str">
        <f>IF($B101=0,"Internal Schedule","Schedule "&amp;TEXT(SUM($B$1:$B101),"0"))</f>
        <v>Internal Schedule</v>
      </c>
      <c r="D101" s="3">
        <f>ROW()</f>
        <v>101</v>
      </c>
    </row>
    <row r="102" spans="2:4">
      <c r="B102" s="3"/>
      <c r="C102" s="1" t="str">
        <f>IF($B102=0,"Internal Schedule","Schedule "&amp;TEXT(SUM($B$1:$B102),"0"))</f>
        <v>Internal Schedule</v>
      </c>
      <c r="D102" s="3">
        <f>ROW()</f>
        <v>102</v>
      </c>
    </row>
    <row r="103" spans="2:4">
      <c r="B103" s="3"/>
      <c r="C103" s="1" t="str">
        <f>IF($B103=0,"Internal Schedule","Schedule "&amp;TEXT(SUM($B$1:$B103),"0"))</f>
        <v>Internal Schedule</v>
      </c>
      <c r="D103" s="3">
        <f>ROW()</f>
        <v>103</v>
      </c>
    </row>
    <row r="104" spans="2:4">
      <c r="B104" s="3"/>
      <c r="C104" s="1" t="str">
        <f>IF($B104=0,"Internal Schedule","Schedule "&amp;TEXT(SUM($B$1:$B104),"0"))</f>
        <v>Internal Schedule</v>
      </c>
      <c r="D104" s="3">
        <f>ROW()</f>
        <v>104</v>
      </c>
    </row>
    <row r="105" spans="2:4">
      <c r="B105" s="3"/>
      <c r="C105" s="1" t="str">
        <f>IF($B105=0,"Internal Schedule","Schedule "&amp;TEXT(SUM($B$1:$B105),"0"))</f>
        <v>Internal Schedule</v>
      </c>
      <c r="D105" s="3">
        <f>ROW()</f>
        <v>105</v>
      </c>
    </row>
  </sheetData>
  <pageMargins left="0.7" right="0.7" top="0.75" bottom="0.75" header="0.3" footer="0.3"/>
  <pageSetup orientation="portrait" r:id="rId1"/>
  <headerFooter>
    <oddHeader>&amp;R&amp;"Arial"&amp;8&amp;K000000Confidential&amp;1#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30FB5-22CB-48CA-8C33-49245A7C9C04}">
  <dimension ref="A1:P15"/>
  <sheetViews>
    <sheetView showGridLines="0" zoomScale="80" zoomScaleNormal="80" workbookViewId="0">
      <selection activeCell="D13" sqref="D13:K13"/>
    </sheetView>
  </sheetViews>
  <sheetFormatPr defaultColWidth="0" defaultRowHeight="0" customHeight="1" zeroHeight="1"/>
  <cols>
    <col min="1" max="3" width="2.61328125" style="232" customWidth="1"/>
    <col min="4" max="11" width="15.23046875" style="232" customWidth="1"/>
    <col min="12" max="12" width="7.15234375" style="232" customWidth="1"/>
    <col min="13" max="13" width="12.3828125" style="232" bestFit="1" customWidth="1"/>
    <col min="14" max="16" width="7.15234375" style="232" customWidth="1"/>
    <col min="17" max="16384" width="7.15234375" style="232" hidden="1"/>
  </cols>
  <sheetData>
    <row r="1" spans="1:14" ht="18.649999999999999" customHeight="1"/>
    <row r="2" spans="1:14" ht="18.649999999999999" customHeight="1">
      <c r="B2" s="233" t="str">
        <f>F5</f>
        <v>Aerial Arts India XXXXXXXXXXXXXXXXX</v>
      </c>
    </row>
    <row r="3" spans="1:14" ht="18.649999999999999" customHeight="1" thickBot="1">
      <c r="A3" s="234"/>
      <c r="B3" s="234"/>
      <c r="C3" s="234"/>
      <c r="D3" s="234"/>
      <c r="E3" s="234"/>
      <c r="F3" s="234"/>
      <c r="G3" s="234"/>
      <c r="H3" s="234"/>
      <c r="I3" s="234"/>
      <c r="J3" s="234"/>
      <c r="K3" s="234"/>
    </row>
    <row r="4" spans="1:14" ht="10.5">
      <c r="M4" s="232" t="s">
        <v>2820</v>
      </c>
    </row>
    <row r="5" spans="1:14" ht="10.5">
      <c r="D5" s="235" t="s">
        <v>2018</v>
      </c>
      <c r="F5" s="232" t="str">
        <f>client.name.long</f>
        <v>Aerial Arts India XXXXXXXXXXXXXXXXX</v>
      </c>
      <c r="K5" s="236" t="s">
        <v>1879</v>
      </c>
      <c r="M5" s="1550" t="s">
        <v>2775</v>
      </c>
      <c r="N5" s="232" t="s">
        <v>2078</v>
      </c>
    </row>
    <row r="6" spans="1:14" ht="10.5">
      <c r="D6" s="235" t="s">
        <v>2615</v>
      </c>
      <c r="F6" s="232" t="str">
        <f>target.name</f>
        <v>Aerial Arts India XXXXXXXXXXXXXXXXX</v>
      </c>
      <c r="K6" s="237" t="s">
        <v>1880</v>
      </c>
    </row>
    <row r="7" spans="1:14" ht="10.5">
      <c r="D7" s="235" t="s">
        <v>2014</v>
      </c>
      <c r="F7" s="232" t="str">
        <f>project.title</f>
        <v>Aerial Arts India XXXXXXXXXXXXXXXXX - Self Valuation using DCF Method, Transaction Multiples Method, &amp; Market Multiples Method</v>
      </c>
      <c r="K7" s="238" t="s">
        <v>1882</v>
      </c>
    </row>
    <row r="8" spans="1:14" ht="10.5">
      <c r="D8" s="235" t="s">
        <v>1881</v>
      </c>
      <c r="F8" s="232" t="s">
        <v>2329</v>
      </c>
      <c r="K8" s="239" t="s">
        <v>1884</v>
      </c>
    </row>
    <row r="9" spans="1:14" ht="10.5">
      <c r="D9" s="235" t="s">
        <v>1883</v>
      </c>
      <c r="F9" s="240" t="s">
        <v>2013</v>
      </c>
      <c r="K9" s="241" t="s">
        <v>1886</v>
      </c>
    </row>
    <row r="10" spans="1:14" ht="10.5">
      <c r="D10" s="235" t="s">
        <v>1885</v>
      </c>
      <c r="F10" s="242">
        <f ca="1">TODAY()</f>
        <v>45617</v>
      </c>
      <c r="K10" s="243" t="s">
        <v>1887</v>
      </c>
    </row>
    <row r="11" spans="1:14" ht="10.5"/>
    <row r="12" spans="1:14" ht="10.5">
      <c r="D12" s="1777" t="s">
        <v>1888</v>
      </c>
      <c r="E12" s="1777"/>
      <c r="F12" s="1777"/>
      <c r="G12" s="1777"/>
      <c r="H12" s="1777"/>
      <c r="I12" s="1777"/>
      <c r="J12" s="1777"/>
      <c r="K12" s="1777"/>
    </row>
    <row r="13" spans="1:14" ht="201" customHeight="1">
      <c r="D13" s="1778" t="s">
        <v>2331</v>
      </c>
      <c r="E13" s="1778"/>
      <c r="F13" s="1778"/>
      <c r="G13" s="1778"/>
      <c r="H13" s="1778"/>
      <c r="I13" s="1778"/>
      <c r="J13" s="1778"/>
      <c r="K13" s="1778"/>
      <c r="L13" s="244"/>
    </row>
    <row r="14" spans="1:14" ht="10.5"/>
    <row r="15" spans="1:14" ht="10.5"/>
  </sheetData>
  <mergeCells count="2">
    <mergeCell ref="D12:K12"/>
    <mergeCell ref="D13:K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86FF-9961-4253-9E70-8DC9A3BB7EBC}">
  <dimension ref="A1:W354"/>
  <sheetViews>
    <sheetView showGridLines="0" zoomScale="51" zoomScaleNormal="55" workbookViewId="0">
      <pane ySplit="5" topLeftCell="A185" activePane="bottomLeft" state="frozen"/>
      <selection activeCell="E5" sqref="E5"/>
      <selection pane="bottomLeft" activeCell="N196" sqref="N196"/>
    </sheetView>
  </sheetViews>
  <sheetFormatPr defaultColWidth="0" defaultRowHeight="15.5"/>
  <cols>
    <col min="1" max="1" width="5.4609375" style="2040" customWidth="1"/>
    <col min="2" max="4" width="5.4609375" style="2041" customWidth="1"/>
    <col min="5" max="5" width="1.53515625" bestFit="1" customWidth="1"/>
    <col min="6" max="6" width="2.23046875" style="1821" customWidth="1"/>
    <col min="7" max="7" width="4.07421875" style="1822" customWidth="1"/>
    <col min="8" max="8" width="22.07421875" style="1823" customWidth="1"/>
    <col min="9" max="9" width="76.921875" style="1823" customWidth="1"/>
    <col min="10" max="12" width="10.921875" style="1822" customWidth="1"/>
    <col min="13" max="13" width="9.23046875" style="1822" customWidth="1"/>
    <col min="14" max="14" width="14" style="1822" customWidth="1"/>
    <col min="15" max="15" width="39.69140625" style="1828" customWidth="1"/>
    <col min="16" max="16" width="28.84375" style="1822" customWidth="1"/>
    <col min="17" max="18" width="34.921875" style="1834" customWidth="1"/>
    <col min="19" max="19" width="34.921875" style="1822" customWidth="1"/>
    <col min="20" max="20" width="7.23046875" style="1822" customWidth="1"/>
    <col min="21" max="23" width="0" style="1822" hidden="1" customWidth="1"/>
    <col min="24" max="16384" width="7.23046875" style="1822" hidden="1"/>
  </cols>
  <sheetData>
    <row r="1" spans="1:19">
      <c r="A1" s="1820" t="s">
        <v>2459</v>
      </c>
      <c r="B1" s="1820"/>
      <c r="C1" s="1820"/>
      <c r="D1" s="1820"/>
      <c r="I1" s="1824"/>
      <c r="J1" s="1825" t="s">
        <v>2781</v>
      </c>
      <c r="K1" s="1826" t="s">
        <v>3008</v>
      </c>
      <c r="L1" s="1826"/>
      <c r="M1" s="1827">
        <f>(351-6)-COUNTIF(A6:A351,"")</f>
        <v>22</v>
      </c>
      <c r="Q1" s="1829"/>
      <c r="R1" s="1829"/>
      <c r="S1" s="1829"/>
    </row>
    <row r="2" spans="1:19">
      <c r="A2" s="1830" t="s">
        <v>2460</v>
      </c>
      <c r="B2" s="1830"/>
      <c r="C2" s="1830"/>
      <c r="D2" s="1830"/>
      <c r="I2" s="1824" t="s">
        <v>2636</v>
      </c>
      <c r="J2" s="1831" t="s">
        <v>2470</v>
      </c>
      <c r="K2" s="1832" t="s">
        <v>3009</v>
      </c>
      <c r="L2" s="1832"/>
      <c r="M2" s="1833">
        <f>(351-6)-COUNTIF(B6:B351,"")</f>
        <v>9</v>
      </c>
      <c r="S2" s="1834"/>
    </row>
    <row r="3" spans="1:19">
      <c r="A3" s="1830"/>
      <c r="B3" s="1830"/>
      <c r="C3" s="1830"/>
      <c r="D3" s="1830"/>
      <c r="I3" s="1824"/>
      <c r="J3" s="1831" t="s">
        <v>132</v>
      </c>
      <c r="K3" s="1832" t="s">
        <v>3010</v>
      </c>
      <c r="L3" s="1832"/>
      <c r="M3" s="1833">
        <f>(351-6)-COUNTIF(C7:C352,"")</f>
        <v>26</v>
      </c>
      <c r="S3" s="1834"/>
    </row>
    <row r="4" spans="1:19" ht="16" thickBot="1">
      <c r="A4" s="1830"/>
      <c r="B4" s="1830"/>
      <c r="C4" s="1830"/>
      <c r="D4" s="1830"/>
      <c r="I4" s="1824"/>
      <c r="J4" s="1835" t="s">
        <v>3011</v>
      </c>
      <c r="K4" s="1836" t="s">
        <v>3012</v>
      </c>
      <c r="L4" s="1836"/>
      <c r="M4" s="1837">
        <f>(351-6)-COUNTIF(D6:D351,"")</f>
        <v>12</v>
      </c>
      <c r="S4" s="1834"/>
    </row>
    <row r="5" spans="1:19">
      <c r="A5" s="1838" t="s">
        <v>2781</v>
      </c>
      <c r="B5" s="1839" t="s">
        <v>2470</v>
      </c>
      <c r="C5" s="1839" t="s">
        <v>132</v>
      </c>
      <c r="D5" s="1840" t="s">
        <v>3011</v>
      </c>
      <c r="H5" s="1841" t="s">
        <v>2461</v>
      </c>
      <c r="I5" s="1841" t="s">
        <v>2462</v>
      </c>
      <c r="J5" s="1842" t="s">
        <v>2463</v>
      </c>
      <c r="K5" s="1842"/>
      <c r="L5" s="1842"/>
      <c r="M5" s="1842" t="s">
        <v>2464</v>
      </c>
      <c r="N5" s="1843" t="s">
        <v>2465</v>
      </c>
      <c r="O5" s="1843" t="s">
        <v>2466</v>
      </c>
      <c r="P5" s="1844" t="s">
        <v>3013</v>
      </c>
      <c r="Q5" s="1845"/>
      <c r="R5" s="1845" t="s">
        <v>3014</v>
      </c>
      <c r="S5" s="1845" t="s">
        <v>3015</v>
      </c>
    </row>
    <row r="6" spans="1:19" s="254" customFormat="1">
      <c r="A6" s="1846"/>
      <c r="B6" s="1847"/>
      <c r="C6" s="1847"/>
      <c r="D6" s="1848"/>
      <c r="E6" s="1477" t="s">
        <v>2943</v>
      </c>
      <c r="F6" s="1551">
        <v>0</v>
      </c>
      <c r="G6" s="1552"/>
      <c r="H6" s="1551" t="s">
        <v>2607</v>
      </c>
      <c r="I6" s="1553"/>
      <c r="J6" s="1552"/>
      <c r="K6" s="1552"/>
      <c r="L6" s="1552"/>
      <c r="M6" s="1552"/>
      <c r="N6" s="1552"/>
      <c r="O6" s="1552" t="s">
        <v>2608</v>
      </c>
      <c r="P6" s="1552"/>
      <c r="Q6" s="1554"/>
    </row>
    <row r="7" spans="1:19" s="1388" customFormat="1">
      <c r="A7" s="1849"/>
      <c r="B7" s="1850"/>
      <c r="C7" s="1850"/>
      <c r="D7" s="1851"/>
      <c r="E7" s="1477" t="s">
        <v>2943</v>
      </c>
      <c r="H7" s="1555" t="s">
        <v>3016</v>
      </c>
      <c r="I7" s="1556" t="s">
        <v>3017</v>
      </c>
      <c r="J7" s="1388" t="s">
        <v>3018</v>
      </c>
      <c r="N7" s="1852" t="e">
        <f>#REF!</f>
        <v>#REF!</v>
      </c>
      <c r="O7" s="1388" t="s">
        <v>2625</v>
      </c>
      <c r="P7" s="1388" t="s">
        <v>3019</v>
      </c>
      <c r="Q7" s="1405"/>
    </row>
    <row r="8" spans="1:19" s="1855" customFormat="1" ht="28">
      <c r="A8" s="1853"/>
      <c r="B8" s="1854" t="s">
        <v>3020</v>
      </c>
      <c r="C8" s="1850"/>
      <c r="D8" s="1851"/>
      <c r="E8" s="1477" t="s">
        <v>2943</v>
      </c>
      <c r="F8" s="1388"/>
      <c r="H8" s="1856"/>
      <c r="I8" s="1857" t="s">
        <v>3021</v>
      </c>
      <c r="J8" s="1855" t="s">
        <v>3022</v>
      </c>
      <c r="N8" s="1852" t="e">
        <f>#REF!</f>
        <v>#REF!</v>
      </c>
      <c r="O8" s="1855" t="s">
        <v>2626</v>
      </c>
      <c r="P8" s="1855" t="s">
        <v>3023</v>
      </c>
      <c r="Q8" s="1858"/>
    </row>
    <row r="9" spans="1:19" s="1388" customFormat="1">
      <c r="A9" s="1859" t="s">
        <v>106</v>
      </c>
      <c r="B9" s="1860"/>
      <c r="C9" s="1860"/>
      <c r="D9" s="1861"/>
      <c r="E9" s="1477" t="s">
        <v>2943</v>
      </c>
      <c r="H9" s="1555" t="s">
        <v>3024</v>
      </c>
      <c r="I9" s="1556" t="s">
        <v>3025</v>
      </c>
      <c r="J9" s="1388" t="s">
        <v>3022</v>
      </c>
      <c r="N9" s="1852" t="e">
        <f>#REF!</f>
        <v>#REF!</v>
      </c>
      <c r="O9" s="1388" t="s">
        <v>3185</v>
      </c>
      <c r="Q9" s="1405"/>
    </row>
    <row r="10" spans="1:19" s="1388" customFormat="1">
      <c r="A10" s="1849"/>
      <c r="B10" s="1854" t="s">
        <v>3020</v>
      </c>
      <c r="C10" s="1854"/>
      <c r="D10" s="1862"/>
      <c r="E10" s="1477" t="s">
        <v>2943</v>
      </c>
      <c r="H10" s="1555"/>
      <c r="I10" s="1556" t="s">
        <v>2627</v>
      </c>
      <c r="J10" s="1388" t="s">
        <v>3018</v>
      </c>
      <c r="N10" s="1852" t="e">
        <f>#REF!</f>
        <v>#REF!</v>
      </c>
      <c r="Q10" s="1405"/>
    </row>
    <row r="11" spans="1:19" s="1388" customFormat="1">
      <c r="A11" s="1849"/>
      <c r="B11" s="1850"/>
      <c r="C11" s="1850"/>
      <c r="D11" s="1862" t="s">
        <v>3026</v>
      </c>
      <c r="E11" s="1477" t="s">
        <v>2943</v>
      </c>
      <c r="G11" s="1856"/>
      <c r="H11" s="1863" t="s">
        <v>2426</v>
      </c>
      <c r="I11" s="1864" t="s">
        <v>3027</v>
      </c>
      <c r="J11" s="1388" t="s">
        <v>3028</v>
      </c>
      <c r="N11" s="1852" t="e">
        <f>#REF!</f>
        <v>#REF!</v>
      </c>
      <c r="Q11" s="1405"/>
    </row>
    <row r="12" spans="1:19">
      <c r="A12" s="1865"/>
      <c r="B12" s="1866"/>
      <c r="C12" s="1866"/>
      <c r="D12" s="1867"/>
      <c r="E12" s="1477" t="s">
        <v>2943</v>
      </c>
      <c r="F12" s="1388"/>
      <c r="H12" s="1841"/>
      <c r="J12" s="1842"/>
      <c r="K12" s="1842"/>
      <c r="L12" s="1842"/>
      <c r="M12" s="1842"/>
      <c r="N12" s="1843"/>
      <c r="O12" s="1843"/>
      <c r="Q12" s="1845"/>
      <c r="R12" s="1845"/>
      <c r="S12" s="1845"/>
    </row>
    <row r="13" spans="1:19">
      <c r="A13" s="1868"/>
      <c r="B13" s="1869"/>
      <c r="C13" s="1869"/>
      <c r="D13" s="1870"/>
      <c r="E13" s="1477" t="s">
        <v>2943</v>
      </c>
      <c r="F13" s="1871">
        <v>1</v>
      </c>
      <c r="G13" s="1872"/>
      <c r="H13" s="1873" t="s">
        <v>2467</v>
      </c>
      <c r="I13" s="1873"/>
      <c r="J13" s="1872"/>
      <c r="K13" s="1872"/>
      <c r="L13" s="1872"/>
      <c r="M13" s="1872"/>
      <c r="N13" s="1872"/>
      <c r="O13" s="1874"/>
      <c r="P13" s="1872"/>
      <c r="Q13" s="1875"/>
      <c r="R13" s="1875"/>
      <c r="S13" s="1875"/>
    </row>
    <row r="14" spans="1:19">
      <c r="A14" s="1868"/>
      <c r="B14" s="1869"/>
      <c r="C14" s="1869"/>
      <c r="D14" s="1870"/>
      <c r="E14" s="1477" t="s">
        <v>2943</v>
      </c>
      <c r="F14" s="1388"/>
      <c r="G14" s="1876">
        <f>F13+0.1</f>
        <v>1.1000000000000001</v>
      </c>
      <c r="H14" s="1877" t="s">
        <v>2468</v>
      </c>
      <c r="I14" s="1878"/>
      <c r="J14" s="1879"/>
      <c r="K14" s="1879"/>
      <c r="L14" s="1879"/>
      <c r="M14" s="1879"/>
      <c r="N14" s="1879"/>
      <c r="O14" s="1880"/>
      <c r="P14" s="1879"/>
      <c r="Q14" s="1881"/>
      <c r="R14" s="1881"/>
      <c r="S14" s="1881"/>
    </row>
    <row r="15" spans="1:19">
      <c r="A15" s="1868"/>
      <c r="B15" s="1869"/>
      <c r="C15" s="1869"/>
      <c r="D15" s="1870"/>
      <c r="E15" s="1477" t="s">
        <v>2943</v>
      </c>
      <c r="F15" s="1388"/>
      <c r="G15" s="1882"/>
      <c r="H15" s="1883" t="s">
        <v>2469</v>
      </c>
      <c r="I15" s="1884" t="s">
        <v>2783</v>
      </c>
      <c r="J15" s="1884"/>
      <c r="K15" s="1884"/>
      <c r="L15" s="1884"/>
      <c r="M15" s="1884"/>
      <c r="N15" s="1884"/>
      <c r="O15" s="1884"/>
      <c r="P15" s="1884"/>
      <c r="Q15" s="1884"/>
      <c r="R15" s="1885"/>
      <c r="S15" s="1885"/>
    </row>
    <row r="16" spans="1:19">
      <c r="A16" s="1868"/>
      <c r="B16" s="1869"/>
      <c r="C16" s="1869"/>
      <c r="D16" s="1870"/>
      <c r="E16" s="1477" t="s">
        <v>2943</v>
      </c>
      <c r="F16" s="1388"/>
      <c r="G16" s="1882"/>
      <c r="H16" s="1886"/>
      <c r="S16" s="1834"/>
    </row>
    <row r="17" spans="1:19" s="1895" customFormat="1">
      <c r="A17" s="1887" t="s">
        <v>2980</v>
      </c>
      <c r="B17" s="1888"/>
      <c r="C17" s="1888"/>
      <c r="D17" s="1889"/>
      <c r="E17" s="1477" t="s">
        <v>2943</v>
      </c>
      <c r="F17" s="1388"/>
      <c r="G17" s="1882"/>
      <c r="H17" s="1890" t="s">
        <v>2408</v>
      </c>
      <c r="I17" s="1890" t="s">
        <v>3029</v>
      </c>
      <c r="J17" s="1891"/>
      <c r="K17" s="1891"/>
      <c r="L17" s="1891"/>
      <c r="M17" s="1891"/>
      <c r="N17" s="1892" t="s">
        <v>3030</v>
      </c>
      <c r="O17" s="1891"/>
      <c r="P17" s="1893"/>
      <c r="Q17" s="1893"/>
      <c r="R17" s="1894"/>
      <c r="S17" s="1894"/>
    </row>
    <row r="18" spans="1:19" s="1895" customFormat="1">
      <c r="A18" s="1896"/>
      <c r="B18" s="1888"/>
      <c r="C18" s="1888"/>
      <c r="D18" s="1889"/>
      <c r="E18" s="1477" t="s">
        <v>2943</v>
      </c>
      <c r="F18" s="1388"/>
      <c r="H18" s="1897" t="s">
        <v>2610</v>
      </c>
      <c r="I18" s="1898" t="s">
        <v>2981</v>
      </c>
      <c r="M18" s="1895" t="s">
        <v>2606</v>
      </c>
      <c r="N18" s="1899" t="s">
        <v>2868</v>
      </c>
      <c r="O18" s="1900"/>
      <c r="Q18" s="1894"/>
      <c r="R18" s="1894"/>
      <c r="S18" s="1894"/>
    </row>
    <row r="19" spans="1:19" s="1895" customFormat="1">
      <c r="A19" s="1887" t="s">
        <v>2980</v>
      </c>
      <c r="B19" s="1888"/>
      <c r="C19" s="1888"/>
      <c r="D19" s="1889"/>
      <c r="E19" s="1477" t="s">
        <v>2943</v>
      </c>
      <c r="F19" s="1388"/>
      <c r="H19" s="1890" t="s">
        <v>2409</v>
      </c>
      <c r="I19" s="1890" t="s">
        <v>3031</v>
      </c>
      <c r="J19" s="1891"/>
      <c r="K19" s="1891"/>
      <c r="L19" s="1891"/>
      <c r="M19" s="1891" t="s">
        <v>2611</v>
      </c>
      <c r="N19" s="1892" t="s">
        <v>2776</v>
      </c>
      <c r="O19" s="1901"/>
      <c r="P19" s="1891"/>
      <c r="Q19" s="1893"/>
      <c r="R19" s="1894"/>
      <c r="S19" s="1894"/>
    </row>
    <row r="20" spans="1:19" s="1895" customFormat="1" ht="70">
      <c r="A20" s="1896"/>
      <c r="B20" s="1854" t="s">
        <v>3032</v>
      </c>
      <c r="C20" s="1888"/>
      <c r="D20" s="1889"/>
      <c r="E20" s="1477" t="s">
        <v>2943</v>
      </c>
      <c r="F20" s="1388"/>
      <c r="H20" s="1890" t="s">
        <v>2471</v>
      </c>
      <c r="I20" s="1890" t="s">
        <v>3033</v>
      </c>
      <c r="J20" s="1891"/>
      <c r="K20" s="1891"/>
      <c r="L20" s="1891"/>
      <c r="M20" s="1891" t="e">
        <f>#REF!</f>
        <v>#REF!</v>
      </c>
      <c r="N20" s="1892" t="s">
        <v>2782</v>
      </c>
      <c r="O20" s="1891" t="s">
        <v>2472</v>
      </c>
      <c r="P20" s="1891"/>
      <c r="Q20" s="1902"/>
      <c r="R20" s="1894"/>
      <c r="S20" s="1894"/>
    </row>
    <row r="21" spans="1:19" s="1895" customFormat="1" ht="98">
      <c r="A21" s="1896"/>
      <c r="B21" s="1888"/>
      <c r="C21" s="1854" t="s">
        <v>2986</v>
      </c>
      <c r="D21" s="1889"/>
      <c r="E21" s="1477" t="s">
        <v>2943</v>
      </c>
      <c r="F21" s="1388"/>
      <c r="H21" s="1897" t="s">
        <v>2473</v>
      </c>
      <c r="I21" s="1897" t="s">
        <v>3034</v>
      </c>
      <c r="N21" s="1903" t="s">
        <v>2470</v>
      </c>
      <c r="O21" s="1895" t="str">
        <f>IF(N21="A","Vendor Valuation",IF(N21="B","Management Valuation",IF(N21="C","Target Valuation","Other (please specify)")))</f>
        <v>Management Valuation</v>
      </c>
      <c r="Q21" s="1894"/>
      <c r="R21" s="1894"/>
      <c r="S21" s="1894"/>
    </row>
    <row r="22" spans="1:19" s="1895" customFormat="1">
      <c r="A22" s="1896"/>
      <c r="B22" s="1854" t="s">
        <v>3032</v>
      </c>
      <c r="C22" s="1888"/>
      <c r="D22" s="1889"/>
      <c r="E22" s="1477" t="s">
        <v>2943</v>
      </c>
      <c r="F22" s="1388"/>
      <c r="H22" s="1897" t="s">
        <v>2474</v>
      </c>
      <c r="I22" s="1897" t="s">
        <v>3035</v>
      </c>
      <c r="N22" s="1903" t="s">
        <v>106</v>
      </c>
      <c r="O22" s="1895" t="s">
        <v>2475</v>
      </c>
      <c r="Q22" s="1894"/>
      <c r="R22" s="1894"/>
      <c r="S22" s="1894"/>
    </row>
    <row r="23" spans="1:19" s="1895" customFormat="1">
      <c r="A23" s="1896"/>
      <c r="B23" s="1854" t="s">
        <v>3032</v>
      </c>
      <c r="C23" s="1888"/>
      <c r="D23" s="1889"/>
      <c r="E23" s="1477" t="s">
        <v>2943</v>
      </c>
      <c r="F23" s="1388"/>
      <c r="H23" s="1897" t="s">
        <v>2476</v>
      </c>
      <c r="I23" s="1897" t="s">
        <v>2477</v>
      </c>
      <c r="J23" s="1895" t="s">
        <v>3036</v>
      </c>
      <c r="N23" s="1904" t="s">
        <v>2871</v>
      </c>
      <c r="Q23" s="1894"/>
      <c r="R23" s="1894"/>
      <c r="S23" s="1894"/>
    </row>
    <row r="24" spans="1:19" s="1895" customFormat="1">
      <c r="A24" s="1896"/>
      <c r="B24" s="1888"/>
      <c r="C24" s="1888"/>
      <c r="D24" s="1889"/>
      <c r="E24" s="1477" t="s">
        <v>2943</v>
      </c>
      <c r="F24" s="1388"/>
      <c r="H24" s="1897"/>
      <c r="I24" s="1897"/>
      <c r="O24" s="1900"/>
      <c r="Q24" s="1894"/>
      <c r="R24" s="1894"/>
      <c r="S24" s="1894"/>
    </row>
    <row r="25" spans="1:19">
      <c r="A25" s="1868"/>
      <c r="B25" s="1866"/>
      <c r="C25" s="1866"/>
      <c r="D25" s="1867"/>
      <c r="E25" s="1477" t="s">
        <v>2943</v>
      </c>
      <c r="F25" s="1388"/>
      <c r="G25" s="1876">
        <f>G14+0.1</f>
        <v>1.2000000000000002</v>
      </c>
      <c r="H25" s="1905" t="s">
        <v>2478</v>
      </c>
      <c r="I25" s="1878"/>
      <c r="J25" s="1879"/>
      <c r="K25" s="1879"/>
      <c r="L25" s="1879"/>
      <c r="M25" s="1879"/>
      <c r="N25" s="1879"/>
      <c r="O25" s="1880"/>
      <c r="P25" s="1879"/>
      <c r="Q25" s="1881"/>
      <c r="R25" s="1881"/>
      <c r="S25" s="1881"/>
    </row>
    <row r="26" spans="1:19">
      <c r="A26" s="1868"/>
      <c r="B26" s="1866"/>
      <c r="C26" s="1866"/>
      <c r="D26" s="1867"/>
      <c r="E26" s="1477" t="s">
        <v>2943</v>
      </c>
      <c r="F26" s="1388"/>
      <c r="H26" s="1906" t="s">
        <v>2479</v>
      </c>
      <c r="I26" s="1906" t="s">
        <v>3037</v>
      </c>
      <c r="J26" s="1907"/>
      <c r="K26" s="1907"/>
      <c r="L26" s="1907"/>
      <c r="M26" s="1907"/>
      <c r="N26" s="1892" t="s">
        <v>106</v>
      </c>
      <c r="O26" s="1907" t="s">
        <v>2475</v>
      </c>
      <c r="P26" s="1907"/>
      <c r="Q26" s="1908"/>
      <c r="R26" s="1909"/>
      <c r="S26" s="1909"/>
    </row>
    <row r="27" spans="1:19">
      <c r="A27" s="1868"/>
      <c r="B27" s="1866"/>
      <c r="C27" s="1866"/>
      <c r="D27" s="1867"/>
      <c r="E27" s="1477" t="s">
        <v>2943</v>
      </c>
      <c r="F27" s="1388"/>
      <c r="H27" s="1906" t="s">
        <v>94</v>
      </c>
      <c r="I27" s="1906" t="s">
        <v>2480</v>
      </c>
      <c r="J27" s="1907" t="s">
        <v>2481</v>
      </c>
      <c r="K27" s="1907"/>
      <c r="L27" s="1907"/>
      <c r="M27" s="1907" t="s">
        <v>2482</v>
      </c>
      <c r="N27" s="1892" t="str">
        <f>IF(N26="Yes",N18,"")</f>
        <v>Aerial Arts India XXXXXXXXXXXXXXXXX</v>
      </c>
      <c r="O27" s="1910"/>
      <c r="P27" s="1907"/>
      <c r="Q27" s="1908"/>
      <c r="R27" s="1909"/>
      <c r="S27" s="1909"/>
    </row>
    <row r="28" spans="1:19">
      <c r="A28" s="1868"/>
      <c r="B28" s="1866"/>
      <c r="C28" s="1911" t="s">
        <v>2987</v>
      </c>
      <c r="D28" s="1867"/>
      <c r="E28" s="1477" t="s">
        <v>2943</v>
      </c>
      <c r="F28" s="1388"/>
      <c r="H28" s="1906" t="s">
        <v>2483</v>
      </c>
      <c r="I28" s="1890" t="s">
        <v>2484</v>
      </c>
      <c r="J28" s="1907" t="s">
        <v>3038</v>
      </c>
      <c r="K28" s="1907"/>
      <c r="L28" s="1907"/>
      <c r="M28" s="1907" t="s">
        <v>2485</v>
      </c>
      <c r="N28" s="1912" t="s">
        <v>2869</v>
      </c>
      <c r="O28" s="1910"/>
      <c r="P28" s="1907"/>
      <c r="Q28" s="1913"/>
      <c r="S28" s="1834"/>
    </row>
    <row r="29" spans="1:19">
      <c r="A29" s="1868"/>
      <c r="B29" s="1866"/>
      <c r="C29" s="1866"/>
      <c r="D29" s="1867"/>
      <c r="E29" s="1477" t="s">
        <v>2943</v>
      </c>
      <c r="F29" s="1388"/>
      <c r="N29" s="1903"/>
      <c r="S29" s="1834"/>
    </row>
    <row r="30" spans="1:19">
      <c r="A30" s="1868"/>
      <c r="B30" s="1866"/>
      <c r="C30" s="1866"/>
      <c r="D30" s="1867"/>
      <c r="E30" s="1477" t="s">
        <v>2943</v>
      </c>
      <c r="F30" s="1388"/>
      <c r="G30" s="1876">
        <f>G25+0.1</f>
        <v>1.3000000000000003</v>
      </c>
      <c r="H30" s="1905" t="s">
        <v>2486</v>
      </c>
      <c r="I30" s="1878"/>
      <c r="J30" s="1879"/>
      <c r="K30" s="1879"/>
      <c r="L30" s="1879"/>
      <c r="M30" s="1879"/>
      <c r="N30" s="1879"/>
      <c r="O30" s="1880"/>
      <c r="P30" s="1879"/>
      <c r="Q30" s="1881"/>
      <c r="R30" s="1881"/>
      <c r="S30" s="1881"/>
    </row>
    <row r="31" spans="1:19" ht="42">
      <c r="A31" s="1868"/>
      <c r="B31" s="1866"/>
      <c r="C31" s="1866"/>
      <c r="D31" s="1920" t="s">
        <v>3186</v>
      </c>
      <c r="E31" s="1477" t="s">
        <v>2943</v>
      </c>
      <c r="F31" s="1388"/>
      <c r="H31" s="1906" t="s">
        <v>2490</v>
      </c>
      <c r="I31" s="1906" t="s">
        <v>3041</v>
      </c>
      <c r="J31" s="1907" t="s">
        <v>2491</v>
      </c>
      <c r="K31" s="1907"/>
      <c r="L31" s="1907"/>
      <c r="M31" s="1907" t="s">
        <v>2492</v>
      </c>
      <c r="N31" s="1915">
        <v>45565</v>
      </c>
      <c r="O31" s="1910" t="s">
        <v>2489</v>
      </c>
      <c r="P31" s="1907"/>
      <c r="Q31" s="1918"/>
      <c r="R31" s="1919"/>
      <c r="S31" s="1919"/>
    </row>
    <row r="32" spans="1:19">
      <c r="A32" s="1914" t="s">
        <v>2980</v>
      </c>
      <c r="B32" s="1866"/>
      <c r="C32" s="1866"/>
      <c r="D32" s="1867"/>
      <c r="E32" s="1477" t="s">
        <v>2943</v>
      </c>
      <c r="F32" s="1388"/>
      <c r="H32" s="1906" t="s">
        <v>2487</v>
      </c>
      <c r="I32" s="1906" t="s">
        <v>3039</v>
      </c>
      <c r="J32" s="1907" t="s">
        <v>2491</v>
      </c>
      <c r="K32" s="1907"/>
      <c r="L32" s="1907"/>
      <c r="M32" s="1907" t="s">
        <v>2488</v>
      </c>
      <c r="N32" s="1915">
        <v>45657</v>
      </c>
      <c r="O32" s="1910" t="s">
        <v>2489</v>
      </c>
      <c r="P32" s="1907"/>
      <c r="Q32" s="1916"/>
      <c r="S32" s="1917" t="s">
        <v>3040</v>
      </c>
    </row>
    <row r="33" spans="1:19" ht="28">
      <c r="A33" s="1914" t="s">
        <v>2991</v>
      </c>
      <c r="B33" s="1866"/>
      <c r="C33" s="1866"/>
      <c r="D33" s="1920" t="s">
        <v>3042</v>
      </c>
      <c r="E33" s="1477" t="s">
        <v>2943</v>
      </c>
      <c r="F33" s="1388"/>
      <c r="H33" s="1823" t="s">
        <v>2990</v>
      </c>
      <c r="I33" s="1823" t="s">
        <v>2985</v>
      </c>
      <c r="J33" s="1895" t="s">
        <v>2493</v>
      </c>
      <c r="K33" s="1895"/>
      <c r="L33" s="1895"/>
      <c r="M33" s="1822" t="s">
        <v>2247</v>
      </c>
      <c r="N33" s="1921">
        <f>12-ROUND((N32-val.date)/30,0)</f>
        <v>9</v>
      </c>
      <c r="Q33" s="1919"/>
      <c r="S33" s="1834"/>
    </row>
    <row r="34" spans="1:19" ht="28">
      <c r="A34" s="1868"/>
      <c r="B34" s="1911" t="s">
        <v>3043</v>
      </c>
      <c r="C34" s="1866"/>
      <c r="D34" s="1867"/>
      <c r="E34" s="1477" t="s">
        <v>2943</v>
      </c>
      <c r="F34" s="1388"/>
      <c r="H34" s="1906" t="s">
        <v>2989</v>
      </c>
      <c r="I34" s="1906"/>
      <c r="J34" s="1891" t="str">
        <f>J33</f>
        <v>Need not ask, but auto-fill (based on provided formula) &amp; confirm</v>
      </c>
      <c r="K34" s="1891"/>
      <c r="L34" s="1891"/>
      <c r="M34" s="1907" t="s">
        <v>2494</v>
      </c>
      <c r="N34" s="1922">
        <f>12-N33</f>
        <v>3</v>
      </c>
      <c r="O34" s="1910"/>
      <c r="P34" s="1907"/>
      <c r="Q34" s="1923"/>
      <c r="R34" s="1919"/>
      <c r="S34" s="1919"/>
    </row>
    <row r="35" spans="1:19">
      <c r="A35" s="1868"/>
      <c r="B35" s="1866"/>
      <c r="C35" s="1866"/>
      <c r="D35" s="1867"/>
      <c r="E35" s="1477" t="s">
        <v>2943</v>
      </c>
      <c r="F35" s="1388"/>
      <c r="H35" s="1924" t="s">
        <v>2495</v>
      </c>
      <c r="I35" s="1924" t="s">
        <v>1450</v>
      </c>
      <c r="J35" s="1925"/>
      <c r="K35" s="1925"/>
      <c r="L35" s="1925"/>
      <c r="M35" s="1925" t="s">
        <v>2496</v>
      </c>
      <c r="N35" s="1926" t="str">
        <f t="array" ref="N35">"Valuation Date:  "&amp;TEXT(val.date,"mmmm d, yyy")</f>
        <v>Valuation Date:  September 30, 2024</v>
      </c>
      <c r="O35" s="1927"/>
      <c r="P35" s="1925"/>
      <c r="Q35" s="1928"/>
      <c r="S35" s="1834"/>
    </row>
    <row r="36" spans="1:19" ht="265.5">
      <c r="A36" s="1914" t="s">
        <v>3044</v>
      </c>
      <c r="B36" s="1866"/>
      <c r="C36" s="1911" t="s">
        <v>3045</v>
      </c>
      <c r="D36" s="1867"/>
      <c r="E36" s="1477" t="s">
        <v>2943</v>
      </c>
      <c r="F36" s="1388"/>
      <c r="H36" s="1906" t="s">
        <v>2497</v>
      </c>
      <c r="I36" s="1906" t="s">
        <v>3046</v>
      </c>
      <c r="J36" s="1907" t="s">
        <v>3047</v>
      </c>
      <c r="K36" s="1907"/>
      <c r="L36" s="1907"/>
      <c r="M36" s="1907"/>
      <c r="N36" s="1557" t="s">
        <v>2281</v>
      </c>
      <c r="O36" s="1558"/>
      <c r="P36" s="1907"/>
      <c r="Q36" s="1923"/>
      <c r="R36" s="1923"/>
      <c r="S36" s="1917" t="s">
        <v>3048</v>
      </c>
    </row>
    <row r="37" spans="1:19">
      <c r="A37" s="1868"/>
      <c r="B37" s="1866"/>
      <c r="C37" s="1866"/>
      <c r="D37" s="1867"/>
      <c r="E37" s="1477" t="s">
        <v>2943</v>
      </c>
      <c r="F37" s="1388"/>
      <c r="N37" s="1559"/>
      <c r="O37" s="1560"/>
      <c r="S37" s="1834"/>
    </row>
    <row r="38" spans="1:19">
      <c r="A38" s="1868"/>
      <c r="B38" s="1866"/>
      <c r="C38" s="1866"/>
      <c r="D38" s="1867"/>
      <c r="E38" s="1477" t="s">
        <v>2943</v>
      </c>
      <c r="F38" s="1388"/>
      <c r="G38" s="1876">
        <f>G30+0.1</f>
        <v>1.4000000000000004</v>
      </c>
      <c r="H38" s="1905" t="s">
        <v>2498</v>
      </c>
      <c r="I38" s="1905"/>
      <c r="J38" s="1879"/>
      <c r="K38" s="1879"/>
      <c r="L38" s="1879"/>
      <c r="M38" s="1879"/>
      <c r="N38" s="1879"/>
      <c r="O38" s="1880"/>
      <c r="P38" s="1879"/>
      <c r="Q38" s="1881"/>
      <c r="R38" s="1881"/>
      <c r="S38" s="1881"/>
    </row>
    <row r="39" spans="1:19">
      <c r="A39" s="1868"/>
      <c r="B39" s="1911" t="s">
        <v>3032</v>
      </c>
      <c r="C39" s="1866"/>
      <c r="D39" s="1867"/>
      <c r="E39" s="1477" t="s">
        <v>2943</v>
      </c>
      <c r="F39" s="1388"/>
      <c r="H39" s="1906" t="s">
        <v>2499</v>
      </c>
      <c r="I39" s="1906" t="s">
        <v>2500</v>
      </c>
      <c r="J39" s="1929"/>
      <c r="K39" s="1929"/>
      <c r="L39" s="1929"/>
      <c r="M39" s="1907"/>
      <c r="N39" s="1904" t="s">
        <v>1391</v>
      </c>
      <c r="O39" s="1910"/>
      <c r="P39" s="1907"/>
      <c r="Q39" s="1916"/>
      <c r="S39" s="1834"/>
    </row>
    <row r="40" spans="1:19">
      <c r="A40" s="1868"/>
      <c r="B40" s="1866"/>
      <c r="C40" s="1866"/>
      <c r="D40" s="1867"/>
      <c r="E40" s="1477" t="s">
        <v>2943</v>
      </c>
      <c r="F40" s="1388"/>
      <c r="H40" s="1906" t="s">
        <v>2413</v>
      </c>
      <c r="I40" s="1906" t="s">
        <v>2501</v>
      </c>
      <c r="J40" s="1907"/>
      <c r="K40" s="1907"/>
      <c r="L40" s="1907"/>
      <c r="M40" s="1907"/>
      <c r="N40" s="1892" t="s">
        <v>1391</v>
      </c>
      <c r="O40" s="1910"/>
      <c r="P40" s="1907"/>
      <c r="Q40" s="1916"/>
      <c r="S40" s="1834"/>
    </row>
    <row r="41" spans="1:19">
      <c r="A41" s="1868"/>
      <c r="B41" s="1866"/>
      <c r="C41" s="1866"/>
      <c r="D41" s="1867"/>
      <c r="E41" s="1477" t="s">
        <v>2943</v>
      </c>
      <c r="F41" s="1388"/>
      <c r="H41" s="1906" t="s">
        <v>2502</v>
      </c>
      <c r="I41" s="1906" t="s">
        <v>3049</v>
      </c>
      <c r="J41" s="1907"/>
      <c r="K41" s="1907"/>
      <c r="L41" s="1907"/>
      <c r="M41" s="1907"/>
      <c r="N41" s="1892" t="s">
        <v>113</v>
      </c>
      <c r="O41" s="1910"/>
      <c r="P41" s="1907"/>
      <c r="Q41" s="1916"/>
      <c r="S41" s="1834"/>
    </row>
    <row r="42" spans="1:19" ht="70">
      <c r="A42" s="1868"/>
      <c r="B42" s="1866"/>
      <c r="C42" s="1866"/>
      <c r="D42" s="1920" t="s">
        <v>3050</v>
      </c>
      <c r="E42" s="1477" t="s">
        <v>2943</v>
      </c>
      <c r="F42" s="1388"/>
      <c r="H42" s="1906" t="s">
        <v>2503</v>
      </c>
      <c r="I42" s="1906" t="s">
        <v>3051</v>
      </c>
      <c r="J42" s="1907" t="s">
        <v>3052</v>
      </c>
      <c r="K42" s="1907"/>
      <c r="L42" s="1907"/>
      <c r="M42" s="1907"/>
      <c r="N42" s="1561" t="s">
        <v>2466</v>
      </c>
      <c r="O42" s="1910"/>
      <c r="P42" s="1907"/>
      <c r="Q42" s="1930"/>
      <c r="R42" s="1931"/>
      <c r="S42" s="1932"/>
    </row>
    <row r="43" spans="1:19">
      <c r="A43" s="1868"/>
      <c r="B43" s="1866"/>
      <c r="C43" s="1866"/>
      <c r="D43" s="1867"/>
      <c r="E43" s="1477" t="s">
        <v>2943</v>
      </c>
      <c r="F43" s="1388"/>
      <c r="S43" s="1834"/>
    </row>
    <row r="44" spans="1:19">
      <c r="A44" s="1868"/>
      <c r="B44" s="1866"/>
      <c r="C44" s="1866"/>
      <c r="D44" s="1867"/>
      <c r="E44" s="1477" t="s">
        <v>2943</v>
      </c>
      <c r="F44" s="1388"/>
      <c r="G44" s="1876">
        <f>G38+0.1</f>
        <v>1.5000000000000004</v>
      </c>
      <c r="H44" s="1905" t="s">
        <v>2504</v>
      </c>
      <c r="I44" s="1878"/>
      <c r="J44" s="1879"/>
      <c r="K44" s="1879"/>
      <c r="L44" s="1879"/>
      <c r="M44" s="1879"/>
      <c r="N44" s="1879"/>
      <c r="O44" s="1880"/>
      <c r="P44" s="1879"/>
      <c r="Q44" s="1881"/>
      <c r="R44" s="1881"/>
      <c r="S44" s="1881"/>
    </row>
    <row r="45" spans="1:19" ht="56">
      <c r="A45" s="1914" t="s">
        <v>3053</v>
      </c>
      <c r="B45" s="1866"/>
      <c r="C45" s="1866"/>
      <c r="D45" s="1867" t="s">
        <v>3054</v>
      </c>
      <c r="E45" s="1477" t="s">
        <v>2943</v>
      </c>
      <c r="F45" s="1388"/>
      <c r="H45" s="1906" t="s">
        <v>3055</v>
      </c>
      <c r="I45" s="1906" t="s">
        <v>3056</v>
      </c>
      <c r="J45" s="1907"/>
      <c r="K45" s="1907"/>
      <c r="L45" s="1907"/>
      <c r="M45" s="1907"/>
      <c r="N45" s="1572">
        <v>50000</v>
      </c>
      <c r="O45" s="1910"/>
      <c r="P45" s="1907"/>
      <c r="Q45" s="1916"/>
      <c r="S45" s="1834"/>
    </row>
    <row r="46" spans="1:19">
      <c r="A46" s="1868"/>
      <c r="B46" s="1911" t="s">
        <v>3009</v>
      </c>
      <c r="C46" s="1866"/>
      <c r="D46" s="1867"/>
      <c r="E46" s="1477" t="s">
        <v>2943</v>
      </c>
      <c r="F46" s="1388"/>
      <c r="G46" s="1821"/>
      <c r="H46" s="1906" t="s">
        <v>2426</v>
      </c>
      <c r="I46" s="1906" t="s">
        <v>2528</v>
      </c>
      <c r="J46" s="1933"/>
      <c r="K46" s="1933"/>
      <c r="L46" s="1933"/>
      <c r="M46" s="1907"/>
      <c r="N46" s="1934" t="e">
        <f>#REF!</f>
        <v>#REF!</v>
      </c>
      <c r="O46" s="1910"/>
      <c r="P46" s="1907"/>
      <c r="Q46" s="1923"/>
      <c r="R46" s="1919"/>
      <c r="S46" s="1834"/>
    </row>
    <row r="47" spans="1:19">
      <c r="A47" s="1868"/>
      <c r="B47" s="1866"/>
      <c r="C47" s="1866"/>
      <c r="D47" s="1867"/>
      <c r="E47" s="1477" t="s">
        <v>2943</v>
      </c>
      <c r="F47" s="1388"/>
      <c r="H47" s="1906" t="s">
        <v>2505</v>
      </c>
      <c r="I47" s="1906" t="s">
        <v>3057</v>
      </c>
      <c r="J47" s="1929" t="s">
        <v>2506</v>
      </c>
      <c r="K47" s="1929"/>
      <c r="L47" s="1929"/>
      <c r="M47" s="1907"/>
      <c r="N47" s="1904" t="s">
        <v>2672</v>
      </c>
      <c r="O47" s="1910"/>
      <c r="P47" s="1907"/>
      <c r="Q47" s="1935"/>
      <c r="S47" s="1834"/>
    </row>
    <row r="48" spans="1:19" ht="28">
      <c r="A48" s="1868"/>
      <c r="B48" s="1866"/>
      <c r="C48" s="1866"/>
      <c r="D48" s="1867"/>
      <c r="E48" s="1477" t="s">
        <v>2943</v>
      </c>
      <c r="F48" s="1388"/>
      <c r="H48" s="1906" t="s">
        <v>2508</v>
      </c>
      <c r="I48" s="1906" t="s">
        <v>2509</v>
      </c>
      <c r="J48" s="1929"/>
      <c r="K48" s="1929"/>
      <c r="L48" s="1929"/>
      <c r="M48" s="1907"/>
      <c r="N48" s="1904" t="s">
        <v>2510</v>
      </c>
      <c r="O48" s="1910"/>
      <c r="P48" s="1907"/>
      <c r="Q48" s="1935"/>
      <c r="S48" s="1834"/>
    </row>
    <row r="49" spans="1:19" ht="28">
      <c r="A49" s="1868"/>
      <c r="B49" s="1866"/>
      <c r="C49" s="1911" t="s">
        <v>3058</v>
      </c>
      <c r="D49" s="1867"/>
      <c r="E49" s="1477" t="s">
        <v>2943</v>
      </c>
      <c r="F49" s="1388"/>
      <c r="H49" s="1906" t="s">
        <v>2511</v>
      </c>
      <c r="I49" s="1906" t="s">
        <v>2993</v>
      </c>
      <c r="J49" s="1907"/>
      <c r="K49" s="1907"/>
      <c r="L49" s="1907"/>
      <c r="M49" s="1907"/>
      <c r="N49" s="1892" t="s">
        <v>2512</v>
      </c>
      <c r="O49" s="1910"/>
      <c r="P49" s="1907"/>
      <c r="Q49" s="1916"/>
      <c r="S49" s="1834"/>
    </row>
    <row r="50" spans="1:19" ht="59">
      <c r="A50" s="1868"/>
      <c r="B50" s="1866"/>
      <c r="C50" s="1866"/>
      <c r="D50" s="1867"/>
      <c r="E50" s="1477" t="s">
        <v>2943</v>
      </c>
      <c r="F50" s="1388"/>
      <c r="H50" s="1906" t="s">
        <v>2513</v>
      </c>
      <c r="I50" s="1906" t="s">
        <v>3059</v>
      </c>
      <c r="J50" s="1907"/>
      <c r="K50" s="1907"/>
      <c r="L50" s="1907"/>
      <c r="M50" s="1907"/>
      <c r="N50" s="1892"/>
      <c r="O50" s="1910"/>
      <c r="P50" s="1907"/>
      <c r="Q50" s="1936"/>
      <c r="R50" s="1919" t="s">
        <v>3060</v>
      </c>
      <c r="S50" s="1834"/>
    </row>
    <row r="51" spans="1:19" ht="28">
      <c r="A51" s="1868"/>
      <c r="B51" s="1866"/>
      <c r="C51" s="1866"/>
      <c r="D51" s="1867"/>
      <c r="E51" s="1477" t="s">
        <v>2943</v>
      </c>
      <c r="F51" s="1388"/>
      <c r="H51" s="1906" t="s">
        <v>3061</v>
      </c>
      <c r="I51" s="1906" t="s">
        <v>2514</v>
      </c>
      <c r="J51" s="1907"/>
      <c r="K51" s="1907"/>
      <c r="L51" s="1907"/>
      <c r="M51" s="1907"/>
      <c r="N51" s="1892" t="s">
        <v>1831</v>
      </c>
      <c r="O51" s="1910"/>
      <c r="P51" s="1907"/>
      <c r="Q51" s="1936"/>
      <c r="S51" s="1834"/>
    </row>
    <row r="52" spans="1:19" ht="28.5" thickBot="1">
      <c r="A52" s="1868"/>
      <c r="B52" s="1866"/>
      <c r="C52" s="1911" t="s">
        <v>2998</v>
      </c>
      <c r="D52" s="1867"/>
      <c r="E52" s="1477" t="s">
        <v>2943</v>
      </c>
      <c r="F52" s="1388"/>
      <c r="H52" s="1937" t="s">
        <v>2515</v>
      </c>
      <c r="I52" s="1937" t="s">
        <v>3062</v>
      </c>
      <c r="J52" s="1938"/>
      <c r="K52" s="1938"/>
      <c r="L52" s="1938"/>
      <c r="M52" s="1938"/>
      <c r="N52" s="1939"/>
      <c r="O52" s="1940" t="s">
        <v>2516</v>
      </c>
      <c r="P52" s="1941"/>
      <c r="Q52" s="1942"/>
      <c r="S52" s="1834"/>
    </row>
    <row r="53" spans="1:19">
      <c r="A53" s="1868"/>
      <c r="B53" s="1866"/>
      <c r="C53" s="1866"/>
      <c r="D53" s="1867"/>
      <c r="E53" s="1477" t="s">
        <v>2943</v>
      </c>
      <c r="F53" s="1388"/>
      <c r="H53" s="1822"/>
      <c r="I53" s="1822"/>
      <c r="O53" s="1822"/>
      <c r="Q53" s="1822"/>
    </row>
    <row r="54" spans="1:19" ht="28">
      <c r="A54" s="1868"/>
      <c r="B54" s="1866"/>
      <c r="C54" s="1866"/>
      <c r="D54" s="1867"/>
      <c r="E54" s="1477" t="s">
        <v>2943</v>
      </c>
      <c r="F54" s="1388"/>
      <c r="H54" s="1906" t="s">
        <v>2517</v>
      </c>
      <c r="I54" s="1906" t="s">
        <v>3063</v>
      </c>
      <c r="J54" s="1907"/>
      <c r="K54" s="1907"/>
      <c r="L54" s="1907"/>
      <c r="M54" s="1907"/>
      <c r="N54" s="1892" t="s">
        <v>106</v>
      </c>
      <c r="O54" s="1943"/>
      <c r="P54" s="1907"/>
      <c r="Q54" s="1916"/>
      <c r="S54" s="1834"/>
    </row>
    <row r="55" spans="1:19" ht="28">
      <c r="A55" s="1868"/>
      <c r="B55" s="1866"/>
      <c r="C55" s="1866"/>
      <c r="D55" s="1867"/>
      <c r="E55" s="1477" t="s">
        <v>2943</v>
      </c>
      <c r="F55" s="1388"/>
      <c r="H55" s="1906" t="s">
        <v>2518</v>
      </c>
      <c r="I55" s="1906" t="s">
        <v>2519</v>
      </c>
      <c r="J55" s="1929" t="s">
        <v>2995</v>
      </c>
      <c r="K55" s="1929" t="s">
        <v>2506</v>
      </c>
      <c r="L55" s="1929"/>
      <c r="M55" s="1907"/>
      <c r="N55" s="1904" t="s">
        <v>2736</v>
      </c>
      <c r="O55" s="1910"/>
      <c r="P55" s="1907"/>
      <c r="Q55" s="1936"/>
      <c r="S55" s="1834"/>
    </row>
    <row r="56" spans="1:19" ht="28">
      <c r="A56" s="1868"/>
      <c r="B56" s="1866"/>
      <c r="C56" s="1866"/>
      <c r="D56" s="1867"/>
      <c r="E56" s="1477" t="s">
        <v>2943</v>
      </c>
      <c r="F56" s="1388"/>
      <c r="H56" s="1906" t="s">
        <v>2520</v>
      </c>
      <c r="I56" s="1906" t="s">
        <v>2521</v>
      </c>
      <c r="J56" s="1929" t="s">
        <v>2995</v>
      </c>
      <c r="K56" s="1929"/>
      <c r="L56" s="1929"/>
      <c r="M56" s="1907"/>
      <c r="N56" s="1904" t="s">
        <v>2510</v>
      </c>
      <c r="O56" s="1910"/>
      <c r="P56" s="1907"/>
      <c r="Q56" s="1935"/>
      <c r="S56" s="1834"/>
    </row>
    <row r="57" spans="1:19" ht="28">
      <c r="A57" s="1868"/>
      <c r="B57" s="1866"/>
      <c r="C57" s="1866"/>
      <c r="D57" s="1867"/>
      <c r="E57" s="1477" t="s">
        <v>2943</v>
      </c>
      <c r="F57" s="1388"/>
      <c r="H57" s="1906" t="s">
        <v>2522</v>
      </c>
      <c r="I57" s="1906" t="s">
        <v>2523</v>
      </c>
      <c r="J57" s="1929" t="s">
        <v>2995</v>
      </c>
      <c r="K57" s="1907"/>
      <c r="L57" s="1907"/>
      <c r="M57" s="1907"/>
      <c r="N57" s="1892" t="s">
        <v>2512</v>
      </c>
      <c r="O57" s="1910"/>
      <c r="P57" s="1907"/>
      <c r="Q57" s="1916"/>
      <c r="S57" s="1834"/>
    </row>
    <row r="58" spans="1:19" ht="59">
      <c r="A58" s="1868"/>
      <c r="B58" s="1866"/>
      <c r="C58" s="1866"/>
      <c r="D58" s="1867"/>
      <c r="E58" s="1477" t="s">
        <v>2943</v>
      </c>
      <c r="F58" s="1388"/>
      <c r="H58" s="1906" t="s">
        <v>2524</v>
      </c>
      <c r="I58" s="1906" t="s">
        <v>2784</v>
      </c>
      <c r="J58" s="1929" t="s">
        <v>2995</v>
      </c>
      <c r="K58" s="1907"/>
      <c r="L58" s="1907"/>
      <c r="M58" s="1907"/>
      <c r="N58" s="1892"/>
      <c r="O58" s="1910"/>
      <c r="P58" s="1907"/>
      <c r="Q58" s="1916"/>
      <c r="S58" s="1834"/>
    </row>
    <row r="59" spans="1:19" ht="28">
      <c r="A59" s="1868"/>
      <c r="B59" s="1866"/>
      <c r="C59" s="1866"/>
      <c r="D59" s="1867"/>
      <c r="E59" s="1477" t="s">
        <v>2943</v>
      </c>
      <c r="F59" s="1388"/>
      <c r="H59" s="1906" t="s">
        <v>2525</v>
      </c>
      <c r="I59" s="1906" t="s">
        <v>2526</v>
      </c>
      <c r="J59" s="1929" t="s">
        <v>2995</v>
      </c>
      <c r="K59" s="1907"/>
      <c r="L59" s="1907"/>
      <c r="M59" s="1907"/>
      <c r="N59" s="1892" t="s">
        <v>198</v>
      </c>
      <c r="O59" s="1910"/>
      <c r="P59" s="1907"/>
      <c r="Q59" s="1936"/>
      <c r="S59" s="1834"/>
    </row>
    <row r="60" spans="1:19" ht="28.5" thickBot="1">
      <c r="A60" s="1868"/>
      <c r="B60" s="1866"/>
      <c r="C60" s="1911" t="s">
        <v>2998</v>
      </c>
      <c r="D60" s="1867"/>
      <c r="E60" s="1477" t="s">
        <v>2943</v>
      </c>
      <c r="F60" s="1388"/>
      <c r="H60" s="1937" t="s">
        <v>2527</v>
      </c>
      <c r="I60" s="1937" t="s">
        <v>3064</v>
      </c>
      <c r="J60" s="1938" t="s">
        <v>2995</v>
      </c>
      <c r="K60" s="1938"/>
      <c r="L60" s="1938"/>
      <c r="M60" s="1938"/>
      <c r="N60" s="1939"/>
      <c r="O60" s="1940" t="s">
        <v>2516</v>
      </c>
      <c r="P60" s="1941"/>
      <c r="Q60" s="1942"/>
      <c r="S60" s="1834"/>
    </row>
    <row r="61" spans="1:19" ht="28">
      <c r="A61" s="1868"/>
      <c r="B61" s="1866"/>
      <c r="C61" s="1911" t="s">
        <v>3065</v>
      </c>
      <c r="D61" s="1867"/>
      <c r="E61" s="1477" t="s">
        <v>2943</v>
      </c>
      <c r="F61" s="1388"/>
      <c r="H61" s="1944" t="s">
        <v>3066</v>
      </c>
      <c r="I61" s="1944" t="s">
        <v>3067</v>
      </c>
      <c r="J61" s="1945"/>
      <c r="K61" s="1945"/>
      <c r="L61" s="1945"/>
      <c r="M61" s="1945"/>
      <c r="N61" s="1946">
        <v>0.5</v>
      </c>
      <c r="O61" s="1947"/>
      <c r="P61" s="1948"/>
      <c r="Q61" s="1949"/>
      <c r="S61" s="1834"/>
    </row>
    <row r="62" spans="1:19">
      <c r="A62" s="1868"/>
      <c r="B62" s="1866"/>
      <c r="C62" s="1866"/>
      <c r="D62" s="1867"/>
      <c r="E62" s="1477" t="s">
        <v>2943</v>
      </c>
      <c r="F62" s="1388"/>
      <c r="H62" s="1822"/>
      <c r="I62" s="1822"/>
      <c r="O62" s="1822"/>
      <c r="Q62" s="1822"/>
    </row>
    <row r="63" spans="1:19">
      <c r="A63" s="1914" t="s">
        <v>3068</v>
      </c>
      <c r="B63" s="1866"/>
      <c r="C63" s="1866"/>
      <c r="D63" s="1867"/>
      <c r="E63" s="1477" t="s">
        <v>2943</v>
      </c>
      <c r="F63" s="1388"/>
      <c r="G63" s="1876">
        <f>G44+0.1</f>
        <v>1.6000000000000005</v>
      </c>
      <c r="H63" s="1950" t="s">
        <v>3069</v>
      </c>
      <c r="I63" s="1878"/>
      <c r="J63" s="1879"/>
      <c r="K63" s="1879"/>
      <c r="L63" s="1879"/>
      <c r="M63" s="1879"/>
      <c r="N63" s="1879"/>
      <c r="O63" s="1880"/>
      <c r="P63" s="1879"/>
      <c r="Q63" s="1881"/>
      <c r="R63" s="1951"/>
      <c r="S63" s="1881"/>
    </row>
    <row r="64" spans="1:19">
      <c r="A64" s="1868"/>
      <c r="B64" s="1866"/>
      <c r="C64" s="1866"/>
      <c r="D64" s="1867"/>
      <c r="E64" s="1477" t="s">
        <v>2943</v>
      </c>
      <c r="F64" s="1388"/>
      <c r="H64" s="1906" t="s">
        <v>2530</v>
      </c>
      <c r="I64" s="1906" t="s">
        <v>2531</v>
      </c>
      <c r="J64" s="1907"/>
      <c r="K64" s="1907"/>
      <c r="L64" s="1907"/>
      <c r="M64" s="1907"/>
      <c r="N64" s="1892" t="s">
        <v>106</v>
      </c>
      <c r="O64" s="1910" t="s">
        <v>2475</v>
      </c>
      <c r="P64" s="1907"/>
      <c r="Q64" s="1916"/>
      <c r="R64" s="1919"/>
      <c r="S64" s="1834"/>
    </row>
    <row r="65" spans="1:19" ht="56">
      <c r="A65" s="1868"/>
      <c r="B65" s="1866"/>
      <c r="C65" s="1911" t="s">
        <v>3070</v>
      </c>
      <c r="D65" s="1867"/>
      <c r="E65" s="1477" t="s">
        <v>2943</v>
      </c>
      <c r="F65" s="1388"/>
      <c r="H65" s="1906" t="s">
        <v>2280</v>
      </c>
      <c r="I65" s="1906" t="s">
        <v>2532</v>
      </c>
      <c r="J65" s="1952" t="s">
        <v>3071</v>
      </c>
      <c r="K65" s="1907"/>
      <c r="L65" s="1907"/>
      <c r="M65" s="1907"/>
      <c r="N65" s="1907"/>
      <c r="O65" s="1910"/>
      <c r="P65" s="1907"/>
      <c r="Q65" s="1916"/>
      <c r="R65" s="1919"/>
      <c r="S65" s="1834"/>
    </row>
    <row r="66" spans="1:19">
      <c r="A66" s="1868"/>
      <c r="B66" s="1866"/>
      <c r="C66" s="1866"/>
      <c r="D66" s="1867"/>
      <c r="E66" s="1477" t="s">
        <v>2943</v>
      </c>
      <c r="F66" s="1388"/>
      <c r="R66" s="1919"/>
      <c r="S66" s="1834"/>
    </row>
    <row r="67" spans="1:19">
      <c r="A67" s="1868"/>
      <c r="B67" s="1866"/>
      <c r="C67" s="1866"/>
      <c r="D67" s="1867"/>
      <c r="E67" s="1477" t="s">
        <v>2943</v>
      </c>
      <c r="F67" s="1871">
        <f>F13+1</f>
        <v>2</v>
      </c>
      <c r="G67" s="1873"/>
      <c r="H67" s="1873" t="s">
        <v>1460</v>
      </c>
      <c r="I67" s="1873"/>
      <c r="J67" s="1872"/>
      <c r="K67" s="1872"/>
      <c r="L67" s="1872"/>
      <c r="M67" s="1872"/>
      <c r="N67" s="1872"/>
      <c r="O67" s="1874"/>
      <c r="P67" s="1872"/>
      <c r="Q67" s="1875"/>
      <c r="R67" s="1953"/>
      <c r="S67" s="1875"/>
    </row>
    <row r="68" spans="1:19" ht="115.5" customHeight="1">
      <c r="A68" s="1914" t="s">
        <v>3072</v>
      </c>
      <c r="B68" s="1866"/>
      <c r="C68" s="1911" t="s">
        <v>3070</v>
      </c>
      <c r="D68" s="1867"/>
      <c r="E68" s="1477" t="s">
        <v>2943</v>
      </c>
      <c r="F68" s="1388"/>
      <c r="G68" s="1882"/>
      <c r="H68" s="1883" t="s">
        <v>2469</v>
      </c>
      <c r="I68" s="1883" t="s">
        <v>3073</v>
      </c>
      <c r="J68" s="1952" t="s">
        <v>3074</v>
      </c>
      <c r="K68" s="1883"/>
      <c r="L68" s="1883"/>
      <c r="M68" s="1883"/>
      <c r="N68" s="1883"/>
      <c r="O68" s="1883"/>
      <c r="P68" s="1883"/>
      <c r="Q68" s="1883"/>
      <c r="R68" s="1954"/>
      <c r="S68" s="1885"/>
    </row>
    <row r="69" spans="1:19">
      <c r="A69" s="1868"/>
      <c r="B69" s="1866"/>
      <c r="C69" s="1866"/>
      <c r="D69" s="1867"/>
      <c r="E69" s="1477" t="s">
        <v>2943</v>
      </c>
      <c r="F69" s="1388"/>
      <c r="G69" s="1882"/>
      <c r="I69" s="1955"/>
      <c r="J69" s="1956"/>
      <c r="K69" s="1956"/>
      <c r="L69" s="1956"/>
      <c r="M69" s="1957"/>
      <c r="N69" s="1957"/>
      <c r="O69" s="1958"/>
      <c r="P69" s="1957"/>
      <c r="Q69" s="1957"/>
      <c r="R69" s="1959"/>
      <c r="S69" s="1957"/>
    </row>
    <row r="70" spans="1:19" ht="112">
      <c r="A70" s="1914" t="s">
        <v>3075</v>
      </c>
      <c r="B70" s="1866"/>
      <c r="C70" s="1866"/>
      <c r="D70" s="1867"/>
      <c r="E70" s="1477" t="s">
        <v>2943</v>
      </c>
      <c r="F70" s="1388"/>
      <c r="G70" s="1960" t="s">
        <v>2533</v>
      </c>
      <c r="I70" s="1961" t="s">
        <v>3076</v>
      </c>
      <c r="J70" s="1821"/>
      <c r="K70" s="1821"/>
      <c r="L70" s="1821"/>
      <c r="Q70" s="1894"/>
      <c r="R70" s="1919"/>
      <c r="S70" s="1834"/>
    </row>
    <row r="71" spans="1:19">
      <c r="A71" s="1868"/>
      <c r="B71" s="1866"/>
      <c r="C71" s="1911" t="s">
        <v>3077</v>
      </c>
      <c r="D71" s="1867"/>
      <c r="E71" s="1477" t="s">
        <v>2943</v>
      </c>
      <c r="F71" s="1388"/>
      <c r="G71" s="1960"/>
      <c r="I71" s="1961" t="s">
        <v>2534</v>
      </c>
      <c r="J71" s="1821"/>
      <c r="K71" s="1821"/>
      <c r="L71" s="1821"/>
      <c r="N71" s="1962" t="s">
        <v>3189</v>
      </c>
      <c r="Q71" s="1894"/>
      <c r="R71" s="1919"/>
      <c r="S71" s="1834"/>
    </row>
    <row r="72" spans="1:19">
      <c r="A72" s="1868"/>
      <c r="B72" s="1866"/>
      <c r="C72" s="1866"/>
      <c r="D72" s="1867"/>
      <c r="E72" s="1477" t="s">
        <v>2943</v>
      </c>
      <c r="F72" s="1388"/>
      <c r="G72" s="1960"/>
      <c r="I72" s="1961"/>
      <c r="J72" s="1821"/>
      <c r="K72" s="1821"/>
      <c r="L72" s="1821"/>
      <c r="Q72" s="1894"/>
      <c r="R72" s="1919"/>
      <c r="S72" s="1834"/>
    </row>
    <row r="73" spans="1:19" ht="28.5">
      <c r="A73" s="1868"/>
      <c r="B73" s="1866"/>
      <c r="C73" s="1866"/>
      <c r="D73" s="1867"/>
      <c r="E73" s="1477" t="s">
        <v>2943</v>
      </c>
      <c r="F73" s="1388"/>
      <c r="H73" s="1823" t="s">
        <v>2266</v>
      </c>
      <c r="N73" s="1903" t="s">
        <v>2777</v>
      </c>
      <c r="R73" s="1834" t="s">
        <v>2535</v>
      </c>
    </row>
    <row r="74" spans="1:19">
      <c r="A74" s="1868"/>
      <c r="B74" s="1866"/>
      <c r="C74" s="1866"/>
      <c r="D74" s="1867"/>
      <c r="E74" s="1477" t="s">
        <v>2943</v>
      </c>
      <c r="F74" s="1388"/>
      <c r="H74" s="1823" t="s">
        <v>2267</v>
      </c>
      <c r="N74" s="1903" t="s">
        <v>2778</v>
      </c>
      <c r="R74" s="1919"/>
      <c r="S74" s="1834"/>
    </row>
    <row r="75" spans="1:19">
      <c r="A75" s="1868"/>
      <c r="B75" s="1866"/>
      <c r="C75" s="1866"/>
      <c r="D75" s="1867"/>
      <c r="E75" s="1477" t="s">
        <v>2943</v>
      </c>
      <c r="F75" s="1388"/>
      <c r="H75" s="1823" t="s">
        <v>2268</v>
      </c>
      <c r="N75" s="1903" t="s">
        <v>2786</v>
      </c>
      <c r="R75" s="1919"/>
      <c r="S75" s="1834"/>
    </row>
    <row r="76" spans="1:19">
      <c r="A76" s="1868"/>
      <c r="B76" s="1866"/>
      <c r="C76" s="1866"/>
      <c r="D76" s="1867"/>
      <c r="E76" s="1477" t="s">
        <v>2943</v>
      </c>
      <c r="F76" s="1388"/>
      <c r="G76" s="1907"/>
      <c r="H76" s="1906" t="s">
        <v>2269</v>
      </c>
      <c r="I76" s="1906"/>
      <c r="J76" s="1907"/>
      <c r="K76" s="1907"/>
      <c r="L76" s="1907"/>
      <c r="M76" s="1907"/>
      <c r="N76" s="1892" t="s">
        <v>1450</v>
      </c>
      <c r="O76" s="1910"/>
      <c r="P76" s="1907"/>
      <c r="Q76" s="1916"/>
      <c r="R76" s="1919"/>
      <c r="S76" s="1834"/>
    </row>
    <row r="77" spans="1:19">
      <c r="A77" s="1868"/>
      <c r="B77" s="1866"/>
      <c r="C77" s="1866"/>
      <c r="D77" s="1867"/>
      <c r="E77" s="1477" t="s">
        <v>2943</v>
      </c>
      <c r="F77" s="1388"/>
      <c r="R77" s="1919"/>
      <c r="S77" s="1834"/>
    </row>
    <row r="78" spans="1:19" ht="70.5">
      <c r="A78" s="1914" t="s">
        <v>3075</v>
      </c>
      <c r="B78" s="1866"/>
      <c r="C78" s="1866"/>
      <c r="D78" s="1867"/>
      <c r="E78" s="1477" t="s">
        <v>2943</v>
      </c>
      <c r="F78" s="1388"/>
      <c r="G78" s="1960" t="s">
        <v>1934</v>
      </c>
      <c r="I78" s="1834" t="s">
        <v>3078</v>
      </c>
      <c r="J78" s="1822" t="s">
        <v>2537</v>
      </c>
      <c r="N78" s="1903" t="s">
        <v>106</v>
      </c>
      <c r="O78" s="1828" t="s">
        <v>2475</v>
      </c>
      <c r="R78" s="1919" t="s">
        <v>2536</v>
      </c>
      <c r="S78" s="1834"/>
    </row>
    <row r="79" spans="1:19">
      <c r="A79" s="1868"/>
      <c r="B79" s="1866"/>
      <c r="C79" s="1866"/>
      <c r="D79" s="1867"/>
      <c r="E79" s="1477" t="s">
        <v>2943</v>
      </c>
      <c r="F79" s="1388"/>
      <c r="G79" s="1960"/>
      <c r="I79" s="1834"/>
      <c r="R79" s="1919"/>
      <c r="S79" s="1834"/>
    </row>
    <row r="80" spans="1:19">
      <c r="A80" s="1868"/>
      <c r="B80" s="1911" t="s">
        <v>3032</v>
      </c>
      <c r="C80" s="1866"/>
      <c r="D80" s="1867"/>
      <c r="E80" s="1477" t="s">
        <v>2943</v>
      </c>
      <c r="F80" s="1388"/>
      <c r="G80" s="1960"/>
      <c r="I80" s="1961" t="s">
        <v>2534</v>
      </c>
      <c r="J80" s="1821"/>
      <c r="K80" s="1821"/>
      <c r="L80" s="1821"/>
      <c r="N80" s="1962"/>
      <c r="Q80" s="1894"/>
      <c r="R80" s="1919"/>
      <c r="S80" s="1834"/>
    </row>
    <row r="81" spans="1:19">
      <c r="A81" s="1868"/>
      <c r="B81" s="1866"/>
      <c r="C81" s="1866"/>
      <c r="D81" s="1867"/>
      <c r="E81" s="1477" t="s">
        <v>2943</v>
      </c>
      <c r="F81" s="1388"/>
      <c r="G81" s="1960"/>
      <c r="I81" s="1834"/>
      <c r="R81" s="1919"/>
      <c r="S81" s="1834"/>
    </row>
    <row r="82" spans="1:19">
      <c r="A82" s="1868"/>
      <c r="B82" s="1866"/>
      <c r="C82" s="1866"/>
      <c r="D82" s="1867"/>
      <c r="E82" s="1477" t="s">
        <v>2943</v>
      </c>
      <c r="F82" s="1388"/>
      <c r="H82" s="1823" t="s">
        <v>2270</v>
      </c>
      <c r="N82" s="1903" t="s">
        <v>2779</v>
      </c>
      <c r="R82" s="1919"/>
      <c r="S82" s="1834"/>
    </row>
    <row r="83" spans="1:19">
      <c r="A83" s="1868"/>
      <c r="B83" s="1866"/>
      <c r="C83" s="1866"/>
      <c r="D83" s="1867"/>
      <c r="E83" s="1477" t="s">
        <v>2943</v>
      </c>
      <c r="F83" s="1388"/>
      <c r="H83" s="1823" t="s">
        <v>2271</v>
      </c>
      <c r="N83" s="1903" t="s">
        <v>1450</v>
      </c>
      <c r="R83" s="1919"/>
      <c r="S83" s="1834"/>
    </row>
    <row r="84" spans="1:19">
      <c r="A84" s="1868"/>
      <c r="B84" s="1866"/>
      <c r="C84" s="1866"/>
      <c r="D84" s="1867"/>
      <c r="E84" s="1477" t="s">
        <v>2943</v>
      </c>
      <c r="F84" s="1388"/>
      <c r="H84" s="1823" t="s">
        <v>2272</v>
      </c>
      <c r="N84" s="1903" t="s">
        <v>1450</v>
      </c>
      <c r="R84" s="1919"/>
      <c r="S84" s="1834"/>
    </row>
    <row r="85" spans="1:19">
      <c r="A85" s="1868"/>
      <c r="B85" s="1866"/>
      <c r="C85" s="1866"/>
      <c r="D85" s="1867"/>
      <c r="E85" s="1477" t="s">
        <v>2943</v>
      </c>
      <c r="F85" s="1388"/>
      <c r="G85" s="1907"/>
      <c r="H85" s="1906" t="s">
        <v>2273</v>
      </c>
      <c r="I85" s="1906"/>
      <c r="J85" s="1907"/>
      <c r="K85" s="1907"/>
      <c r="L85" s="1907"/>
      <c r="M85" s="1907"/>
      <c r="N85" s="1892" t="s">
        <v>1450</v>
      </c>
      <c r="O85" s="1910"/>
      <c r="P85" s="1907"/>
      <c r="Q85" s="1916"/>
      <c r="R85" s="1919"/>
      <c r="S85" s="1834"/>
    </row>
    <row r="86" spans="1:19" ht="56.5">
      <c r="A86" s="1868"/>
      <c r="B86" s="1866"/>
      <c r="C86" s="1866"/>
      <c r="D86" s="1867"/>
      <c r="E86" s="1477" t="s">
        <v>2943</v>
      </c>
      <c r="F86" s="1388"/>
      <c r="R86" s="1919" t="s">
        <v>2538</v>
      </c>
      <c r="S86" s="1834"/>
    </row>
    <row r="87" spans="1:19" ht="84">
      <c r="A87" s="1914" t="s">
        <v>3075</v>
      </c>
      <c r="B87" s="1866"/>
      <c r="C87" s="1866"/>
      <c r="D87" s="1867"/>
      <c r="E87" s="1477" t="s">
        <v>2943</v>
      </c>
      <c r="F87" s="1388"/>
      <c r="G87" s="1960" t="s">
        <v>1935</v>
      </c>
      <c r="I87" s="1823" t="s">
        <v>3079</v>
      </c>
      <c r="J87" s="1822" t="s">
        <v>2537</v>
      </c>
      <c r="N87" s="1903" t="s">
        <v>106</v>
      </c>
      <c r="O87" s="1828" t="s">
        <v>2475</v>
      </c>
      <c r="R87" s="1919" t="s">
        <v>2539</v>
      </c>
      <c r="S87" s="1834"/>
    </row>
    <row r="88" spans="1:19">
      <c r="A88" s="1868"/>
      <c r="B88" s="1866"/>
      <c r="C88" s="1866"/>
      <c r="D88" s="1867"/>
      <c r="E88" s="1477" t="s">
        <v>2943</v>
      </c>
      <c r="F88" s="1388"/>
      <c r="G88" s="1960"/>
      <c r="I88" s="1834"/>
      <c r="R88" s="1919"/>
      <c r="S88" s="1834"/>
    </row>
    <row r="89" spans="1:19">
      <c r="A89" s="1868"/>
      <c r="B89" s="1911" t="s">
        <v>3032</v>
      </c>
      <c r="C89" s="1866"/>
      <c r="D89" s="1867"/>
      <c r="E89" s="1477" t="s">
        <v>2943</v>
      </c>
      <c r="F89" s="1388"/>
      <c r="G89" s="1960"/>
      <c r="I89" s="1961" t="s">
        <v>2534</v>
      </c>
      <c r="J89" s="1821"/>
      <c r="K89" s="1821"/>
      <c r="L89" s="1821"/>
      <c r="N89" s="1962"/>
      <c r="Q89" s="1894"/>
      <c r="R89" s="1919"/>
      <c r="S89" s="1834"/>
    </row>
    <row r="90" spans="1:19">
      <c r="A90" s="1868"/>
      <c r="B90" s="1866"/>
      <c r="C90" s="1866"/>
      <c r="D90" s="1867"/>
      <c r="E90" s="1477" t="s">
        <v>2943</v>
      </c>
      <c r="F90" s="1388"/>
      <c r="G90" s="1960"/>
      <c r="I90" s="1834"/>
      <c r="R90" s="1919"/>
      <c r="S90" s="1834"/>
    </row>
    <row r="91" spans="1:19">
      <c r="A91" s="1868"/>
      <c r="B91" s="1866"/>
      <c r="C91" s="1866"/>
      <c r="D91" s="1867"/>
      <c r="E91" s="1477" t="s">
        <v>2943</v>
      </c>
      <c r="F91" s="1388"/>
      <c r="H91" s="1823" t="s">
        <v>2274</v>
      </c>
      <c r="N91" s="1903" t="s">
        <v>2780</v>
      </c>
      <c r="R91" s="1919"/>
      <c r="S91" s="1834"/>
    </row>
    <row r="92" spans="1:19">
      <c r="A92" s="1868"/>
      <c r="B92" s="1866"/>
      <c r="C92" s="1866"/>
      <c r="D92" s="1867"/>
      <c r="E92" s="1477" t="s">
        <v>2943</v>
      </c>
      <c r="F92" s="1388"/>
      <c r="H92" s="1823" t="s">
        <v>2275</v>
      </c>
      <c r="N92" s="1903" t="s">
        <v>1450</v>
      </c>
      <c r="R92" s="1919"/>
      <c r="S92" s="1834"/>
    </row>
    <row r="93" spans="1:19">
      <c r="A93" s="1868"/>
      <c r="B93" s="1866"/>
      <c r="C93" s="1866"/>
      <c r="D93" s="1867"/>
      <c r="E93" s="1477" t="s">
        <v>2943</v>
      </c>
      <c r="F93" s="1388"/>
      <c r="H93" s="1823" t="s">
        <v>2276</v>
      </c>
      <c r="N93" s="1903" t="s">
        <v>1450</v>
      </c>
      <c r="R93" s="1919"/>
      <c r="S93" s="1834"/>
    </row>
    <row r="94" spans="1:19">
      <c r="A94" s="1868"/>
      <c r="B94" s="1866"/>
      <c r="C94" s="1866"/>
      <c r="D94" s="1867"/>
      <c r="E94" s="1477" t="s">
        <v>2943</v>
      </c>
      <c r="F94" s="1388"/>
      <c r="H94" s="1823" t="s">
        <v>2277</v>
      </c>
      <c r="N94" s="1903" t="s">
        <v>1450</v>
      </c>
      <c r="R94" s="1919"/>
      <c r="S94" s="1834"/>
    </row>
    <row r="95" spans="1:19" ht="42">
      <c r="A95" s="1868"/>
      <c r="B95" s="1866"/>
      <c r="C95" s="1866"/>
      <c r="D95" s="1867"/>
      <c r="E95" s="1477" t="s">
        <v>2943</v>
      </c>
      <c r="F95" s="1388"/>
      <c r="G95" s="1963"/>
      <c r="I95" s="1823" t="s">
        <v>3080</v>
      </c>
      <c r="N95" s="1903"/>
      <c r="R95" s="1919" t="s">
        <v>2540</v>
      </c>
      <c r="S95" s="1834"/>
    </row>
    <row r="96" spans="1:19">
      <c r="A96" s="1868"/>
      <c r="B96" s="1866"/>
      <c r="C96" s="1866"/>
      <c r="D96" s="1867"/>
      <c r="E96" s="1477" t="s">
        <v>2943</v>
      </c>
      <c r="F96" s="1388"/>
      <c r="H96" s="1821" t="s">
        <v>2541</v>
      </c>
      <c r="N96" s="1964">
        <v>0.9</v>
      </c>
      <c r="O96" s="1828" t="s">
        <v>2542</v>
      </c>
      <c r="R96" s="1919"/>
      <c r="S96" s="1834"/>
    </row>
    <row r="97" spans="1:19">
      <c r="A97" s="1868"/>
      <c r="B97" s="1866"/>
      <c r="C97" s="1866"/>
      <c r="D97" s="1867"/>
      <c r="E97" s="1477" t="s">
        <v>2943</v>
      </c>
      <c r="F97" s="1388"/>
      <c r="H97" s="1821" t="s">
        <v>2543</v>
      </c>
      <c r="N97" s="1964">
        <v>0.5</v>
      </c>
      <c r="O97" s="1828" t="s">
        <v>2542</v>
      </c>
      <c r="R97" s="1919"/>
      <c r="S97" s="1834"/>
    </row>
    <row r="98" spans="1:19">
      <c r="A98" s="1868"/>
      <c r="B98" s="1866"/>
      <c r="C98" s="1866"/>
      <c r="D98" s="1867"/>
      <c r="E98" s="1477" t="s">
        <v>2943</v>
      </c>
      <c r="F98" s="1388"/>
      <c r="H98" s="1821" t="s">
        <v>2544</v>
      </c>
      <c r="N98" s="1964">
        <v>0.2</v>
      </c>
      <c r="O98" s="1828" t="s">
        <v>2542</v>
      </c>
      <c r="R98" s="1919"/>
      <c r="S98" s="1834"/>
    </row>
    <row r="99" spans="1:19">
      <c r="A99" s="1868"/>
      <c r="B99" s="1866"/>
      <c r="C99" s="1866"/>
      <c r="D99" s="1867"/>
      <c r="E99" s="1477" t="s">
        <v>2943</v>
      </c>
      <c r="F99" s="1388"/>
      <c r="G99" s="1907"/>
      <c r="H99" s="1929" t="s">
        <v>2545</v>
      </c>
      <c r="I99" s="1906"/>
      <c r="J99" s="1907"/>
      <c r="K99" s="1907"/>
      <c r="L99" s="1907"/>
      <c r="M99" s="1907"/>
      <c r="N99" s="1965">
        <v>0.2</v>
      </c>
      <c r="O99" s="1910" t="s">
        <v>2542</v>
      </c>
      <c r="P99" s="1907"/>
      <c r="Q99" s="1916"/>
      <c r="R99" s="1919"/>
      <c r="S99" s="1834"/>
    </row>
    <row r="100" spans="1:19">
      <c r="A100" s="1868"/>
      <c r="B100" s="1866"/>
      <c r="C100" s="1866"/>
      <c r="D100" s="1867"/>
      <c r="E100" s="1477" t="s">
        <v>2943</v>
      </c>
      <c r="F100" s="1388"/>
      <c r="R100" s="1919"/>
      <c r="S100" s="1834"/>
    </row>
    <row r="101" spans="1:19" ht="112">
      <c r="A101" s="1868"/>
      <c r="B101" s="1866"/>
      <c r="C101" s="1866"/>
      <c r="D101" s="1867"/>
      <c r="E101" s="1477" t="s">
        <v>2943</v>
      </c>
      <c r="F101" s="1388"/>
      <c r="G101" s="1960" t="s">
        <v>2546</v>
      </c>
      <c r="H101" s="1966"/>
      <c r="I101" s="1823" t="s">
        <v>3081</v>
      </c>
      <c r="J101" s="1822" t="s">
        <v>3082</v>
      </c>
      <c r="N101" s="1903" t="s">
        <v>3083</v>
      </c>
      <c r="O101" s="1828" t="s">
        <v>2475</v>
      </c>
      <c r="R101" s="1834" t="s">
        <v>2547</v>
      </c>
    </row>
    <row r="102" spans="1:19">
      <c r="A102" s="1868"/>
      <c r="B102" s="1866"/>
      <c r="C102" s="1866"/>
      <c r="D102" s="1867"/>
      <c r="E102" s="1477" t="s">
        <v>2943</v>
      </c>
      <c r="F102" s="1388"/>
      <c r="G102" s="1967"/>
      <c r="H102" s="1864"/>
      <c r="I102" s="1864"/>
      <c r="J102" s="1948" t="s">
        <v>3084</v>
      </c>
      <c r="K102" s="1948"/>
      <c r="L102" s="1948"/>
      <c r="M102" s="1948"/>
      <c r="N102" s="1948"/>
      <c r="O102" s="1968"/>
      <c r="P102" s="1948"/>
      <c r="Q102" s="1969"/>
      <c r="R102" s="1919"/>
      <c r="S102" s="1834"/>
    </row>
    <row r="103" spans="1:19">
      <c r="A103" s="1868"/>
      <c r="B103" s="1866"/>
      <c r="C103" s="1911" t="s">
        <v>3085</v>
      </c>
      <c r="D103" s="1867"/>
      <c r="E103" s="1477" t="s">
        <v>2943</v>
      </c>
      <c r="F103" s="1388"/>
      <c r="G103" s="1963" t="s">
        <v>2284</v>
      </c>
      <c r="H103" s="1822"/>
      <c r="J103" s="1948" t="s">
        <v>3084</v>
      </c>
      <c r="K103" s="1948"/>
      <c r="L103" s="1948"/>
      <c r="M103" s="1948"/>
      <c r="N103" s="1970" t="s">
        <v>2796</v>
      </c>
      <c r="O103" s="1968"/>
      <c r="P103" s="1948"/>
      <c r="Q103" s="1969"/>
      <c r="R103" s="1919"/>
      <c r="S103" s="1834"/>
    </row>
    <row r="104" spans="1:19">
      <c r="A104" s="1868"/>
      <c r="B104" s="1866"/>
      <c r="C104" s="1911" t="s">
        <v>3085</v>
      </c>
      <c r="D104" s="1867"/>
      <c r="E104" s="1477" t="s">
        <v>2943</v>
      </c>
      <c r="F104" s="1388"/>
      <c r="G104" s="1963" t="s">
        <v>2285</v>
      </c>
      <c r="H104" s="1822"/>
      <c r="J104" s="1948" t="s">
        <v>3086</v>
      </c>
      <c r="K104" s="1948"/>
      <c r="L104" s="1948"/>
      <c r="M104" s="1948"/>
      <c r="N104" s="1970" t="s">
        <v>2797</v>
      </c>
      <c r="O104" s="1968"/>
      <c r="P104" s="1948"/>
      <c r="Q104" s="1969"/>
      <c r="R104" s="1919"/>
      <c r="S104" s="1834"/>
    </row>
    <row r="105" spans="1:19">
      <c r="A105" s="1868"/>
      <c r="B105" s="1866"/>
      <c r="C105" s="1911" t="s">
        <v>3085</v>
      </c>
      <c r="D105" s="1867"/>
      <c r="E105" s="1477" t="s">
        <v>2943</v>
      </c>
      <c r="F105" s="1388"/>
      <c r="G105" s="1963" t="s">
        <v>2286</v>
      </c>
      <c r="H105" s="1822"/>
      <c r="J105" s="1948" t="s">
        <v>3087</v>
      </c>
      <c r="K105" s="1948"/>
      <c r="L105" s="1948"/>
      <c r="M105" s="1948"/>
      <c r="N105" s="1970" t="s">
        <v>2799</v>
      </c>
      <c r="O105" s="1968"/>
      <c r="P105" s="1948"/>
      <c r="Q105" s="1969"/>
      <c r="R105" s="1919"/>
      <c r="S105" s="1834"/>
    </row>
    <row r="106" spans="1:19">
      <c r="A106" s="1868"/>
      <c r="B106" s="1866"/>
      <c r="C106" s="1866"/>
      <c r="D106" s="1867"/>
      <c r="E106" s="1477" t="s">
        <v>2943</v>
      </c>
      <c r="F106" s="1388"/>
      <c r="G106" s="1967"/>
      <c r="H106" s="1864"/>
      <c r="I106" s="1864"/>
      <c r="J106" s="1948"/>
      <c r="K106" s="1948"/>
      <c r="L106" s="1948"/>
      <c r="M106" s="1948"/>
      <c r="N106" s="1948"/>
      <c r="O106" s="1968"/>
      <c r="P106" s="1948"/>
      <c r="Q106" s="1969"/>
      <c r="R106" s="1919"/>
      <c r="S106" s="1834"/>
    </row>
    <row r="107" spans="1:19">
      <c r="A107" s="1868"/>
      <c r="B107" s="1866"/>
      <c r="C107" s="1866"/>
      <c r="D107" s="1867"/>
      <c r="E107" s="1477" t="s">
        <v>2943</v>
      </c>
      <c r="F107" s="1388"/>
      <c r="G107" s="1877" t="s">
        <v>3088</v>
      </c>
      <c r="H107" s="1905"/>
      <c r="I107" s="1905"/>
      <c r="J107" s="1971"/>
      <c r="K107" s="1972" t="s">
        <v>2787</v>
      </c>
      <c r="L107" s="1971" t="s">
        <v>2548</v>
      </c>
      <c r="M107" s="1971" t="s">
        <v>2549</v>
      </c>
      <c r="N107" s="1971" t="s">
        <v>2550</v>
      </c>
      <c r="O107" s="1972" t="s">
        <v>2551</v>
      </c>
      <c r="P107" s="1971" t="s">
        <v>2552</v>
      </c>
      <c r="Q107" s="1971" t="s">
        <v>2553</v>
      </c>
      <c r="R107" s="1919"/>
    </row>
    <row r="108" spans="1:19">
      <c r="A108" s="1868"/>
      <c r="B108" s="1866"/>
      <c r="C108" s="1866"/>
      <c r="D108" s="1867"/>
      <c r="E108" s="1477" t="s">
        <v>2943</v>
      </c>
      <c r="F108" s="1388"/>
      <c r="G108" s="1960"/>
      <c r="H108" s="1886"/>
      <c r="I108" s="1886"/>
      <c r="J108" s="1963"/>
      <c r="K108" s="1963"/>
      <c r="L108" s="1963"/>
      <c r="M108" s="1963"/>
      <c r="N108" s="1963"/>
      <c r="O108" s="1973"/>
      <c r="P108" s="1963"/>
      <c r="Q108" s="1963"/>
      <c r="R108" s="1919"/>
    </row>
    <row r="109" spans="1:19">
      <c r="A109" s="1914" t="s">
        <v>3089</v>
      </c>
      <c r="B109" s="1866"/>
      <c r="C109" s="1866"/>
      <c r="D109" s="1867"/>
      <c r="E109" s="1477" t="s">
        <v>2943</v>
      </c>
      <c r="F109" s="1388"/>
      <c r="G109" s="1963" t="s">
        <v>3090</v>
      </c>
      <c r="H109" s="1963" t="s">
        <v>3091</v>
      </c>
      <c r="I109" s="1822"/>
      <c r="O109" s="1822"/>
      <c r="Q109" s="1822"/>
      <c r="R109" s="1919"/>
    </row>
    <row r="110" spans="1:19">
      <c r="A110" s="1868"/>
      <c r="B110" s="1866"/>
      <c r="C110" s="1866"/>
      <c r="D110" s="1867"/>
      <c r="E110" s="1477" t="s">
        <v>2943</v>
      </c>
      <c r="F110" s="1388"/>
      <c r="G110" s="1963"/>
      <c r="H110" s="1822"/>
      <c r="I110" s="1822"/>
      <c r="O110" s="1822"/>
      <c r="Q110" s="1822"/>
      <c r="R110" s="1919"/>
    </row>
    <row r="111" spans="1:19" ht="42">
      <c r="A111" s="1868"/>
      <c r="B111" s="1866"/>
      <c r="C111" s="1911" t="s">
        <v>3092</v>
      </c>
      <c r="D111" s="1867"/>
      <c r="E111" s="1477" t="s">
        <v>2943</v>
      </c>
      <c r="F111" s="1388"/>
      <c r="G111" s="1963" t="s">
        <v>3093</v>
      </c>
      <c r="H111" s="1822"/>
      <c r="I111" s="1823" t="s">
        <v>3094</v>
      </c>
      <c r="J111" s="1822" t="s">
        <v>3095</v>
      </c>
      <c r="N111" s="1974" t="s">
        <v>2555</v>
      </c>
      <c r="O111" s="1975" t="s">
        <v>2556</v>
      </c>
      <c r="Q111" s="1822"/>
      <c r="R111" s="1919"/>
    </row>
    <row r="112" spans="1:19">
      <c r="A112" s="1914" t="s">
        <v>3096</v>
      </c>
      <c r="B112" s="1866"/>
      <c r="C112" s="1866"/>
      <c r="D112" s="1867"/>
      <c r="E112" s="1477" t="s">
        <v>2943</v>
      </c>
      <c r="F112" s="1388"/>
      <c r="G112" s="1822" t="s">
        <v>3097</v>
      </c>
      <c r="H112" s="1976" t="s">
        <v>3098</v>
      </c>
      <c r="O112" s="1975" t="s">
        <v>2555</v>
      </c>
      <c r="R112" s="1919"/>
    </row>
    <row r="113" spans="1:22" ht="42.5">
      <c r="A113" s="1868"/>
      <c r="B113" s="1866"/>
      <c r="C113" s="1866"/>
      <c r="D113" s="1867"/>
      <c r="E113" s="1477" t="s">
        <v>2943</v>
      </c>
      <c r="F113" s="1388"/>
      <c r="G113" s="1821"/>
      <c r="H113" s="1823" t="s">
        <v>2266</v>
      </c>
      <c r="K113" s="1977"/>
      <c r="L113" s="1977"/>
      <c r="M113" s="1903"/>
      <c r="N113" s="1903"/>
      <c r="O113" s="1978"/>
      <c r="P113" s="1903"/>
      <c r="Q113" s="1903"/>
      <c r="R113" s="1919" t="s">
        <v>2554</v>
      </c>
    </row>
    <row r="114" spans="1:22">
      <c r="A114" s="1868"/>
      <c r="B114" s="1866"/>
      <c r="C114" s="1866"/>
      <c r="D114" s="1867"/>
      <c r="E114" s="1477" t="s">
        <v>2943</v>
      </c>
      <c r="F114" s="1388"/>
      <c r="G114" s="1821"/>
      <c r="H114" s="1823" t="s">
        <v>2267</v>
      </c>
      <c r="K114" s="1977"/>
      <c r="L114" s="1977"/>
      <c r="M114" s="1903"/>
      <c r="N114" s="1903"/>
      <c r="O114" s="1978"/>
      <c r="P114" s="1903"/>
      <c r="Q114" s="1903"/>
    </row>
    <row r="115" spans="1:22">
      <c r="A115" s="1868"/>
      <c r="B115" s="1866"/>
      <c r="C115" s="1866"/>
      <c r="D115" s="1867"/>
      <c r="E115" s="1477" t="s">
        <v>2943</v>
      </c>
      <c r="F115" s="1388"/>
      <c r="G115" s="1821"/>
      <c r="H115" s="1823" t="s">
        <v>2268</v>
      </c>
      <c r="K115" s="1977"/>
      <c r="L115" s="1977"/>
      <c r="M115" s="1903"/>
      <c r="N115" s="1903"/>
      <c r="O115" s="1978"/>
      <c r="P115" s="1903"/>
      <c r="Q115" s="1903"/>
    </row>
    <row r="116" spans="1:22">
      <c r="A116" s="1868"/>
      <c r="B116" s="1866"/>
      <c r="C116" s="1866"/>
      <c r="D116" s="1867"/>
      <c r="E116" s="1477" t="s">
        <v>2943</v>
      </c>
      <c r="F116" s="1388"/>
      <c r="G116" s="1821"/>
      <c r="H116" s="1906" t="s">
        <v>2269</v>
      </c>
      <c r="I116" s="1906"/>
      <c r="J116" s="1907"/>
      <c r="K116" s="1979"/>
      <c r="L116" s="1979"/>
      <c r="M116" s="1892"/>
      <c r="N116" s="1892"/>
      <c r="O116" s="1980"/>
      <c r="P116" s="1892"/>
      <c r="Q116" s="1892"/>
    </row>
    <row r="117" spans="1:22">
      <c r="A117" s="1868"/>
      <c r="B117" s="1866"/>
      <c r="C117" s="1866"/>
      <c r="D117" s="1867"/>
      <c r="E117" s="1477" t="s">
        <v>2943</v>
      </c>
      <c r="F117" s="1388"/>
      <c r="G117" s="1821"/>
    </row>
    <row r="118" spans="1:22" s="1834" customFormat="1">
      <c r="A118" s="1868"/>
      <c r="B118" s="1866"/>
      <c r="C118" s="1866"/>
      <c r="D118" s="1867"/>
      <c r="E118" s="1477" t="s">
        <v>2943</v>
      </c>
      <c r="F118" s="1388"/>
      <c r="G118" s="1821" t="s">
        <v>3099</v>
      </c>
      <c r="H118" s="1976" t="s">
        <v>2557</v>
      </c>
      <c r="I118" s="1823"/>
      <c r="J118" s="1822"/>
      <c r="K118" s="1822"/>
      <c r="L118" s="1822"/>
      <c r="M118" s="1822"/>
      <c r="N118" s="1822"/>
      <c r="O118" s="1828"/>
      <c r="P118" s="1822"/>
      <c r="S118" s="1822"/>
      <c r="T118" s="1822"/>
      <c r="U118" s="1822"/>
      <c r="V118" s="1822"/>
    </row>
    <row r="119" spans="1:22" s="1834" customFormat="1">
      <c r="A119" s="1868"/>
      <c r="B119" s="1866"/>
      <c r="C119" s="1866"/>
      <c r="D119" s="1867"/>
      <c r="E119" s="1477" t="s">
        <v>2943</v>
      </c>
      <c r="F119" s="1388"/>
      <c r="G119" s="1821"/>
      <c r="H119" s="1823" t="s">
        <v>2266</v>
      </c>
      <c r="I119" s="1823"/>
      <c r="J119" s="1822" t="s">
        <v>2558</v>
      </c>
      <c r="K119" s="1977"/>
      <c r="L119" s="1977"/>
      <c r="M119" s="1903"/>
      <c r="N119" s="1903"/>
      <c r="O119" s="1978"/>
      <c r="P119" s="1903"/>
      <c r="Q119" s="1903"/>
      <c r="S119" s="1822"/>
      <c r="T119" s="1822"/>
      <c r="U119" s="1822"/>
      <c r="V119" s="1822"/>
    </row>
    <row r="120" spans="1:22" s="1834" customFormat="1">
      <c r="A120" s="1868"/>
      <c r="B120" s="1866"/>
      <c r="C120" s="1866"/>
      <c r="D120" s="1867"/>
      <c r="E120" s="1477" t="s">
        <v>2943</v>
      </c>
      <c r="F120" s="1388"/>
      <c r="G120" s="1821"/>
      <c r="H120" s="1823" t="s">
        <v>2267</v>
      </c>
      <c r="I120" s="1823"/>
      <c r="J120" s="1822" t="s">
        <v>2558</v>
      </c>
      <c r="K120" s="1977"/>
      <c r="L120" s="1977"/>
      <c r="M120" s="1903"/>
      <c r="N120" s="1903"/>
      <c r="O120" s="1978"/>
      <c r="P120" s="1903"/>
      <c r="Q120" s="1903"/>
      <c r="S120" s="1822"/>
      <c r="T120" s="1822"/>
      <c r="U120" s="1822"/>
      <c r="V120" s="1822"/>
    </row>
    <row r="121" spans="1:22" s="1834" customFormat="1">
      <c r="A121" s="1868"/>
      <c r="B121" s="1866"/>
      <c r="C121" s="1866"/>
      <c r="D121" s="1867"/>
      <c r="E121" s="1477" t="s">
        <v>2943</v>
      </c>
      <c r="F121" s="1388"/>
      <c r="G121" s="1821"/>
      <c r="H121" s="1823" t="s">
        <v>2268</v>
      </c>
      <c r="I121" s="1823"/>
      <c r="J121" s="1822" t="s">
        <v>2558</v>
      </c>
      <c r="K121" s="1977"/>
      <c r="L121" s="1977"/>
      <c r="M121" s="1903"/>
      <c r="N121" s="1903"/>
      <c r="O121" s="1978"/>
      <c r="P121" s="1903"/>
      <c r="Q121" s="1903"/>
      <c r="S121" s="1822"/>
      <c r="T121" s="1822"/>
      <c r="U121" s="1822"/>
      <c r="V121" s="1822"/>
    </row>
    <row r="122" spans="1:22" s="1834" customFormat="1">
      <c r="A122" s="1868"/>
      <c r="B122" s="1866"/>
      <c r="C122" s="1866"/>
      <c r="D122" s="1867"/>
      <c r="E122" s="1477" t="s">
        <v>2943</v>
      </c>
      <c r="F122" s="1388"/>
      <c r="G122" s="1821"/>
      <c r="H122" s="1823" t="s">
        <v>2269</v>
      </c>
      <c r="I122" s="1823"/>
      <c r="J122" s="1822" t="s">
        <v>2558</v>
      </c>
      <c r="K122" s="1977"/>
      <c r="L122" s="1977"/>
      <c r="M122" s="1903"/>
      <c r="N122" s="1903"/>
      <c r="O122" s="1978"/>
      <c r="P122" s="1903"/>
      <c r="Q122" s="1903"/>
      <c r="S122" s="1822"/>
      <c r="T122" s="1822"/>
      <c r="U122" s="1822"/>
      <c r="V122" s="1822"/>
    </row>
    <row r="123" spans="1:22" s="1834" customFormat="1">
      <c r="A123" s="1868"/>
      <c r="B123" s="1866"/>
      <c r="C123" s="1866"/>
      <c r="D123" s="1867"/>
      <c r="E123" s="1477" t="s">
        <v>2943</v>
      </c>
      <c r="F123" s="1388"/>
      <c r="G123" s="1821"/>
      <c r="H123" s="1981"/>
      <c r="I123" s="1981"/>
      <c r="J123" s="1982"/>
      <c r="K123" s="1982"/>
      <c r="L123" s="1982"/>
      <c r="M123" s="1982"/>
      <c r="N123" s="1982"/>
      <c r="O123" s="1983"/>
      <c r="P123" s="1982"/>
      <c r="Q123" s="1984"/>
      <c r="S123" s="1822"/>
      <c r="T123" s="1822"/>
      <c r="U123" s="1822"/>
      <c r="V123" s="1822"/>
    </row>
    <row r="124" spans="1:22" s="1834" customFormat="1" ht="42">
      <c r="A124" s="1868"/>
      <c r="B124" s="1866"/>
      <c r="C124" s="1911" t="s">
        <v>3092</v>
      </c>
      <c r="D124" s="1867"/>
      <c r="E124" s="1477" t="s">
        <v>2943</v>
      </c>
      <c r="F124" s="1388"/>
      <c r="G124" s="1963" t="s">
        <v>3100</v>
      </c>
      <c r="H124" s="1822"/>
      <c r="I124" s="1823" t="s">
        <v>3101</v>
      </c>
      <c r="J124" s="1822" t="s">
        <v>3102</v>
      </c>
      <c r="K124" s="1822"/>
      <c r="L124" s="1822"/>
      <c r="M124" s="1822"/>
      <c r="N124" s="1974" t="s">
        <v>2561</v>
      </c>
      <c r="O124" s="1975" t="s">
        <v>2560</v>
      </c>
      <c r="P124" s="1948"/>
      <c r="Q124" s="1969"/>
      <c r="S124" s="1822"/>
      <c r="T124" s="1822"/>
      <c r="U124" s="1822"/>
      <c r="V124" s="1822"/>
    </row>
    <row r="125" spans="1:22" s="1834" customFormat="1">
      <c r="A125" s="1868"/>
      <c r="B125" s="1866"/>
      <c r="C125" s="1866"/>
      <c r="D125" s="1867"/>
      <c r="E125" s="1477" t="s">
        <v>2943</v>
      </c>
      <c r="F125" s="1388"/>
      <c r="G125" s="1822" t="s">
        <v>3103</v>
      </c>
      <c r="H125" s="1976" t="s">
        <v>2559</v>
      </c>
      <c r="I125" s="1823"/>
      <c r="K125" s="1822"/>
      <c r="L125" s="1822"/>
      <c r="M125" s="1822"/>
      <c r="N125" s="1822"/>
      <c r="O125" s="1975" t="s">
        <v>2561</v>
      </c>
      <c r="P125" s="1822"/>
      <c r="S125" s="1822"/>
      <c r="T125" s="1822"/>
      <c r="U125" s="1822"/>
      <c r="V125" s="1822"/>
    </row>
    <row r="126" spans="1:22" s="1834" customFormat="1">
      <c r="A126" s="1868"/>
      <c r="B126" s="1866"/>
      <c r="C126" s="1866"/>
      <c r="D126" s="1867"/>
      <c r="E126" s="1477" t="s">
        <v>2943</v>
      </c>
      <c r="F126" s="1388"/>
      <c r="G126" s="1821"/>
      <c r="H126" s="1823" t="s">
        <v>2266</v>
      </c>
      <c r="I126" s="1823"/>
      <c r="J126" s="1822"/>
      <c r="K126" s="1977"/>
      <c r="L126" s="1977"/>
      <c r="M126" s="1903"/>
      <c r="N126" s="1903"/>
      <c r="O126" s="1978"/>
      <c r="P126" s="1903"/>
      <c r="Q126" s="1903"/>
      <c r="S126" s="1822"/>
      <c r="T126" s="1822"/>
      <c r="U126" s="1822"/>
      <c r="V126" s="1822"/>
    </row>
    <row r="127" spans="1:22" s="1834" customFormat="1">
      <c r="A127" s="1868"/>
      <c r="B127" s="1866"/>
      <c r="C127" s="1866"/>
      <c r="D127" s="1867"/>
      <c r="E127" s="1477" t="s">
        <v>2943</v>
      </c>
      <c r="F127" s="1388"/>
      <c r="G127" s="1821"/>
      <c r="H127" s="1823" t="s">
        <v>2267</v>
      </c>
      <c r="I127" s="1823"/>
      <c r="J127" s="1822"/>
      <c r="K127" s="1977"/>
      <c r="L127" s="1977"/>
      <c r="M127" s="1903"/>
      <c r="N127" s="1903"/>
      <c r="O127" s="1978"/>
      <c r="P127" s="1903"/>
      <c r="Q127" s="1903"/>
      <c r="S127" s="1822"/>
      <c r="T127" s="1822"/>
      <c r="U127" s="1822"/>
      <c r="V127" s="1822"/>
    </row>
    <row r="128" spans="1:22" s="1834" customFormat="1">
      <c r="A128" s="1868"/>
      <c r="B128" s="1866"/>
      <c r="C128" s="1866"/>
      <c r="D128" s="1867"/>
      <c r="E128" s="1477" t="s">
        <v>2943</v>
      </c>
      <c r="F128" s="1388"/>
      <c r="G128" s="1821"/>
      <c r="H128" s="1823" t="s">
        <v>2268</v>
      </c>
      <c r="I128" s="1823"/>
      <c r="J128" s="1822"/>
      <c r="K128" s="1977"/>
      <c r="L128" s="1977"/>
      <c r="M128" s="1903"/>
      <c r="N128" s="1903"/>
      <c r="O128" s="1978"/>
      <c r="P128" s="1903"/>
      <c r="Q128" s="1903"/>
      <c r="S128" s="1822"/>
      <c r="T128" s="1822"/>
      <c r="U128" s="1822"/>
      <c r="V128" s="1822"/>
    </row>
    <row r="129" spans="1:22" s="1834" customFormat="1">
      <c r="A129" s="1868"/>
      <c r="B129" s="1866"/>
      <c r="C129" s="1866"/>
      <c r="D129" s="1867"/>
      <c r="E129" s="1477" t="s">
        <v>2943</v>
      </c>
      <c r="F129" s="1388"/>
      <c r="G129" s="1821"/>
      <c r="H129" s="1906" t="s">
        <v>2269</v>
      </c>
      <c r="I129" s="1906"/>
      <c r="J129" s="1907"/>
      <c r="K129" s="1979"/>
      <c r="L129" s="1979"/>
      <c r="M129" s="1892"/>
      <c r="N129" s="1892"/>
      <c r="O129" s="1980"/>
      <c r="P129" s="1892"/>
      <c r="Q129" s="1892"/>
      <c r="S129" s="1822"/>
      <c r="T129" s="1822"/>
      <c r="U129" s="1822"/>
      <c r="V129" s="1822"/>
    </row>
    <row r="130" spans="1:22" s="1834" customFormat="1">
      <c r="A130" s="1868"/>
      <c r="B130" s="1866"/>
      <c r="C130" s="1866"/>
      <c r="D130" s="1867"/>
      <c r="E130" s="1477" t="s">
        <v>2943</v>
      </c>
      <c r="F130" s="1388"/>
      <c r="G130" s="1822"/>
      <c r="H130" s="1823"/>
      <c r="P130" s="1822"/>
      <c r="S130" s="1822"/>
      <c r="T130" s="1822"/>
      <c r="U130" s="1822"/>
      <c r="V130" s="1822"/>
    </row>
    <row r="131" spans="1:22" s="1834" customFormat="1">
      <c r="A131" s="1868"/>
      <c r="B131" s="1866"/>
      <c r="C131" s="1866"/>
      <c r="D131" s="1867"/>
      <c r="E131" s="1477" t="s">
        <v>2943</v>
      </c>
      <c r="F131" s="1388"/>
      <c r="G131" s="1822" t="s">
        <v>3104</v>
      </c>
      <c r="H131" s="1976" t="s">
        <v>2562</v>
      </c>
      <c r="I131" s="1823"/>
      <c r="J131" s="1822"/>
      <c r="K131" s="1822"/>
      <c r="L131" s="1822"/>
      <c r="M131" s="1822"/>
      <c r="N131" s="1822"/>
      <c r="O131" s="1828"/>
      <c r="P131" s="1822"/>
      <c r="S131" s="1822"/>
      <c r="T131" s="1822"/>
      <c r="U131" s="1822"/>
      <c r="V131" s="1822"/>
    </row>
    <row r="132" spans="1:22" s="1834" customFormat="1">
      <c r="A132" s="1868"/>
      <c r="B132" s="1866"/>
      <c r="C132" s="1866"/>
      <c r="D132" s="1867"/>
      <c r="E132" s="1477" t="s">
        <v>2943</v>
      </c>
      <c r="F132" s="1388"/>
      <c r="G132" s="1821"/>
      <c r="H132" s="1823" t="s">
        <v>2266</v>
      </c>
      <c r="I132" s="1823"/>
      <c r="J132" s="1822" t="s">
        <v>3190</v>
      </c>
      <c r="K132" s="1977"/>
      <c r="L132" s="1977"/>
      <c r="M132" s="1903"/>
      <c r="N132" s="1903"/>
      <c r="O132" s="1978"/>
      <c r="P132" s="1903"/>
      <c r="Q132" s="1903"/>
      <c r="S132" s="1822"/>
      <c r="T132" s="1822"/>
      <c r="U132" s="1822"/>
      <c r="V132" s="1822"/>
    </row>
    <row r="133" spans="1:22" s="1834" customFormat="1">
      <c r="A133" s="1868"/>
      <c r="B133" s="1866"/>
      <c r="C133" s="1866"/>
      <c r="D133" s="1867"/>
      <c r="E133" s="1477" t="s">
        <v>2943</v>
      </c>
      <c r="F133" s="1388"/>
      <c r="G133" s="1821"/>
      <c r="H133" s="1823" t="s">
        <v>2267</v>
      </c>
      <c r="I133" s="1823"/>
      <c r="J133" s="1822" t="s">
        <v>3190</v>
      </c>
      <c r="K133" s="1977"/>
      <c r="L133" s="1977"/>
      <c r="M133" s="1903"/>
      <c r="N133" s="1903"/>
      <c r="O133" s="1978"/>
      <c r="P133" s="1903"/>
      <c r="Q133" s="1903"/>
      <c r="S133" s="1822"/>
      <c r="T133" s="1822"/>
      <c r="U133" s="1822"/>
      <c r="V133" s="1822"/>
    </row>
    <row r="134" spans="1:22" s="1834" customFormat="1">
      <c r="A134" s="1868"/>
      <c r="B134" s="1866"/>
      <c r="C134" s="1866"/>
      <c r="D134" s="1867"/>
      <c r="E134" s="1477" t="s">
        <v>2943</v>
      </c>
      <c r="F134" s="1388"/>
      <c r="G134" s="1821"/>
      <c r="H134" s="1823" t="s">
        <v>2268</v>
      </c>
      <c r="I134" s="1823"/>
      <c r="J134" s="1822" t="s">
        <v>3190</v>
      </c>
      <c r="K134" s="1977"/>
      <c r="L134" s="1977"/>
      <c r="M134" s="1903"/>
      <c r="N134" s="1903"/>
      <c r="O134" s="1978"/>
      <c r="P134" s="1903"/>
      <c r="Q134" s="1903"/>
      <c r="S134" s="1822"/>
      <c r="T134" s="1822"/>
      <c r="U134" s="1822"/>
      <c r="V134" s="1822"/>
    </row>
    <row r="135" spans="1:22" s="1834" customFormat="1" ht="16" thickBot="1">
      <c r="A135" s="1868"/>
      <c r="B135" s="1866"/>
      <c r="C135" s="1866"/>
      <c r="D135" s="1867"/>
      <c r="E135" s="1477" t="s">
        <v>2943</v>
      </c>
      <c r="F135" s="1388"/>
      <c r="G135" s="1985"/>
      <c r="H135" s="1986" t="s">
        <v>2269</v>
      </c>
      <c r="I135" s="1986"/>
      <c r="J135" s="1987" t="s">
        <v>3190</v>
      </c>
      <c r="K135" s="1988"/>
      <c r="L135" s="1988"/>
      <c r="M135" s="1989"/>
      <c r="N135" s="1989"/>
      <c r="O135" s="1990"/>
      <c r="P135" s="1989"/>
      <c r="Q135" s="1989"/>
      <c r="S135" s="1822"/>
      <c r="T135" s="1822"/>
      <c r="U135" s="1822"/>
      <c r="V135" s="1822"/>
    </row>
    <row r="136" spans="1:22">
      <c r="A136" s="1868"/>
      <c r="B136" s="1866"/>
      <c r="C136" s="1866"/>
      <c r="D136" s="1867"/>
      <c r="E136" s="1477" t="s">
        <v>2943</v>
      </c>
      <c r="F136" s="1388"/>
    </row>
    <row r="137" spans="1:22" s="1834" customFormat="1">
      <c r="A137" s="1991" t="s">
        <v>2797</v>
      </c>
      <c r="B137" s="1992"/>
      <c r="C137" s="1992"/>
      <c r="D137" s="1993"/>
      <c r="E137" s="1477" t="s">
        <v>2943</v>
      </c>
      <c r="F137" s="1388"/>
      <c r="G137" s="1994" t="s">
        <v>3105</v>
      </c>
      <c r="H137" s="1963" t="s">
        <v>3106</v>
      </c>
      <c r="I137" s="1822"/>
      <c r="J137" s="1822"/>
      <c r="K137" s="1822"/>
      <c r="L137" s="1822"/>
      <c r="M137" s="1822"/>
      <c r="N137" s="1822"/>
      <c r="O137" s="1822"/>
      <c r="P137" s="1822"/>
      <c r="Q137" s="1822"/>
      <c r="S137" s="1822"/>
      <c r="T137" s="1822"/>
      <c r="U137" s="1822"/>
      <c r="V137" s="1822"/>
    </row>
    <row r="138" spans="1:22" s="1834" customFormat="1">
      <c r="A138" s="1991"/>
      <c r="B138" s="1992"/>
      <c r="C138" s="1992"/>
      <c r="D138" s="1993"/>
      <c r="E138" s="1477" t="s">
        <v>2943</v>
      </c>
      <c r="F138" s="1388"/>
      <c r="G138" s="1963"/>
      <c r="H138" s="1822"/>
      <c r="I138" s="1822"/>
      <c r="J138" s="1822"/>
      <c r="K138" s="1822"/>
      <c r="L138" s="1822"/>
      <c r="M138" s="1822"/>
      <c r="N138" s="1822"/>
      <c r="O138" s="1822"/>
      <c r="P138" s="1822"/>
      <c r="Q138" s="1822"/>
      <c r="S138" s="1822"/>
      <c r="T138" s="1822"/>
      <c r="U138" s="1822"/>
      <c r="V138" s="1822"/>
    </row>
    <row r="139" spans="1:22" ht="42">
      <c r="A139" s="1868"/>
      <c r="B139" s="1866"/>
      <c r="C139" s="1911" t="s">
        <v>3092</v>
      </c>
      <c r="D139" s="1867"/>
      <c r="E139" s="1477" t="s">
        <v>2943</v>
      </c>
      <c r="F139" s="1388"/>
      <c r="G139" s="1963" t="s">
        <v>3093</v>
      </c>
      <c r="H139" s="1822"/>
      <c r="I139" s="1823" t="s">
        <v>3094</v>
      </c>
      <c r="J139" s="1822" t="s">
        <v>3107</v>
      </c>
      <c r="N139" s="1974" t="s">
        <v>2555</v>
      </c>
      <c r="O139" s="1975" t="s">
        <v>2556</v>
      </c>
      <c r="Q139" s="1822"/>
      <c r="R139" s="1919"/>
    </row>
    <row r="140" spans="1:22" s="1834" customFormat="1">
      <c r="A140" s="1914" t="s">
        <v>3096</v>
      </c>
      <c r="B140" s="1866"/>
      <c r="C140" s="1866"/>
      <c r="D140" s="1867"/>
      <c r="E140" s="1477" t="s">
        <v>2943</v>
      </c>
      <c r="F140" s="1388"/>
      <c r="G140" s="1822" t="s">
        <v>3108</v>
      </c>
      <c r="H140" s="1976" t="s">
        <v>3098</v>
      </c>
      <c r="I140" s="1823"/>
      <c r="J140" s="1822"/>
      <c r="K140" s="1822"/>
      <c r="L140" s="1822"/>
      <c r="M140" s="1822"/>
      <c r="N140" s="1822"/>
      <c r="O140" s="1975" t="s">
        <v>2555</v>
      </c>
      <c r="P140" s="1822"/>
      <c r="S140" s="1822"/>
      <c r="T140" s="1822"/>
      <c r="U140" s="1822"/>
      <c r="V140" s="1822"/>
    </row>
    <row r="141" spans="1:22" s="1834" customFormat="1">
      <c r="A141" s="1868"/>
      <c r="B141" s="1866"/>
      <c r="C141" s="1866"/>
      <c r="D141" s="1867"/>
      <c r="E141" s="1477" t="s">
        <v>2943</v>
      </c>
      <c r="F141" s="1388"/>
      <c r="G141" s="1821"/>
      <c r="H141" s="1823" t="s">
        <v>2270</v>
      </c>
      <c r="I141" s="1823"/>
      <c r="J141" s="1822"/>
      <c r="K141" s="1977"/>
      <c r="L141" s="1977"/>
      <c r="M141" s="1903"/>
      <c r="N141" s="1903"/>
      <c r="O141" s="1978"/>
      <c r="P141" s="1903"/>
      <c r="Q141" s="1903"/>
      <c r="S141" s="1822"/>
      <c r="T141" s="1822"/>
      <c r="U141" s="1822"/>
      <c r="V141" s="1822"/>
    </row>
    <row r="142" spans="1:22" s="1834" customFormat="1">
      <c r="A142" s="1868"/>
      <c r="B142" s="1866"/>
      <c r="C142" s="1866"/>
      <c r="D142" s="1867"/>
      <c r="E142" s="1477" t="s">
        <v>2943</v>
      </c>
      <c r="F142" s="1388"/>
      <c r="G142" s="1821"/>
      <c r="H142" s="1823" t="s">
        <v>2271</v>
      </c>
      <c r="I142" s="1823"/>
      <c r="J142" s="1822"/>
      <c r="K142" s="1977"/>
      <c r="L142" s="1977"/>
      <c r="M142" s="1903"/>
      <c r="N142" s="1903"/>
      <c r="O142" s="1978"/>
      <c r="P142" s="1903"/>
      <c r="Q142" s="1903"/>
      <c r="S142" s="1822"/>
      <c r="T142" s="1822"/>
      <c r="U142" s="1822"/>
      <c r="V142" s="1822"/>
    </row>
    <row r="143" spans="1:22" s="1834" customFormat="1">
      <c r="A143" s="1868"/>
      <c r="B143" s="1866"/>
      <c r="C143" s="1866"/>
      <c r="D143" s="1867"/>
      <c r="E143" s="1477" t="s">
        <v>2943</v>
      </c>
      <c r="F143" s="1388"/>
      <c r="G143" s="1821"/>
      <c r="H143" s="1823" t="s">
        <v>2272</v>
      </c>
      <c r="I143" s="1823"/>
      <c r="J143" s="1822"/>
      <c r="K143" s="1977"/>
      <c r="L143" s="1977"/>
      <c r="M143" s="1903"/>
      <c r="N143" s="1903"/>
      <c r="O143" s="1978"/>
      <c r="P143" s="1903"/>
      <c r="Q143" s="1903"/>
      <c r="S143" s="1822"/>
      <c r="T143" s="1822"/>
      <c r="U143" s="1822"/>
      <c r="V143" s="1822"/>
    </row>
    <row r="144" spans="1:22" s="1834" customFormat="1">
      <c r="A144" s="1868"/>
      <c r="B144" s="1866"/>
      <c r="C144" s="1866"/>
      <c r="D144" s="1867"/>
      <c r="E144" s="1477" t="s">
        <v>2943</v>
      </c>
      <c r="F144" s="1388"/>
      <c r="G144" s="1821"/>
      <c r="H144" s="1864" t="s">
        <v>2273</v>
      </c>
      <c r="I144" s="1864"/>
      <c r="J144" s="1948"/>
      <c r="K144" s="1995"/>
      <c r="L144" s="1995"/>
      <c r="M144" s="1996"/>
      <c r="N144" s="1996"/>
      <c r="O144" s="1997"/>
      <c r="P144" s="1996"/>
      <c r="Q144" s="1996"/>
      <c r="R144" s="1969"/>
      <c r="S144" s="1948"/>
      <c r="T144" s="1822"/>
      <c r="U144" s="1822"/>
      <c r="V144" s="1822"/>
    </row>
    <row r="145" spans="1:22" s="1834" customFormat="1">
      <c r="A145" s="1868"/>
      <c r="B145" s="1866"/>
      <c r="C145" s="1866"/>
      <c r="D145" s="1867"/>
      <c r="E145" s="1477" t="s">
        <v>2943</v>
      </c>
      <c r="F145" s="1388"/>
      <c r="G145" s="1821"/>
      <c r="H145" s="1823"/>
      <c r="I145" s="1823"/>
      <c r="J145" s="1822"/>
      <c r="K145" s="1822"/>
      <c r="L145" s="1822"/>
      <c r="M145" s="1822"/>
      <c r="N145" s="1822"/>
      <c r="O145" s="1828"/>
      <c r="P145" s="1822"/>
      <c r="S145" s="1822"/>
      <c r="T145" s="1822"/>
      <c r="U145" s="1822"/>
      <c r="V145" s="1822"/>
    </row>
    <row r="146" spans="1:22" s="1834" customFormat="1">
      <c r="A146" s="1868"/>
      <c r="B146" s="1866"/>
      <c r="C146" s="1866"/>
      <c r="D146" s="1867"/>
      <c r="E146" s="1477" t="s">
        <v>2943</v>
      </c>
      <c r="F146" s="1388"/>
      <c r="G146" s="1822" t="s">
        <v>3109</v>
      </c>
      <c r="H146" s="1976" t="s">
        <v>2557</v>
      </c>
      <c r="I146" s="1823"/>
      <c r="J146" s="1822"/>
      <c r="K146" s="1822"/>
      <c r="L146" s="1822"/>
      <c r="M146" s="1822"/>
      <c r="N146" s="1822"/>
      <c r="O146" s="1828"/>
      <c r="P146" s="1822"/>
      <c r="S146" s="1822"/>
      <c r="T146" s="1822"/>
      <c r="U146" s="1822"/>
      <c r="V146" s="1822"/>
    </row>
    <row r="147" spans="1:22" s="1834" customFormat="1">
      <c r="A147" s="1868"/>
      <c r="B147" s="1866"/>
      <c r="C147" s="1866"/>
      <c r="D147" s="1867"/>
      <c r="E147" s="1477" t="s">
        <v>2943</v>
      </c>
      <c r="F147" s="1388"/>
      <c r="G147" s="1821"/>
      <c r="H147" s="1823" t="s">
        <v>2270</v>
      </c>
      <c r="I147" s="1823"/>
      <c r="J147" s="1822" t="s">
        <v>2558</v>
      </c>
      <c r="K147" s="1977"/>
      <c r="L147" s="1977"/>
      <c r="M147" s="1903"/>
      <c r="N147" s="1903"/>
      <c r="O147" s="1978"/>
      <c r="P147" s="1903"/>
      <c r="Q147" s="1903"/>
      <c r="S147" s="1822"/>
      <c r="T147" s="1822"/>
      <c r="U147" s="1822"/>
      <c r="V147" s="1822"/>
    </row>
    <row r="148" spans="1:22" s="1834" customFormat="1">
      <c r="A148" s="1868"/>
      <c r="B148" s="1866"/>
      <c r="C148" s="1866"/>
      <c r="D148" s="1867"/>
      <c r="E148" s="1477" t="s">
        <v>2943</v>
      </c>
      <c r="F148" s="1388"/>
      <c r="G148" s="1821"/>
      <c r="H148" s="1823" t="s">
        <v>2271</v>
      </c>
      <c r="I148" s="1823"/>
      <c r="J148" s="1822" t="s">
        <v>2558</v>
      </c>
      <c r="K148" s="1977"/>
      <c r="L148" s="1977"/>
      <c r="M148" s="1903"/>
      <c r="N148" s="1903"/>
      <c r="O148" s="1978"/>
      <c r="P148" s="1903"/>
      <c r="Q148" s="1903"/>
      <c r="S148" s="1822"/>
      <c r="T148" s="1822"/>
      <c r="U148" s="1822"/>
      <c r="V148" s="1822"/>
    </row>
    <row r="149" spans="1:22" s="1834" customFormat="1">
      <c r="A149" s="1868"/>
      <c r="B149" s="1866"/>
      <c r="C149" s="1866"/>
      <c r="D149" s="1867"/>
      <c r="E149" s="1477" t="s">
        <v>2943</v>
      </c>
      <c r="F149" s="1388"/>
      <c r="G149" s="1821"/>
      <c r="H149" s="1823" t="s">
        <v>2272</v>
      </c>
      <c r="I149" s="1823"/>
      <c r="J149" s="1822" t="s">
        <v>2558</v>
      </c>
      <c r="K149" s="1977"/>
      <c r="L149" s="1977"/>
      <c r="M149" s="1903"/>
      <c r="N149" s="1903"/>
      <c r="O149" s="1978"/>
      <c r="P149" s="1903"/>
      <c r="Q149" s="1903"/>
      <c r="S149" s="1822"/>
      <c r="T149" s="1822"/>
      <c r="U149" s="1822"/>
      <c r="V149" s="1822"/>
    </row>
    <row r="150" spans="1:22" s="1834" customFormat="1">
      <c r="A150" s="1868"/>
      <c r="B150" s="1866"/>
      <c r="C150" s="1866"/>
      <c r="D150" s="1867"/>
      <c r="E150" s="1477" t="s">
        <v>2943</v>
      </c>
      <c r="F150" s="1388"/>
      <c r="G150" s="1821"/>
      <c r="H150" s="1823" t="s">
        <v>2273</v>
      </c>
      <c r="I150" s="1823"/>
      <c r="J150" s="1822" t="s">
        <v>2558</v>
      </c>
      <c r="K150" s="1977"/>
      <c r="L150" s="1977"/>
      <c r="M150" s="1903"/>
      <c r="N150" s="1903"/>
      <c r="O150" s="1978"/>
      <c r="P150" s="1903"/>
      <c r="Q150" s="1903"/>
      <c r="S150" s="1822"/>
      <c r="T150" s="1822"/>
      <c r="U150" s="1822"/>
      <c r="V150" s="1822"/>
    </row>
    <row r="151" spans="1:22" s="1834" customFormat="1">
      <c r="A151" s="1868"/>
      <c r="B151" s="1866"/>
      <c r="C151" s="1866"/>
      <c r="D151" s="1867"/>
      <c r="E151" s="1477" t="s">
        <v>2943</v>
      </c>
      <c r="F151" s="1388"/>
      <c r="G151" s="1821"/>
      <c r="H151" s="1981"/>
      <c r="I151" s="1981"/>
      <c r="J151" s="1982"/>
      <c r="K151" s="1982"/>
      <c r="L151" s="1982"/>
      <c r="M151" s="1982"/>
      <c r="N151" s="1982"/>
      <c r="O151" s="1983"/>
      <c r="P151" s="1982"/>
      <c r="Q151" s="1984"/>
      <c r="S151" s="1822"/>
      <c r="T151" s="1822"/>
      <c r="U151" s="1822"/>
      <c r="V151" s="1822"/>
    </row>
    <row r="152" spans="1:22" s="1834" customFormat="1" ht="42">
      <c r="A152" s="1868"/>
      <c r="B152" s="1866"/>
      <c r="C152" s="1911" t="s">
        <v>3092</v>
      </c>
      <c r="D152" s="1867"/>
      <c r="E152" s="1477" t="s">
        <v>2943</v>
      </c>
      <c r="F152" s="1388"/>
      <c r="G152" s="1963" t="s">
        <v>3100</v>
      </c>
      <c r="H152" s="1822"/>
      <c r="I152" s="1823" t="s">
        <v>3101</v>
      </c>
      <c r="J152" s="1822" t="s">
        <v>3110</v>
      </c>
      <c r="K152" s="1822"/>
      <c r="L152" s="1822"/>
      <c r="M152" s="1822"/>
      <c r="N152" s="1974" t="s">
        <v>2561</v>
      </c>
      <c r="O152" s="1975" t="s">
        <v>2560</v>
      </c>
      <c r="P152" s="1948"/>
      <c r="Q152" s="1969"/>
      <c r="S152" s="1822"/>
      <c r="T152" s="1822"/>
      <c r="U152" s="1822"/>
      <c r="V152" s="1822"/>
    </row>
    <row r="153" spans="1:22" s="1834" customFormat="1">
      <c r="A153" s="1868"/>
      <c r="B153" s="1866"/>
      <c r="C153" s="1866"/>
      <c r="D153" s="1867"/>
      <c r="E153" s="1477" t="s">
        <v>2943</v>
      </c>
      <c r="F153" s="1388"/>
      <c r="G153" s="1822" t="s">
        <v>3111</v>
      </c>
      <c r="H153" s="1976" t="s">
        <v>2559</v>
      </c>
      <c r="I153" s="1823"/>
      <c r="K153" s="1822"/>
      <c r="L153" s="1822"/>
      <c r="M153" s="1822"/>
      <c r="N153" s="1822"/>
      <c r="O153" s="1975" t="s">
        <v>2561</v>
      </c>
      <c r="P153" s="1822"/>
      <c r="S153" s="1822"/>
      <c r="T153" s="1822"/>
      <c r="U153" s="1822"/>
      <c r="V153" s="1822"/>
    </row>
    <row r="154" spans="1:22" s="1834" customFormat="1">
      <c r="A154" s="1868"/>
      <c r="B154" s="1866"/>
      <c r="C154" s="1866"/>
      <c r="D154" s="1867"/>
      <c r="E154" s="1477" t="s">
        <v>2943</v>
      </c>
      <c r="F154" s="1388"/>
      <c r="G154" s="1821"/>
      <c r="H154" s="1823" t="s">
        <v>2270</v>
      </c>
      <c r="I154" s="1823"/>
      <c r="J154" s="1822"/>
      <c r="K154" s="1977"/>
      <c r="L154" s="1977"/>
      <c r="M154" s="1903"/>
      <c r="N154" s="1903"/>
      <c r="O154" s="1978"/>
      <c r="P154" s="1903"/>
      <c r="Q154" s="1903"/>
      <c r="S154" s="1822"/>
      <c r="T154" s="1822"/>
      <c r="U154" s="1822"/>
      <c r="V154" s="1822"/>
    </row>
    <row r="155" spans="1:22" s="1834" customFormat="1">
      <c r="A155" s="1868"/>
      <c r="B155" s="1866"/>
      <c r="C155" s="1866"/>
      <c r="D155" s="1867"/>
      <c r="E155" s="1477" t="s">
        <v>2943</v>
      </c>
      <c r="F155" s="1388"/>
      <c r="G155" s="1821"/>
      <c r="H155" s="1823" t="s">
        <v>2271</v>
      </c>
      <c r="I155" s="1823"/>
      <c r="J155" s="1822"/>
      <c r="K155" s="1977"/>
      <c r="L155" s="1977"/>
      <c r="M155" s="1903"/>
      <c r="N155" s="1903"/>
      <c r="O155" s="1978"/>
      <c r="P155" s="1903"/>
      <c r="Q155" s="1903"/>
      <c r="S155" s="1822"/>
      <c r="T155" s="1822"/>
      <c r="U155" s="1822"/>
      <c r="V155" s="1822"/>
    </row>
    <row r="156" spans="1:22" s="1834" customFormat="1">
      <c r="A156" s="1868"/>
      <c r="B156" s="1866"/>
      <c r="C156" s="1866"/>
      <c r="D156" s="1867"/>
      <c r="E156" s="1477" t="s">
        <v>2943</v>
      </c>
      <c r="F156" s="1388"/>
      <c r="G156" s="1821"/>
      <c r="H156" s="1823" t="s">
        <v>2272</v>
      </c>
      <c r="I156" s="1823"/>
      <c r="J156" s="1822"/>
      <c r="K156" s="1977"/>
      <c r="L156" s="1977"/>
      <c r="M156" s="1903"/>
      <c r="N156" s="1903"/>
      <c r="O156" s="1978"/>
      <c r="P156" s="1903"/>
      <c r="Q156" s="1903"/>
      <c r="S156" s="1822"/>
      <c r="T156" s="1822"/>
      <c r="U156" s="1822"/>
      <c r="V156" s="1822"/>
    </row>
    <row r="157" spans="1:22" s="1834" customFormat="1">
      <c r="A157" s="1868"/>
      <c r="B157" s="1866"/>
      <c r="C157" s="1866"/>
      <c r="D157" s="1867"/>
      <c r="E157" s="1477" t="s">
        <v>2943</v>
      </c>
      <c r="F157" s="1388"/>
      <c r="G157" s="1821"/>
      <c r="H157" s="1864" t="s">
        <v>2273</v>
      </c>
      <c r="I157" s="1864"/>
      <c r="J157" s="1948"/>
      <c r="K157" s="1995"/>
      <c r="L157" s="1995"/>
      <c r="M157" s="1996"/>
      <c r="N157" s="1996"/>
      <c r="O157" s="1997"/>
      <c r="P157" s="1996"/>
      <c r="Q157" s="1996"/>
      <c r="S157" s="1822"/>
      <c r="T157" s="1822"/>
      <c r="U157" s="1822"/>
      <c r="V157" s="1822"/>
    </row>
    <row r="158" spans="1:22" s="1834" customFormat="1">
      <c r="A158" s="1868"/>
      <c r="B158" s="1866"/>
      <c r="C158" s="1866"/>
      <c r="D158" s="1867"/>
      <c r="E158" s="1477" t="s">
        <v>2943</v>
      </c>
      <c r="F158" s="1388"/>
      <c r="G158" s="1821"/>
      <c r="H158" s="1823"/>
      <c r="I158" s="1823"/>
      <c r="J158" s="1822"/>
      <c r="K158" s="1998"/>
      <c r="L158" s="1998"/>
      <c r="M158" s="1998"/>
      <c r="N158" s="1998"/>
      <c r="O158" s="1999"/>
      <c r="P158" s="1998"/>
      <c r="Q158" s="1998"/>
      <c r="S158" s="1822"/>
      <c r="T158" s="1822"/>
      <c r="U158" s="1822"/>
      <c r="V158" s="1822"/>
    </row>
    <row r="159" spans="1:22" s="1834" customFormat="1">
      <c r="A159" s="1868"/>
      <c r="B159" s="1866"/>
      <c r="C159" s="1866"/>
      <c r="D159" s="1867"/>
      <c r="E159" s="1477" t="s">
        <v>2943</v>
      </c>
      <c r="F159" s="1388"/>
      <c r="G159" s="1822" t="s">
        <v>3112</v>
      </c>
      <c r="H159" s="1976" t="s">
        <v>2562</v>
      </c>
      <c r="I159" s="1823"/>
      <c r="J159" s="1822"/>
      <c r="K159" s="1822"/>
      <c r="L159" s="1822"/>
      <c r="M159" s="1822"/>
      <c r="N159" s="1822"/>
      <c r="O159" s="1828"/>
      <c r="P159" s="1822"/>
      <c r="S159" s="1822"/>
      <c r="T159" s="1822"/>
      <c r="U159" s="1822"/>
      <c r="V159" s="1822"/>
    </row>
    <row r="160" spans="1:22" s="1834" customFormat="1">
      <c r="A160" s="1868"/>
      <c r="B160" s="1866"/>
      <c r="C160" s="1866"/>
      <c r="D160" s="1867"/>
      <c r="E160" s="1477" t="s">
        <v>2943</v>
      </c>
      <c r="F160" s="1388"/>
      <c r="G160" s="1821"/>
      <c r="H160" s="1823" t="s">
        <v>2270</v>
      </c>
      <c r="I160" s="1823"/>
      <c r="J160" s="1822" t="s">
        <v>3190</v>
      </c>
      <c r="K160" s="1977"/>
      <c r="L160" s="1977"/>
      <c r="M160" s="1903"/>
      <c r="N160" s="1903"/>
      <c r="O160" s="1978"/>
      <c r="P160" s="1903"/>
      <c r="Q160" s="1903"/>
      <c r="S160" s="1822"/>
      <c r="T160" s="1822"/>
      <c r="U160" s="1822"/>
      <c r="V160" s="1822"/>
    </row>
    <row r="161" spans="1:22" s="1834" customFormat="1">
      <c r="A161" s="1868"/>
      <c r="B161" s="1866"/>
      <c r="C161" s="1866"/>
      <c r="D161" s="1867"/>
      <c r="E161" s="1477" t="s">
        <v>2943</v>
      </c>
      <c r="F161" s="1388"/>
      <c r="G161" s="1821"/>
      <c r="H161" s="1823" t="s">
        <v>2271</v>
      </c>
      <c r="I161" s="1823"/>
      <c r="J161" s="1822" t="s">
        <v>3190</v>
      </c>
      <c r="K161" s="1977"/>
      <c r="L161" s="1977"/>
      <c r="M161" s="1903"/>
      <c r="N161" s="1903"/>
      <c r="O161" s="1978"/>
      <c r="P161" s="1903"/>
      <c r="Q161" s="1903"/>
      <c r="S161" s="1822"/>
      <c r="T161" s="1822"/>
      <c r="U161" s="1822"/>
      <c r="V161" s="1822"/>
    </row>
    <row r="162" spans="1:22" s="1834" customFormat="1">
      <c r="A162" s="1868"/>
      <c r="B162" s="1866"/>
      <c r="C162" s="1866"/>
      <c r="D162" s="1867"/>
      <c r="E162" s="1477" t="s">
        <v>2943</v>
      </c>
      <c r="F162" s="1388"/>
      <c r="G162" s="1821"/>
      <c r="H162" s="1823" t="s">
        <v>2272</v>
      </c>
      <c r="I162" s="1823"/>
      <c r="J162" s="1822" t="s">
        <v>3190</v>
      </c>
      <c r="K162" s="1977"/>
      <c r="L162" s="1977"/>
      <c r="M162" s="1903"/>
      <c r="N162" s="1903"/>
      <c r="O162" s="1978"/>
      <c r="P162" s="1903"/>
      <c r="Q162" s="1903"/>
      <c r="S162" s="1822"/>
      <c r="T162" s="1822"/>
      <c r="U162" s="1822"/>
      <c r="V162" s="1822"/>
    </row>
    <row r="163" spans="1:22" s="1834" customFormat="1" ht="16" thickBot="1">
      <c r="A163" s="1868"/>
      <c r="B163" s="1866"/>
      <c r="C163" s="1866"/>
      <c r="D163" s="1867"/>
      <c r="E163" s="1477" t="s">
        <v>2943</v>
      </c>
      <c r="F163" s="1388"/>
      <c r="G163" s="1985"/>
      <c r="H163" s="1986" t="s">
        <v>2273</v>
      </c>
      <c r="I163" s="1986"/>
      <c r="J163" s="1987" t="s">
        <v>3190</v>
      </c>
      <c r="K163" s="1988"/>
      <c r="L163" s="1988"/>
      <c r="M163" s="1989"/>
      <c r="N163" s="1989"/>
      <c r="O163" s="1990"/>
      <c r="P163" s="1989"/>
      <c r="Q163" s="1989"/>
      <c r="S163" s="1822"/>
      <c r="T163" s="1822"/>
      <c r="U163" s="1822"/>
      <c r="V163" s="1822"/>
    </row>
    <row r="164" spans="1:22">
      <c r="A164" s="1868"/>
      <c r="B164" s="1866"/>
      <c r="C164" s="1866"/>
      <c r="D164" s="1867"/>
      <c r="E164" s="1477" t="s">
        <v>2943</v>
      </c>
      <c r="F164" s="1388"/>
    </row>
    <row r="165" spans="1:22" s="1834" customFormat="1">
      <c r="A165" s="1865"/>
      <c r="B165" s="1866"/>
      <c r="C165" s="1866"/>
      <c r="D165" s="1867"/>
      <c r="E165" s="1477" t="s">
        <v>2943</v>
      </c>
      <c r="G165" s="1994" t="s">
        <v>3113</v>
      </c>
      <c r="H165" s="1963" t="s">
        <v>3114</v>
      </c>
      <c r="I165" s="1822"/>
      <c r="J165" s="1822"/>
      <c r="K165" s="1822"/>
      <c r="L165" s="1822"/>
      <c r="M165" s="1822"/>
      <c r="N165" s="1822"/>
      <c r="O165" s="1822"/>
      <c r="P165" s="1822"/>
      <c r="Q165" s="1822"/>
      <c r="S165" s="1822"/>
      <c r="T165" s="1822"/>
      <c r="U165" s="1822"/>
      <c r="V165" s="1822"/>
    </row>
    <row r="166" spans="1:22" s="1834" customFormat="1">
      <c r="A166" s="1865"/>
      <c r="B166" s="1866"/>
      <c r="C166" s="1866"/>
      <c r="D166" s="1867"/>
      <c r="E166" s="1477" t="s">
        <v>2943</v>
      </c>
      <c r="F166" s="1388"/>
      <c r="G166" s="2000" t="s">
        <v>2798</v>
      </c>
      <c r="H166" s="1822"/>
      <c r="I166" s="1822"/>
      <c r="J166" s="1822"/>
      <c r="K166" s="1822"/>
      <c r="L166" s="1822"/>
      <c r="M166" s="1822"/>
      <c r="N166" s="1822"/>
      <c r="O166" s="1822"/>
      <c r="P166" s="1822"/>
      <c r="Q166" s="1822"/>
      <c r="S166" s="1822"/>
      <c r="T166" s="1822"/>
      <c r="U166" s="1822"/>
      <c r="V166" s="1822"/>
    </row>
    <row r="167" spans="1:22" ht="42">
      <c r="A167" s="1868"/>
      <c r="B167" s="1866"/>
      <c r="C167" s="1911" t="s">
        <v>3092</v>
      </c>
      <c r="D167" s="1867"/>
      <c r="E167" s="1477" t="s">
        <v>2943</v>
      </c>
      <c r="F167" s="1388"/>
      <c r="G167" s="1963" t="s">
        <v>3093</v>
      </c>
      <c r="H167" s="1822"/>
      <c r="I167" s="1823" t="s">
        <v>3094</v>
      </c>
      <c r="J167" s="1822" t="s">
        <v>3115</v>
      </c>
      <c r="N167" s="1974" t="s">
        <v>2555</v>
      </c>
      <c r="O167" s="1975" t="s">
        <v>2556</v>
      </c>
      <c r="Q167" s="1822"/>
      <c r="R167" s="1919"/>
    </row>
    <row r="168" spans="1:22" s="1834" customFormat="1">
      <c r="A168" s="1914" t="s">
        <v>3096</v>
      </c>
      <c r="B168" s="1866"/>
      <c r="C168" s="1866"/>
      <c r="D168" s="1867"/>
      <c r="E168" s="1477" t="s">
        <v>2943</v>
      </c>
      <c r="F168" s="1388"/>
      <c r="G168" s="1822" t="s">
        <v>3116</v>
      </c>
      <c r="H168" s="1976" t="s">
        <v>3098</v>
      </c>
      <c r="I168" s="1823"/>
      <c r="J168" s="1822"/>
      <c r="K168" s="1822"/>
      <c r="L168" s="1822"/>
      <c r="M168" s="1822"/>
      <c r="N168" s="1822"/>
      <c r="O168" s="1975" t="s">
        <v>2555</v>
      </c>
      <c r="P168" s="1822"/>
      <c r="S168" s="1822"/>
      <c r="T168" s="1822"/>
      <c r="U168" s="1822"/>
      <c r="V168" s="1822"/>
    </row>
    <row r="169" spans="1:22" s="1834" customFormat="1">
      <c r="A169" s="1865"/>
      <c r="B169" s="1866"/>
      <c r="C169" s="1866"/>
      <c r="D169" s="1867"/>
      <c r="E169" s="1477" t="s">
        <v>2943</v>
      </c>
      <c r="F169" s="1388"/>
      <c r="G169" s="1821"/>
      <c r="H169" s="1823" t="s">
        <v>2274</v>
      </c>
      <c r="I169" s="1823"/>
      <c r="J169" s="1822"/>
      <c r="K169" s="1977"/>
      <c r="L169" s="1977"/>
      <c r="M169" s="1903"/>
      <c r="N169" s="1903"/>
      <c r="O169" s="1978"/>
      <c r="P169" s="1903"/>
      <c r="Q169" s="1903"/>
      <c r="S169" s="1822"/>
      <c r="T169" s="1822"/>
      <c r="U169" s="1822"/>
      <c r="V169" s="1822"/>
    </row>
    <row r="170" spans="1:22" s="1834" customFormat="1">
      <c r="A170" s="1865"/>
      <c r="B170" s="1866"/>
      <c r="C170" s="1866"/>
      <c r="D170" s="1867"/>
      <c r="E170" s="1477" t="s">
        <v>2943</v>
      </c>
      <c r="F170" s="1388"/>
      <c r="G170" s="1821"/>
      <c r="H170" s="1823" t="s">
        <v>2275</v>
      </c>
      <c r="I170" s="1823"/>
      <c r="J170" s="1822"/>
      <c r="K170" s="1977"/>
      <c r="L170" s="1977"/>
      <c r="M170" s="1903"/>
      <c r="N170" s="1903"/>
      <c r="O170" s="1978"/>
      <c r="P170" s="1903"/>
      <c r="Q170" s="1903"/>
      <c r="S170" s="1822"/>
      <c r="T170" s="1822"/>
      <c r="U170" s="1822"/>
      <c r="V170" s="1822"/>
    </row>
    <row r="171" spans="1:22" s="1834" customFormat="1">
      <c r="A171" s="1865"/>
      <c r="B171" s="1866"/>
      <c r="C171" s="1866"/>
      <c r="D171" s="1867"/>
      <c r="E171" s="1477" t="s">
        <v>2943</v>
      </c>
      <c r="F171" s="1388"/>
      <c r="G171" s="1821"/>
      <c r="H171" s="1823" t="s">
        <v>2276</v>
      </c>
      <c r="I171" s="1823"/>
      <c r="J171" s="1822"/>
      <c r="K171" s="1977"/>
      <c r="L171" s="1977"/>
      <c r="M171" s="1903"/>
      <c r="N171" s="1903"/>
      <c r="O171" s="1978"/>
      <c r="P171" s="1903"/>
      <c r="Q171" s="1903"/>
      <c r="S171" s="1822"/>
      <c r="T171" s="1822"/>
      <c r="U171" s="1822"/>
      <c r="V171" s="1822"/>
    </row>
    <row r="172" spans="1:22" s="1834" customFormat="1">
      <c r="A172" s="1865"/>
      <c r="B172" s="1866"/>
      <c r="C172" s="1866"/>
      <c r="D172" s="1867"/>
      <c r="E172" s="1477" t="s">
        <v>2943</v>
      </c>
      <c r="F172" s="1388"/>
      <c r="G172" s="1821"/>
      <c r="H172" s="1823" t="s">
        <v>2277</v>
      </c>
      <c r="I172" s="1864"/>
      <c r="J172" s="1948"/>
      <c r="K172" s="1995"/>
      <c r="L172" s="1995"/>
      <c r="M172" s="1996"/>
      <c r="N172" s="1996"/>
      <c r="O172" s="1997"/>
      <c r="P172" s="1996"/>
      <c r="Q172" s="1996"/>
      <c r="S172" s="1822"/>
      <c r="T172" s="1822"/>
      <c r="U172" s="1822"/>
      <c r="V172" s="1822"/>
    </row>
    <row r="173" spans="1:22" s="1834" customFormat="1">
      <c r="A173" s="1865"/>
      <c r="B173" s="1866"/>
      <c r="C173" s="1866"/>
      <c r="D173" s="1867"/>
      <c r="E173" s="1477" t="s">
        <v>2943</v>
      </c>
      <c r="F173" s="1388"/>
      <c r="G173" s="1821"/>
      <c r="H173" s="1823"/>
      <c r="I173" s="1823"/>
      <c r="J173" s="1822"/>
      <c r="K173" s="1822"/>
      <c r="L173" s="1822"/>
      <c r="M173" s="1822"/>
      <c r="N173" s="1822"/>
      <c r="O173" s="1828"/>
      <c r="P173" s="1822"/>
      <c r="S173" s="1822"/>
      <c r="T173" s="1822"/>
      <c r="U173" s="1822"/>
      <c r="V173" s="1822"/>
    </row>
    <row r="174" spans="1:22" s="1834" customFormat="1">
      <c r="A174" s="1865"/>
      <c r="B174" s="1866"/>
      <c r="C174" s="1866"/>
      <c r="D174" s="1867"/>
      <c r="E174" s="1477" t="s">
        <v>2943</v>
      </c>
      <c r="F174" s="1388"/>
      <c r="G174" s="1822" t="s">
        <v>3117</v>
      </c>
      <c r="H174" s="1976" t="s">
        <v>2557</v>
      </c>
      <c r="I174" s="1823"/>
      <c r="J174" s="1822"/>
      <c r="K174" s="1822"/>
      <c r="L174" s="1822"/>
      <c r="M174" s="1822"/>
      <c r="N174" s="1822"/>
      <c r="O174" s="1828"/>
      <c r="P174" s="1822"/>
      <c r="S174" s="1822"/>
      <c r="T174" s="1822"/>
      <c r="U174" s="1822"/>
      <c r="V174" s="1822"/>
    </row>
    <row r="175" spans="1:22" s="1834" customFormat="1">
      <c r="A175" s="1865"/>
      <c r="B175" s="1866"/>
      <c r="C175" s="1866"/>
      <c r="D175" s="1867"/>
      <c r="E175" s="1477" t="s">
        <v>2943</v>
      </c>
      <c r="F175" s="1388"/>
      <c r="G175" s="1821"/>
      <c r="H175" s="1823" t="s">
        <v>2270</v>
      </c>
      <c r="I175" s="1823"/>
      <c r="J175" s="1822" t="s">
        <v>2558</v>
      </c>
      <c r="K175" s="1977"/>
      <c r="L175" s="1977"/>
      <c r="M175" s="1903"/>
      <c r="N175" s="1903"/>
      <c r="O175" s="1978"/>
      <c r="P175" s="1903"/>
      <c r="Q175" s="1903"/>
      <c r="S175" s="1822"/>
      <c r="T175" s="1822"/>
      <c r="U175" s="1822"/>
      <c r="V175" s="1822"/>
    </row>
    <row r="176" spans="1:22" s="1834" customFormat="1">
      <c r="A176" s="1865"/>
      <c r="B176" s="1866"/>
      <c r="C176" s="1866"/>
      <c r="D176" s="1867"/>
      <c r="E176" s="1477" t="s">
        <v>2943</v>
      </c>
      <c r="F176" s="1388"/>
      <c r="G176" s="1821"/>
      <c r="H176" s="1823" t="s">
        <v>2271</v>
      </c>
      <c r="I176" s="1823"/>
      <c r="J176" s="1822" t="s">
        <v>2558</v>
      </c>
      <c r="K176" s="1977"/>
      <c r="L176" s="1977"/>
      <c r="M176" s="1903"/>
      <c r="N176" s="1903"/>
      <c r="O176" s="1978"/>
      <c r="P176" s="1903"/>
      <c r="Q176" s="1903"/>
      <c r="S176" s="1822"/>
      <c r="T176" s="1822"/>
      <c r="U176" s="1822"/>
      <c r="V176" s="1822"/>
    </row>
    <row r="177" spans="1:22" s="1834" customFormat="1">
      <c r="A177" s="1865"/>
      <c r="B177" s="1866"/>
      <c r="C177" s="1866"/>
      <c r="D177" s="1867"/>
      <c r="E177" s="1477" t="s">
        <v>2943</v>
      </c>
      <c r="F177" s="1388"/>
      <c r="G177" s="1821"/>
      <c r="H177" s="1823" t="s">
        <v>2272</v>
      </c>
      <c r="I177" s="1823"/>
      <c r="J177" s="1822" t="s">
        <v>2558</v>
      </c>
      <c r="K177" s="1977"/>
      <c r="L177" s="1977"/>
      <c r="M177" s="1903"/>
      <c r="N177" s="1903"/>
      <c r="O177" s="1978"/>
      <c r="P177" s="1903"/>
      <c r="Q177" s="1903"/>
      <c r="S177" s="1822"/>
      <c r="T177" s="1822"/>
      <c r="U177" s="1822"/>
      <c r="V177" s="1822"/>
    </row>
    <row r="178" spans="1:22" s="1834" customFormat="1">
      <c r="A178" s="1865"/>
      <c r="B178" s="1866"/>
      <c r="C178" s="1866"/>
      <c r="D178" s="1867"/>
      <c r="E178" s="1477" t="s">
        <v>2943</v>
      </c>
      <c r="F178" s="1388"/>
      <c r="G178" s="1821"/>
      <c r="H178" s="1823" t="s">
        <v>2273</v>
      </c>
      <c r="I178" s="1823"/>
      <c r="J178" s="1822" t="s">
        <v>2558</v>
      </c>
      <c r="K178" s="1977"/>
      <c r="L178" s="1977"/>
      <c r="M178" s="1903"/>
      <c r="N178" s="1903"/>
      <c r="O178" s="1978"/>
      <c r="P178" s="1903"/>
      <c r="Q178" s="1903"/>
      <c r="S178" s="1822"/>
      <c r="T178" s="1822"/>
      <c r="U178" s="1822"/>
      <c r="V178" s="1822"/>
    </row>
    <row r="179" spans="1:22" s="1834" customFormat="1">
      <c r="A179" s="1865"/>
      <c r="B179" s="1866"/>
      <c r="C179" s="1866"/>
      <c r="D179" s="1867"/>
      <c r="E179" s="1477" t="s">
        <v>2943</v>
      </c>
      <c r="F179" s="1388"/>
      <c r="G179" s="1821"/>
      <c r="H179" s="1981"/>
      <c r="I179" s="1981"/>
      <c r="J179" s="1982"/>
      <c r="K179" s="1982"/>
      <c r="L179" s="1982"/>
      <c r="M179" s="1982"/>
      <c r="N179" s="1982"/>
      <c r="O179" s="1983"/>
      <c r="P179" s="1982"/>
      <c r="Q179" s="1984"/>
      <c r="S179" s="1822"/>
      <c r="T179" s="1822"/>
      <c r="U179" s="1822"/>
      <c r="V179" s="1822"/>
    </row>
    <row r="180" spans="1:22" s="1834" customFormat="1" ht="42">
      <c r="A180" s="1868"/>
      <c r="B180" s="1866"/>
      <c r="C180" s="1911" t="s">
        <v>3092</v>
      </c>
      <c r="D180" s="1867"/>
      <c r="E180" s="1477" t="s">
        <v>2943</v>
      </c>
      <c r="F180" s="1388"/>
      <c r="G180" s="1963" t="s">
        <v>3100</v>
      </c>
      <c r="H180" s="1822"/>
      <c r="I180" s="1823" t="s">
        <v>3101</v>
      </c>
      <c r="J180" s="1822" t="s">
        <v>3118</v>
      </c>
      <c r="K180" s="1822"/>
      <c r="L180" s="1822"/>
      <c r="M180" s="1822"/>
      <c r="N180" s="1974" t="s">
        <v>2561</v>
      </c>
      <c r="O180" s="1975" t="s">
        <v>2560</v>
      </c>
      <c r="P180" s="1948"/>
      <c r="Q180" s="1969"/>
      <c r="S180" s="1822"/>
      <c r="T180" s="1822"/>
      <c r="U180" s="1822"/>
      <c r="V180" s="1822"/>
    </row>
    <row r="181" spans="1:22" s="1834" customFormat="1">
      <c r="A181" s="1865"/>
      <c r="B181" s="1866"/>
      <c r="C181" s="1866"/>
      <c r="D181" s="1867"/>
      <c r="E181" s="1477" t="s">
        <v>2943</v>
      </c>
      <c r="F181" s="1388"/>
      <c r="G181" s="1822" t="s">
        <v>3119</v>
      </c>
      <c r="H181" s="1976" t="s">
        <v>2559</v>
      </c>
      <c r="I181" s="1823"/>
      <c r="K181" s="1822"/>
      <c r="L181" s="1822"/>
      <c r="M181" s="1822"/>
      <c r="N181" s="1822"/>
      <c r="O181" s="1975" t="s">
        <v>2561</v>
      </c>
      <c r="P181" s="1822"/>
      <c r="S181" s="1822"/>
      <c r="T181" s="1822"/>
      <c r="U181" s="1822"/>
      <c r="V181" s="1822"/>
    </row>
    <row r="182" spans="1:22" s="1834" customFormat="1">
      <c r="A182" s="1865"/>
      <c r="B182" s="1866"/>
      <c r="C182" s="1866"/>
      <c r="D182" s="1867"/>
      <c r="E182" s="1477" t="s">
        <v>2943</v>
      </c>
      <c r="F182" s="1388"/>
      <c r="G182" s="1821"/>
      <c r="H182" s="1823" t="s">
        <v>2270</v>
      </c>
      <c r="I182" s="1823"/>
      <c r="J182" s="1822"/>
      <c r="K182" s="1977"/>
      <c r="L182" s="1977"/>
      <c r="M182" s="1903"/>
      <c r="N182" s="1903"/>
      <c r="O182" s="1978"/>
      <c r="P182" s="1903"/>
      <c r="Q182" s="1903"/>
      <c r="S182" s="1822"/>
      <c r="T182" s="1822"/>
      <c r="U182" s="1822"/>
      <c r="V182" s="1822"/>
    </row>
    <row r="183" spans="1:22" s="1834" customFormat="1">
      <c r="A183" s="1865"/>
      <c r="B183" s="1866"/>
      <c r="C183" s="1866"/>
      <c r="D183" s="1867"/>
      <c r="E183" s="1477" t="s">
        <v>2943</v>
      </c>
      <c r="F183" s="1388"/>
      <c r="G183" s="1821"/>
      <c r="H183" s="1823" t="s">
        <v>2271</v>
      </c>
      <c r="I183" s="1823"/>
      <c r="J183" s="1822"/>
      <c r="K183" s="1977"/>
      <c r="L183" s="1977"/>
      <c r="M183" s="1903"/>
      <c r="N183" s="1903"/>
      <c r="O183" s="1978"/>
      <c r="P183" s="1903"/>
      <c r="Q183" s="1903"/>
      <c r="S183" s="1822"/>
      <c r="T183" s="1822"/>
      <c r="U183" s="1822"/>
      <c r="V183" s="1822"/>
    </row>
    <row r="184" spans="1:22" s="1834" customFormat="1">
      <c r="A184" s="1865"/>
      <c r="B184" s="1866"/>
      <c r="C184" s="1866"/>
      <c r="D184" s="1867"/>
      <c r="E184" s="1477" t="s">
        <v>2943</v>
      </c>
      <c r="F184" s="1388"/>
      <c r="G184" s="1821"/>
      <c r="H184" s="1823" t="s">
        <v>2272</v>
      </c>
      <c r="I184" s="1823"/>
      <c r="J184" s="1822"/>
      <c r="K184" s="1977"/>
      <c r="L184" s="1977"/>
      <c r="M184" s="1903"/>
      <c r="N184" s="1903"/>
      <c r="O184" s="1978"/>
      <c r="P184" s="1903"/>
      <c r="Q184" s="1903"/>
      <c r="S184" s="1822"/>
      <c r="T184" s="1822"/>
      <c r="U184" s="1822"/>
      <c r="V184" s="1822"/>
    </row>
    <row r="185" spans="1:22" s="1834" customFormat="1">
      <c r="A185" s="1865"/>
      <c r="B185" s="1866"/>
      <c r="C185" s="1866"/>
      <c r="D185" s="1867"/>
      <c r="E185" s="1477" t="s">
        <v>2943</v>
      </c>
      <c r="F185" s="1388"/>
      <c r="G185" s="1821"/>
      <c r="H185" s="1823" t="s">
        <v>2273</v>
      </c>
      <c r="I185" s="1823"/>
      <c r="J185" s="1822"/>
      <c r="K185" s="1977"/>
      <c r="L185" s="1977"/>
      <c r="M185" s="1903"/>
      <c r="N185" s="1903"/>
      <c r="O185" s="1978"/>
      <c r="P185" s="1903"/>
      <c r="Q185" s="1903"/>
      <c r="S185" s="1822"/>
      <c r="T185" s="1822"/>
      <c r="U185" s="1822"/>
      <c r="V185" s="1822"/>
    </row>
    <row r="186" spans="1:22" s="1834" customFormat="1">
      <c r="A186" s="1865"/>
      <c r="B186" s="1866"/>
      <c r="C186" s="1866"/>
      <c r="D186" s="1867"/>
      <c r="E186" s="1477" t="s">
        <v>2943</v>
      </c>
      <c r="F186" s="1388"/>
      <c r="G186" s="1821"/>
      <c r="H186" s="1823"/>
      <c r="I186" s="1823"/>
      <c r="J186" s="1822"/>
      <c r="K186" s="1977"/>
      <c r="L186" s="1977"/>
      <c r="M186" s="1903"/>
      <c r="N186" s="1903"/>
      <c r="O186" s="1978"/>
      <c r="P186" s="1903"/>
      <c r="Q186" s="1903"/>
      <c r="S186" s="1822"/>
      <c r="T186" s="1822"/>
      <c r="U186" s="1822"/>
      <c r="V186" s="1822"/>
    </row>
    <row r="187" spans="1:22" s="1834" customFormat="1">
      <c r="A187" s="1865"/>
      <c r="B187" s="1866"/>
      <c r="C187" s="1866"/>
      <c r="D187" s="1867"/>
      <c r="E187" s="1477" t="s">
        <v>2943</v>
      </c>
      <c r="F187" s="1388"/>
      <c r="G187" s="1822" t="s">
        <v>3120</v>
      </c>
      <c r="H187" s="1976" t="s">
        <v>2562</v>
      </c>
      <c r="I187" s="1823"/>
      <c r="J187" s="1822"/>
      <c r="K187" s="1822"/>
      <c r="L187" s="1822"/>
      <c r="M187" s="1822"/>
      <c r="N187" s="1822"/>
      <c r="O187" s="1828"/>
      <c r="P187" s="1822"/>
      <c r="S187" s="1822"/>
      <c r="T187" s="1822"/>
      <c r="U187" s="1822"/>
      <c r="V187" s="1822"/>
    </row>
    <row r="188" spans="1:22" s="1834" customFormat="1">
      <c r="A188" s="1865"/>
      <c r="B188" s="1866"/>
      <c r="C188" s="1866"/>
      <c r="D188" s="1867"/>
      <c r="E188" s="1477" t="s">
        <v>2943</v>
      </c>
      <c r="F188" s="1388"/>
      <c r="G188" s="1821"/>
      <c r="H188" s="1823" t="s">
        <v>2270</v>
      </c>
      <c r="I188" s="1823"/>
      <c r="J188" s="1822" t="s">
        <v>3190</v>
      </c>
      <c r="K188" s="1977"/>
      <c r="L188" s="1977"/>
      <c r="M188" s="1903"/>
      <c r="N188" s="1903"/>
      <c r="O188" s="1978"/>
      <c r="P188" s="1903"/>
      <c r="Q188" s="1903"/>
      <c r="S188" s="1822"/>
      <c r="T188" s="1822"/>
      <c r="U188" s="1822"/>
      <c r="V188" s="1822"/>
    </row>
    <row r="189" spans="1:22" s="1834" customFormat="1">
      <c r="A189" s="1865"/>
      <c r="B189" s="1866"/>
      <c r="C189" s="1866"/>
      <c r="D189" s="1867"/>
      <c r="E189" s="1477" t="s">
        <v>2943</v>
      </c>
      <c r="F189" s="1388"/>
      <c r="G189" s="1821"/>
      <c r="H189" s="1823" t="s">
        <v>2271</v>
      </c>
      <c r="I189" s="1823"/>
      <c r="J189" s="1822" t="s">
        <v>3190</v>
      </c>
      <c r="K189" s="1977"/>
      <c r="L189" s="1977"/>
      <c r="M189" s="1903"/>
      <c r="N189" s="1903"/>
      <c r="O189" s="1978"/>
      <c r="P189" s="1903"/>
      <c r="Q189" s="1903"/>
      <c r="S189" s="1822"/>
      <c r="T189" s="1822"/>
      <c r="U189" s="1822"/>
      <c r="V189" s="1822"/>
    </row>
    <row r="190" spans="1:22" s="1834" customFormat="1">
      <c r="A190" s="1865"/>
      <c r="B190" s="1866"/>
      <c r="C190" s="1866"/>
      <c r="D190" s="1867"/>
      <c r="E190" s="1477" t="s">
        <v>2943</v>
      </c>
      <c r="F190" s="1388"/>
      <c r="G190" s="1821"/>
      <c r="H190" s="1823" t="s">
        <v>2272</v>
      </c>
      <c r="I190" s="1823"/>
      <c r="J190" s="1822" t="s">
        <v>3190</v>
      </c>
      <c r="K190" s="1977"/>
      <c r="L190" s="1977"/>
      <c r="M190" s="1903"/>
      <c r="N190" s="1903"/>
      <c r="O190" s="1978"/>
      <c r="P190" s="1903"/>
      <c r="Q190" s="1903"/>
      <c r="S190" s="1822"/>
      <c r="T190" s="1822"/>
      <c r="U190" s="1822"/>
      <c r="V190" s="1822"/>
    </row>
    <row r="191" spans="1:22" s="1834" customFormat="1" ht="16" thickBot="1">
      <c r="A191" s="1865"/>
      <c r="B191" s="1866"/>
      <c r="C191" s="1866"/>
      <c r="D191" s="1867"/>
      <c r="E191" s="1477" t="s">
        <v>2943</v>
      </c>
      <c r="F191" s="1388"/>
      <c r="G191" s="1985"/>
      <c r="H191" s="1986" t="s">
        <v>2273</v>
      </c>
      <c r="I191" s="1986"/>
      <c r="J191" s="1987" t="s">
        <v>3190</v>
      </c>
      <c r="K191" s="1988"/>
      <c r="L191" s="1988"/>
      <c r="M191" s="1989"/>
      <c r="N191" s="1989"/>
      <c r="O191" s="1990"/>
      <c r="P191" s="1989"/>
      <c r="Q191" s="1989"/>
      <c r="S191" s="1822"/>
      <c r="T191" s="1822"/>
      <c r="U191" s="1822"/>
      <c r="V191" s="1822"/>
    </row>
    <row r="192" spans="1:22">
      <c r="A192" s="1865"/>
      <c r="B192" s="1866"/>
      <c r="C192" s="1866"/>
      <c r="D192" s="1867"/>
      <c r="E192" s="1477" t="s">
        <v>2943</v>
      </c>
      <c r="F192" s="1388"/>
    </row>
    <row r="193" spans="1:22" s="1834" customFormat="1">
      <c r="A193" s="1868"/>
      <c r="B193" s="1866"/>
      <c r="C193" s="1866"/>
      <c r="D193" s="1920" t="s">
        <v>3121</v>
      </c>
      <c r="E193" s="1477" t="s">
        <v>2943</v>
      </c>
      <c r="F193" s="1388"/>
      <c r="G193" s="1877" t="s">
        <v>3122</v>
      </c>
      <c r="H193" s="1905"/>
      <c r="I193" s="2001"/>
      <c r="J193" s="1971"/>
      <c r="K193" s="1971" t="s">
        <v>2787</v>
      </c>
      <c r="L193" s="1971" t="s">
        <v>2548</v>
      </c>
      <c r="M193" s="1971" t="str">
        <f>M107</f>
        <v>Year 1</v>
      </c>
      <c r="N193" s="1971" t="str">
        <f>N107</f>
        <v>Year 2</v>
      </c>
      <c r="O193" s="1972" t="str">
        <f>O107</f>
        <v>Year 3</v>
      </c>
      <c r="P193" s="1971" t="str">
        <f>P107</f>
        <v>Year 4</v>
      </c>
      <c r="Q193" s="1971" t="str">
        <f>Q107</f>
        <v>Year 5</v>
      </c>
      <c r="S193" s="1822"/>
      <c r="T193" s="1822"/>
      <c r="U193" s="1822"/>
      <c r="V193" s="1822"/>
    </row>
    <row r="194" spans="1:22" s="1834" customFormat="1">
      <c r="A194" s="1868"/>
      <c r="B194" s="1866"/>
      <c r="C194" s="1866"/>
      <c r="D194" s="1867"/>
      <c r="E194" s="1477" t="s">
        <v>2943</v>
      </c>
      <c r="F194" s="1388"/>
      <c r="G194" s="1960"/>
      <c r="H194" s="1886"/>
      <c r="I194" s="1960"/>
      <c r="J194" s="1963"/>
      <c r="K194" s="1963"/>
      <c r="L194" s="1963"/>
      <c r="M194" s="1963"/>
      <c r="N194" s="1963"/>
      <c r="O194" s="1973"/>
      <c r="P194" s="1963"/>
      <c r="Q194" s="1963"/>
      <c r="S194" s="1822"/>
      <c r="T194" s="1822"/>
      <c r="U194" s="1822"/>
      <c r="V194" s="1822"/>
    </row>
    <row r="195" spans="1:22" s="1834" customFormat="1">
      <c r="A195" s="1868"/>
      <c r="B195" s="1866"/>
      <c r="C195" s="1866"/>
      <c r="D195" s="1867"/>
      <c r="E195" s="1477" t="s">
        <v>2943</v>
      </c>
      <c r="F195" s="1388"/>
      <c r="G195" s="1960" t="s">
        <v>3123</v>
      </c>
      <c r="H195" s="2002" t="s">
        <v>3124</v>
      </c>
      <c r="I195" s="2003"/>
      <c r="J195" s="1963"/>
      <c r="K195" s="1963"/>
      <c r="L195" s="1963"/>
      <c r="M195" s="1963"/>
      <c r="N195" s="1963"/>
      <c r="O195" s="1973"/>
      <c r="P195" s="1963"/>
      <c r="Q195" s="1963"/>
      <c r="S195" s="1822"/>
      <c r="T195" s="1822"/>
      <c r="U195" s="1822"/>
      <c r="V195" s="1822"/>
    </row>
    <row r="196" spans="1:22" s="1834" customFormat="1">
      <c r="A196" s="1914" t="s">
        <v>3125</v>
      </c>
      <c r="B196" s="1866"/>
      <c r="C196" s="1866"/>
      <c r="D196" s="1867"/>
      <c r="E196" s="1477" t="s">
        <v>2943</v>
      </c>
      <c r="F196" s="1388"/>
      <c r="G196" s="1960"/>
      <c r="H196" s="1886"/>
      <c r="I196" s="1823" t="s">
        <v>3126</v>
      </c>
      <c r="J196" s="1822" t="s">
        <v>3127</v>
      </c>
      <c r="K196" s="1963"/>
      <c r="L196" s="1963"/>
      <c r="M196" s="1963"/>
      <c r="N196" s="1974" t="s">
        <v>3128</v>
      </c>
      <c r="O196" s="1822" t="s">
        <v>3129</v>
      </c>
      <c r="P196" s="1963"/>
      <c r="Q196" s="1963"/>
      <c r="S196" s="1822"/>
      <c r="T196" s="1822"/>
      <c r="U196" s="1822"/>
      <c r="V196" s="1822"/>
    </row>
    <row r="197" spans="1:22" s="1834" customFormat="1">
      <c r="A197" s="1868"/>
      <c r="B197" s="1866"/>
      <c r="C197" s="1866"/>
      <c r="D197" s="1867"/>
      <c r="E197" s="1477" t="s">
        <v>2943</v>
      </c>
      <c r="F197" s="1388"/>
      <c r="H197" s="1960"/>
      <c r="I197" s="1960"/>
      <c r="J197" s="1963"/>
      <c r="K197" s="1963"/>
      <c r="L197" s="1963"/>
      <c r="M197" s="1963"/>
      <c r="O197" s="1822" t="s">
        <v>3130</v>
      </c>
      <c r="P197" s="1963"/>
      <c r="Q197" s="1963"/>
      <c r="S197" s="1822"/>
      <c r="T197" s="1822"/>
      <c r="U197" s="1822"/>
      <c r="V197" s="1822"/>
    </row>
    <row r="198" spans="1:22" s="1834" customFormat="1">
      <c r="A198" s="1868"/>
      <c r="B198" s="1866"/>
      <c r="C198" s="1866"/>
      <c r="D198" s="1867"/>
      <c r="E198" s="1477" t="s">
        <v>2943</v>
      </c>
      <c r="F198" s="1388"/>
      <c r="G198" s="1834" t="s">
        <v>3131</v>
      </c>
      <c r="H198" s="1976" t="s">
        <v>1921</v>
      </c>
      <c r="I198" s="1823"/>
      <c r="J198" s="1822"/>
      <c r="K198" s="1822"/>
      <c r="L198" s="1822"/>
      <c r="M198" s="1822"/>
      <c r="N198" s="1822"/>
      <c r="O198" s="1828"/>
      <c r="P198" s="1822"/>
      <c r="S198" s="1822"/>
      <c r="T198" s="1822"/>
      <c r="U198" s="1822"/>
      <c r="V198" s="1822"/>
    </row>
    <row r="199" spans="1:22" s="1834" customFormat="1">
      <c r="A199" s="1868"/>
      <c r="B199" s="1866"/>
      <c r="C199" s="1911" t="s">
        <v>3042</v>
      </c>
      <c r="D199" s="1867"/>
      <c r="E199" s="1477" t="s">
        <v>2943</v>
      </c>
      <c r="F199" s="1388"/>
      <c r="H199" s="1821" t="s">
        <v>2431</v>
      </c>
      <c r="I199" s="1823"/>
      <c r="J199" s="1822" t="s">
        <v>3191</v>
      </c>
      <c r="K199" s="1977"/>
      <c r="L199" s="1977"/>
      <c r="M199" s="1903"/>
      <c r="N199" s="1903"/>
      <c r="O199" s="1978"/>
      <c r="P199" s="1903"/>
      <c r="Q199" s="1903"/>
      <c r="S199" s="1822"/>
      <c r="T199" s="1822"/>
      <c r="U199" s="1822"/>
      <c r="V199" s="1822"/>
    </row>
    <row r="200" spans="1:22" s="1834" customFormat="1">
      <c r="A200" s="1868"/>
      <c r="B200" s="1866"/>
      <c r="C200" s="1866"/>
      <c r="D200" s="1867"/>
      <c r="E200" s="1477" t="s">
        <v>2943</v>
      </c>
      <c r="F200" s="1388"/>
      <c r="H200" s="1821" t="s">
        <v>2432</v>
      </c>
      <c r="I200" s="1823"/>
      <c r="J200" s="1822" t="s">
        <v>3191</v>
      </c>
      <c r="K200" s="1977"/>
      <c r="L200" s="1977"/>
      <c r="M200" s="1903"/>
      <c r="N200" s="1903"/>
      <c r="O200" s="1978"/>
      <c r="P200" s="1903"/>
      <c r="Q200" s="1903"/>
      <c r="S200" s="1822"/>
      <c r="T200" s="1822"/>
      <c r="U200" s="1822"/>
      <c r="V200" s="1822"/>
    </row>
    <row r="201" spans="1:22" s="1834" customFormat="1">
      <c r="A201" s="1868"/>
      <c r="B201" s="1866"/>
      <c r="C201" s="1866"/>
      <c r="D201" s="1867"/>
      <c r="E201" s="1477" t="s">
        <v>2943</v>
      </c>
      <c r="F201" s="1388"/>
      <c r="H201" s="1821" t="s">
        <v>2433</v>
      </c>
      <c r="I201" s="1823"/>
      <c r="J201" s="1822" t="s">
        <v>3191</v>
      </c>
      <c r="K201" s="1977"/>
      <c r="L201" s="1977"/>
      <c r="M201" s="1903"/>
      <c r="N201" s="1903"/>
      <c r="O201" s="1978"/>
      <c r="P201" s="1903"/>
      <c r="Q201" s="1903"/>
      <c r="S201" s="1822"/>
      <c r="T201" s="1822"/>
      <c r="U201" s="1822"/>
      <c r="V201" s="1822"/>
    </row>
    <row r="202" spans="1:22" s="1834" customFormat="1">
      <c r="A202" s="1868"/>
      <c r="B202" s="1866"/>
      <c r="C202" s="1866"/>
      <c r="D202" s="1867"/>
      <c r="E202" s="1477" t="s">
        <v>2943</v>
      </c>
      <c r="F202" s="1388"/>
      <c r="H202" s="1821" t="s">
        <v>2434</v>
      </c>
      <c r="I202" s="1823"/>
      <c r="J202" s="1822" t="s">
        <v>3191</v>
      </c>
      <c r="K202" s="1977"/>
      <c r="L202" s="1977"/>
      <c r="M202" s="1903"/>
      <c r="N202" s="1903"/>
      <c r="O202" s="1978"/>
      <c r="P202" s="1903"/>
      <c r="Q202" s="1903"/>
      <c r="S202" s="1822"/>
      <c r="T202" s="1822"/>
      <c r="U202" s="1822"/>
      <c r="V202" s="1822"/>
    </row>
    <row r="203" spans="1:22" s="1834" customFormat="1">
      <c r="A203" s="1868"/>
      <c r="B203" s="1866"/>
      <c r="C203" s="1866"/>
      <c r="D203" s="1867"/>
      <c r="E203" s="1477" t="s">
        <v>2943</v>
      </c>
      <c r="F203" s="1388"/>
      <c r="G203" s="1821"/>
      <c r="I203" s="1823"/>
      <c r="J203" s="1822"/>
      <c r="K203" s="1822"/>
      <c r="L203" s="1822"/>
      <c r="M203" s="1822"/>
      <c r="N203" s="1822"/>
      <c r="O203" s="1828"/>
      <c r="P203" s="1822"/>
      <c r="S203" s="1822"/>
      <c r="T203" s="1822"/>
      <c r="U203" s="1822"/>
      <c r="V203" s="1822"/>
    </row>
    <row r="204" spans="1:22" s="1834" customFormat="1">
      <c r="A204" s="1868"/>
      <c r="B204" s="1866"/>
      <c r="C204" s="1866"/>
      <c r="D204" s="1867"/>
      <c r="E204" s="1477" t="s">
        <v>2943</v>
      </c>
      <c r="F204" s="1388"/>
      <c r="G204" s="1834" t="s">
        <v>3132</v>
      </c>
      <c r="H204" s="1821" t="s">
        <v>2442</v>
      </c>
      <c r="J204" s="1822"/>
      <c r="K204" s="1977"/>
      <c r="L204" s="1977"/>
      <c r="M204" s="1903"/>
      <c r="N204" s="1903"/>
      <c r="O204" s="1978"/>
      <c r="P204" s="1903"/>
      <c r="Q204" s="1903"/>
      <c r="S204" s="1822"/>
      <c r="T204" s="1822"/>
      <c r="U204" s="1822"/>
      <c r="V204" s="1822"/>
    </row>
    <row r="205" spans="1:22" s="1834" customFormat="1">
      <c r="A205" s="1868"/>
      <c r="B205" s="1866"/>
      <c r="C205" s="1866"/>
      <c r="D205" s="1867"/>
      <c r="E205" s="1477" t="s">
        <v>2943</v>
      </c>
      <c r="F205" s="1388"/>
      <c r="H205" s="2004" t="s">
        <v>2443</v>
      </c>
      <c r="K205" s="1977"/>
      <c r="L205" s="1977"/>
      <c r="M205" s="1903"/>
      <c r="N205" s="1903"/>
      <c r="O205" s="1978"/>
      <c r="P205" s="1903"/>
      <c r="Q205" s="1903"/>
      <c r="S205" s="1822"/>
      <c r="T205" s="1822"/>
      <c r="U205" s="1822"/>
      <c r="V205" s="1822"/>
    </row>
    <row r="206" spans="1:22" s="1834" customFormat="1">
      <c r="A206" s="1868"/>
      <c r="B206" s="1866"/>
      <c r="C206" s="1866"/>
      <c r="D206" s="1867"/>
      <c r="E206" s="1477" t="s">
        <v>2943</v>
      </c>
      <c r="F206" s="1388"/>
      <c r="H206" s="2004" t="s">
        <v>2444</v>
      </c>
      <c r="J206" s="1822"/>
      <c r="K206" s="1977"/>
      <c r="L206" s="1977"/>
      <c r="M206" s="1903"/>
      <c r="N206" s="1903"/>
      <c r="O206" s="1978"/>
      <c r="P206" s="1903"/>
      <c r="Q206" s="1903"/>
      <c r="S206" s="1822"/>
      <c r="T206" s="1822"/>
      <c r="U206" s="1822"/>
      <c r="V206" s="1822"/>
    </row>
    <row r="207" spans="1:22" s="1834" customFormat="1">
      <c r="A207" s="1868"/>
      <c r="B207" s="1866"/>
      <c r="C207" s="1866"/>
      <c r="D207" s="1867"/>
      <c r="E207" s="1477" t="s">
        <v>2943</v>
      </c>
      <c r="F207" s="1388"/>
      <c r="H207" s="2004" t="s">
        <v>2445</v>
      </c>
      <c r="J207" s="1822"/>
      <c r="K207" s="1977"/>
      <c r="L207" s="1977"/>
      <c r="M207" s="1903"/>
      <c r="N207" s="1903"/>
      <c r="O207" s="1978"/>
      <c r="P207" s="1903"/>
      <c r="Q207" s="1903"/>
      <c r="S207" s="1822"/>
      <c r="T207" s="1822"/>
      <c r="U207" s="1822"/>
      <c r="V207" s="1822"/>
    </row>
    <row r="208" spans="1:22" s="1834" customFormat="1">
      <c r="A208" s="1868"/>
      <c r="B208" s="1866"/>
      <c r="C208" s="1866"/>
      <c r="D208" s="1867"/>
      <c r="E208" s="1477" t="s">
        <v>2943</v>
      </c>
      <c r="F208" s="1388"/>
      <c r="H208" s="2004" t="s">
        <v>2445</v>
      </c>
      <c r="J208" s="1822"/>
      <c r="K208" s="1977"/>
      <c r="L208" s="1977"/>
      <c r="M208" s="1903"/>
      <c r="N208" s="1903"/>
      <c r="O208" s="1978"/>
      <c r="P208" s="1903"/>
      <c r="Q208" s="1903"/>
      <c r="S208" s="1822"/>
      <c r="T208" s="1822"/>
      <c r="U208" s="1822"/>
      <c r="V208" s="1822"/>
    </row>
    <row r="209" spans="1:22" customFormat="1">
      <c r="A209" s="2005"/>
      <c r="B209" s="2006"/>
      <c r="C209" s="2006"/>
      <c r="D209" s="2007"/>
      <c r="E209" s="1477" t="s">
        <v>2943</v>
      </c>
      <c r="F209" s="1388"/>
    </row>
    <row r="210" spans="1:22" s="2012" customFormat="1">
      <c r="A210" s="1865"/>
      <c r="B210" s="1866"/>
      <c r="C210" s="1866"/>
      <c r="D210" s="1867"/>
      <c r="E210" s="1477" t="s">
        <v>2943</v>
      </c>
      <c r="F210" s="1388"/>
      <c r="G210" s="2008" t="s">
        <v>3133</v>
      </c>
      <c r="H210" s="2002" t="s">
        <v>3134</v>
      </c>
      <c r="I210" s="2003"/>
      <c r="J210" s="2009"/>
      <c r="K210" s="2009"/>
      <c r="L210" s="2009"/>
      <c r="M210" s="2010"/>
      <c r="N210" s="2010"/>
      <c r="O210" s="2011"/>
      <c r="P210" s="2010"/>
      <c r="Q210" s="2010"/>
      <c r="S210" s="2009"/>
      <c r="T210" s="2009"/>
      <c r="U210" s="2009"/>
      <c r="V210" s="2009"/>
    </row>
    <row r="211" spans="1:22" s="1834" customFormat="1">
      <c r="A211" s="1914" t="s">
        <v>3125</v>
      </c>
      <c r="B211" s="1866"/>
      <c r="C211" s="1866"/>
      <c r="D211" s="1867"/>
      <c r="E211" s="1477" t="s">
        <v>2943</v>
      </c>
      <c r="F211" s="1388"/>
      <c r="G211" s="1960"/>
      <c r="H211" s="1886"/>
      <c r="I211" s="1823" t="s">
        <v>3126</v>
      </c>
      <c r="J211" s="1822" t="s">
        <v>3135</v>
      </c>
      <c r="K211" s="1963"/>
      <c r="L211" s="1963"/>
      <c r="M211" s="1963"/>
      <c r="N211" s="1974" t="s">
        <v>3136</v>
      </c>
      <c r="O211" s="1822" t="s">
        <v>3137</v>
      </c>
      <c r="P211" s="1963"/>
      <c r="Q211" s="1963"/>
      <c r="S211" s="1822"/>
      <c r="T211" s="1822"/>
      <c r="U211" s="1822"/>
      <c r="V211" s="1822"/>
    </row>
    <row r="212" spans="1:22" s="1834" customFormat="1">
      <c r="A212" s="1868"/>
      <c r="B212" s="1866"/>
      <c r="C212" s="1866"/>
      <c r="D212" s="1867"/>
      <c r="E212" s="1477" t="s">
        <v>2943</v>
      </c>
      <c r="F212" s="1388"/>
      <c r="H212" s="1960"/>
      <c r="I212" s="1960"/>
      <c r="J212" s="1963"/>
      <c r="K212" s="1963"/>
      <c r="L212" s="1963"/>
      <c r="M212" s="1963"/>
      <c r="O212" s="1822" t="s">
        <v>3136</v>
      </c>
      <c r="P212" s="1963"/>
      <c r="Q212" s="1963"/>
      <c r="S212" s="1822"/>
      <c r="T212" s="1822"/>
      <c r="U212" s="1822"/>
      <c r="V212" s="1822"/>
    </row>
    <row r="213" spans="1:22" s="1834" customFormat="1">
      <c r="A213" s="1868"/>
      <c r="B213" s="1866"/>
      <c r="C213" s="1866"/>
      <c r="D213" s="1867"/>
      <c r="E213" s="1477" t="s">
        <v>2943</v>
      </c>
      <c r="F213" s="1388"/>
      <c r="G213" s="1834" t="s">
        <v>3138</v>
      </c>
      <c r="H213" s="1976" t="s">
        <v>1934</v>
      </c>
      <c r="J213" s="1822"/>
      <c r="K213" s="1822"/>
      <c r="L213" s="1822"/>
      <c r="M213" s="1822"/>
      <c r="N213" s="1822"/>
      <c r="O213" s="1828"/>
      <c r="P213" s="1822"/>
      <c r="S213" s="1822"/>
      <c r="T213" s="1822"/>
      <c r="U213" s="1822"/>
      <c r="V213" s="1822"/>
    </row>
    <row r="214" spans="1:22" s="1834" customFormat="1">
      <c r="A214" s="1868"/>
      <c r="B214" s="1866"/>
      <c r="C214" s="1911" t="s">
        <v>3042</v>
      </c>
      <c r="D214" s="1867"/>
      <c r="E214" s="1477" t="s">
        <v>2943</v>
      </c>
      <c r="F214" s="1388"/>
      <c r="H214" s="1821" t="s">
        <v>2270</v>
      </c>
      <c r="J214" s="1822" t="s">
        <v>3191</v>
      </c>
      <c r="K214" s="1977"/>
      <c r="L214" s="1977"/>
      <c r="M214" s="1903"/>
      <c r="N214" s="1903"/>
      <c r="O214" s="1978"/>
      <c r="P214" s="1903"/>
      <c r="Q214" s="1903"/>
      <c r="S214" s="1822"/>
      <c r="T214" s="1822"/>
      <c r="U214" s="1822"/>
      <c r="V214" s="1822"/>
    </row>
    <row r="215" spans="1:22" s="1834" customFormat="1">
      <c r="A215" s="1868"/>
      <c r="B215" s="1866"/>
      <c r="C215" s="1866"/>
      <c r="D215" s="1867"/>
      <c r="E215" s="1477" t="s">
        <v>2943</v>
      </c>
      <c r="F215" s="1388"/>
      <c r="H215" s="1821" t="s">
        <v>2271</v>
      </c>
      <c r="J215" s="1822" t="s">
        <v>3191</v>
      </c>
      <c r="K215" s="1977"/>
      <c r="L215" s="1977"/>
      <c r="M215" s="1903"/>
      <c r="N215" s="1903"/>
      <c r="O215" s="1978"/>
      <c r="P215" s="1903"/>
      <c r="Q215" s="1903"/>
      <c r="S215" s="1822"/>
      <c r="T215" s="1822"/>
      <c r="U215" s="1822"/>
      <c r="V215" s="1822"/>
    </row>
    <row r="216" spans="1:22" s="1834" customFormat="1">
      <c r="A216" s="1868"/>
      <c r="B216" s="1866"/>
      <c r="C216" s="1866"/>
      <c r="D216" s="1867"/>
      <c r="E216" s="1477" t="s">
        <v>2943</v>
      </c>
      <c r="F216" s="1388"/>
      <c r="H216" s="1821" t="s">
        <v>2272</v>
      </c>
      <c r="J216" s="1822" t="s">
        <v>3191</v>
      </c>
      <c r="K216" s="1977"/>
      <c r="L216" s="1977"/>
      <c r="M216" s="1903"/>
      <c r="N216" s="1903"/>
      <c r="O216" s="1978"/>
      <c r="P216" s="1903"/>
      <c r="Q216" s="1903"/>
      <c r="S216" s="1822"/>
      <c r="T216" s="1822"/>
      <c r="U216" s="1822"/>
      <c r="V216" s="1822"/>
    </row>
    <row r="217" spans="1:22" s="1834" customFormat="1">
      <c r="A217" s="1868"/>
      <c r="B217" s="1866"/>
      <c r="C217" s="1866"/>
      <c r="D217" s="1867"/>
      <c r="E217" s="1477" t="s">
        <v>2943</v>
      </c>
      <c r="F217" s="1388"/>
      <c r="H217" s="1821" t="s">
        <v>2273</v>
      </c>
      <c r="J217" s="1822" t="s">
        <v>3191</v>
      </c>
      <c r="K217" s="1977"/>
      <c r="L217" s="1977"/>
      <c r="M217" s="1903"/>
      <c r="N217" s="1903"/>
      <c r="O217" s="1978"/>
      <c r="P217" s="1903"/>
      <c r="Q217" s="1903"/>
      <c r="S217" s="1822"/>
      <c r="T217" s="1822"/>
      <c r="U217" s="1822"/>
      <c r="V217" s="1822"/>
    </row>
    <row r="218" spans="1:22" s="1834" customFormat="1">
      <c r="A218" s="1868"/>
      <c r="B218" s="1866"/>
      <c r="C218" s="1866"/>
      <c r="D218" s="1867"/>
      <c r="E218" s="1477" t="s">
        <v>2943</v>
      </c>
      <c r="F218" s="1388"/>
      <c r="H218" s="1821"/>
      <c r="J218" s="1822"/>
      <c r="K218" s="1822"/>
      <c r="L218" s="1822"/>
      <c r="M218" s="1822"/>
      <c r="N218" s="1822"/>
      <c r="O218" s="1828"/>
      <c r="P218" s="1822"/>
      <c r="S218" s="1822"/>
      <c r="T218" s="1822"/>
      <c r="U218" s="1822"/>
      <c r="V218" s="1822"/>
    </row>
    <row r="219" spans="1:22" s="1834" customFormat="1">
      <c r="A219" s="1868"/>
      <c r="B219" s="1866"/>
      <c r="C219" s="1866"/>
      <c r="D219" s="1867"/>
      <c r="E219" s="1477" t="s">
        <v>2943</v>
      </c>
      <c r="F219" s="1388"/>
      <c r="G219" s="1834" t="s">
        <v>3139</v>
      </c>
      <c r="H219" s="1821" t="s">
        <v>2447</v>
      </c>
      <c r="J219" s="1822"/>
      <c r="K219" s="1977"/>
      <c r="L219" s="1977"/>
      <c r="M219" s="1903"/>
      <c r="N219" s="1903"/>
      <c r="O219" s="1978"/>
      <c r="P219" s="1903"/>
      <c r="Q219" s="1903"/>
      <c r="S219" s="1822"/>
      <c r="T219" s="1822"/>
      <c r="U219" s="1822"/>
      <c r="V219" s="1822"/>
    </row>
    <row r="220" spans="1:22" s="1834" customFormat="1">
      <c r="A220" s="1868"/>
      <c r="B220" s="1866"/>
      <c r="C220" s="1866"/>
      <c r="D220" s="1867"/>
      <c r="E220" s="1477" t="s">
        <v>2943</v>
      </c>
      <c r="F220" s="1388"/>
      <c r="H220" s="2004" t="s">
        <v>2448</v>
      </c>
      <c r="I220" s="2004"/>
      <c r="J220" s="1822"/>
      <c r="K220" s="1977"/>
      <c r="L220" s="1977"/>
      <c r="M220" s="1903"/>
      <c r="N220" s="1903"/>
      <c r="O220" s="1978"/>
      <c r="P220" s="1903"/>
      <c r="Q220" s="1903"/>
      <c r="S220" s="1822"/>
      <c r="T220" s="1822"/>
      <c r="U220" s="1822"/>
      <c r="V220" s="1822"/>
    </row>
    <row r="221" spans="1:22" s="1834" customFormat="1">
      <c r="A221" s="1868"/>
      <c r="B221" s="1866"/>
      <c r="C221" s="1866"/>
      <c r="D221" s="1867"/>
      <c r="E221" s="1477" t="s">
        <v>2943</v>
      </c>
      <c r="F221" s="1388"/>
      <c r="H221" s="2004" t="s">
        <v>2449</v>
      </c>
      <c r="I221" s="2004"/>
      <c r="J221" s="1822"/>
      <c r="K221" s="1977"/>
      <c r="L221" s="1977"/>
      <c r="M221" s="1903"/>
      <c r="N221" s="1903"/>
      <c r="O221" s="1978"/>
      <c r="P221" s="1903"/>
      <c r="Q221" s="1903"/>
      <c r="S221" s="1822"/>
      <c r="T221" s="1822"/>
      <c r="U221" s="1822"/>
      <c r="V221" s="1822"/>
    </row>
    <row r="222" spans="1:22" s="1834" customFormat="1">
      <c r="A222" s="1868"/>
      <c r="B222" s="1866"/>
      <c r="C222" s="1866"/>
      <c r="D222" s="1867"/>
      <c r="E222" s="1477" t="s">
        <v>2943</v>
      </c>
      <c r="F222" s="1388"/>
      <c r="H222" s="2004" t="s">
        <v>2450</v>
      </c>
      <c r="I222" s="2004"/>
      <c r="J222" s="1822"/>
      <c r="K222" s="1977"/>
      <c r="L222" s="1977"/>
      <c r="M222" s="1903"/>
      <c r="N222" s="1903"/>
      <c r="O222" s="1978"/>
      <c r="P222" s="1903"/>
      <c r="Q222" s="1903"/>
      <c r="S222" s="1822"/>
      <c r="T222" s="1822"/>
      <c r="U222" s="1822"/>
      <c r="V222" s="1822"/>
    </row>
    <row r="223" spans="1:22" s="1834" customFormat="1">
      <c r="A223" s="1868"/>
      <c r="B223" s="1866"/>
      <c r="C223" s="1866"/>
      <c r="D223" s="1867"/>
      <c r="E223" s="1477" t="s">
        <v>2943</v>
      </c>
      <c r="F223" s="1388"/>
      <c r="H223" s="2004" t="s">
        <v>2451</v>
      </c>
      <c r="I223" s="2004"/>
      <c r="J223" s="1822"/>
      <c r="K223" s="1977"/>
      <c r="L223" s="1977"/>
      <c r="M223" s="1903"/>
      <c r="N223" s="1903"/>
      <c r="O223" s="1978"/>
      <c r="P223" s="1903"/>
      <c r="Q223" s="1903"/>
      <c r="S223" s="1822"/>
      <c r="T223" s="1822"/>
      <c r="U223" s="1822"/>
      <c r="V223" s="1822"/>
    </row>
    <row r="224" spans="1:22" s="1834" customFormat="1">
      <c r="A224" s="1868"/>
      <c r="B224" s="1866"/>
      <c r="C224" s="1866"/>
      <c r="D224" s="1867"/>
      <c r="E224" s="1477" t="s">
        <v>2943</v>
      </c>
      <c r="F224" s="1388"/>
      <c r="H224" s="1822"/>
      <c r="I224" s="2004"/>
      <c r="J224" s="1822"/>
      <c r="K224" s="1977"/>
      <c r="L224" s="1977"/>
      <c r="M224" s="1903"/>
      <c r="N224" s="1903"/>
      <c r="O224" s="1978"/>
      <c r="P224" s="1903"/>
      <c r="Q224" s="1903"/>
      <c r="S224" s="1822"/>
      <c r="T224" s="1822"/>
      <c r="U224" s="1822"/>
      <c r="V224" s="1822"/>
    </row>
    <row r="225" spans="1:22" s="1834" customFormat="1">
      <c r="A225" s="1868"/>
      <c r="B225" s="1866"/>
      <c r="C225" s="1866"/>
      <c r="D225" s="1867"/>
      <c r="E225" s="1477" t="s">
        <v>2943</v>
      </c>
      <c r="F225" s="1388"/>
      <c r="G225" s="1994" t="s">
        <v>3140</v>
      </c>
      <c r="H225" s="2002" t="s">
        <v>2954</v>
      </c>
      <c r="I225" s="2003"/>
      <c r="J225" s="1822"/>
      <c r="K225" s="1822"/>
      <c r="L225" s="1822"/>
      <c r="M225" s="1822"/>
      <c r="N225" s="1822"/>
      <c r="O225" s="1828"/>
      <c r="P225" s="1822"/>
      <c r="S225" s="1822"/>
      <c r="T225" s="1822"/>
      <c r="U225" s="1822"/>
      <c r="V225" s="1822"/>
    </row>
    <row r="226" spans="1:22" s="1834" customFormat="1">
      <c r="A226" s="1914" t="s">
        <v>3125</v>
      </c>
      <c r="B226" s="1866"/>
      <c r="C226" s="1866"/>
      <c r="D226" s="1867"/>
      <c r="E226" s="1477" t="s">
        <v>2943</v>
      </c>
      <c r="F226" s="1388"/>
      <c r="G226" s="1960"/>
      <c r="H226" s="1886"/>
      <c r="I226" s="1823" t="s">
        <v>3126</v>
      </c>
      <c r="J226" s="1822" t="s">
        <v>3141</v>
      </c>
      <c r="K226" s="1963"/>
      <c r="L226" s="1963"/>
      <c r="M226" s="1963"/>
      <c r="N226" s="1974" t="s">
        <v>3142</v>
      </c>
      <c r="O226" s="1822" t="s">
        <v>3143</v>
      </c>
      <c r="P226" s="1963"/>
      <c r="Q226" s="1963"/>
      <c r="S226" s="1822"/>
      <c r="T226" s="1822"/>
      <c r="U226" s="1822"/>
      <c r="V226" s="1822"/>
    </row>
    <row r="227" spans="1:22" s="1834" customFormat="1">
      <c r="A227" s="1868"/>
      <c r="B227" s="1866"/>
      <c r="C227" s="1866"/>
      <c r="D227" s="1867"/>
      <c r="E227" s="1477" t="s">
        <v>2943</v>
      </c>
      <c r="F227" s="1388"/>
      <c r="H227" s="1960"/>
      <c r="I227" s="1960"/>
      <c r="J227" s="1963"/>
      <c r="K227" s="1963"/>
      <c r="L227" s="1963"/>
      <c r="M227" s="1963"/>
      <c r="O227" s="1822" t="s">
        <v>3142</v>
      </c>
      <c r="P227" s="1963"/>
      <c r="Q227" s="1963"/>
      <c r="S227" s="1822"/>
      <c r="T227" s="1822"/>
      <c r="U227" s="1822"/>
      <c r="V227" s="1822"/>
    </row>
    <row r="228" spans="1:22" s="1834" customFormat="1">
      <c r="A228" s="1868"/>
      <c r="B228" s="1866"/>
      <c r="C228" s="1866"/>
      <c r="D228" s="1867"/>
      <c r="E228" s="1477" t="s">
        <v>2943</v>
      </c>
      <c r="F228" s="1388"/>
      <c r="G228" s="1834" t="s">
        <v>3144</v>
      </c>
      <c r="H228" s="1976" t="s">
        <v>1935</v>
      </c>
      <c r="J228" s="1822"/>
      <c r="K228" s="1822"/>
      <c r="L228" s="1822"/>
      <c r="M228" s="1822"/>
      <c r="N228" s="1822"/>
      <c r="O228" s="1828"/>
      <c r="P228" s="1822"/>
      <c r="S228" s="1822"/>
      <c r="T228" s="1822"/>
      <c r="U228" s="1822"/>
      <c r="V228" s="1822"/>
    </row>
    <row r="229" spans="1:22" s="1834" customFormat="1">
      <c r="A229" s="1868"/>
      <c r="B229" s="1866"/>
      <c r="C229" s="1911" t="s">
        <v>3042</v>
      </c>
      <c r="D229" s="1867"/>
      <c r="E229" s="1477" t="s">
        <v>2943</v>
      </c>
      <c r="F229" s="1388"/>
      <c r="H229" s="1821" t="s">
        <v>2435</v>
      </c>
      <c r="J229" s="1822" t="s">
        <v>3191</v>
      </c>
      <c r="K229" s="1977"/>
      <c r="L229" s="1977"/>
      <c r="M229" s="1903"/>
      <c r="N229" s="1903"/>
      <c r="O229" s="1978"/>
      <c r="P229" s="1903"/>
      <c r="Q229" s="1903"/>
      <c r="S229" s="1822"/>
      <c r="T229" s="1822"/>
      <c r="U229" s="1822"/>
      <c r="V229" s="1822"/>
    </row>
    <row r="230" spans="1:22" s="1834" customFormat="1">
      <c r="A230" s="1868"/>
      <c r="B230" s="1866"/>
      <c r="C230" s="1866"/>
      <c r="D230" s="1867"/>
      <c r="E230" s="1477" t="s">
        <v>2943</v>
      </c>
      <c r="F230" s="1388"/>
      <c r="H230" s="1821" t="s">
        <v>2436</v>
      </c>
      <c r="J230" s="1822" t="s">
        <v>3191</v>
      </c>
      <c r="K230" s="1977"/>
      <c r="L230" s="1977"/>
      <c r="M230" s="1903"/>
      <c r="N230" s="1903"/>
      <c r="O230" s="1978"/>
      <c r="P230" s="1903"/>
      <c r="Q230" s="1903"/>
      <c r="S230" s="1822"/>
      <c r="T230" s="1822"/>
      <c r="U230" s="1822"/>
      <c r="V230" s="1822"/>
    </row>
    <row r="231" spans="1:22" s="1834" customFormat="1">
      <c r="A231" s="1868"/>
      <c r="B231" s="1866"/>
      <c r="C231" s="1866"/>
      <c r="D231" s="1867"/>
      <c r="E231" s="1477" t="s">
        <v>2943</v>
      </c>
      <c r="F231" s="1388"/>
      <c r="H231" s="1821" t="s">
        <v>2437</v>
      </c>
      <c r="J231" s="1822" t="s">
        <v>3191</v>
      </c>
      <c r="K231" s="1977"/>
      <c r="L231" s="1977"/>
      <c r="M231" s="1903"/>
      <c r="N231" s="1903"/>
      <c r="O231" s="1978"/>
      <c r="P231" s="1903"/>
      <c r="Q231" s="1903"/>
      <c r="S231" s="1822"/>
      <c r="T231" s="1822"/>
      <c r="U231" s="1822"/>
      <c r="V231" s="1822"/>
    </row>
    <row r="232" spans="1:22" s="1834" customFormat="1">
      <c r="A232" s="1868"/>
      <c r="B232" s="1866"/>
      <c r="C232" s="1866"/>
      <c r="D232" s="1867"/>
      <c r="E232" s="1477" t="s">
        <v>2943</v>
      </c>
      <c r="F232" s="1388"/>
      <c r="H232" s="1821" t="s">
        <v>2438</v>
      </c>
      <c r="J232" s="1822" t="s">
        <v>3191</v>
      </c>
      <c r="K232" s="1977"/>
      <c r="L232" s="1977"/>
      <c r="M232" s="1903"/>
      <c r="N232" s="1903"/>
      <c r="O232" s="1978"/>
      <c r="P232" s="1903"/>
      <c r="Q232" s="1903"/>
      <c r="S232" s="1822"/>
      <c r="T232" s="1822"/>
      <c r="U232" s="1822"/>
      <c r="V232" s="1822"/>
    </row>
    <row r="233" spans="1:22">
      <c r="A233" s="1868"/>
      <c r="B233" s="1866"/>
      <c r="C233" s="1866"/>
      <c r="D233" s="1867"/>
      <c r="E233" s="1477" t="s">
        <v>2943</v>
      </c>
      <c r="F233" s="1388"/>
      <c r="H233" s="1822"/>
    </row>
    <row r="234" spans="1:22" s="1834" customFormat="1">
      <c r="A234" s="1868"/>
      <c r="B234" s="1866"/>
      <c r="C234" s="1866"/>
      <c r="D234" s="1867"/>
      <c r="E234" s="1477" t="s">
        <v>2943</v>
      </c>
      <c r="F234" s="1388"/>
      <c r="G234" s="1834" t="s">
        <v>3145</v>
      </c>
      <c r="H234" s="1821" t="s">
        <v>2452</v>
      </c>
      <c r="J234" s="1822"/>
      <c r="K234" s="1977"/>
      <c r="L234" s="1977"/>
      <c r="M234" s="1903"/>
      <c r="N234" s="1903"/>
      <c r="O234" s="1978"/>
      <c r="P234" s="1903"/>
      <c r="Q234" s="1903"/>
      <c r="S234" s="1822"/>
      <c r="T234" s="1822"/>
      <c r="U234" s="1822"/>
      <c r="V234" s="1822"/>
    </row>
    <row r="235" spans="1:22" s="1834" customFormat="1">
      <c r="A235" s="1868"/>
      <c r="B235" s="1866"/>
      <c r="C235" s="1866"/>
      <c r="D235" s="1867"/>
      <c r="E235" s="1477" t="s">
        <v>2943</v>
      </c>
      <c r="F235" s="1388"/>
      <c r="H235" s="2004" t="s">
        <v>2453</v>
      </c>
      <c r="J235" s="1822"/>
      <c r="K235" s="1977"/>
      <c r="L235" s="1977"/>
      <c r="M235" s="1903"/>
      <c r="N235" s="1903"/>
      <c r="O235" s="1978"/>
      <c r="P235" s="1903"/>
      <c r="Q235" s="1903"/>
      <c r="S235" s="1822"/>
      <c r="T235" s="1822"/>
      <c r="U235" s="1822"/>
      <c r="V235" s="1822"/>
    </row>
    <row r="236" spans="1:22" s="1834" customFormat="1">
      <c r="A236" s="1868"/>
      <c r="B236" s="1866"/>
      <c r="C236" s="1866"/>
      <c r="D236" s="1867"/>
      <c r="E236" s="1477" t="s">
        <v>2943</v>
      </c>
      <c r="F236" s="1388"/>
      <c r="H236" s="2004" t="s">
        <v>2454</v>
      </c>
      <c r="J236" s="1822"/>
      <c r="K236" s="1977"/>
      <c r="L236" s="1977"/>
      <c r="M236" s="1903"/>
      <c r="N236" s="1903"/>
      <c r="O236" s="1978"/>
      <c r="P236" s="1903"/>
      <c r="Q236" s="1903"/>
      <c r="S236" s="1822"/>
      <c r="T236" s="1822"/>
      <c r="U236" s="1822"/>
      <c r="V236" s="1822"/>
    </row>
    <row r="237" spans="1:22" s="1834" customFormat="1">
      <c r="A237" s="1868"/>
      <c r="B237" s="1866"/>
      <c r="C237" s="1866"/>
      <c r="D237" s="1867"/>
      <c r="E237" s="1477" t="s">
        <v>2943</v>
      </c>
      <c r="F237" s="1388"/>
      <c r="H237" s="2004" t="s">
        <v>2455</v>
      </c>
      <c r="J237" s="1822"/>
      <c r="K237" s="1977"/>
      <c r="L237" s="1977"/>
      <c r="M237" s="1903"/>
      <c r="N237" s="1903"/>
      <c r="O237" s="1978"/>
      <c r="P237" s="1903"/>
      <c r="Q237" s="1903"/>
      <c r="S237" s="1822"/>
      <c r="T237" s="1822"/>
      <c r="U237" s="1822"/>
      <c r="V237" s="1822"/>
    </row>
    <row r="238" spans="1:22" s="1834" customFormat="1">
      <c r="A238" s="1868"/>
      <c r="B238" s="1866"/>
      <c r="C238" s="1866"/>
      <c r="D238" s="1867"/>
      <c r="E238" s="1477" t="s">
        <v>2943</v>
      </c>
      <c r="F238" s="1388"/>
      <c r="H238" s="2004" t="s">
        <v>2456</v>
      </c>
      <c r="J238" s="1822"/>
      <c r="K238" s="1977"/>
      <c r="L238" s="1977"/>
      <c r="M238" s="1903"/>
      <c r="N238" s="1903"/>
      <c r="O238" s="1978"/>
      <c r="P238" s="1903"/>
      <c r="Q238" s="1903"/>
      <c r="S238" s="1822"/>
      <c r="T238" s="1822"/>
      <c r="U238" s="1822"/>
      <c r="V238" s="1822"/>
    </row>
    <row r="239" spans="1:22">
      <c r="A239" s="1868"/>
      <c r="B239" s="1866"/>
      <c r="C239" s="1866"/>
      <c r="D239" s="1867"/>
      <c r="E239" s="1477" t="s">
        <v>2943</v>
      </c>
      <c r="F239" s="1388"/>
    </row>
    <row r="240" spans="1:22" s="1834" customFormat="1">
      <c r="A240" s="1868"/>
      <c r="B240" s="1866"/>
      <c r="C240" s="1866"/>
      <c r="D240" s="1867"/>
      <c r="E240" s="1477" t="s">
        <v>2943</v>
      </c>
      <c r="F240" s="1871">
        <f>F67+1</f>
        <v>3</v>
      </c>
      <c r="G240" s="1872"/>
      <c r="H240" s="1873" t="s">
        <v>1902</v>
      </c>
      <c r="I240" s="2013"/>
      <c r="J240" s="1872"/>
      <c r="K240" s="1872"/>
      <c r="L240" s="1872"/>
      <c r="M240" s="1872"/>
      <c r="N240" s="1872"/>
      <c r="O240" s="1874"/>
      <c r="P240" s="1872"/>
      <c r="Q240" s="1875"/>
      <c r="S240" s="1822"/>
      <c r="T240" s="1822"/>
      <c r="U240" s="1822"/>
      <c r="V240" s="1822"/>
    </row>
    <row r="241" spans="1:22" s="1834" customFormat="1" ht="51" customHeight="1">
      <c r="A241" s="1868"/>
      <c r="B241" s="1866"/>
      <c r="C241" s="1866"/>
      <c r="D241" s="1867"/>
      <c r="E241" s="1477" t="s">
        <v>2943</v>
      </c>
      <c r="F241" s="1388"/>
      <c r="G241" s="2014"/>
      <c r="H241" s="2015"/>
      <c r="I241" s="1823" t="s">
        <v>3146</v>
      </c>
      <c r="J241" s="2014"/>
      <c r="K241" s="2014"/>
      <c r="L241" s="2014"/>
      <c r="M241" s="2014"/>
      <c r="N241" s="2014"/>
      <c r="O241" s="2016"/>
      <c r="P241" s="2014"/>
      <c r="Q241" s="2017"/>
      <c r="S241" s="1822"/>
      <c r="T241" s="1822"/>
      <c r="U241" s="1822"/>
      <c r="V241" s="1822"/>
    </row>
    <row r="242" spans="1:22" s="1834" customFormat="1">
      <c r="A242" s="1868"/>
      <c r="B242" s="1866"/>
      <c r="C242" s="1866"/>
      <c r="D242" s="1867"/>
      <c r="E242" s="1477" t="s">
        <v>2943</v>
      </c>
      <c r="F242" s="1388"/>
      <c r="G242" s="2014"/>
      <c r="H242" s="2015"/>
      <c r="I242" s="1960"/>
      <c r="J242" s="1895" t="s">
        <v>3147</v>
      </c>
      <c r="K242" s="2014"/>
      <c r="L242" s="2014"/>
      <c r="M242" s="2014"/>
      <c r="N242" s="2014"/>
      <c r="O242" s="2016"/>
      <c r="P242" s="2014"/>
      <c r="Q242" s="2017"/>
      <c r="S242" s="1822"/>
      <c r="T242" s="1822"/>
      <c r="U242" s="1822"/>
      <c r="V242" s="1822"/>
    </row>
    <row r="243" spans="1:22" s="1834" customFormat="1">
      <c r="A243" s="1868"/>
      <c r="B243" s="1866"/>
      <c r="C243" s="1866"/>
      <c r="D243" s="1867"/>
      <c r="E243" s="1477" t="s">
        <v>2943</v>
      </c>
      <c r="F243" s="1388"/>
      <c r="G243" s="1976" t="s">
        <v>1902</v>
      </c>
      <c r="H243" s="1823"/>
      <c r="I243" s="1823"/>
      <c r="L243" s="2018" t="s">
        <v>2548</v>
      </c>
      <c r="M243" s="2018" t="str">
        <f>M193</f>
        <v>Year 1</v>
      </c>
      <c r="N243" s="2018" t="str">
        <f>N193</f>
        <v>Year 2</v>
      </c>
      <c r="O243" s="2018" t="str">
        <f>O193</f>
        <v>Year 3</v>
      </c>
      <c r="P243" s="2018" t="str">
        <f>P193</f>
        <v>Year 4</v>
      </c>
      <c r="Q243" s="2018" t="str">
        <f>Q193</f>
        <v>Year 5</v>
      </c>
      <c r="S243" s="1822"/>
      <c r="T243" s="1822"/>
      <c r="U243" s="1822"/>
      <c r="V243" s="1822"/>
    </row>
    <row r="244" spans="1:22" s="1834" customFormat="1">
      <c r="A244" s="1868"/>
      <c r="B244" s="1866"/>
      <c r="C244" s="1866"/>
      <c r="D244" s="1867"/>
      <c r="E244" s="1477" t="s">
        <v>2943</v>
      </c>
      <c r="F244" s="1388"/>
      <c r="G244" s="1821"/>
      <c r="H244" s="1823" t="s">
        <v>2266</v>
      </c>
      <c r="I244" s="2019" t="s">
        <v>2542</v>
      </c>
      <c r="L244" s="1964">
        <v>0.3</v>
      </c>
      <c r="M244" s="1964">
        <v>0.3</v>
      </c>
      <c r="N244" s="1964">
        <v>0.3</v>
      </c>
      <c r="O244" s="1964">
        <v>0.3</v>
      </c>
      <c r="P244" s="1964">
        <v>0.3</v>
      </c>
      <c r="Q244" s="1964">
        <v>0.3</v>
      </c>
      <c r="S244" s="1822"/>
      <c r="T244" s="1822"/>
      <c r="U244" s="1822"/>
      <c r="V244" s="1822"/>
    </row>
    <row r="245" spans="1:22" s="1834" customFormat="1">
      <c r="A245" s="1868"/>
      <c r="B245" s="1866"/>
      <c r="C245" s="1866"/>
      <c r="D245" s="1867"/>
      <c r="E245" s="1477" t="s">
        <v>2943</v>
      </c>
      <c r="F245" s="1388"/>
      <c r="G245" s="1821"/>
      <c r="H245" s="1823" t="s">
        <v>2267</v>
      </c>
      <c r="I245" s="2019" t="s">
        <v>2542</v>
      </c>
      <c r="L245" s="1964">
        <v>0.3</v>
      </c>
      <c r="M245" s="1964">
        <v>0.3</v>
      </c>
      <c r="N245" s="1964">
        <v>0.3</v>
      </c>
      <c r="O245" s="1964">
        <v>0.3</v>
      </c>
      <c r="P245" s="1964">
        <v>0.3</v>
      </c>
      <c r="Q245" s="1964">
        <v>0.3</v>
      </c>
      <c r="S245" s="1822"/>
      <c r="T245" s="1822"/>
      <c r="U245" s="1822"/>
      <c r="V245" s="1822"/>
    </row>
    <row r="246" spans="1:22" s="1834" customFormat="1">
      <c r="A246" s="1868"/>
      <c r="B246" s="1866"/>
      <c r="C246" s="1866"/>
      <c r="D246" s="1867"/>
      <c r="E246" s="1477" t="s">
        <v>2943</v>
      </c>
      <c r="F246" s="1388"/>
      <c r="G246" s="1821"/>
      <c r="H246" s="1823" t="s">
        <v>2268</v>
      </c>
      <c r="I246" s="2019" t="s">
        <v>2542</v>
      </c>
      <c r="L246" s="1964">
        <v>0.3</v>
      </c>
      <c r="M246" s="1964">
        <v>0.3</v>
      </c>
      <c r="N246" s="1964">
        <v>0.3</v>
      </c>
      <c r="O246" s="1964">
        <v>0.3</v>
      </c>
      <c r="P246" s="1964">
        <v>0.3</v>
      </c>
      <c r="Q246" s="1964">
        <v>0.3</v>
      </c>
      <c r="S246" s="1822"/>
      <c r="T246" s="1822"/>
      <c r="U246" s="1822"/>
      <c r="V246" s="1822"/>
    </row>
    <row r="247" spans="1:22" s="1834" customFormat="1">
      <c r="A247" s="1868"/>
      <c r="B247" s="1866"/>
      <c r="C247" s="1866"/>
      <c r="D247" s="1867"/>
      <c r="E247" s="1477" t="s">
        <v>2943</v>
      </c>
      <c r="F247" s="1388"/>
      <c r="G247" s="1821"/>
      <c r="H247" s="1823" t="s">
        <v>2269</v>
      </c>
      <c r="I247" s="2019" t="s">
        <v>2542</v>
      </c>
      <c r="L247" s="1964">
        <v>0.3</v>
      </c>
      <c r="M247" s="1964">
        <v>0.3</v>
      </c>
      <c r="N247" s="1964">
        <v>0.3</v>
      </c>
      <c r="O247" s="1964">
        <v>0.3</v>
      </c>
      <c r="P247" s="1964">
        <v>0.3</v>
      </c>
      <c r="Q247" s="1964">
        <v>0.3</v>
      </c>
      <c r="S247" s="1822"/>
      <c r="T247" s="1822"/>
      <c r="U247" s="1822"/>
      <c r="V247" s="1822"/>
    </row>
    <row r="248" spans="1:22" s="1834" customFormat="1">
      <c r="A248" s="1868"/>
      <c r="B248" s="1866"/>
      <c r="C248" s="1866"/>
      <c r="D248" s="1867"/>
      <c r="E248" s="1477" t="s">
        <v>2943</v>
      </c>
      <c r="F248" s="1388"/>
      <c r="G248" s="1821"/>
      <c r="H248" s="1823" t="s">
        <v>2270</v>
      </c>
      <c r="I248" s="2019" t="s">
        <v>2542</v>
      </c>
      <c r="L248" s="1964">
        <v>0.3</v>
      </c>
      <c r="M248" s="1964">
        <v>0.3</v>
      </c>
      <c r="N248" s="1964">
        <v>0.3</v>
      </c>
      <c r="O248" s="1964">
        <v>0.3</v>
      </c>
      <c r="P248" s="1964">
        <v>0.3</v>
      </c>
      <c r="Q248" s="1964">
        <v>0.3</v>
      </c>
      <c r="S248" s="1822"/>
      <c r="T248" s="1822"/>
      <c r="U248" s="1822"/>
      <c r="V248" s="1822"/>
    </row>
    <row r="249" spans="1:22" s="1834" customFormat="1">
      <c r="A249" s="1868"/>
      <c r="B249" s="1866"/>
      <c r="C249" s="1866"/>
      <c r="D249" s="1867"/>
      <c r="E249" s="1477" t="s">
        <v>2943</v>
      </c>
      <c r="F249" s="1388"/>
      <c r="G249" s="1821"/>
      <c r="H249" s="1823" t="s">
        <v>2271</v>
      </c>
      <c r="I249" s="2019" t="s">
        <v>2542</v>
      </c>
      <c r="L249" s="1964">
        <v>0.3</v>
      </c>
      <c r="M249" s="1964">
        <v>0.3</v>
      </c>
      <c r="N249" s="1964">
        <v>0.3</v>
      </c>
      <c r="O249" s="1964">
        <v>0.3</v>
      </c>
      <c r="P249" s="1964">
        <v>0.3</v>
      </c>
      <c r="Q249" s="1964">
        <v>0.3</v>
      </c>
      <c r="S249" s="1822"/>
      <c r="T249" s="1822"/>
      <c r="U249" s="1822"/>
      <c r="V249" s="1822"/>
    </row>
    <row r="250" spans="1:22" s="1834" customFormat="1">
      <c r="A250" s="1868"/>
      <c r="B250" s="1866"/>
      <c r="C250" s="1866"/>
      <c r="D250" s="1867"/>
      <c r="E250" s="1477" t="s">
        <v>2943</v>
      </c>
      <c r="F250" s="1388"/>
      <c r="G250" s="1821"/>
      <c r="H250" s="1823" t="s">
        <v>2272</v>
      </c>
      <c r="I250" s="2019" t="s">
        <v>2542</v>
      </c>
      <c r="L250" s="1964">
        <v>0.3</v>
      </c>
      <c r="M250" s="1964">
        <v>0.3</v>
      </c>
      <c r="N250" s="1964">
        <v>0.3</v>
      </c>
      <c r="O250" s="1964">
        <v>0.3</v>
      </c>
      <c r="P250" s="1964">
        <v>0.3</v>
      </c>
      <c r="Q250" s="1964">
        <v>0.3</v>
      </c>
      <c r="S250" s="1822"/>
      <c r="T250" s="1822"/>
      <c r="U250" s="1822"/>
      <c r="V250" s="1822"/>
    </row>
    <row r="251" spans="1:22" s="1834" customFormat="1">
      <c r="A251" s="1868"/>
      <c r="B251" s="1866"/>
      <c r="C251" s="1866"/>
      <c r="D251" s="1867"/>
      <c r="E251" s="1477" t="s">
        <v>2943</v>
      </c>
      <c r="F251" s="1388"/>
      <c r="G251" s="1821"/>
      <c r="H251" s="1823" t="s">
        <v>2273</v>
      </c>
      <c r="I251" s="2019" t="s">
        <v>2542</v>
      </c>
      <c r="L251" s="1964">
        <v>0.3</v>
      </c>
      <c r="M251" s="1964">
        <v>0.3</v>
      </c>
      <c r="N251" s="1964">
        <v>0.3</v>
      </c>
      <c r="O251" s="1964">
        <v>0.3</v>
      </c>
      <c r="P251" s="1964">
        <v>0.3</v>
      </c>
      <c r="Q251" s="1964">
        <v>0.3</v>
      </c>
      <c r="S251" s="1822"/>
      <c r="T251" s="1822"/>
      <c r="U251" s="1822"/>
      <c r="V251" s="1822"/>
    </row>
    <row r="252" spans="1:22" s="1834" customFormat="1">
      <c r="A252" s="1868"/>
      <c r="B252" s="1866"/>
      <c r="C252" s="1866"/>
      <c r="D252" s="1867"/>
      <c r="E252" s="1477" t="s">
        <v>2943</v>
      </c>
      <c r="F252" s="1388"/>
      <c r="G252" s="1821"/>
      <c r="H252" s="1823" t="s">
        <v>2274</v>
      </c>
      <c r="I252" s="2019" t="s">
        <v>2542</v>
      </c>
      <c r="L252" s="1964">
        <v>0.3</v>
      </c>
      <c r="M252" s="1964">
        <v>0.3</v>
      </c>
      <c r="N252" s="1964">
        <v>0.3</v>
      </c>
      <c r="O252" s="1964">
        <v>0.3</v>
      </c>
      <c r="P252" s="1964">
        <v>0.3</v>
      </c>
      <c r="Q252" s="1964">
        <v>0.3</v>
      </c>
      <c r="S252" s="1822"/>
      <c r="T252" s="1822"/>
      <c r="U252" s="1822"/>
      <c r="V252" s="1822"/>
    </row>
    <row r="253" spans="1:22" s="1834" customFormat="1">
      <c r="A253" s="1868"/>
      <c r="B253" s="1866"/>
      <c r="C253" s="1866"/>
      <c r="D253" s="1867"/>
      <c r="E253" s="1477" t="s">
        <v>2943</v>
      </c>
      <c r="F253" s="1388"/>
      <c r="G253" s="1821"/>
      <c r="H253" s="1823" t="s">
        <v>2275</v>
      </c>
      <c r="I253" s="2019" t="s">
        <v>2542</v>
      </c>
      <c r="L253" s="1964">
        <v>0.3</v>
      </c>
      <c r="M253" s="1964">
        <v>0.3</v>
      </c>
      <c r="N253" s="1964">
        <v>0.3</v>
      </c>
      <c r="O253" s="1964">
        <v>0.3</v>
      </c>
      <c r="P253" s="1964">
        <v>0.3</v>
      </c>
      <c r="Q253" s="1964">
        <v>0.3</v>
      </c>
      <c r="S253" s="1822"/>
      <c r="T253" s="1822"/>
      <c r="U253" s="1822"/>
      <c r="V253" s="1822"/>
    </row>
    <row r="254" spans="1:22" s="1834" customFormat="1">
      <c r="A254" s="1868"/>
      <c r="B254" s="1866"/>
      <c r="C254" s="1866"/>
      <c r="D254" s="1867"/>
      <c r="E254" s="1477" t="s">
        <v>2943</v>
      </c>
      <c r="F254" s="1388"/>
      <c r="G254" s="1821"/>
      <c r="H254" s="1823" t="s">
        <v>2276</v>
      </c>
      <c r="I254" s="2019" t="s">
        <v>2542</v>
      </c>
      <c r="L254" s="1964">
        <v>0.3</v>
      </c>
      <c r="M254" s="1964">
        <v>0.3</v>
      </c>
      <c r="N254" s="1964">
        <v>0.3</v>
      </c>
      <c r="O254" s="1964">
        <v>0.3</v>
      </c>
      <c r="P254" s="1964">
        <v>0.3</v>
      </c>
      <c r="Q254" s="1964">
        <v>0.3</v>
      </c>
      <c r="S254" s="1822"/>
      <c r="T254" s="1822"/>
      <c r="U254" s="1822"/>
      <c r="V254" s="1822"/>
    </row>
    <row r="255" spans="1:22" s="1834" customFormat="1">
      <c r="A255" s="1868"/>
      <c r="B255" s="1866"/>
      <c r="C255" s="1866"/>
      <c r="D255" s="1867"/>
      <c r="E255" s="1477" t="s">
        <v>2943</v>
      </c>
      <c r="F255" s="1388"/>
      <c r="G255" s="1821"/>
      <c r="H255" s="1823" t="s">
        <v>2277</v>
      </c>
      <c r="I255" s="2019" t="s">
        <v>2542</v>
      </c>
      <c r="L255" s="1964">
        <v>0.3</v>
      </c>
      <c r="M255" s="1964">
        <v>0.3</v>
      </c>
      <c r="N255" s="1964">
        <v>0.3</v>
      </c>
      <c r="O255" s="1964">
        <v>0.3</v>
      </c>
      <c r="P255" s="1964">
        <v>0.3</v>
      </c>
      <c r="Q255" s="1964">
        <v>0.3</v>
      </c>
      <c r="S255" s="1822"/>
      <c r="T255" s="1822"/>
      <c r="U255" s="1822"/>
      <c r="V255" s="1822"/>
    </row>
    <row r="256" spans="1:22">
      <c r="A256" s="1868"/>
      <c r="B256" s="1866"/>
      <c r="C256" s="1866"/>
      <c r="D256" s="1867"/>
      <c r="E256" s="1477" t="s">
        <v>2943</v>
      </c>
      <c r="F256" s="1388"/>
    </row>
    <row r="257" spans="1:22" s="1834" customFormat="1">
      <c r="A257" s="1868"/>
      <c r="B257" s="1866"/>
      <c r="C257" s="1866"/>
      <c r="D257" s="1867"/>
      <c r="E257" s="1477" t="s">
        <v>2943</v>
      </c>
      <c r="F257" s="1871">
        <f>F240+1</f>
        <v>4</v>
      </c>
      <c r="G257" s="1872"/>
      <c r="H257" s="1873" t="s">
        <v>2362</v>
      </c>
      <c r="I257" s="2013"/>
      <c r="J257" s="1872"/>
      <c r="K257" s="1872"/>
      <c r="L257" s="1872"/>
      <c r="M257" s="1872"/>
      <c r="N257" s="1872"/>
      <c r="O257" s="1874"/>
      <c r="P257" s="1872"/>
      <c r="Q257" s="1875"/>
      <c r="S257" s="1822"/>
      <c r="T257" s="1822"/>
      <c r="U257" s="1822"/>
      <c r="V257" s="1822"/>
    </row>
    <row r="258" spans="1:22" s="1834" customFormat="1">
      <c r="A258" s="1914" t="s">
        <v>3096</v>
      </c>
      <c r="B258" s="1866"/>
      <c r="C258" s="1866"/>
      <c r="D258" s="1867"/>
      <c r="E258" s="1477" t="s">
        <v>2943</v>
      </c>
      <c r="F258" s="1388"/>
      <c r="G258" s="1822"/>
      <c r="H258" s="1822"/>
      <c r="I258" s="1822" t="s">
        <v>3197</v>
      </c>
      <c r="J258" s="1822"/>
      <c r="K258" s="1822"/>
      <c r="L258" s="1822"/>
      <c r="M258" s="1822"/>
      <c r="N258" s="1822"/>
      <c r="O258" s="2054" t="s">
        <v>3192</v>
      </c>
      <c r="P258" s="1822"/>
      <c r="Q258" s="1822"/>
      <c r="S258" s="1822"/>
      <c r="T258" s="1822"/>
      <c r="U258" s="1822"/>
      <c r="V258" s="1822"/>
    </row>
    <row r="259" spans="1:22" s="1834" customFormat="1">
      <c r="A259" s="1868"/>
      <c r="B259" s="1866"/>
      <c r="C259" s="1866"/>
      <c r="D259" s="1867"/>
      <c r="E259" s="1477" t="s">
        <v>2943</v>
      </c>
      <c r="F259" s="1388"/>
      <c r="G259" s="1822"/>
      <c r="H259" s="1822"/>
      <c r="I259" s="1822"/>
      <c r="J259" s="1822"/>
      <c r="K259" s="1822"/>
      <c r="L259" s="1822"/>
      <c r="M259" s="1822"/>
      <c r="N259" s="1822"/>
      <c r="O259" s="1822"/>
      <c r="P259" s="1822"/>
      <c r="Q259" s="1822"/>
      <c r="S259" s="1822"/>
      <c r="T259" s="1822"/>
      <c r="U259" s="1822"/>
      <c r="V259" s="1822"/>
    </row>
    <row r="260" spans="1:22">
      <c r="A260" s="1868"/>
      <c r="B260" s="1866"/>
      <c r="C260" s="1911" t="s">
        <v>3198</v>
      </c>
      <c r="D260" s="1867"/>
      <c r="E260" s="1477" t="s">
        <v>2943</v>
      </c>
      <c r="F260" s="1388"/>
      <c r="H260" s="1822"/>
      <c r="I260" s="1822" t="s">
        <v>2563</v>
      </c>
      <c r="O260" s="1822"/>
      <c r="Q260" s="1822"/>
    </row>
    <row r="261" spans="1:22">
      <c r="A261" s="1868"/>
      <c r="B261" s="1866"/>
      <c r="C261" s="1866"/>
      <c r="D261" s="1867"/>
      <c r="E261" s="1477" t="s">
        <v>2943</v>
      </c>
      <c r="F261" s="1388"/>
      <c r="G261" s="1907"/>
      <c r="H261" s="1907"/>
      <c r="I261" s="1907" t="s">
        <v>2564</v>
      </c>
      <c r="J261" s="1907"/>
      <c r="K261" s="1907"/>
      <c r="L261" s="1907"/>
      <c r="M261" s="1907"/>
      <c r="N261" s="1907"/>
      <c r="O261" s="1907"/>
      <c r="P261" s="1907"/>
      <c r="Q261" s="1907"/>
    </row>
    <row r="262" spans="1:22">
      <c r="A262" s="1868"/>
      <c r="B262" s="1866"/>
      <c r="C262" s="1866"/>
      <c r="D262" s="1867"/>
      <c r="E262" s="1477" t="s">
        <v>2943</v>
      </c>
      <c r="F262" s="1388"/>
      <c r="H262" s="1822"/>
      <c r="I262" s="1822"/>
      <c r="O262" s="1822"/>
      <c r="Q262" s="1822"/>
    </row>
    <row r="263" spans="1:22">
      <c r="A263" s="1991" t="s">
        <v>2800</v>
      </c>
      <c r="B263" s="1992"/>
      <c r="C263" s="1992"/>
      <c r="D263" s="1993"/>
      <c r="E263" s="1477" t="s">
        <v>2943</v>
      </c>
      <c r="F263" s="1388"/>
      <c r="G263" s="1963" t="s">
        <v>2565</v>
      </c>
      <c r="H263" s="1822"/>
      <c r="O263" s="1822"/>
      <c r="Q263" s="1822"/>
    </row>
    <row r="264" spans="1:22">
      <c r="A264" s="1868"/>
      <c r="B264" s="1866"/>
      <c r="C264" s="1866"/>
      <c r="D264" s="1920" t="s">
        <v>3196</v>
      </c>
      <c r="E264" s="1477" t="s">
        <v>2943</v>
      </c>
      <c r="F264" s="1388"/>
      <c r="G264" s="1844" t="s">
        <v>1910</v>
      </c>
      <c r="J264" s="1822" t="s">
        <v>3195</v>
      </c>
      <c r="K264" s="2018" t="s">
        <v>2787</v>
      </c>
      <c r="L264" s="2018" t="str">
        <f>L243</f>
        <v>Current Year</v>
      </c>
      <c r="M264" s="2018" t="str">
        <f>M243</f>
        <v>Year 1</v>
      </c>
      <c r="N264" s="2018" t="str">
        <f>N243</f>
        <v>Year 2</v>
      </c>
      <c r="O264" s="2018" t="str">
        <f>O243</f>
        <v>Year 3</v>
      </c>
      <c r="P264" s="2018" t="str">
        <f>P243</f>
        <v>Year 4</v>
      </c>
      <c r="Q264" s="2018" t="str">
        <f>Q243</f>
        <v>Year 5</v>
      </c>
    </row>
    <row r="265" spans="1:22">
      <c r="A265" s="1868"/>
      <c r="B265" s="1866"/>
      <c r="C265" s="1866"/>
      <c r="D265" s="1867"/>
      <c r="E265" s="1477" t="s">
        <v>2943</v>
      </c>
      <c r="F265" s="1388"/>
      <c r="H265" s="1834" t="s">
        <v>1911</v>
      </c>
      <c r="K265" s="1996">
        <v>5000</v>
      </c>
      <c r="L265" s="1996">
        <v>5000</v>
      </c>
      <c r="M265" s="1996">
        <v>5000</v>
      </c>
      <c r="N265" s="1996">
        <v>5000</v>
      </c>
      <c r="O265" s="1996">
        <v>5000</v>
      </c>
      <c r="P265" s="1996">
        <v>5000</v>
      </c>
      <c r="Q265" s="1996">
        <v>5000</v>
      </c>
      <c r="R265" s="1822" t="s">
        <v>2566</v>
      </c>
    </row>
    <row r="266" spans="1:22">
      <c r="A266" s="1868"/>
      <c r="B266" s="1866"/>
      <c r="C266" s="1866"/>
      <c r="D266" s="1867"/>
      <c r="E266" s="1477" t="s">
        <v>2943</v>
      </c>
      <c r="F266" s="1388"/>
      <c r="H266" s="1834" t="s">
        <v>2567</v>
      </c>
      <c r="K266" s="1996">
        <v>5000</v>
      </c>
      <c r="L266" s="1996">
        <v>5000</v>
      </c>
      <c r="M266" s="1996">
        <v>5000</v>
      </c>
      <c r="N266" s="1996">
        <v>5000</v>
      </c>
      <c r="O266" s="1996">
        <v>5000</v>
      </c>
      <c r="P266" s="1996">
        <v>5000</v>
      </c>
      <c r="Q266" s="1996">
        <v>5000</v>
      </c>
    </row>
    <row r="267" spans="1:22">
      <c r="A267" s="1868"/>
      <c r="B267" s="1866"/>
      <c r="C267" s="1866"/>
      <c r="D267" s="1867"/>
      <c r="E267" s="1477" t="s">
        <v>2943</v>
      </c>
      <c r="F267" s="1388"/>
      <c r="H267" s="1834" t="s">
        <v>2568</v>
      </c>
      <c r="K267" s="1996">
        <v>5000</v>
      </c>
      <c r="L267" s="1996">
        <v>5000</v>
      </c>
      <c r="M267" s="1996">
        <v>5000</v>
      </c>
      <c r="N267" s="1996">
        <v>5000</v>
      </c>
      <c r="O267" s="1996">
        <v>5000</v>
      </c>
      <c r="P267" s="1996">
        <v>5000</v>
      </c>
      <c r="Q267" s="1996">
        <v>5000</v>
      </c>
    </row>
    <row r="268" spans="1:22">
      <c r="A268" s="1868"/>
      <c r="B268" s="1866"/>
      <c r="C268" s="1866"/>
      <c r="D268" s="1867"/>
      <c r="E268" s="1477" t="s">
        <v>2943</v>
      </c>
      <c r="F268" s="1388"/>
      <c r="H268" s="1834" t="s">
        <v>1914</v>
      </c>
      <c r="K268" s="1996">
        <v>5000</v>
      </c>
      <c r="L268" s="1996">
        <v>5000</v>
      </c>
      <c r="M268" s="1996">
        <v>5000</v>
      </c>
      <c r="N268" s="1996">
        <v>5000</v>
      </c>
      <c r="O268" s="1996">
        <v>5000</v>
      </c>
      <c r="P268" s="1996">
        <v>5000</v>
      </c>
      <c r="Q268" s="1996">
        <v>5000</v>
      </c>
    </row>
    <row r="269" spans="1:22" ht="28.5">
      <c r="A269" s="1865"/>
      <c r="B269" s="1866"/>
      <c r="C269" s="1866"/>
      <c r="D269" s="1867"/>
      <c r="E269" s="1477" t="s">
        <v>2943</v>
      </c>
      <c r="F269" s="1388"/>
      <c r="H269" s="1834" t="s">
        <v>1915</v>
      </c>
      <c r="K269" s="1996">
        <v>5000</v>
      </c>
      <c r="L269" s="1996">
        <v>5000</v>
      </c>
      <c r="M269" s="1996">
        <v>5000</v>
      </c>
      <c r="N269" s="1996">
        <v>5000</v>
      </c>
      <c r="O269" s="1996">
        <v>5000</v>
      </c>
      <c r="P269" s="1996">
        <v>5000</v>
      </c>
      <c r="Q269" s="1996">
        <v>5000</v>
      </c>
    </row>
    <row r="270" spans="1:22">
      <c r="A270" s="1868"/>
      <c r="B270" s="1866"/>
      <c r="C270" s="1866"/>
      <c r="D270" s="1867"/>
      <c r="E270" s="1477" t="s">
        <v>2943</v>
      </c>
      <c r="F270" s="1388"/>
      <c r="H270" s="1834" t="s">
        <v>2458</v>
      </c>
      <c r="K270" s="1996">
        <v>5000</v>
      </c>
      <c r="L270" s="1996">
        <v>5000</v>
      </c>
      <c r="M270" s="1996">
        <v>5000</v>
      </c>
      <c r="N270" s="1996">
        <v>5000</v>
      </c>
      <c r="O270" s="1996">
        <v>5000</v>
      </c>
      <c r="P270" s="1996">
        <v>5000</v>
      </c>
      <c r="Q270" s="1996">
        <v>5000</v>
      </c>
    </row>
    <row r="271" spans="1:22">
      <c r="A271" s="1868"/>
      <c r="B271" s="1866"/>
      <c r="C271" s="1866"/>
      <c r="D271" s="1867"/>
      <c r="E271" s="1477" t="s">
        <v>2943</v>
      </c>
      <c r="F271" s="1388"/>
      <c r="H271" s="1834" t="s">
        <v>3148</v>
      </c>
      <c r="K271" s="1996">
        <v>5000</v>
      </c>
      <c r="L271" s="1996">
        <v>5000</v>
      </c>
      <c r="M271" s="1996">
        <v>5000</v>
      </c>
      <c r="N271" s="1996">
        <v>5000</v>
      </c>
      <c r="O271" s="1996">
        <v>5000</v>
      </c>
      <c r="P271" s="1996">
        <v>5000</v>
      </c>
      <c r="Q271" s="1996">
        <v>5000</v>
      </c>
    </row>
    <row r="272" spans="1:22">
      <c r="A272" s="1868"/>
      <c r="B272" s="1866"/>
      <c r="C272" s="1866"/>
      <c r="D272" s="1867"/>
      <c r="E272" s="1477" t="s">
        <v>2943</v>
      </c>
      <c r="F272" s="1388"/>
      <c r="H272" s="1823" t="s">
        <v>1976</v>
      </c>
      <c r="K272" s="1996">
        <v>5000</v>
      </c>
      <c r="L272" s="1996">
        <v>5000</v>
      </c>
      <c r="M272" s="1996">
        <v>5000</v>
      </c>
      <c r="N272" s="1996">
        <v>5000</v>
      </c>
      <c r="O272" s="1996">
        <v>5000</v>
      </c>
      <c r="P272" s="1996">
        <v>5000</v>
      </c>
      <c r="Q272" s="1996">
        <v>5000</v>
      </c>
    </row>
    <row r="273" spans="1:18">
      <c r="A273" s="1868"/>
      <c r="B273" s="1866"/>
      <c r="C273" s="1866"/>
      <c r="D273" s="1867"/>
      <c r="E273" s="1477" t="s">
        <v>2943</v>
      </c>
      <c r="F273" s="1388"/>
      <c r="G273" s="1907"/>
      <c r="H273" s="1906" t="s">
        <v>1977</v>
      </c>
      <c r="I273" s="1906"/>
      <c r="J273" s="1906"/>
      <c r="K273" s="1892">
        <v>5000</v>
      </c>
      <c r="L273" s="1892">
        <v>5000</v>
      </c>
      <c r="M273" s="1892">
        <v>5000</v>
      </c>
      <c r="N273" s="1892">
        <v>5000</v>
      </c>
      <c r="O273" s="1892">
        <v>5000</v>
      </c>
      <c r="P273" s="1892">
        <v>5000</v>
      </c>
      <c r="Q273" s="1892">
        <v>5000</v>
      </c>
    </row>
    <row r="274" spans="1:18" ht="84">
      <c r="A274" s="1868"/>
      <c r="B274" s="1866"/>
      <c r="C274" s="1866"/>
      <c r="D274" s="1920" t="s">
        <v>3201</v>
      </c>
      <c r="E274" s="1477" t="s">
        <v>2943</v>
      </c>
      <c r="F274" s="1388"/>
      <c r="G274" s="2057"/>
      <c r="H274" s="2058" t="s">
        <v>1653</v>
      </c>
      <c r="I274" s="2058" t="s">
        <v>3199</v>
      </c>
      <c r="J274" s="2058" t="s">
        <v>3200</v>
      </c>
      <c r="K274" s="2059">
        <v>200000</v>
      </c>
      <c r="L274" s="2059">
        <v>200000</v>
      </c>
      <c r="M274" s="2059">
        <v>200000</v>
      </c>
      <c r="N274" s="2059">
        <v>200000</v>
      </c>
      <c r="O274" s="2059">
        <v>200000</v>
      </c>
      <c r="P274" s="2059">
        <v>200000</v>
      </c>
      <c r="Q274" s="2059">
        <v>200000</v>
      </c>
    </row>
    <row r="275" spans="1:18">
      <c r="A275" s="1868"/>
      <c r="B275" s="1866"/>
      <c r="C275" s="1866"/>
      <c r="D275" s="1867"/>
      <c r="E275" s="1477" t="s">
        <v>2943</v>
      </c>
      <c r="F275" s="1388"/>
      <c r="H275" s="1822"/>
      <c r="I275" s="1822"/>
      <c r="O275" s="1822"/>
      <c r="Q275" s="1822"/>
    </row>
    <row r="276" spans="1:18">
      <c r="A276" s="1868"/>
      <c r="B276" s="1866"/>
      <c r="C276" s="1866"/>
      <c r="D276" s="1867"/>
      <c r="E276" s="1477" t="s">
        <v>2943</v>
      </c>
      <c r="F276" s="1388"/>
      <c r="G276" s="1963" t="s">
        <v>2569</v>
      </c>
      <c r="H276" s="1822"/>
      <c r="I276" s="2020" t="s">
        <v>2570</v>
      </c>
      <c r="M276" s="2021" t="s">
        <v>3194</v>
      </c>
      <c r="N276" s="2021"/>
      <c r="O276" s="2021"/>
      <c r="P276" s="2021"/>
      <c r="Q276" s="2021"/>
      <c r="R276" s="1822"/>
    </row>
    <row r="277" spans="1:18">
      <c r="A277" s="1868"/>
      <c r="B277" s="1866"/>
      <c r="C277" s="1866"/>
      <c r="D277" s="1920" t="s">
        <v>3193</v>
      </c>
      <c r="E277" s="1477" t="s">
        <v>2943</v>
      </c>
      <c r="F277" s="1388"/>
      <c r="G277" s="1844" t="s">
        <v>1910</v>
      </c>
      <c r="I277" s="2022" t="s">
        <v>2571</v>
      </c>
      <c r="J277" s="1822" t="s">
        <v>3149</v>
      </c>
      <c r="K277" s="2018" t="s">
        <v>2787</v>
      </c>
      <c r="L277" s="2018" t="str">
        <f>L243</f>
        <v>Current Year</v>
      </c>
      <c r="M277" s="2018" t="str">
        <f>M243</f>
        <v>Year 1</v>
      </c>
      <c r="N277" s="2018" t="str">
        <f>N243</f>
        <v>Year 2</v>
      </c>
      <c r="O277" s="2018" t="str">
        <f>O243</f>
        <v>Year 3</v>
      </c>
      <c r="P277" s="2018" t="str">
        <f>P243</f>
        <v>Year 4</v>
      </c>
      <c r="Q277" s="2018" t="str">
        <f>Q243</f>
        <v>Year 5</v>
      </c>
      <c r="R277" s="1822"/>
    </row>
    <row r="278" spans="1:18">
      <c r="A278" s="1868"/>
      <c r="B278" s="1866"/>
      <c r="C278" s="1866"/>
      <c r="D278" s="1867"/>
      <c r="E278" s="1477" t="s">
        <v>2943</v>
      </c>
      <c r="F278" s="1388"/>
      <c r="H278" s="1834" t="s">
        <v>1911</v>
      </c>
      <c r="I278" s="2023" t="s">
        <v>2572</v>
      </c>
      <c r="K278" s="1903">
        <v>5000</v>
      </c>
      <c r="L278" s="1903">
        <v>5000</v>
      </c>
      <c r="M278" s="1964">
        <v>0.02</v>
      </c>
      <c r="N278" s="1964">
        <v>0.02</v>
      </c>
      <c r="O278" s="1964">
        <v>0.02</v>
      </c>
      <c r="P278" s="1964">
        <v>0.02</v>
      </c>
      <c r="Q278" s="1964">
        <v>0.02</v>
      </c>
      <c r="R278" s="1822"/>
    </row>
    <row r="279" spans="1:18">
      <c r="A279" s="1868"/>
      <c r="B279" s="1866"/>
      <c r="C279" s="1866"/>
      <c r="D279" s="1867"/>
      <c r="E279" s="1477" t="s">
        <v>2943</v>
      </c>
      <c r="F279" s="1388"/>
      <c r="H279" s="1834" t="s">
        <v>2567</v>
      </c>
      <c r="I279" s="2023" t="s">
        <v>2572</v>
      </c>
      <c r="K279" s="1903">
        <v>5000</v>
      </c>
      <c r="L279" s="1903">
        <v>5000</v>
      </c>
      <c r="M279" s="1964">
        <v>0.02</v>
      </c>
      <c r="N279" s="1964">
        <v>0.02</v>
      </c>
      <c r="O279" s="1964">
        <v>0.02</v>
      </c>
      <c r="P279" s="1964">
        <v>0.02</v>
      </c>
      <c r="Q279" s="1964">
        <v>0.02</v>
      </c>
      <c r="R279" s="1822"/>
    </row>
    <row r="280" spans="1:18">
      <c r="A280" s="1868"/>
      <c r="B280" s="1866"/>
      <c r="C280" s="1866"/>
      <c r="D280" s="1867"/>
      <c r="E280" s="1477" t="s">
        <v>2943</v>
      </c>
      <c r="F280" s="1388"/>
      <c r="H280" s="1834" t="s">
        <v>2568</v>
      </c>
      <c r="I280" s="2023" t="s">
        <v>2572</v>
      </c>
      <c r="K280" s="1903">
        <v>5000</v>
      </c>
      <c r="L280" s="1903">
        <v>5000</v>
      </c>
      <c r="M280" s="1964">
        <v>0.02</v>
      </c>
      <c r="N280" s="1964">
        <v>0.02</v>
      </c>
      <c r="O280" s="1964">
        <v>0.02</v>
      </c>
      <c r="P280" s="1964">
        <v>0.02</v>
      </c>
      <c r="Q280" s="1964">
        <v>0.02</v>
      </c>
      <c r="R280" s="1822"/>
    </row>
    <row r="281" spans="1:18">
      <c r="A281" s="1868"/>
      <c r="B281" s="1866"/>
      <c r="C281" s="1866"/>
      <c r="D281" s="1867"/>
      <c r="E281" s="1477" t="s">
        <v>2943</v>
      </c>
      <c r="F281" s="1388"/>
      <c r="H281" s="1834" t="s">
        <v>1914</v>
      </c>
      <c r="I281" s="2023" t="s">
        <v>2572</v>
      </c>
      <c r="K281" s="1903">
        <v>5000</v>
      </c>
      <c r="L281" s="1903">
        <v>5000</v>
      </c>
      <c r="M281" s="1964">
        <v>0.02</v>
      </c>
      <c r="N281" s="1964">
        <v>0.02</v>
      </c>
      <c r="O281" s="1964">
        <v>0.02</v>
      </c>
      <c r="P281" s="1964">
        <v>0.02</v>
      </c>
      <c r="Q281" s="1964">
        <v>0.02</v>
      </c>
      <c r="R281" s="1822"/>
    </row>
    <row r="282" spans="1:18" ht="28.5">
      <c r="A282" s="1868"/>
      <c r="B282" s="1866"/>
      <c r="C282" s="1866"/>
      <c r="D282" s="1867"/>
      <c r="E282" s="1477" t="s">
        <v>2943</v>
      </c>
      <c r="F282" s="1388"/>
      <c r="H282" s="1834" t="s">
        <v>1915</v>
      </c>
      <c r="I282" s="2023" t="s">
        <v>2572</v>
      </c>
      <c r="K282" s="1903">
        <v>5000</v>
      </c>
      <c r="L282" s="1903">
        <v>5000</v>
      </c>
      <c r="M282" s="1964">
        <v>0.02</v>
      </c>
      <c r="N282" s="1964">
        <v>0.02</v>
      </c>
      <c r="O282" s="1964">
        <v>0.02</v>
      </c>
      <c r="P282" s="1964">
        <v>0.02</v>
      </c>
      <c r="Q282" s="1964">
        <v>0.02</v>
      </c>
      <c r="R282" s="1822"/>
    </row>
    <row r="283" spans="1:18">
      <c r="A283" s="1868"/>
      <c r="B283" s="1866"/>
      <c r="C283" s="1866"/>
      <c r="D283" s="1867"/>
      <c r="E283" s="1477" t="s">
        <v>2943</v>
      </c>
      <c r="F283" s="1388"/>
      <c r="H283" s="1834" t="s">
        <v>1916</v>
      </c>
      <c r="I283" s="2023" t="s">
        <v>2572</v>
      </c>
      <c r="K283" s="1903">
        <v>5000</v>
      </c>
      <c r="L283" s="1903">
        <v>5000</v>
      </c>
      <c r="M283" s="1964">
        <v>0.02</v>
      </c>
      <c r="N283" s="1964">
        <v>0.02</v>
      </c>
      <c r="O283" s="1964">
        <v>0.02</v>
      </c>
      <c r="P283" s="1964">
        <v>0.02</v>
      </c>
      <c r="Q283" s="1964">
        <v>0.02</v>
      </c>
      <c r="R283" s="1822"/>
    </row>
    <row r="284" spans="1:18">
      <c r="A284" s="1868"/>
      <c r="B284" s="1866"/>
      <c r="C284" s="1866"/>
      <c r="D284" s="1867"/>
      <c r="E284" s="1477" t="s">
        <v>2943</v>
      </c>
      <c r="F284" s="1388"/>
      <c r="H284" s="1834" t="s">
        <v>3148</v>
      </c>
      <c r="I284" s="2023" t="s">
        <v>2572</v>
      </c>
      <c r="K284" s="1903">
        <v>5000</v>
      </c>
      <c r="L284" s="1903">
        <v>5000</v>
      </c>
      <c r="M284" s="1964">
        <v>0.02</v>
      </c>
      <c r="N284" s="1964">
        <v>0.02</v>
      </c>
      <c r="O284" s="1964">
        <v>0.02</v>
      </c>
      <c r="P284" s="1964">
        <v>0.02</v>
      </c>
      <c r="Q284" s="1964">
        <v>0.02</v>
      </c>
      <c r="R284" s="1822"/>
    </row>
    <row r="285" spans="1:18">
      <c r="A285" s="1868"/>
      <c r="B285" s="1866"/>
      <c r="C285" s="1866"/>
      <c r="D285" s="1867"/>
      <c r="E285" s="1477" t="s">
        <v>2943</v>
      </c>
      <c r="F285" s="1388"/>
      <c r="H285" s="1823" t="s">
        <v>1976</v>
      </c>
      <c r="I285" s="2023" t="s">
        <v>2572</v>
      </c>
      <c r="K285" s="1903">
        <v>5000</v>
      </c>
      <c r="L285" s="1903">
        <v>5000</v>
      </c>
      <c r="M285" s="1964">
        <v>0.02</v>
      </c>
      <c r="N285" s="1964">
        <v>0.02</v>
      </c>
      <c r="O285" s="1964">
        <v>0.02</v>
      </c>
      <c r="P285" s="1964">
        <v>0.02</v>
      </c>
      <c r="Q285" s="1964">
        <v>0.02</v>
      </c>
      <c r="R285" s="1822"/>
    </row>
    <row r="286" spans="1:18">
      <c r="A286" s="1868"/>
      <c r="B286" s="1866"/>
      <c r="C286" s="1866"/>
      <c r="D286" s="1867"/>
      <c r="E286" s="1477" t="s">
        <v>2943</v>
      </c>
      <c r="F286" s="1388"/>
      <c r="H286" s="1823" t="s">
        <v>1977</v>
      </c>
      <c r="I286" s="2023" t="s">
        <v>2572</v>
      </c>
      <c r="K286" s="1903">
        <v>5000</v>
      </c>
      <c r="L286" s="1903">
        <v>5000</v>
      </c>
      <c r="M286" s="1964">
        <v>0.02</v>
      </c>
      <c r="N286" s="1964">
        <v>0.02</v>
      </c>
      <c r="O286" s="1964">
        <v>0.02</v>
      </c>
      <c r="P286" s="1964">
        <v>0.02</v>
      </c>
      <c r="Q286" s="1964">
        <v>0.02</v>
      </c>
      <c r="R286" s="1822"/>
    </row>
    <row r="287" spans="1:18" ht="84">
      <c r="A287" s="1868"/>
      <c r="B287" s="1866"/>
      <c r="C287" s="1866"/>
      <c r="D287" s="1920" t="s">
        <v>3201</v>
      </c>
      <c r="E287" s="1477" t="s">
        <v>2943</v>
      </c>
      <c r="F287" s="1388"/>
      <c r="G287" s="2057"/>
      <c r="H287" s="2058" t="s">
        <v>1653</v>
      </c>
      <c r="I287" s="2058" t="s">
        <v>3203</v>
      </c>
      <c r="J287" s="2058" t="s">
        <v>3200</v>
      </c>
      <c r="K287" s="2059">
        <v>200000</v>
      </c>
      <c r="L287" s="2059">
        <v>200000</v>
      </c>
      <c r="M287" s="2060">
        <v>0.02</v>
      </c>
      <c r="N287" s="2061">
        <v>0.02</v>
      </c>
      <c r="O287" s="2061">
        <v>0.02</v>
      </c>
      <c r="P287" s="2061">
        <v>0.02</v>
      </c>
      <c r="Q287" s="2061">
        <v>0.02</v>
      </c>
    </row>
    <row r="288" spans="1:18">
      <c r="A288" s="1868"/>
      <c r="B288" s="1866"/>
      <c r="C288" s="1866"/>
      <c r="D288" s="1867"/>
      <c r="E288" s="1477" t="s">
        <v>2943</v>
      </c>
      <c r="F288" s="1388"/>
    </row>
    <row r="289" spans="1:18">
      <c r="A289" s="1868"/>
      <c r="B289" s="1866"/>
      <c r="C289" s="1866"/>
      <c r="D289" s="1867"/>
      <c r="E289" s="1477" t="s">
        <v>2943</v>
      </c>
      <c r="F289" s="1871">
        <f>F257+1</f>
        <v>5</v>
      </c>
      <c r="G289" s="1872"/>
      <c r="H289" s="1873" t="s">
        <v>2075</v>
      </c>
      <c r="I289" s="2024"/>
      <c r="J289" s="1872"/>
      <c r="K289" s="1872"/>
      <c r="L289" s="1872"/>
      <c r="M289" s="1872"/>
      <c r="N289" s="1872"/>
      <c r="O289" s="1874"/>
      <c r="P289" s="1872"/>
      <c r="Q289" s="1872"/>
      <c r="R289" s="1822"/>
    </row>
    <row r="290" spans="1:18" ht="112.5">
      <c r="A290" s="1914" t="s">
        <v>3150</v>
      </c>
      <c r="B290" s="1866"/>
      <c r="C290" s="1911" t="s">
        <v>3202</v>
      </c>
      <c r="D290" s="1867"/>
      <c r="E290" s="1477" t="s">
        <v>2943</v>
      </c>
      <c r="F290" s="1388"/>
      <c r="H290" s="1834"/>
      <c r="I290" s="1834" t="s">
        <v>3151</v>
      </c>
      <c r="J290" s="1822" t="s">
        <v>3152</v>
      </c>
      <c r="K290" s="2035" t="s">
        <v>2470</v>
      </c>
      <c r="Q290" s="1822"/>
      <c r="R290" s="1822"/>
    </row>
    <row r="291" spans="1:18">
      <c r="A291" s="1868"/>
      <c r="B291" s="1866"/>
      <c r="C291" s="1866"/>
      <c r="D291" s="1867"/>
      <c r="E291" s="1477" t="s">
        <v>2943</v>
      </c>
      <c r="F291" s="1388"/>
      <c r="H291" s="1834"/>
      <c r="I291" s="1822"/>
      <c r="Q291" s="1822"/>
      <c r="R291" s="1822"/>
    </row>
    <row r="292" spans="1:18">
      <c r="A292" s="1868"/>
      <c r="B292" s="1866"/>
      <c r="C292" s="1911" t="s">
        <v>3204</v>
      </c>
      <c r="D292" s="1867"/>
      <c r="E292" s="1477" t="s">
        <v>2943</v>
      </c>
      <c r="F292" s="1388"/>
      <c r="G292" s="1963" t="s">
        <v>2573</v>
      </c>
      <c r="H292" s="1834"/>
      <c r="I292" s="1822"/>
      <c r="K292" s="1844" t="s">
        <v>2074</v>
      </c>
      <c r="L292" s="1844" t="s">
        <v>2548</v>
      </c>
      <c r="M292" s="1844" t="str">
        <f>M277</f>
        <v>Year 1</v>
      </c>
      <c r="N292" s="1844" t="str">
        <f>N277</f>
        <v>Year 2</v>
      </c>
      <c r="O292" s="2018" t="str">
        <f>O277</f>
        <v>Year 3</v>
      </c>
      <c r="P292" s="1844" t="str">
        <f>P277</f>
        <v>Year 4</v>
      </c>
      <c r="Q292" s="1844" t="str">
        <f>Q277</f>
        <v>Year 5</v>
      </c>
      <c r="R292" s="1822"/>
    </row>
    <row r="293" spans="1:18" ht="42.5">
      <c r="A293" s="1868"/>
      <c r="B293" s="1866"/>
      <c r="C293" s="1866"/>
      <c r="D293" s="1867"/>
      <c r="E293" s="1477" t="s">
        <v>2943</v>
      </c>
      <c r="F293" s="1388"/>
      <c r="H293" s="1823" t="s">
        <v>2138</v>
      </c>
      <c r="I293" s="1823" t="s">
        <v>2574</v>
      </c>
      <c r="K293" s="1962"/>
      <c r="L293" s="1962"/>
      <c r="M293" s="1962"/>
      <c r="N293" s="1962"/>
      <c r="O293" s="2025"/>
      <c r="P293" s="1962"/>
      <c r="Q293" s="2026"/>
      <c r="R293" s="1919" t="s">
        <v>2575</v>
      </c>
    </row>
    <row r="294" spans="1:18" ht="28">
      <c r="A294" s="1868"/>
      <c r="B294" s="1866"/>
      <c r="C294" s="1866"/>
      <c r="D294" s="1867"/>
      <c r="E294" s="1477" t="s">
        <v>2943</v>
      </c>
      <c r="F294" s="1388"/>
      <c r="H294" s="1834" t="s">
        <v>2139</v>
      </c>
      <c r="I294" s="1823" t="s">
        <v>2576</v>
      </c>
      <c r="K294" s="1962"/>
      <c r="L294" s="1962"/>
      <c r="M294" s="1962"/>
      <c r="N294" s="1962"/>
      <c r="O294" s="2025"/>
      <c r="P294" s="1962"/>
      <c r="Q294" s="2026"/>
    </row>
    <row r="295" spans="1:18" ht="28">
      <c r="A295" s="1868"/>
      <c r="B295" s="1866"/>
      <c r="C295" s="1866"/>
      <c r="D295" s="1867"/>
      <c r="E295" s="1477" t="s">
        <v>2943</v>
      </c>
      <c r="F295" s="1388"/>
      <c r="H295" s="1834" t="s">
        <v>2140</v>
      </c>
      <c r="I295" s="1823" t="s">
        <v>2577</v>
      </c>
      <c r="K295" s="1962"/>
      <c r="L295" s="1962"/>
      <c r="M295" s="1962"/>
      <c r="N295" s="1962"/>
      <c r="O295" s="2025"/>
      <c r="P295" s="1962"/>
      <c r="Q295" s="2026"/>
    </row>
    <row r="296" spans="1:18">
      <c r="A296" s="1868"/>
      <c r="B296" s="1866"/>
      <c r="C296" s="1866"/>
      <c r="D296" s="1867"/>
      <c r="E296" s="1477" t="s">
        <v>2943</v>
      </c>
      <c r="F296" s="1388"/>
      <c r="H296" s="2040" t="s">
        <v>2141</v>
      </c>
      <c r="I296" s="1823" t="s">
        <v>2578</v>
      </c>
      <c r="K296" s="1962"/>
      <c r="L296" s="1962"/>
      <c r="M296" s="1962"/>
      <c r="N296" s="1962"/>
      <c r="O296" s="2025"/>
      <c r="P296" s="1962"/>
      <c r="Q296" s="2026"/>
    </row>
    <row r="297" spans="1:18">
      <c r="A297" s="1868"/>
      <c r="B297" s="1866"/>
      <c r="C297" s="1866"/>
      <c r="D297" s="1867"/>
      <c r="E297" s="1477" t="s">
        <v>2943</v>
      </c>
      <c r="F297" s="1388"/>
    </row>
    <row r="298" spans="1:18">
      <c r="A298" s="1868"/>
      <c r="B298" s="1866"/>
      <c r="C298" s="1866"/>
      <c r="D298" s="1867"/>
      <c r="E298" s="1477" t="s">
        <v>2943</v>
      </c>
      <c r="F298" s="1388"/>
      <c r="G298" s="1963" t="s">
        <v>2579</v>
      </c>
      <c r="K298" s="1962"/>
      <c r="L298" s="1962"/>
      <c r="M298" s="1962"/>
      <c r="N298" s="1962"/>
      <c r="O298" s="2025"/>
      <c r="P298" s="1962"/>
      <c r="Q298" s="2026"/>
    </row>
    <row r="299" spans="1:18">
      <c r="A299" s="1868"/>
      <c r="B299" s="1866"/>
      <c r="C299" s="1866"/>
      <c r="D299" s="1867"/>
      <c r="E299" s="1477" t="s">
        <v>2943</v>
      </c>
      <c r="F299" s="1388"/>
      <c r="G299" s="1963"/>
      <c r="K299" s="1821"/>
      <c r="L299" s="1821"/>
      <c r="M299" s="1823"/>
      <c r="N299" s="1823"/>
      <c r="O299" s="1958"/>
      <c r="P299" s="1823"/>
      <c r="Q299" s="1823"/>
    </row>
    <row r="300" spans="1:18">
      <c r="A300" s="1868"/>
      <c r="B300" s="1866"/>
      <c r="C300" s="1911" t="s">
        <v>3042</v>
      </c>
      <c r="D300" s="1867"/>
      <c r="E300" s="1477" t="s">
        <v>2943</v>
      </c>
      <c r="F300" s="1388"/>
      <c r="G300" s="1963" t="s">
        <v>2580</v>
      </c>
      <c r="I300" s="1823" t="s">
        <v>2581</v>
      </c>
      <c r="J300" s="1822" t="s">
        <v>3153</v>
      </c>
      <c r="K300" s="1962"/>
      <c r="L300" s="1962"/>
      <c r="M300" s="1962"/>
      <c r="N300" s="1962"/>
      <c r="O300" s="2025"/>
      <c r="P300" s="1962"/>
      <c r="Q300" s="2026"/>
    </row>
    <row r="301" spans="1:18">
      <c r="A301" s="1868"/>
      <c r="B301" s="1866"/>
      <c r="C301" s="1866"/>
      <c r="D301" s="1867"/>
      <c r="E301" s="1477" t="s">
        <v>2943</v>
      </c>
      <c r="F301" s="1388"/>
    </row>
    <row r="302" spans="1:18">
      <c r="A302" s="1868"/>
      <c r="B302" s="1866"/>
      <c r="C302" s="1866"/>
      <c r="D302" s="1867"/>
      <c r="E302" s="1477" t="s">
        <v>2943</v>
      </c>
      <c r="F302" s="1871">
        <f>F289+1</f>
        <v>6</v>
      </c>
      <c r="G302" s="1872"/>
      <c r="H302" s="1873" t="s">
        <v>2582</v>
      </c>
      <c r="I302" s="2013"/>
      <c r="J302" s="1872"/>
      <c r="K302" s="1872"/>
      <c r="L302" s="1872"/>
      <c r="M302" s="1872"/>
      <c r="N302" s="1872"/>
      <c r="O302" s="1874"/>
      <c r="P302" s="1872"/>
      <c r="Q302" s="1875"/>
    </row>
    <row r="303" spans="1:18" ht="112">
      <c r="A303" s="1868"/>
      <c r="B303" s="1866"/>
      <c r="C303" s="1866"/>
      <c r="D303" s="1867"/>
      <c r="E303" s="1477" t="s">
        <v>2943</v>
      </c>
      <c r="F303" s="1388"/>
      <c r="H303" s="1883"/>
      <c r="I303" s="1883" t="s">
        <v>3154</v>
      </c>
      <c r="J303" s="2027"/>
      <c r="K303" s="2027"/>
      <c r="L303" s="2027"/>
      <c r="M303" s="2027"/>
      <c r="N303" s="2027"/>
      <c r="O303" s="2028"/>
      <c r="P303" s="2027"/>
      <c r="Q303" s="2029"/>
    </row>
    <row r="304" spans="1:18">
      <c r="A304" s="1868"/>
      <c r="B304" s="1866"/>
      <c r="C304" s="1866"/>
      <c r="D304" s="1867"/>
      <c r="E304" s="1477" t="s">
        <v>2943</v>
      </c>
      <c r="F304" s="1388"/>
    </row>
    <row r="305" spans="1:18">
      <c r="A305" s="1868"/>
      <c r="B305" s="1866"/>
      <c r="C305" s="1866"/>
      <c r="D305" s="1867"/>
      <c r="E305" s="1477" t="s">
        <v>2943</v>
      </c>
      <c r="F305" s="1388"/>
      <c r="H305" s="1886" t="s">
        <v>1615</v>
      </c>
      <c r="L305" s="1844" t="str">
        <f>L264</f>
        <v>Current Year</v>
      </c>
      <c r="M305" s="1844" t="str">
        <f t="shared" ref="M305:Q305" si="0">M264</f>
        <v>Year 1</v>
      </c>
      <c r="N305" s="1844" t="str">
        <f t="shared" si="0"/>
        <v>Year 2</v>
      </c>
      <c r="O305" s="2018" t="str">
        <f t="shared" si="0"/>
        <v>Year 3</v>
      </c>
      <c r="P305" s="1844" t="str">
        <f t="shared" si="0"/>
        <v>Year 4</v>
      </c>
      <c r="Q305" s="2030" t="str">
        <f t="shared" si="0"/>
        <v>Year 5</v>
      </c>
    </row>
    <row r="306" spans="1:18" ht="28">
      <c r="A306" s="1868"/>
      <c r="B306" s="1866"/>
      <c r="C306" s="1866"/>
      <c r="D306" s="1867"/>
      <c r="E306" s="1477" t="s">
        <v>2943</v>
      </c>
      <c r="F306" s="1388"/>
      <c r="H306" s="1823" t="s">
        <v>2583</v>
      </c>
      <c r="I306" s="1823" t="s">
        <v>2584</v>
      </c>
      <c r="L306" s="1962">
        <v>-20</v>
      </c>
      <c r="M306" s="1962">
        <v>-20</v>
      </c>
      <c r="N306" s="1962">
        <v>-20</v>
      </c>
      <c r="O306" s="1962">
        <v>-20</v>
      </c>
      <c r="P306" s="1962">
        <v>-20</v>
      </c>
      <c r="Q306" s="1962">
        <v>-20</v>
      </c>
      <c r="R306" s="1919" t="s">
        <v>2585</v>
      </c>
    </row>
    <row r="307" spans="1:18">
      <c r="A307" s="1868"/>
      <c r="B307" s="1866"/>
      <c r="C307" s="1866"/>
      <c r="D307" s="1867"/>
      <c r="E307" s="1477" t="s">
        <v>2943</v>
      </c>
      <c r="F307" s="1388"/>
      <c r="H307" s="1823" t="s">
        <v>2586</v>
      </c>
      <c r="I307" s="1821" t="s">
        <v>2587</v>
      </c>
      <c r="L307" s="1962"/>
      <c r="M307" s="1962"/>
      <c r="N307" s="1962"/>
      <c r="O307" s="2025"/>
      <c r="P307" s="1962"/>
      <c r="Q307" s="1962"/>
      <c r="R307" s="1919" t="s">
        <v>2585</v>
      </c>
    </row>
    <row r="308" spans="1:18">
      <c r="A308" s="1868"/>
      <c r="B308" s="1866"/>
      <c r="C308" s="1866"/>
      <c r="D308" s="1867"/>
      <c r="E308" s="1477" t="s">
        <v>2943</v>
      </c>
      <c r="F308" s="1388"/>
      <c r="H308" s="1823" t="s">
        <v>2588</v>
      </c>
      <c r="I308" s="1821" t="s">
        <v>2589</v>
      </c>
      <c r="L308" s="1962"/>
      <c r="M308" s="1962"/>
      <c r="N308" s="1962"/>
      <c r="O308" s="2025"/>
      <c r="P308" s="1962"/>
      <c r="Q308" s="1962"/>
      <c r="R308" s="1919" t="s">
        <v>2585</v>
      </c>
    </row>
    <row r="309" spans="1:18" ht="28">
      <c r="A309" s="1868"/>
      <c r="B309" s="1866"/>
      <c r="C309" s="1866"/>
      <c r="D309" s="1867"/>
      <c r="E309" s="1477" t="s">
        <v>2943</v>
      </c>
      <c r="F309" s="1388"/>
      <c r="H309" s="1823" t="s">
        <v>2590</v>
      </c>
      <c r="I309" s="1821" t="s">
        <v>2591</v>
      </c>
      <c r="L309" s="1962"/>
      <c r="M309" s="1962"/>
      <c r="N309" s="1962"/>
      <c r="O309" s="2025"/>
      <c r="P309" s="1962"/>
      <c r="Q309" s="1962"/>
      <c r="R309" s="1919" t="s">
        <v>2585</v>
      </c>
    </row>
    <row r="310" spans="1:18">
      <c r="A310" s="1868"/>
      <c r="B310" s="1866"/>
      <c r="C310" s="1866"/>
      <c r="D310" s="1867"/>
      <c r="E310" s="1477" t="s">
        <v>2943</v>
      </c>
      <c r="F310" s="1388"/>
      <c r="I310" s="1960"/>
      <c r="Q310" s="1822"/>
    </row>
    <row r="311" spans="1:18">
      <c r="A311" s="1868"/>
      <c r="B311" s="1866"/>
      <c r="C311" s="1866"/>
      <c r="D311" s="1867"/>
      <c r="E311" s="1477" t="s">
        <v>2943</v>
      </c>
      <c r="F311" s="1388"/>
      <c r="H311" s="1886" t="s">
        <v>1993</v>
      </c>
      <c r="I311" s="1960"/>
      <c r="Q311" s="1822"/>
    </row>
    <row r="312" spans="1:18" ht="42">
      <c r="A312" s="1868"/>
      <c r="B312" s="1866"/>
      <c r="C312" s="1866"/>
      <c r="D312" s="1867"/>
      <c r="E312" s="1477" t="s">
        <v>2943</v>
      </c>
      <c r="F312" s="1388"/>
      <c r="H312" s="1823" t="s">
        <v>2592</v>
      </c>
      <c r="I312" s="1823" t="s">
        <v>2593</v>
      </c>
      <c r="L312" s="1962">
        <v>-40</v>
      </c>
      <c r="M312" s="1962">
        <v>-40</v>
      </c>
      <c r="N312" s="1962">
        <v>-40</v>
      </c>
      <c r="O312" s="1962">
        <v>-40</v>
      </c>
      <c r="P312" s="1962">
        <v>-40</v>
      </c>
      <c r="Q312" s="1962">
        <v>-40</v>
      </c>
      <c r="R312" s="1919" t="s">
        <v>2585</v>
      </c>
    </row>
    <row r="313" spans="1:18">
      <c r="A313" s="1868"/>
      <c r="B313" s="1866"/>
      <c r="C313" s="1866"/>
      <c r="D313" s="1867"/>
      <c r="E313" s="1477" t="s">
        <v>2943</v>
      </c>
      <c r="F313" s="1388"/>
      <c r="H313" s="1823" t="s">
        <v>2594</v>
      </c>
      <c r="I313" s="1823" t="s">
        <v>2595</v>
      </c>
      <c r="L313" s="1962"/>
      <c r="M313" s="1962"/>
      <c r="N313" s="1962"/>
      <c r="O313" s="2025"/>
      <c r="P313" s="1962"/>
      <c r="Q313" s="1962"/>
      <c r="R313" s="1919" t="s">
        <v>2585</v>
      </c>
    </row>
    <row r="314" spans="1:18">
      <c r="A314" s="1868"/>
      <c r="B314" s="1866"/>
      <c r="C314" s="1866"/>
      <c r="D314" s="1867"/>
      <c r="E314" s="1477" t="s">
        <v>2943</v>
      </c>
      <c r="F314" s="1388"/>
      <c r="H314" s="1823" t="s">
        <v>2596</v>
      </c>
      <c r="I314" s="1821" t="s">
        <v>2597</v>
      </c>
      <c r="L314" s="1962"/>
      <c r="M314" s="1962"/>
      <c r="N314" s="1962"/>
      <c r="O314" s="2025"/>
      <c r="P314" s="1962"/>
      <c r="Q314" s="1962"/>
      <c r="R314" s="1919" t="s">
        <v>2585</v>
      </c>
    </row>
    <row r="315" spans="1:18">
      <c r="A315" s="1868"/>
      <c r="B315" s="1866"/>
      <c r="C315" s="1866"/>
      <c r="D315" s="1867"/>
      <c r="E315" s="1477" t="s">
        <v>2943</v>
      </c>
      <c r="F315" s="1388"/>
      <c r="H315" s="1823" t="s">
        <v>2598</v>
      </c>
      <c r="I315" s="1821" t="s">
        <v>2599</v>
      </c>
      <c r="L315" s="1962"/>
      <c r="M315" s="1962"/>
      <c r="N315" s="1962"/>
      <c r="O315" s="2025"/>
      <c r="P315" s="1962"/>
      <c r="Q315" s="1962"/>
      <c r="R315" s="1919" t="s">
        <v>2585</v>
      </c>
    </row>
    <row r="316" spans="1:18">
      <c r="A316" s="1868"/>
      <c r="B316" s="1866"/>
      <c r="C316" s="1866"/>
      <c r="D316" s="1867"/>
      <c r="E316" s="1477" t="s">
        <v>2943</v>
      </c>
      <c r="F316" s="1388"/>
      <c r="H316" s="1823" t="s">
        <v>2600</v>
      </c>
      <c r="I316" s="1821" t="s">
        <v>2601</v>
      </c>
      <c r="L316" s="1962"/>
      <c r="M316" s="1962"/>
      <c r="N316" s="1962"/>
      <c r="O316" s="2025"/>
      <c r="P316" s="1962"/>
      <c r="Q316" s="1962"/>
    </row>
    <row r="317" spans="1:18">
      <c r="A317" s="1868"/>
      <c r="B317" s="1866"/>
      <c r="C317" s="1866"/>
      <c r="D317" s="1867"/>
      <c r="E317" s="1477" t="s">
        <v>2943</v>
      </c>
      <c r="F317" s="1388"/>
      <c r="I317" s="1960"/>
    </row>
    <row r="318" spans="1:18">
      <c r="A318" s="1868"/>
      <c r="B318" s="1866"/>
      <c r="C318" s="1866"/>
      <c r="D318" s="1867"/>
      <c r="E318" s="1477" t="s">
        <v>2943</v>
      </c>
      <c r="F318" s="1388"/>
    </row>
    <row r="319" spans="1:18">
      <c r="A319" s="1868"/>
      <c r="B319" s="1866"/>
      <c r="C319" s="1866"/>
      <c r="D319" s="1867"/>
      <c r="E319" s="1477" t="s">
        <v>2943</v>
      </c>
      <c r="F319" s="1388"/>
      <c r="H319" s="2031" t="s">
        <v>2602</v>
      </c>
      <c r="I319" s="1821" t="s">
        <v>2603</v>
      </c>
    </row>
    <row r="320" spans="1:18">
      <c r="A320" s="1868"/>
      <c r="B320" s="1866"/>
      <c r="C320" s="1866"/>
      <c r="D320" s="1867"/>
      <c r="E320" s="1477" t="s">
        <v>2943</v>
      </c>
      <c r="F320" s="1388"/>
    </row>
    <row r="321" spans="1:22">
      <c r="A321" s="1868"/>
      <c r="B321" s="1866"/>
      <c r="C321" s="1911" t="s">
        <v>3155</v>
      </c>
      <c r="D321" s="1867"/>
      <c r="E321" s="1477" t="s">
        <v>2943</v>
      </c>
      <c r="F321" s="1388"/>
      <c r="H321" s="1886" t="s">
        <v>1615</v>
      </c>
      <c r="L321" s="1844" t="str">
        <f>L305</f>
        <v>Current Year</v>
      </c>
      <c r="M321" s="1844" t="str">
        <f t="shared" ref="M321:Q321" si="1">M305</f>
        <v>Year 1</v>
      </c>
      <c r="N321" s="1844" t="str">
        <f t="shared" si="1"/>
        <v>Year 2</v>
      </c>
      <c r="O321" s="2018" t="str">
        <f t="shared" si="1"/>
        <v>Year 3</v>
      </c>
      <c r="P321" s="1844" t="str">
        <f t="shared" si="1"/>
        <v>Year 4</v>
      </c>
      <c r="Q321" s="2030" t="str">
        <f t="shared" si="1"/>
        <v>Year 5</v>
      </c>
    </row>
    <row r="322" spans="1:22" ht="28.5">
      <c r="A322" s="1868"/>
      <c r="B322" s="1866"/>
      <c r="C322" s="1866"/>
      <c r="D322" s="1867"/>
      <c r="E322" s="1477" t="s">
        <v>2943</v>
      </c>
      <c r="F322" s="1388"/>
      <c r="H322" s="1823" t="s">
        <v>2583</v>
      </c>
      <c r="L322" s="1962">
        <v>60</v>
      </c>
      <c r="M322" s="1962">
        <v>60</v>
      </c>
      <c r="N322" s="1962">
        <v>60</v>
      </c>
      <c r="O322" s="1962">
        <v>60</v>
      </c>
      <c r="P322" s="1962">
        <v>60</v>
      </c>
      <c r="Q322" s="1962">
        <v>60</v>
      </c>
      <c r="R322" s="1919" t="s">
        <v>2604</v>
      </c>
    </row>
    <row r="323" spans="1:22">
      <c r="A323" s="1868"/>
      <c r="B323" s="1866"/>
      <c r="C323" s="1866"/>
      <c r="D323" s="1867"/>
      <c r="E323" s="1477" t="s">
        <v>2943</v>
      </c>
      <c r="F323" s="1388"/>
      <c r="H323" s="1823" t="s">
        <v>2586</v>
      </c>
      <c r="I323" s="1821"/>
      <c r="L323" s="1962">
        <v>45</v>
      </c>
      <c r="M323" s="1962">
        <v>45</v>
      </c>
      <c r="N323" s="1962">
        <v>45</v>
      </c>
      <c r="O323" s="1962">
        <v>45</v>
      </c>
      <c r="P323" s="1962">
        <v>45</v>
      </c>
      <c r="Q323" s="1962">
        <v>45</v>
      </c>
      <c r="R323" s="1822" t="s">
        <v>2605</v>
      </c>
    </row>
    <row r="324" spans="1:22">
      <c r="A324" s="1868"/>
      <c r="B324" s="1866"/>
      <c r="C324" s="1866"/>
      <c r="D324" s="1867"/>
      <c r="E324" s="1477" t="s">
        <v>2943</v>
      </c>
      <c r="F324" s="1388"/>
      <c r="H324" s="1823" t="s">
        <v>2588</v>
      </c>
      <c r="I324" s="1821"/>
      <c r="L324" s="1962">
        <v>60</v>
      </c>
      <c r="M324" s="1962">
        <v>60</v>
      </c>
      <c r="N324" s="1962">
        <v>60</v>
      </c>
      <c r="O324" s="1962">
        <v>60</v>
      </c>
      <c r="P324" s="1962">
        <v>60</v>
      </c>
      <c r="Q324" s="1962">
        <v>60</v>
      </c>
    </row>
    <row r="325" spans="1:22" ht="28">
      <c r="A325" s="1868"/>
      <c r="B325" s="1866"/>
      <c r="C325" s="1866"/>
      <c r="D325" s="1867"/>
      <c r="E325" s="1477" t="s">
        <v>2943</v>
      </c>
      <c r="F325" s="1388"/>
      <c r="H325" s="1823" t="s">
        <v>2590</v>
      </c>
      <c r="I325" s="1821"/>
      <c r="L325" s="1962">
        <v>30</v>
      </c>
      <c r="M325" s="1962">
        <v>30</v>
      </c>
      <c r="N325" s="1962">
        <v>30</v>
      </c>
      <c r="O325" s="1962">
        <v>30</v>
      </c>
      <c r="P325" s="1962">
        <v>30</v>
      </c>
      <c r="Q325" s="1962">
        <v>30</v>
      </c>
    </row>
    <row r="326" spans="1:22" s="1834" customFormat="1">
      <c r="A326" s="1868"/>
      <c r="B326" s="1866"/>
      <c r="C326" s="1866"/>
      <c r="D326" s="1867"/>
      <c r="E326" s="1477" t="s">
        <v>2943</v>
      </c>
      <c r="F326" s="1388"/>
      <c r="G326" s="1822"/>
      <c r="H326" s="1823"/>
      <c r="I326" s="1960"/>
      <c r="L326" s="1822"/>
      <c r="M326" s="1822"/>
      <c r="N326" s="1822"/>
      <c r="O326" s="1828"/>
      <c r="P326" s="1822"/>
      <c r="Q326" s="1822"/>
      <c r="S326" s="1822"/>
      <c r="T326" s="1822"/>
      <c r="U326" s="1822"/>
      <c r="V326" s="1822"/>
    </row>
    <row r="327" spans="1:22" s="1834" customFormat="1">
      <c r="A327" s="1868"/>
      <c r="B327" s="1866"/>
      <c r="C327" s="1866"/>
      <c r="D327" s="1867"/>
      <c r="E327" s="1477" t="s">
        <v>2943</v>
      </c>
      <c r="F327" s="1388"/>
      <c r="G327" s="1822"/>
      <c r="H327" s="1886" t="s">
        <v>1993</v>
      </c>
      <c r="I327" s="1960"/>
      <c r="L327" s="1822"/>
      <c r="M327" s="1822"/>
      <c r="N327" s="1822"/>
      <c r="O327" s="1828"/>
      <c r="P327" s="1822"/>
      <c r="Q327" s="1822"/>
      <c r="S327" s="1822"/>
      <c r="T327" s="1822"/>
      <c r="U327" s="1822"/>
      <c r="V327" s="1822"/>
    </row>
    <row r="328" spans="1:22" s="1834" customFormat="1">
      <c r="A328" s="1868"/>
      <c r="B328" s="1866"/>
      <c r="C328" s="1866"/>
      <c r="D328" s="1867"/>
      <c r="E328" s="1477" t="s">
        <v>2943</v>
      </c>
      <c r="F328" s="1388"/>
      <c r="G328" s="1822"/>
      <c r="H328" s="1823" t="s">
        <v>2592</v>
      </c>
      <c r="I328" s="1823"/>
      <c r="L328" s="1962">
        <v>45</v>
      </c>
      <c r="M328" s="1962">
        <v>45</v>
      </c>
      <c r="N328" s="1962">
        <v>45</v>
      </c>
      <c r="O328" s="1962">
        <v>45</v>
      </c>
      <c r="P328" s="1962">
        <v>45</v>
      </c>
      <c r="Q328" s="1962">
        <v>45</v>
      </c>
      <c r="S328" s="1822"/>
      <c r="T328" s="1822"/>
      <c r="U328" s="1822"/>
      <c r="V328" s="1822"/>
    </row>
    <row r="329" spans="1:22" s="1834" customFormat="1">
      <c r="A329" s="1868"/>
      <c r="B329" s="1866"/>
      <c r="C329" s="1866"/>
      <c r="D329" s="1867"/>
      <c r="E329" s="1477" t="s">
        <v>2943</v>
      </c>
      <c r="F329" s="1388"/>
      <c r="G329" s="1822"/>
      <c r="H329" s="1823" t="s">
        <v>2594</v>
      </c>
      <c r="I329" s="1823"/>
      <c r="L329" s="1962">
        <v>30</v>
      </c>
      <c r="M329" s="1962">
        <v>30</v>
      </c>
      <c r="N329" s="1962">
        <v>30</v>
      </c>
      <c r="O329" s="1962">
        <v>30</v>
      </c>
      <c r="P329" s="1962">
        <v>30</v>
      </c>
      <c r="Q329" s="1962">
        <v>30</v>
      </c>
      <c r="S329" s="1822"/>
      <c r="T329" s="1822"/>
      <c r="U329" s="1822"/>
      <c r="V329" s="1822"/>
    </row>
    <row r="330" spans="1:22" s="1834" customFormat="1">
      <c r="A330" s="1868"/>
      <c r="B330" s="1866"/>
      <c r="C330" s="1866"/>
      <c r="D330" s="1867"/>
      <c r="E330" s="1477" t="s">
        <v>2943</v>
      </c>
      <c r="F330" s="1388"/>
      <c r="G330" s="1822"/>
      <c r="H330" s="1823" t="s">
        <v>2596</v>
      </c>
      <c r="I330" s="1821"/>
      <c r="L330" s="1962">
        <v>45</v>
      </c>
      <c r="M330" s="1962">
        <v>45</v>
      </c>
      <c r="N330" s="1962">
        <v>45</v>
      </c>
      <c r="O330" s="1962">
        <v>45</v>
      </c>
      <c r="P330" s="1962">
        <v>45</v>
      </c>
      <c r="Q330" s="1962">
        <v>45</v>
      </c>
      <c r="S330" s="1822"/>
      <c r="T330" s="1822"/>
      <c r="U330" s="1822"/>
      <c r="V330" s="1822"/>
    </row>
    <row r="331" spans="1:22" s="1834" customFormat="1">
      <c r="A331" s="1868"/>
      <c r="B331" s="1866"/>
      <c r="C331" s="1866"/>
      <c r="D331" s="1867"/>
      <c r="E331" s="1477" t="s">
        <v>2943</v>
      </c>
      <c r="F331" s="1388"/>
      <c r="G331" s="1822"/>
      <c r="H331" s="1823" t="s">
        <v>2598</v>
      </c>
      <c r="I331" s="1821"/>
      <c r="L331" s="1962">
        <v>365</v>
      </c>
      <c r="M331" s="1962">
        <v>365</v>
      </c>
      <c r="N331" s="1962">
        <v>365</v>
      </c>
      <c r="O331" s="1962">
        <v>365</v>
      </c>
      <c r="P331" s="1962">
        <v>365</v>
      </c>
      <c r="Q331" s="1962">
        <v>365</v>
      </c>
      <c r="S331" s="1822"/>
      <c r="T331" s="1822"/>
      <c r="U331" s="1822"/>
      <c r="V331" s="1822"/>
    </row>
    <row r="332" spans="1:22" s="1834" customFormat="1">
      <c r="A332" s="1868"/>
      <c r="B332" s="1866"/>
      <c r="C332" s="1866"/>
      <c r="D332" s="1867"/>
      <c r="E332" s="1477" t="s">
        <v>2943</v>
      </c>
      <c r="F332" s="1388"/>
      <c r="G332" s="1822"/>
      <c r="H332" s="1823" t="s">
        <v>2600</v>
      </c>
      <c r="I332" s="1821"/>
      <c r="L332" s="1962">
        <v>30</v>
      </c>
      <c r="M332" s="1962">
        <v>30</v>
      </c>
      <c r="N332" s="1962">
        <v>30</v>
      </c>
      <c r="O332" s="1962">
        <v>30</v>
      </c>
      <c r="P332" s="1962">
        <v>30</v>
      </c>
      <c r="Q332" s="1962">
        <v>30</v>
      </c>
      <c r="S332" s="1822"/>
      <c r="T332" s="1822"/>
      <c r="U332" s="1822"/>
      <c r="V332" s="1822"/>
    </row>
    <row r="333" spans="1:22">
      <c r="A333" s="1868"/>
      <c r="B333" s="1866"/>
      <c r="C333" s="1866"/>
      <c r="D333" s="1867"/>
      <c r="E333" s="1477" t="s">
        <v>2943</v>
      </c>
      <c r="F333" s="1388"/>
    </row>
    <row r="334" spans="1:22">
      <c r="A334" s="2032"/>
      <c r="B334" s="1866"/>
      <c r="C334" s="1866"/>
      <c r="D334" s="1867"/>
      <c r="E334" s="1477" t="s">
        <v>2943</v>
      </c>
      <c r="F334" s="1871">
        <v>7</v>
      </c>
      <c r="G334" s="1872"/>
      <c r="H334" s="1873" t="s">
        <v>2794</v>
      </c>
      <c r="I334" s="2013"/>
      <c r="J334" s="1872"/>
      <c r="K334" s="1872"/>
      <c r="L334" s="1872"/>
      <c r="M334" s="1872"/>
      <c r="N334" s="1872"/>
      <c r="O334" s="1874"/>
      <c r="P334" s="1872"/>
      <c r="Q334" s="1875"/>
    </row>
    <row r="335" spans="1:22">
      <c r="A335" s="2032"/>
      <c r="B335" s="1866"/>
      <c r="C335" s="1866"/>
      <c r="D335" s="1867"/>
      <c r="E335" s="1477" t="s">
        <v>2943</v>
      </c>
      <c r="F335" s="1388"/>
    </row>
    <row r="336" spans="1:22" ht="28">
      <c r="A336" s="2032"/>
      <c r="B336" s="1866"/>
      <c r="C336" s="1866"/>
      <c r="D336" s="1867"/>
      <c r="E336" s="1477" t="s">
        <v>2943</v>
      </c>
      <c r="F336" s="1388"/>
      <c r="H336" s="1886" t="s">
        <v>2288</v>
      </c>
      <c r="I336" s="1823" t="s">
        <v>3156</v>
      </c>
      <c r="J336" s="1822" t="s">
        <v>3157</v>
      </c>
      <c r="L336" s="1962">
        <v>45</v>
      </c>
    </row>
    <row r="337" spans="1:23">
      <c r="A337" s="2032"/>
      <c r="B337" s="1866"/>
      <c r="C337" s="1866"/>
      <c r="D337" s="1867"/>
      <c r="E337" s="1477" t="s">
        <v>2943</v>
      </c>
      <c r="F337" s="1388"/>
      <c r="H337" s="1886"/>
      <c r="L337" s="1962"/>
    </row>
    <row r="338" spans="1:23" ht="70">
      <c r="A338" s="2032"/>
      <c r="B338" s="1866"/>
      <c r="C338" s="1866"/>
      <c r="D338" s="1867"/>
      <c r="E338" s="1477" t="s">
        <v>2943</v>
      </c>
      <c r="F338" s="1388"/>
      <c r="H338" s="1886" t="s">
        <v>2795</v>
      </c>
      <c r="I338" s="1823" t="s">
        <v>3158</v>
      </c>
      <c r="M338" s="1844" t="s">
        <v>3205</v>
      </c>
    </row>
    <row r="339" spans="1:23" s="1834" customFormat="1">
      <c r="A339" s="1868"/>
      <c r="B339" s="1866"/>
      <c r="C339" s="1866"/>
      <c r="D339" s="1920" t="s">
        <v>3042</v>
      </c>
      <c r="E339" s="1477" t="s">
        <v>2943</v>
      </c>
      <c r="F339" s="1821"/>
      <c r="G339" s="2033" t="s">
        <v>2812</v>
      </c>
      <c r="H339" s="1886"/>
      <c r="I339" s="1823" t="s">
        <v>2811</v>
      </c>
      <c r="J339" s="1822" t="s">
        <v>3159</v>
      </c>
      <c r="K339" s="1822"/>
      <c r="L339" s="1962" t="s">
        <v>2813</v>
      </c>
      <c r="M339" s="1962">
        <v>50</v>
      </c>
      <c r="N339" s="1822"/>
      <c r="O339" s="1828"/>
      <c r="P339" s="1822"/>
      <c r="S339" s="1822"/>
      <c r="T339" s="1822"/>
      <c r="U339" s="1822"/>
      <c r="V339" s="1822"/>
      <c r="W339" s="1822"/>
    </row>
    <row r="340" spans="1:23" s="1834" customFormat="1">
      <c r="A340" s="1868"/>
      <c r="B340" s="1866"/>
      <c r="C340" s="1866"/>
      <c r="D340" s="1920" t="s">
        <v>3042</v>
      </c>
      <c r="E340" s="1477" t="s">
        <v>2943</v>
      </c>
      <c r="F340" s="1821"/>
      <c r="G340" s="2033" t="s">
        <v>2813</v>
      </c>
      <c r="H340" s="1886"/>
      <c r="I340" s="1823" t="s">
        <v>2810</v>
      </c>
      <c r="J340" s="1822" t="s">
        <v>3160</v>
      </c>
      <c r="K340" s="1822"/>
      <c r="L340" s="1962" t="s">
        <v>2812</v>
      </c>
      <c r="M340" s="1962">
        <v>30</v>
      </c>
      <c r="N340" s="1822"/>
      <c r="O340" s="1828"/>
      <c r="P340" s="1822"/>
      <c r="S340" s="1822"/>
      <c r="T340" s="1822"/>
      <c r="U340" s="1822"/>
      <c r="V340" s="1822"/>
      <c r="W340" s="1822"/>
    </row>
    <row r="341" spans="1:23" s="1834" customFormat="1">
      <c r="A341" s="1865"/>
      <c r="B341" s="1866"/>
      <c r="C341" s="1866"/>
      <c r="D341" s="1867"/>
      <c r="E341" s="1477" t="s">
        <v>2943</v>
      </c>
      <c r="F341" s="1388"/>
      <c r="G341" s="1822"/>
      <c r="H341" s="1886"/>
      <c r="I341" s="1823"/>
      <c r="J341" s="1822"/>
      <c r="K341" s="1822"/>
      <c r="L341" s="1822"/>
      <c r="M341" s="1822"/>
      <c r="N341" s="1822"/>
      <c r="O341" s="1828"/>
      <c r="P341" s="1822"/>
      <c r="S341" s="1822"/>
      <c r="T341" s="1822"/>
      <c r="U341" s="1822"/>
      <c r="V341" s="1822"/>
      <c r="W341" s="1822"/>
    </row>
    <row r="342" spans="1:23" s="1834" customFormat="1" ht="28">
      <c r="A342" s="1865"/>
      <c r="B342" s="1866"/>
      <c r="C342" s="1866"/>
      <c r="D342" s="1867"/>
      <c r="E342" s="1477" t="s">
        <v>2943</v>
      </c>
      <c r="F342" s="1388"/>
      <c r="G342" s="1822"/>
      <c r="H342" s="1886" t="s">
        <v>2808</v>
      </c>
      <c r="I342" s="1823" t="s">
        <v>2809</v>
      </c>
      <c r="J342" s="1822" t="s">
        <v>3157</v>
      </c>
      <c r="K342" s="1822"/>
      <c r="L342" s="1962">
        <v>45</v>
      </c>
      <c r="M342" s="1822"/>
      <c r="N342" s="1822"/>
      <c r="O342" s="1828"/>
      <c r="P342" s="1822"/>
      <c r="S342" s="1822"/>
      <c r="T342" s="1822"/>
      <c r="U342" s="1822"/>
      <c r="V342" s="1822"/>
      <c r="W342" s="1822"/>
    </row>
    <row r="343" spans="1:23" s="1834" customFormat="1">
      <c r="A343" s="1865"/>
      <c r="B343" s="1866"/>
      <c r="C343" s="1866"/>
      <c r="D343" s="1867"/>
      <c r="E343" s="1477" t="s">
        <v>2943</v>
      </c>
      <c r="F343" s="1388"/>
      <c r="G343" s="1822"/>
      <c r="H343" s="1823"/>
      <c r="I343" s="1823"/>
      <c r="J343" s="1822"/>
      <c r="K343" s="1822"/>
      <c r="L343" s="1822"/>
      <c r="M343" s="1822"/>
      <c r="N343" s="1822"/>
      <c r="O343" s="1828"/>
      <c r="P343" s="1822"/>
      <c r="S343" s="1822"/>
      <c r="T343" s="1822"/>
      <c r="U343" s="1822"/>
      <c r="V343" s="1822"/>
      <c r="W343" s="1822"/>
    </row>
    <row r="344" spans="1:23" s="1834" customFormat="1">
      <c r="A344" s="1868"/>
      <c r="B344" s="1866"/>
      <c r="C344" s="1866"/>
      <c r="D344" s="1920" t="s">
        <v>3161</v>
      </c>
      <c r="E344" s="1477" t="s">
        <v>2943</v>
      </c>
      <c r="F344" s="1871">
        <v>8</v>
      </c>
      <c r="G344" s="1872"/>
      <c r="H344" s="1873" t="s">
        <v>2966</v>
      </c>
      <c r="I344" s="2013"/>
      <c r="J344" s="1872"/>
      <c r="K344" s="1872"/>
      <c r="L344" s="1872"/>
      <c r="M344" s="1872"/>
      <c r="N344" s="1872"/>
      <c r="O344" s="1874"/>
      <c r="P344" s="1872"/>
      <c r="Q344" s="1875"/>
      <c r="S344" s="1822"/>
      <c r="T344" s="1822"/>
      <c r="U344" s="1822"/>
      <c r="V344" s="1822"/>
      <c r="W344" s="1822"/>
    </row>
    <row r="345" spans="1:23" s="1834" customFormat="1">
      <c r="A345" s="1868"/>
      <c r="B345" s="1866"/>
      <c r="C345" s="1866"/>
      <c r="D345" s="1867"/>
      <c r="E345" s="1477" t="s">
        <v>2943</v>
      </c>
      <c r="F345" s="1388"/>
      <c r="G345" s="1822"/>
      <c r="H345" s="1823"/>
      <c r="I345" s="1823"/>
      <c r="J345" s="1822"/>
      <c r="K345" s="1822"/>
      <c r="L345" s="1822"/>
      <c r="M345" s="1822"/>
      <c r="N345" s="1822"/>
      <c r="O345" s="1828"/>
      <c r="P345" s="1822"/>
      <c r="S345" s="1822"/>
      <c r="T345" s="1822"/>
      <c r="U345" s="1822"/>
      <c r="V345" s="1822"/>
      <c r="W345" s="1822"/>
    </row>
    <row r="346" spans="1:23" s="1834" customFormat="1" ht="28.5">
      <c r="A346" s="1868"/>
      <c r="B346" s="1866"/>
      <c r="C346" s="1866"/>
      <c r="D346" s="1867"/>
      <c r="E346" s="1477" t="s">
        <v>2943</v>
      </c>
      <c r="F346" s="1388"/>
      <c r="G346" s="1822"/>
      <c r="H346" s="1886" t="s">
        <v>3002</v>
      </c>
      <c r="I346" s="2034" t="s">
        <v>3007</v>
      </c>
      <c r="J346" s="255"/>
      <c r="K346" s="1822"/>
      <c r="L346" s="2035" t="s">
        <v>1368</v>
      </c>
      <c r="M346" s="1822"/>
      <c r="N346" s="1822"/>
      <c r="O346" s="1828"/>
      <c r="P346" s="1822"/>
      <c r="S346" s="1822"/>
      <c r="T346" s="1822"/>
      <c r="U346" s="1822"/>
      <c r="V346" s="1822"/>
      <c r="W346" s="1822"/>
    </row>
    <row r="347" spans="1:23" s="1834" customFormat="1">
      <c r="A347" s="1868"/>
      <c r="B347" s="1866"/>
      <c r="C347" s="1866"/>
      <c r="D347" s="1867"/>
      <c r="E347" s="1477" t="s">
        <v>2943</v>
      </c>
      <c r="F347" s="1388"/>
      <c r="G347" s="1822"/>
      <c r="H347" s="1886" t="s">
        <v>3003</v>
      </c>
      <c r="I347" s="2036" t="s">
        <v>3000</v>
      </c>
      <c r="J347" s="255"/>
      <c r="K347" s="1822"/>
      <c r="L347" s="2035" t="s">
        <v>1368</v>
      </c>
      <c r="M347" s="1822"/>
      <c r="N347" s="1822"/>
      <c r="O347" s="1828"/>
      <c r="P347" s="1822"/>
      <c r="S347" s="1822"/>
      <c r="T347" s="1822"/>
      <c r="U347" s="1822"/>
      <c r="V347" s="1822"/>
      <c r="W347" s="1822"/>
    </row>
    <row r="348" spans="1:23" s="1834" customFormat="1" ht="42.5">
      <c r="A348" s="1868"/>
      <c r="B348" s="1866"/>
      <c r="C348" s="1866"/>
      <c r="D348" s="1867"/>
      <c r="E348" s="1477" t="s">
        <v>2943</v>
      </c>
      <c r="F348" s="1388"/>
      <c r="G348" s="1822"/>
      <c r="H348" s="1886" t="s">
        <v>2969</v>
      </c>
      <c r="I348" s="2034" t="s">
        <v>3162</v>
      </c>
      <c r="J348" s="255"/>
      <c r="K348" s="1822"/>
      <c r="L348" s="2035" t="s">
        <v>1368</v>
      </c>
      <c r="M348" s="1822"/>
      <c r="N348" s="1822"/>
      <c r="O348" s="1828"/>
      <c r="P348" s="1822"/>
      <c r="S348" s="1822"/>
      <c r="T348" s="1822"/>
      <c r="U348" s="1822"/>
      <c r="V348" s="1822"/>
      <c r="W348" s="1822"/>
    </row>
    <row r="349" spans="1:23" s="1834" customFormat="1">
      <c r="A349" s="1868"/>
      <c r="B349" s="1866"/>
      <c r="C349" s="1866"/>
      <c r="D349" s="1867"/>
      <c r="E349" s="1477" t="s">
        <v>2943</v>
      </c>
      <c r="F349" s="1388"/>
      <c r="G349" s="1822"/>
      <c r="H349" s="1886" t="s">
        <v>3004</v>
      </c>
      <c r="I349" s="2036" t="s">
        <v>3001</v>
      </c>
      <c r="J349" s="255"/>
      <c r="K349" s="1822"/>
      <c r="L349" s="2035" t="s">
        <v>1368</v>
      </c>
      <c r="M349" s="1822"/>
      <c r="N349" s="1822"/>
      <c r="O349" s="1828"/>
      <c r="P349" s="1822"/>
      <c r="S349" s="1822"/>
      <c r="T349" s="1822"/>
      <c r="U349" s="1822"/>
      <c r="V349" s="1822"/>
      <c r="W349" s="1822"/>
    </row>
    <row r="350" spans="1:23" s="1834" customFormat="1">
      <c r="A350" s="1868"/>
      <c r="B350" s="1866"/>
      <c r="C350" s="1866"/>
      <c r="D350" s="1867"/>
      <c r="E350" s="1477" t="s">
        <v>2943</v>
      </c>
      <c r="F350" s="1388"/>
      <c r="G350" s="1822"/>
      <c r="H350" s="1886" t="s">
        <v>3005</v>
      </c>
      <c r="I350" s="1388" t="s">
        <v>3006</v>
      </c>
      <c r="J350" s="246"/>
      <c r="K350" s="1822"/>
      <c r="L350" s="2035" t="s">
        <v>1368</v>
      </c>
      <c r="M350" s="1822"/>
      <c r="N350" s="1822"/>
      <c r="O350" s="1828"/>
      <c r="P350" s="1822"/>
      <c r="S350" s="1822"/>
      <c r="T350" s="1822"/>
      <c r="U350" s="1822"/>
      <c r="V350" s="1822"/>
      <c r="W350" s="1822"/>
    </row>
    <row r="351" spans="1:23" s="1834" customFormat="1" ht="16" thickBot="1">
      <c r="A351" s="2037"/>
      <c r="B351" s="2038"/>
      <c r="C351" s="2038"/>
      <c r="D351" s="2039"/>
      <c r="E351" s="1477" t="s">
        <v>2943</v>
      </c>
      <c r="F351" s="1388"/>
      <c r="G351" s="1822"/>
      <c r="H351" s="1886" t="s">
        <v>3163</v>
      </c>
      <c r="I351" s="1823" t="s">
        <v>3164</v>
      </c>
      <c r="J351" s="1822"/>
      <c r="K351" s="1822"/>
      <c r="L351" s="2035" t="s">
        <v>1368</v>
      </c>
      <c r="M351" s="1822"/>
      <c r="N351" s="1822"/>
      <c r="O351" s="1828"/>
      <c r="P351" s="1822"/>
      <c r="S351" s="1822"/>
      <c r="T351" s="1822"/>
      <c r="U351" s="1822"/>
      <c r="V351" s="1822"/>
      <c r="W351" s="1822"/>
    </row>
    <row r="352" spans="1:23" s="1834" customFormat="1">
      <c r="A352" s="2040"/>
      <c r="B352" s="2041"/>
      <c r="C352" s="2041"/>
      <c r="D352" s="2041"/>
      <c r="E352"/>
      <c r="F352" s="1821"/>
      <c r="G352" s="1822"/>
      <c r="H352" s="1886"/>
      <c r="I352" s="1823"/>
      <c r="J352" s="1822"/>
      <c r="K352" s="1822"/>
      <c r="L352" s="1822"/>
      <c r="M352" s="1822"/>
      <c r="N352" s="1822"/>
      <c r="O352" s="1828"/>
      <c r="P352" s="1822"/>
      <c r="S352" s="1822"/>
      <c r="T352" s="1822"/>
      <c r="U352" s="1822"/>
      <c r="V352" s="1822"/>
      <c r="W352" s="1822"/>
    </row>
    <row r="353" spans="1:23" s="1834" customFormat="1">
      <c r="A353" s="2040"/>
      <c r="B353" s="2041"/>
      <c r="C353" s="2041"/>
      <c r="D353" s="2041"/>
      <c r="E353"/>
      <c r="F353" s="1821"/>
      <c r="G353" s="1822"/>
      <c r="H353" s="1886"/>
      <c r="I353" s="1823"/>
      <c r="J353" s="1822"/>
      <c r="K353" s="1822"/>
      <c r="L353" s="1822"/>
      <c r="M353" s="1822"/>
      <c r="N353" s="1822"/>
      <c r="O353" s="1828"/>
      <c r="P353" s="1822"/>
      <c r="S353" s="1822"/>
      <c r="T353" s="1822"/>
      <c r="U353" s="1822"/>
      <c r="V353" s="1822"/>
      <c r="W353" s="1822"/>
    </row>
    <row r="354" spans="1:23" s="1834" customFormat="1">
      <c r="A354" s="2040"/>
      <c r="B354" s="2041"/>
      <c r="C354" s="2041"/>
      <c r="D354" s="2041"/>
      <c r="E354"/>
      <c r="F354" s="1821"/>
      <c r="G354" s="1822"/>
      <c r="H354" s="1886"/>
      <c r="I354" s="1823"/>
      <c r="J354" s="1822"/>
      <c r="K354" s="1822"/>
      <c r="L354" s="1822"/>
      <c r="M354" s="1822"/>
      <c r="N354" s="1822"/>
      <c r="O354" s="1828"/>
      <c r="P354" s="1822"/>
      <c r="S354" s="1822"/>
      <c r="T354" s="1822"/>
      <c r="U354" s="1822"/>
      <c r="V354" s="1822"/>
      <c r="W354" s="1822"/>
    </row>
  </sheetData>
  <mergeCells count="2">
    <mergeCell ref="I15:Q15"/>
    <mergeCell ref="M276:Q276"/>
  </mergeCells>
  <dataValidations count="18">
    <dataValidation type="list" allowBlank="1" showInputMessage="1" showErrorMessage="1" sqref="N26 N22 N54 N64 N78 N87" xr:uid="{B4E86AD1-8A0B-4900-8DC8-142D1105FA0A}">
      <formula1>$Q$26:$Q$27</formula1>
    </dataValidation>
    <dataValidation type="list" allowBlank="1" showInputMessage="1" showErrorMessage="1" sqref="N111 N139 N167" xr:uid="{246D56BF-A843-4B3D-BBCC-7D8CBE11A082}">
      <formula1>$O$111:$O$112</formula1>
    </dataValidation>
    <dataValidation type="list" allowBlank="1" showInputMessage="1" showErrorMessage="1" sqref="N124 N152 N180" xr:uid="{C7516771-9A6D-4D59-AB0C-8913AB3C147A}">
      <formula1>$O$124:$O$125</formula1>
    </dataValidation>
    <dataValidation type="list" allowBlank="1" showInputMessage="1" showErrorMessage="1" sqref="N42" xr:uid="{DB6D7862-EF3B-4F55-AA42-5CDB74FD7810}">
      <formula1>"Units,000s,millions"</formula1>
    </dataValidation>
    <dataValidation type="list" allowBlank="1" showInputMessage="1" showErrorMessage="1" sqref="N71" xr:uid="{0E16ACB9-512A-47B3-878A-E3C05E08497F}">
      <formula1>"Product/Service, Major Clients, Regions of Operation, Other, Mix (Not recommended)"</formula1>
    </dataValidation>
    <dataValidation type="list" allowBlank="1" showInputMessage="1" showErrorMessage="1" sqref="N101" xr:uid="{788AB166-4AA0-4CF4-B40B-0FA271BCCF39}">
      <formula1>"Yes, No, I have price &amp; volume data for some business lines"</formula1>
    </dataValidation>
    <dataValidation type="list" allowBlank="1" showInputMessage="1" showErrorMessage="1" sqref="N103" xr:uid="{D96361FB-4960-4271-9ACE-460275026EB6}">
      <formula1>$A$109:$A$109</formula1>
    </dataValidation>
    <dataValidation type="list" allowBlank="1" showInputMessage="1" showErrorMessage="1" sqref="N196" xr:uid="{BA28511E-A367-4BB0-80F5-D1BBF32F14DA}">
      <formula1>$O$196:$O$197</formula1>
    </dataValidation>
    <dataValidation type="list" allowBlank="1" showInputMessage="1" showErrorMessage="1" sqref="N17" xr:uid="{F186EEAA-FFA8-416E-95DD-36E653C875C7}">
      <formula1>"Management, Investor, Consultant, Other"</formula1>
    </dataValidation>
    <dataValidation type="list" allowBlank="1" showInputMessage="1" showErrorMessage="1" sqref="N49" xr:uid="{41DF4076-8101-4C64-8533-02DCDA8C4058}">
      <formula1>"Service Provider, Investor, Agent/Broker, Estate Owner, Manufacturer, Distributor, Wholesaler, Retailer, Other"</formula1>
    </dataValidation>
    <dataValidation type="list" allowBlank="1" showInputMessage="1" showErrorMessage="1" sqref="N211" xr:uid="{B72515DA-470E-46CF-8735-185CD4176AFA}">
      <formula1>$O$211:$O$212</formula1>
    </dataValidation>
    <dataValidation type="list" allowBlank="1" showInputMessage="1" showErrorMessage="1" sqref="N226" xr:uid="{62BDCDFD-6A2A-4E93-B1DC-8FA6240CF2EE}">
      <formula1>$O$226:$O$227</formula1>
    </dataValidation>
    <dataValidation type="list" allowBlank="1" showInputMessage="1" showErrorMessage="1" sqref="L346:L351" xr:uid="{C5BAFE80-97AF-4257-ABBD-6732658339AE}">
      <formula1>"Yes, No"</formula1>
    </dataValidation>
    <dataValidation type="list" allowBlank="1" showInputMessage="1" showErrorMessage="1" sqref="N104" xr:uid="{6570251E-C060-4F0C-9E40-31FCB0E2ACC2}">
      <formula1>$A$137:$A$140</formula1>
    </dataValidation>
    <dataValidation type="list" allowBlank="1" showInputMessage="1" showErrorMessage="1" sqref="N105" xr:uid="{E49BCE0B-9010-4457-9337-FD5E9DD31AD4}">
      <formula1>$F$165:$F$168</formula1>
    </dataValidation>
    <dataValidation type="list" allowBlank="1" showInputMessage="1" showErrorMessage="1" sqref="L339:L340" xr:uid="{07E582B2-A0DB-49AB-97E8-9AC7D35CD4A8}">
      <formula1>$G$339:$G$340</formula1>
    </dataValidation>
    <dataValidation type="list" allowBlank="1" showInputMessage="1" showErrorMessage="1" sqref="O258" xr:uid="{BE3BB508-21CA-4120-A0B0-47B4EE9554EF}">
      <formula1>"Option 1, Option 2"</formula1>
    </dataValidation>
    <dataValidation type="list" allowBlank="1" showInputMessage="1" showErrorMessage="1" sqref="K290" xr:uid="{DBBAB71A-C557-4053-9148-2C5AC76B1398}">
      <formula1>"A,B,C"</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772C768-503E-4364-BB1F-0ACC45BFB363}">
          <x14:formula1>
            <xm:f>'C:\Users\Lenovo\Desktop\Work\Valify\Working files\[Valify_Questionnaire Update 21112024.xlsm]Industry Beta'!#REF!</xm:f>
          </x14:formula1>
          <xm:sqref>N47 N55</xm:sqref>
        </x14:dataValidation>
        <x14:dataValidation type="list" allowBlank="1" showInputMessage="1" showErrorMessage="1" xr:uid="{87C370D9-0287-4135-B2C2-DE89ED3A2F66}">
          <x14:formula1>
            <xm:f>'C:\Users\Lenovo\Desktop\Work\Valify\Working files\[Valify_Questionnaire Update 21112024.xlsm]Tax'!#REF!</xm:f>
          </x14:formula1>
          <xm:sqref>N51 N59</xm:sqref>
        </x14:dataValidation>
        <x14:dataValidation type="list" allowBlank="1" showInputMessage="1" showErrorMessage="1" xr:uid="{B3B88E7D-8DB5-4E24-A324-A038659C2D3C}">
          <x14:formula1>
            <xm:f>#REF!</xm:f>
          </x14:formula1>
          <xm:sqref>N46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963D3-B77E-4CDB-A674-9C8C7375F9DC}">
  <dimension ref="A2:S72"/>
  <sheetViews>
    <sheetView showGridLines="0" zoomScale="135" workbookViewId="0">
      <pane xSplit="7" ySplit="9" topLeftCell="H10" activePane="bottomRight" state="frozen"/>
      <selection pane="topRight" activeCell="H1" sqref="H1"/>
      <selection pane="bottomLeft" activeCell="A10" sqref="A10"/>
      <selection pane="bottomRight" activeCell="G32" sqref="G32"/>
    </sheetView>
  </sheetViews>
  <sheetFormatPr defaultColWidth="0" defaultRowHeight="10.5"/>
  <cols>
    <col min="1" max="3" width="2.15234375" style="246" customWidth="1"/>
    <col min="4" max="4" width="18.07421875" style="246" bestFit="1" customWidth="1"/>
    <col min="5" max="6" width="8.69140625" style="246" hidden="1" customWidth="1"/>
    <col min="7" max="7" width="6.53515625" style="1608" bestFit="1" customWidth="1"/>
    <col min="8" max="12" width="8.69140625" style="246" customWidth="1"/>
    <col min="13" max="16384" width="8.69140625" style="246" hidden="1"/>
  </cols>
  <sheetData>
    <row r="2" spans="2:19">
      <c r="B2" s="245" t="str">
        <f>Inputs!B2</f>
        <v>Valify - UAE Valuation Services</v>
      </c>
    </row>
    <row r="3" spans="2:19">
      <c r="B3" s="247" t="str">
        <f>project.title</f>
        <v>Aerial Arts India XXXXXXXXXXXXXXXXX - Self Valuation using DCF Method, Transaction Multiples Method, &amp; Market Multiples Method</v>
      </c>
    </row>
    <row r="4" spans="2:19">
      <c r="B4" s="248" t="s">
        <v>2807</v>
      </c>
    </row>
    <row r="5" spans="2:19" ht="5" customHeight="1" thickBot="1">
      <c r="B5" s="249"/>
      <c r="C5" s="249"/>
      <c r="D5" s="249"/>
      <c r="E5" s="249"/>
      <c r="F5" s="249"/>
      <c r="G5" s="1609"/>
      <c r="H5" s="249"/>
      <c r="I5" s="249"/>
      <c r="J5" s="249"/>
      <c r="K5" s="249"/>
      <c r="L5" s="249"/>
      <c r="M5" s="249"/>
      <c r="N5" s="249"/>
      <c r="O5" s="249"/>
      <c r="P5" s="249"/>
      <c r="Q5" s="249"/>
      <c r="R5" s="249"/>
      <c r="S5" s="249"/>
    </row>
    <row r="6" spans="2:19" ht="11" thickTop="1"/>
    <row r="7" spans="2:19">
      <c r="H7" s="289" t="s">
        <v>2816</v>
      </c>
      <c r="I7" s="289" t="s">
        <v>2806</v>
      </c>
      <c r="J7" s="289" t="s">
        <v>2805</v>
      </c>
      <c r="K7" s="289"/>
    </row>
    <row r="8" spans="2:19">
      <c r="H8" s="252" t="s">
        <v>2817</v>
      </c>
      <c r="I8" s="252" t="str">
        <f>IS_Calcs!I7</f>
        <v>FY22</v>
      </c>
      <c r="J8" s="252" t="str">
        <f>IS_Calcs!J7</f>
        <v>FY23</v>
      </c>
      <c r="K8" s="252" t="str">
        <f>IS_Calcs!K7</f>
        <v>YTD24</v>
      </c>
    </row>
    <row r="9" spans="2:19">
      <c r="G9" s="1607" t="s">
        <v>2466</v>
      </c>
      <c r="H9" s="252" t="s">
        <v>2818</v>
      </c>
      <c r="I9" s="252" t="s">
        <v>2818</v>
      </c>
      <c r="J9" s="252" t="s">
        <v>2818</v>
      </c>
      <c r="K9" s="252" t="str">
        <f>IS_Calcs!K8</f>
        <v>Actual</v>
      </c>
    </row>
    <row r="10" spans="2:19">
      <c r="B10" s="1619" t="s">
        <v>1972</v>
      </c>
      <c r="C10" s="1292"/>
      <c r="D10" s="1292"/>
      <c r="E10" s="1292"/>
      <c r="F10" s="1292"/>
      <c r="G10" s="1620"/>
      <c r="H10" s="278"/>
      <c r="I10" s="278"/>
      <c r="J10" s="278"/>
      <c r="K10" s="278"/>
    </row>
    <row r="11" spans="2:19">
      <c r="C11" s="246" t="str">
        <f>IS!C23</f>
        <v>Revenues</v>
      </c>
    </row>
    <row r="12" spans="2:19">
      <c r="C12" s="263" t="str">
        <f>IS_Calcs!C17</f>
        <v>Price/Average Price per unit</v>
      </c>
    </row>
    <row r="13" spans="2:19">
      <c r="D13" s="246" t="str">
        <f>IS_Calcs!D18</f>
        <v>Existing Aerial Arts</v>
      </c>
      <c r="G13" s="1608" t="str">
        <f>currency.type</f>
        <v>USD</v>
      </c>
      <c r="H13" s="1481"/>
      <c r="I13" s="1481"/>
      <c r="J13" s="1481"/>
      <c r="K13" s="1481"/>
    </row>
    <row r="14" spans="2:19">
      <c r="D14" s="246" t="str">
        <f>IS_Calcs!D19</f>
        <v>Existing Pole Dance</v>
      </c>
      <c r="G14" s="1608" t="str">
        <f>currency.type</f>
        <v>USD</v>
      </c>
      <c r="H14" s="1481"/>
      <c r="I14" s="1481"/>
      <c r="J14" s="1481"/>
      <c r="K14" s="1481"/>
    </row>
    <row r="15" spans="2:19">
      <c r="D15" s="246" t="str">
        <f>IS_Calcs!D20</f>
        <v>Existing Stretching</v>
      </c>
      <c r="G15" s="1608" t="str">
        <f>currency.type</f>
        <v>USD</v>
      </c>
      <c r="H15" s="1481"/>
      <c r="I15" s="1481"/>
      <c r="J15" s="1481"/>
      <c r="K15" s="1481"/>
    </row>
    <row r="16" spans="2:19">
      <c r="D16" s="246" t="str">
        <f>IS_Calcs!D21</f>
        <v>Existing NA</v>
      </c>
      <c r="G16" s="1608" t="str">
        <f>currency.type</f>
        <v>USD</v>
      </c>
      <c r="H16" s="1481"/>
      <c r="I16" s="1481"/>
      <c r="J16" s="1481"/>
      <c r="K16" s="1481"/>
    </row>
    <row r="18" spans="3:11">
      <c r="C18" s="263" t="str">
        <f>IS_Calcs!C31</f>
        <v>Sales Volumes</v>
      </c>
    </row>
    <row r="19" spans="3:11">
      <c r="D19" s="246" t="str">
        <f>IS_Calcs!D32</f>
        <v>Existing Aerial Arts</v>
      </c>
      <c r="G19" s="1608" t="s">
        <v>2814</v>
      </c>
      <c r="H19" s="1481"/>
      <c r="I19" s="1481"/>
      <c r="J19" s="1481"/>
      <c r="K19" s="1481"/>
    </row>
    <row r="20" spans="3:11">
      <c r="D20" s="246" t="str">
        <f>IS_Calcs!D33</f>
        <v>Existing Pole Dance</v>
      </c>
      <c r="G20" s="1608" t="s">
        <v>2814</v>
      </c>
      <c r="H20" s="1481"/>
      <c r="I20" s="1481"/>
      <c r="J20" s="1481"/>
      <c r="K20" s="1481"/>
    </row>
    <row r="21" spans="3:11">
      <c r="D21" s="246" t="str">
        <f>IS_Calcs!D34</f>
        <v>Existing Stretching</v>
      </c>
      <c r="G21" s="1608" t="s">
        <v>2814</v>
      </c>
      <c r="H21" s="1481"/>
      <c r="I21" s="1481"/>
      <c r="J21" s="1481"/>
      <c r="K21" s="1481"/>
    </row>
    <row r="22" spans="3:11">
      <c r="D22" s="246" t="str">
        <f>IS_Calcs!D35</f>
        <v>Existing NA</v>
      </c>
      <c r="G22" s="1608" t="s">
        <v>2814</v>
      </c>
      <c r="H22" s="1481"/>
      <c r="I22" s="1481"/>
      <c r="J22" s="1481"/>
      <c r="K22" s="1481"/>
    </row>
    <row r="24" spans="3:11">
      <c r="C24" s="263" t="str">
        <f>IS_Calcs!C45</f>
        <v>Existing Revenue</v>
      </c>
    </row>
    <row r="25" spans="3:11">
      <c r="C25" s="246" t="str">
        <f>IS_Calcs!C46</f>
        <v>Revenue Aerial Arts</v>
      </c>
      <c r="G25" s="1608" t="str">
        <f>currency.heading1</f>
        <v>USD 'Units</v>
      </c>
      <c r="H25" s="1481"/>
      <c r="I25" s="1481"/>
      <c r="J25" s="1481"/>
      <c r="K25" s="1481"/>
    </row>
    <row r="26" spans="3:11">
      <c r="C26" s="246" t="str">
        <f>IS_Calcs!C47</f>
        <v>Revenue Pole Dance</v>
      </c>
      <c r="G26" s="1608" t="str">
        <f>currency.heading1</f>
        <v>USD 'Units</v>
      </c>
      <c r="H26" s="1481"/>
      <c r="I26" s="1481"/>
      <c r="J26" s="1481"/>
      <c r="K26" s="1481"/>
    </row>
    <row r="27" spans="3:11">
      <c r="C27" s="246" t="str">
        <f>IS_Calcs!C48</f>
        <v>Revenue Stretching</v>
      </c>
      <c r="G27" s="1608" t="str">
        <f>currency.heading1</f>
        <v>USD 'Units</v>
      </c>
      <c r="H27" s="1481"/>
      <c r="I27" s="1481"/>
      <c r="J27" s="1481"/>
      <c r="K27" s="1481"/>
    </row>
    <row r="28" spans="3:11">
      <c r="C28" s="246" t="str">
        <f>IS_Calcs!C49</f>
        <v>Revenue NA</v>
      </c>
      <c r="G28" s="1608" t="str">
        <f>currency.heading1</f>
        <v>USD 'Units</v>
      </c>
      <c r="H28" s="1481"/>
      <c r="I28" s="1481"/>
      <c r="J28" s="1481"/>
      <c r="K28" s="1481"/>
    </row>
    <row r="30" spans="3:11">
      <c r="C30" s="246" t="s">
        <v>2457</v>
      </c>
    </row>
    <row r="31" spans="3:11">
      <c r="D31" s="246" t="str">
        <f>IS!D26</f>
        <v>Existing Aerial Arts</v>
      </c>
      <c r="G31" s="1608" t="s">
        <v>2542</v>
      </c>
      <c r="H31" s="1481"/>
      <c r="I31" s="1481"/>
      <c r="J31" s="1481"/>
      <c r="K31" s="1481"/>
    </row>
    <row r="32" spans="3:11">
      <c r="D32" s="246" t="str">
        <f>IS!D27</f>
        <v>Existing Pole Dance</v>
      </c>
      <c r="G32" s="1608" t="s">
        <v>2542</v>
      </c>
      <c r="H32" s="1481"/>
      <c r="I32" s="1481"/>
      <c r="J32" s="1481"/>
      <c r="K32" s="1481"/>
    </row>
    <row r="33" spans="3:11">
      <c r="D33" s="246" t="str">
        <f>IS!D28</f>
        <v>Existing Stretching</v>
      </c>
      <c r="G33" s="1608" t="s">
        <v>2542</v>
      </c>
      <c r="H33" s="1481"/>
      <c r="I33" s="1481"/>
      <c r="J33" s="1481"/>
      <c r="K33" s="1481"/>
    </row>
    <row r="34" spans="3:11">
      <c r="D34" s="246" t="str">
        <f>IS!D29</f>
        <v>Existing NA</v>
      </c>
      <c r="G34" s="1608" t="s">
        <v>2542</v>
      </c>
      <c r="H34" s="1481"/>
      <c r="I34" s="1481"/>
      <c r="J34" s="1481"/>
      <c r="K34" s="1481"/>
    </row>
    <row r="36" spans="3:11">
      <c r="C36" s="246" t="str">
        <f>IS!C42</f>
        <v>Operating Expenses:</v>
      </c>
    </row>
    <row r="37" spans="3:11">
      <c r="D37" s="246" t="str">
        <f>IS!D43</f>
        <v xml:space="preserve">Staff salaries </v>
      </c>
      <c r="G37" s="1608" t="str">
        <f t="shared" ref="G37:G43" si="0">currency.heading1</f>
        <v>USD 'Units</v>
      </c>
      <c r="H37" s="1481"/>
      <c r="I37" s="1481"/>
      <c r="J37" s="1481"/>
      <c r="K37" s="1481"/>
    </row>
    <row r="38" spans="3:11">
      <c r="D38" s="246" t="str">
        <f>IS!D44</f>
        <v>Commission</v>
      </c>
      <c r="G38" s="1608" t="str">
        <f t="shared" si="0"/>
        <v>USD 'Units</v>
      </c>
      <c r="H38" s="1481"/>
      <c r="I38" s="1481"/>
      <c r="J38" s="1481"/>
      <c r="K38" s="1481"/>
    </row>
    <row r="39" spans="3:11">
      <c r="D39" s="246" t="str">
        <f>IS!D45</f>
        <v>Rent</v>
      </c>
      <c r="G39" s="1608" t="str">
        <f t="shared" si="0"/>
        <v>USD 'Units</v>
      </c>
      <c r="H39" s="1481"/>
      <c r="I39" s="1481"/>
      <c r="J39" s="1481"/>
      <c r="K39" s="1481"/>
    </row>
    <row r="40" spans="3:11">
      <c r="D40" s="246" t="str">
        <f>IS!D46</f>
        <v>Legal and professional fee</v>
      </c>
      <c r="G40" s="1608" t="str">
        <f t="shared" si="0"/>
        <v>USD 'Units</v>
      </c>
      <c r="H40" s="1481"/>
      <c r="I40" s="1481"/>
      <c r="J40" s="1481"/>
      <c r="K40" s="1481"/>
    </row>
    <row r="41" spans="3:11">
      <c r="D41" s="246" t="str">
        <f>IS!D47</f>
        <v>Travelling &amp; communication</v>
      </c>
      <c r="G41" s="1608" t="str">
        <f t="shared" si="0"/>
        <v>USD 'Units</v>
      </c>
      <c r="H41" s="1481"/>
      <c r="I41" s="1481"/>
      <c r="J41" s="1481"/>
      <c r="K41" s="1481"/>
    </row>
    <row r="42" spans="3:11">
      <c r="D42" s="246" t="str">
        <f>IS!D48</f>
        <v>Printing &amp; Stationary</v>
      </c>
      <c r="G42" s="1608" t="str">
        <f t="shared" si="0"/>
        <v>USD 'Units</v>
      </c>
      <c r="H42" s="1481"/>
      <c r="I42" s="1481"/>
      <c r="J42" s="1481"/>
      <c r="K42" s="1481"/>
    </row>
    <row r="43" spans="3:11">
      <c r="D43" s="246" t="str">
        <f>IS!D49</f>
        <v>Utilities</v>
      </c>
      <c r="G43" s="1608" t="str">
        <f t="shared" si="0"/>
        <v>USD 'Units</v>
      </c>
      <c r="H43" s="1481"/>
      <c r="I43" s="1481"/>
      <c r="J43" s="1481"/>
      <c r="K43" s="1481"/>
    </row>
    <row r="44" spans="3:11">
      <c r="C44" s="927" t="str">
        <f>IS!C50</f>
        <v>Total Operating Expenses</v>
      </c>
      <c r="D44" s="927"/>
      <c r="E44" s="927"/>
      <c r="F44" s="927"/>
      <c r="G44" s="1617"/>
      <c r="H44" s="1618"/>
      <c r="I44" s="1618">
        <f>SUM(I37:I43)</f>
        <v>0</v>
      </c>
      <c r="J44" s="1618">
        <f t="shared" ref="J44:K44" si="1">SUM(J37:J43)</f>
        <v>0</v>
      </c>
      <c r="K44" s="1618">
        <f t="shared" si="1"/>
        <v>0</v>
      </c>
    </row>
    <row r="46" spans="3:11">
      <c r="D46" s="246" t="str">
        <f>IS!D55</f>
        <v>Special Items</v>
      </c>
      <c r="G46" s="1608" t="str">
        <f>currency.heading1</f>
        <v>USD 'Units</v>
      </c>
      <c r="H46" s="1481"/>
      <c r="I46" s="1481"/>
      <c r="J46" s="1481"/>
      <c r="K46" s="1481"/>
    </row>
    <row r="47" spans="3:11">
      <c r="D47" s="246" t="str">
        <f>IS!D56</f>
        <v>Other Expense</v>
      </c>
      <c r="G47" s="1608" t="str">
        <f>currency.heading1</f>
        <v>USD 'Units</v>
      </c>
      <c r="H47" s="1481"/>
      <c r="I47" s="1481"/>
      <c r="J47" s="1481"/>
      <c r="K47" s="1481"/>
    </row>
    <row r="49" spans="2:11">
      <c r="D49" s="246" t="str">
        <f>IS!D61</f>
        <v>Depreciation &amp; Amortisation</v>
      </c>
      <c r="G49" s="1608" t="str">
        <f>currency.heading1</f>
        <v>USD 'Units</v>
      </c>
      <c r="H49" s="1481"/>
      <c r="I49" s="1481"/>
      <c r="J49" s="1481"/>
      <c r="K49" s="1481"/>
    </row>
    <row r="50" spans="2:11">
      <c r="D50" s="246" t="s">
        <v>2819</v>
      </c>
      <c r="G50" s="1608" t="str">
        <f>currency.heading1</f>
        <v>USD 'Units</v>
      </c>
      <c r="H50" s="1481"/>
      <c r="I50" s="1481"/>
      <c r="J50" s="1481"/>
      <c r="K50" s="1481"/>
    </row>
    <row r="51" spans="2:11">
      <c r="D51" s="246" t="s">
        <v>1977</v>
      </c>
      <c r="G51" s="1608" t="str">
        <f>currency.heading1</f>
        <v>USD 'Units</v>
      </c>
      <c r="H51" s="1481"/>
      <c r="I51" s="1481"/>
      <c r="J51" s="1481"/>
      <c r="K51" s="1481"/>
    </row>
    <row r="52" spans="2:11">
      <c r="D52" s="246" t="str">
        <f>IS!D67</f>
        <v>Tax Expense</v>
      </c>
      <c r="G52" s="1608" t="str">
        <f>currency.heading1</f>
        <v>USD 'Units</v>
      </c>
      <c r="H52" s="1481"/>
      <c r="I52" s="1481"/>
      <c r="J52" s="1481"/>
      <c r="K52" s="1481"/>
    </row>
    <row r="54" spans="2:11">
      <c r="B54" s="1619" t="s">
        <v>1974</v>
      </c>
      <c r="C54" s="1292"/>
      <c r="D54" s="1292"/>
      <c r="E54" s="1292"/>
      <c r="F54" s="1292"/>
      <c r="G54" s="1620"/>
      <c r="H54" s="278"/>
      <c r="I54" s="278"/>
      <c r="J54" s="278"/>
      <c r="K54" s="278"/>
    </row>
    <row r="56" spans="2:11">
      <c r="B56" s="499" t="s">
        <v>2815</v>
      </c>
    </row>
    <row r="57" spans="2:11">
      <c r="C57" s="265" t="str">
        <f>BS_Calc!C18</f>
        <v>Current Assets</v>
      </c>
    </row>
    <row r="58" spans="2:11">
      <c r="D58" s="877" t="str">
        <f>BS_Calc!C19</f>
        <v>Trade Receivables Days</v>
      </c>
      <c r="G58" s="1608" t="str">
        <f>currency.heading1</f>
        <v>USD 'Units</v>
      </c>
      <c r="H58" s="1481"/>
      <c r="I58" s="1481"/>
      <c r="J58" s="1481"/>
      <c r="K58" s="1481"/>
    </row>
    <row r="59" spans="2:11">
      <c r="D59" s="877" t="str">
        <f>BS_Calc!C20</f>
        <v>Advances to Suppliers</v>
      </c>
      <c r="G59" s="1608" t="str">
        <f>currency.heading1</f>
        <v>USD 'Units</v>
      </c>
      <c r="H59" s="1481"/>
      <c r="I59" s="1481"/>
      <c r="J59" s="1481"/>
      <c r="K59" s="1481"/>
    </row>
    <row r="60" spans="2:11">
      <c r="D60" s="877" t="str">
        <f>BS_Calc!C21</f>
        <v>Other Receivables Days</v>
      </c>
      <c r="G60" s="1608" t="str">
        <f>currency.heading1</f>
        <v>USD 'Units</v>
      </c>
      <c r="H60" s="1481"/>
      <c r="I60" s="1481"/>
      <c r="J60" s="1481"/>
      <c r="K60" s="1481"/>
    </row>
    <row r="61" spans="2:11">
      <c r="D61" s="877" t="str">
        <f>BS_Calc!C22</f>
        <v xml:space="preserve">Inventory Days </v>
      </c>
      <c r="G61" s="1608" t="str">
        <f>currency.heading1</f>
        <v>USD 'Units</v>
      </c>
      <c r="H61" s="1481"/>
      <c r="I61" s="1481"/>
      <c r="J61" s="1481"/>
      <c r="K61" s="1481"/>
    </row>
    <row r="62" spans="2:11">
      <c r="D62" s="877" t="str">
        <f>BS_Calc!C23</f>
        <v xml:space="preserve">Prepaid Expenses &amp; Other Days </v>
      </c>
      <c r="G62" s="1608" t="str">
        <f>currency.heading1</f>
        <v>USD 'Units</v>
      </c>
      <c r="H62" s="1481"/>
      <c r="I62" s="1481"/>
      <c r="J62" s="1481"/>
      <c r="K62" s="1481"/>
    </row>
    <row r="63" spans="2:11">
      <c r="C63" s="877"/>
    </row>
    <row r="64" spans="2:11">
      <c r="C64" s="265" t="str">
        <f>BS_Calc!C25</f>
        <v>Current Liabilities</v>
      </c>
    </row>
    <row r="65" spans="2:11">
      <c r="D65" s="877" t="str">
        <f>BS_Calc!C26</f>
        <v xml:space="preserve">Trade Payables Days </v>
      </c>
      <c r="G65" s="1608" t="str">
        <f t="shared" ref="G65:G70" si="2">currency.heading1</f>
        <v>USD 'Units</v>
      </c>
      <c r="H65" s="1481"/>
      <c r="I65" s="1481"/>
      <c r="J65" s="1481"/>
      <c r="K65" s="1481"/>
    </row>
    <row r="66" spans="2:11">
      <c r="D66" s="877" t="str">
        <f>BS_Calc!C27</f>
        <v>Advances from Customers</v>
      </c>
      <c r="G66" s="1608" t="str">
        <f t="shared" si="2"/>
        <v>USD 'Units</v>
      </c>
      <c r="H66" s="1481"/>
      <c r="I66" s="1481"/>
      <c r="J66" s="1481"/>
      <c r="K66" s="1481"/>
    </row>
    <row r="67" spans="2:11">
      <c r="D67" s="877" t="str">
        <f>BS_Calc!C28</f>
        <v>Salaries Payable</v>
      </c>
      <c r="G67" s="1608" t="str">
        <f t="shared" si="2"/>
        <v>USD 'Units</v>
      </c>
      <c r="H67" s="1481"/>
      <c r="I67" s="1481"/>
      <c r="J67" s="1481"/>
      <c r="K67" s="1481"/>
    </row>
    <row r="68" spans="2:11">
      <c r="D68" s="877" t="str">
        <f>BS_Calc!C29</f>
        <v xml:space="preserve">Accrued Expenses Days </v>
      </c>
      <c r="G68" s="1608" t="str">
        <f t="shared" si="2"/>
        <v>USD 'Units</v>
      </c>
      <c r="H68" s="1481"/>
      <c r="I68" s="1481"/>
      <c r="J68" s="1481"/>
      <c r="K68" s="1481"/>
    </row>
    <row r="69" spans="2:11">
      <c r="D69" s="877" t="str">
        <f>BS_Calc!C30</f>
        <v xml:space="preserve">Tax Payables Days </v>
      </c>
      <c r="G69" s="1608" t="str">
        <f t="shared" si="2"/>
        <v>USD 'Units</v>
      </c>
      <c r="H69" s="1481"/>
      <c r="I69" s="1481"/>
      <c r="J69" s="1481"/>
      <c r="K69" s="1481"/>
    </row>
    <row r="70" spans="2:11">
      <c r="D70" s="877" t="str">
        <f>BS_Calc!C31</f>
        <v xml:space="preserve">Other Payables Days </v>
      </c>
      <c r="G70" s="1608" t="str">
        <f t="shared" si="2"/>
        <v>USD 'Units</v>
      </c>
      <c r="H70" s="1481"/>
      <c r="I70" s="1481"/>
      <c r="J70" s="1481"/>
      <c r="K70" s="1481"/>
    </row>
    <row r="72" spans="2:11">
      <c r="B72" s="499" t="s">
        <v>2386</v>
      </c>
      <c r="G72" s="1608" t="str">
        <f>currency.heading1</f>
        <v>USD 'Units</v>
      </c>
      <c r="H72" s="1481"/>
      <c r="I72" s="1481"/>
      <c r="J72" s="1481"/>
      <c r="K72" s="148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3C978-FC33-4BF7-B98C-9B2870ADC4FB}">
  <sheetPr>
    <tabColor rgb="FF00CCE2"/>
  </sheetPr>
  <dimension ref="A2:S277"/>
  <sheetViews>
    <sheetView showGridLines="0" tabSelected="1" zoomScale="76" zoomScaleNormal="102" workbookViewId="0">
      <pane ySplit="8" topLeftCell="A221" activePane="bottomLeft" state="frozen"/>
      <selection pane="bottomLeft" activeCell="H234" sqref="H234"/>
    </sheetView>
  </sheetViews>
  <sheetFormatPr defaultColWidth="0" defaultRowHeight="10.5"/>
  <cols>
    <col min="1" max="2" width="2.61328125" style="246" customWidth="1"/>
    <col min="3" max="3" width="25" style="246" bestFit="1" customWidth="1"/>
    <col min="4" max="4" width="14.15234375" style="246" bestFit="1" customWidth="1"/>
    <col min="5" max="5" width="26.4609375" style="246" bestFit="1" customWidth="1"/>
    <col min="6" max="6" width="6.84375" style="246" customWidth="1"/>
    <col min="7" max="18" width="8.69140625" style="246" customWidth="1"/>
    <col min="19" max="19" width="0" style="246" hidden="1" customWidth="1"/>
    <col min="20" max="16384" width="8.69140625" style="246" hidden="1"/>
  </cols>
  <sheetData>
    <row r="2" spans="2:18">
      <c r="B2" s="245" t="s">
        <v>2328</v>
      </c>
    </row>
    <row r="3" spans="2:18">
      <c r="B3" s="247" t="str">
        <f>project.title&amp;" as at "&amp;TEXT(valuation.date,"mmmm d, yyy")</f>
        <v>Aerial Arts India XXXXXXXXXXXXXXXXX - Self Valuation using DCF Method, Transaction Multiples Method, &amp; Market Multiples Method as at September 30, 2024</v>
      </c>
    </row>
    <row r="4" spans="2:18">
      <c r="B4" s="248" t="s">
        <v>2078</v>
      </c>
    </row>
    <row r="5" spans="2:18" ht="5" customHeight="1" thickBot="1">
      <c r="B5" s="249"/>
      <c r="C5" s="249"/>
      <c r="D5" s="249"/>
      <c r="E5" s="249"/>
      <c r="F5" s="249"/>
      <c r="G5" s="249"/>
      <c r="H5" s="249"/>
      <c r="I5" s="249"/>
      <c r="J5" s="249"/>
      <c r="K5" s="249"/>
      <c r="L5" s="249"/>
      <c r="M5" s="249"/>
      <c r="N5" s="249"/>
      <c r="O5" s="249"/>
      <c r="P5" s="249"/>
      <c r="Q5" s="249"/>
    </row>
    <row r="6" spans="2:18" ht="5" customHeight="1" thickTop="1"/>
    <row r="7" spans="2:18">
      <c r="C7" s="250" t="str">
        <f>IS_Calcs!C7</f>
        <v>All amounts in USD 'Units</v>
      </c>
      <c r="D7" s="251"/>
      <c r="E7" s="251"/>
      <c r="F7" s="251"/>
      <c r="G7" s="252" t="s">
        <v>1955</v>
      </c>
      <c r="H7" s="252" t="str">
        <f>IS_Calcs!I7</f>
        <v>FY22</v>
      </c>
      <c r="I7" s="252" t="str">
        <f>IS_Calcs!J7</f>
        <v>FY23</v>
      </c>
      <c r="J7" s="252" t="str">
        <f>IS_Calcs!K7</f>
        <v>YTD24</v>
      </c>
      <c r="K7" s="252" t="str">
        <f>IS_Calcs!L7</f>
        <v>YTG24</v>
      </c>
      <c r="L7" s="252" t="str">
        <f>IS_Calcs!M7</f>
        <v>FY24</v>
      </c>
      <c r="M7" s="252" t="str">
        <f>IS_Calcs!N7</f>
        <v>FY25</v>
      </c>
      <c r="N7" s="252" t="str">
        <f>IS_Calcs!O7</f>
        <v>FY26</v>
      </c>
      <c r="O7" s="252" t="str">
        <f>IS_Calcs!P7</f>
        <v>FY27</v>
      </c>
      <c r="P7" s="252" t="str">
        <f>IS_Calcs!Q7</f>
        <v>FY28</v>
      </c>
      <c r="Q7" s="253" t="str">
        <f>IS_Calcs!R7</f>
        <v>FY29</v>
      </c>
    </row>
    <row r="8" spans="2:18" ht="15.5">
      <c r="C8" s="251"/>
      <c r="D8" s="251"/>
      <c r="E8" s="251"/>
      <c r="F8" s="251"/>
      <c r="G8" s="251"/>
      <c r="H8" s="252" t="str">
        <f>IS_Calcs!I8</f>
        <v>Actual</v>
      </c>
      <c r="I8" s="252" t="str">
        <f>IS_Calcs!J8</f>
        <v>Actual</v>
      </c>
      <c r="J8" s="252" t="str">
        <f>IS_Calcs!K8</f>
        <v>Actual</v>
      </c>
      <c r="K8" s="252" t="str">
        <f>IS_Calcs!L8</f>
        <v>Estimate</v>
      </c>
      <c r="L8" s="252" t="str">
        <f>IS_Calcs!M8</f>
        <v>Estimate</v>
      </c>
      <c r="M8" s="252" t="str">
        <f>IS_Calcs!N8</f>
        <v>Estimate</v>
      </c>
      <c r="N8" s="252" t="str">
        <f>IS_Calcs!O8</f>
        <v>Forecast</v>
      </c>
      <c r="O8" s="252" t="str">
        <f>IS_Calcs!P8</f>
        <v>Forecast</v>
      </c>
      <c r="P8" s="252" t="str">
        <f>IS_Calcs!Q8</f>
        <v>Forecast</v>
      </c>
      <c r="Q8" s="252" t="str">
        <f>IS_Calcs!R8</f>
        <v>Forecast</v>
      </c>
      <c r="R8" s="254"/>
    </row>
    <row r="10" spans="2:18">
      <c r="C10" s="279" t="s">
        <v>2618</v>
      </c>
      <c r="D10" s="2045" t="s">
        <v>3184</v>
      </c>
      <c r="E10" s="2045" t="s">
        <v>2624</v>
      </c>
      <c r="F10" s="280" t="s">
        <v>6</v>
      </c>
    </row>
    <row r="11" spans="2:18">
      <c r="C11" s="246" t="s">
        <v>2620</v>
      </c>
      <c r="D11" s="2049" t="s">
        <v>106</v>
      </c>
      <c r="E11" s="2050" t="str">
        <f>IF(D15=I53,"Yes",IF(D15=I54,"Yes","No"))</f>
        <v>No</v>
      </c>
      <c r="F11" s="246" t="str">
        <f>IF(E11="Yes",C11&amp;", ","")</f>
        <v/>
      </c>
    </row>
    <row r="12" spans="2:18">
      <c r="C12" s="246" t="s">
        <v>2621</v>
      </c>
      <c r="D12" s="2049" t="s">
        <v>1368</v>
      </c>
      <c r="E12" s="2050" t="str">
        <f>IF(D15=I49,"Yes",IF(D15=I50,"Yes","No"))</f>
        <v>No</v>
      </c>
      <c r="F12" s="246" t="str">
        <f>IF(E12="Yes",C12&amp;", ","")</f>
        <v/>
      </c>
    </row>
    <row r="13" spans="2:18">
      <c r="C13" s="246" t="s">
        <v>2619</v>
      </c>
      <c r="D13" s="2049" t="s">
        <v>106</v>
      </c>
      <c r="E13" s="2050" t="str">
        <f>IF(D15=I51,"Yes",IF(D15=I52,"Yes","No"))</f>
        <v>Yes</v>
      </c>
      <c r="F13" s="246" t="str">
        <f>IF(E13="Yes",C13&amp;", ","")</f>
        <v xml:space="preserve">DCF Method, </v>
      </c>
    </row>
    <row r="14" spans="2:18">
      <c r="C14" s="246" t="s">
        <v>2623</v>
      </c>
      <c r="D14" s="2049" t="s">
        <v>106</v>
      </c>
      <c r="E14" s="2051" t="s">
        <v>106</v>
      </c>
      <c r="F14" s="246" t="str">
        <f>IF(E14="Yes",C14&amp;", ","")</f>
        <v xml:space="preserve">Transaction Multiples Method, </v>
      </c>
    </row>
    <row r="15" spans="2:18">
      <c r="C15" s="246" t="s">
        <v>2622</v>
      </c>
      <c r="D15" s="2049" t="s">
        <v>2529</v>
      </c>
      <c r="E15" s="2051" t="s">
        <v>106</v>
      </c>
      <c r="F15" s="246" t="str">
        <f>IF(E15="Yes","&amp; "&amp;C15,"")</f>
        <v>&amp; Market Multiples Method</v>
      </c>
    </row>
    <row r="17" spans="3:8">
      <c r="C17" s="279" t="s">
        <v>1898</v>
      </c>
      <c r="D17" s="279" t="s">
        <v>99</v>
      </c>
      <c r="E17" s="280" t="s">
        <v>6</v>
      </c>
    </row>
    <row r="18" spans="3:8">
      <c r="C18" s="255" t="s">
        <v>2408</v>
      </c>
      <c r="D18" s="255"/>
      <c r="E18" s="1550" t="str">
        <f>Form!N17</f>
        <v>Consultant</v>
      </c>
    </row>
    <row r="19" spans="3:8">
      <c r="C19" s="255" t="s">
        <v>2609</v>
      </c>
      <c r="D19" s="255" t="s">
        <v>2606</v>
      </c>
      <c r="E19" s="1665" t="str">
        <f>Form!N18</f>
        <v>Aerial Arts India XXXXXXXXXXXXXXXXX</v>
      </c>
      <c r="G19" s="1550" t="e">
        <f>#REF!</f>
        <v>#REF!</v>
      </c>
      <c r="H19" s="246" t="s">
        <v>2870</v>
      </c>
    </row>
    <row r="20" spans="3:8">
      <c r="C20" s="255" t="s">
        <v>2409</v>
      </c>
      <c r="D20" s="255" t="s">
        <v>2611</v>
      </c>
      <c r="E20" s="1665" t="str">
        <f>Form!N19</f>
        <v>Samina Burhani</v>
      </c>
    </row>
    <row r="21" spans="3:8">
      <c r="C21" s="255" t="s">
        <v>2612</v>
      </c>
      <c r="D21" s="255" t="s">
        <v>2613</v>
      </c>
      <c r="E21" s="1550" t="str">
        <f>Form!O21</f>
        <v>Management Valuation</v>
      </c>
    </row>
    <row r="22" spans="3:8">
      <c r="C22" s="255" t="s">
        <v>120</v>
      </c>
      <c r="D22" s="255" t="s">
        <v>121</v>
      </c>
      <c r="E22" s="256" t="s">
        <v>122</v>
      </c>
    </row>
    <row r="23" spans="3:8">
      <c r="C23" s="255" t="s">
        <v>2059</v>
      </c>
      <c r="D23" s="255" t="s">
        <v>2060</v>
      </c>
      <c r="E23" s="256" t="s">
        <v>2061</v>
      </c>
    </row>
    <row r="24" spans="3:8">
      <c r="C24" s="255" t="str">
        <f>Cover!D6</f>
        <v>Subject Company Name:</v>
      </c>
      <c r="D24" s="255" t="s">
        <v>2616</v>
      </c>
      <c r="E24" s="1550" t="str">
        <f>Form!N27</f>
        <v>Aerial Arts India XXXXXXXXXXXXXXXXX</v>
      </c>
      <c r="G24" s="1665" t="e">
        <f>#REF!</f>
        <v>#REF!</v>
      </c>
    </row>
    <row r="25" spans="3:8">
      <c r="C25" s="255" t="s">
        <v>2614</v>
      </c>
      <c r="D25" s="255" t="s">
        <v>2617</v>
      </c>
      <c r="E25" s="1550" t="str">
        <f>Form!N28</f>
        <v>AAI XXXXXXXXXXX</v>
      </c>
    </row>
    <row r="26" spans="3:8">
      <c r="C26" s="255" t="s">
        <v>118</v>
      </c>
      <c r="D26" s="255" t="s">
        <v>119</v>
      </c>
      <c r="E26" s="1480" t="str">
        <f>subject.name&amp;" - Self Valuation using "&amp;G26</f>
        <v>Aerial Arts India XXXXXXXXXXXXXXXXX - Self Valuation using DCF Method, Transaction Multiples Method, &amp; Market Multiples Method</v>
      </c>
      <c r="G26" s="499" t="str">
        <f>F13&amp;F11&amp;F12&amp;F14&amp;F15</f>
        <v>DCF Method, Transaction Multiples Method, &amp; Market Multiples Method</v>
      </c>
    </row>
    <row r="28" spans="3:8">
      <c r="C28" s="279" t="s">
        <v>98</v>
      </c>
      <c r="D28" s="279" t="s">
        <v>99</v>
      </c>
      <c r="E28" s="1564" t="s">
        <v>6</v>
      </c>
    </row>
    <row r="29" spans="3:8">
      <c r="C29" s="255" t="s">
        <v>100</v>
      </c>
      <c r="D29" s="255" t="s">
        <v>101</v>
      </c>
      <c r="E29" s="1565">
        <f>Form!val.date</f>
        <v>45565</v>
      </c>
    </row>
    <row r="30" spans="3:8">
      <c r="C30" s="255" t="s">
        <v>102</v>
      </c>
      <c r="D30" s="255" t="s">
        <v>103</v>
      </c>
      <c r="E30" s="1565">
        <f>Form!N32</f>
        <v>45657</v>
      </c>
    </row>
    <row r="31" spans="3:8">
      <c r="C31" s="256" t="s">
        <v>104</v>
      </c>
      <c r="D31" s="256" t="s">
        <v>105</v>
      </c>
      <c r="E31" s="1568" t="s">
        <v>106</v>
      </c>
    </row>
    <row r="32" spans="3:8">
      <c r="C32" s="255" t="s">
        <v>107</v>
      </c>
      <c r="D32" s="255" t="s">
        <v>108</v>
      </c>
      <c r="E32" s="1566">
        <f>12-ytd.months</f>
        <v>3</v>
      </c>
    </row>
    <row r="33" spans="3:7">
      <c r="C33" s="255" t="s">
        <v>2248</v>
      </c>
      <c r="D33" s="255" t="s">
        <v>2247</v>
      </c>
      <c r="E33" s="1567">
        <f>Form!N33</f>
        <v>9</v>
      </c>
    </row>
    <row r="34" spans="3:7">
      <c r="C34" s="255" t="s">
        <v>109</v>
      </c>
      <c r="D34" s="255" t="s">
        <v>110</v>
      </c>
      <c r="E34" s="1568" t="str">
        <f>"Valuation Date:  "&amp;TEXT(valuation.date,"mmmm d, yyy")</f>
        <v>Valuation Date:  September 30, 2024</v>
      </c>
    </row>
    <row r="35" spans="3:7">
      <c r="C35" s="255"/>
      <c r="D35" s="255"/>
      <c r="E35" s="1568" t="str">
        <f>TEXT(valuation.date,"mmmm d, yyy")</f>
        <v>September 30, 2024</v>
      </c>
    </row>
    <row r="36" spans="3:7">
      <c r="C36" s="257" t="s">
        <v>2251</v>
      </c>
      <c r="D36" s="257" t="s">
        <v>2252</v>
      </c>
      <c r="E36" s="1569" t="str">
        <f>Form!N36</f>
        <v>Catch Up Approach</v>
      </c>
      <c r="G36" s="258" t="s">
        <v>2256</v>
      </c>
    </row>
    <row r="37" spans="3:7">
      <c r="C37" s="257"/>
      <c r="D37" s="257"/>
      <c r="E37" s="257"/>
      <c r="G37" s="259" t="s">
        <v>2253</v>
      </c>
    </row>
    <row r="38" spans="3:7">
      <c r="C38" s="260" t="s">
        <v>2254</v>
      </c>
      <c r="D38" s="257"/>
      <c r="E38" s="257"/>
      <c r="G38" s="258" t="s">
        <v>2281</v>
      </c>
    </row>
    <row r="39" spans="3:7">
      <c r="C39" s="257" t="s">
        <v>2256</v>
      </c>
      <c r="D39" s="257" t="s">
        <v>2257</v>
      </c>
      <c r="E39" s="261">
        <f>(1/ytd.months)*(stub.period)</f>
        <v>0.33333333333333331</v>
      </c>
    </row>
    <row r="40" spans="3:7">
      <c r="C40" s="255" t="s">
        <v>2253</v>
      </c>
      <c r="D40" s="255" t="s">
        <v>2255</v>
      </c>
      <c r="E40" s="276">
        <f>stub.period/12</f>
        <v>0.25</v>
      </c>
    </row>
    <row r="41" spans="3:7">
      <c r="C41" s="255"/>
      <c r="D41" s="255"/>
      <c r="E41" s="255"/>
    </row>
    <row r="42" spans="3:7">
      <c r="C42" s="279" t="s">
        <v>111</v>
      </c>
      <c r="D42" s="279" t="s">
        <v>99</v>
      </c>
      <c r="E42" s="280" t="s">
        <v>6</v>
      </c>
    </row>
    <row r="43" spans="3:7">
      <c r="C43" s="255" t="s">
        <v>2413</v>
      </c>
      <c r="D43" s="255" t="s">
        <v>112</v>
      </c>
      <c r="E43" s="1550" t="str">
        <f>Form!N40</f>
        <v>USD</v>
      </c>
    </row>
    <row r="44" spans="3:7">
      <c r="C44" s="255" t="s">
        <v>2502</v>
      </c>
      <c r="D44" s="255" t="s">
        <v>3165</v>
      </c>
      <c r="E44" s="1550" t="str">
        <f>Form!N41</f>
        <v>AED</v>
      </c>
    </row>
    <row r="45" spans="3:7">
      <c r="C45" s="255" t="s">
        <v>2415</v>
      </c>
      <c r="D45" s="255" t="s">
        <v>114</v>
      </c>
      <c r="E45" s="1550" t="str">
        <f>Form!N42</f>
        <v>Units</v>
      </c>
      <c r="F45" s="246" t="str">
        <f>IF(currency.denomination="000s","K",IF(currency.denomination="millions","Mn",""))</f>
        <v/>
      </c>
    </row>
    <row r="46" spans="3:7">
      <c r="C46" s="255" t="s">
        <v>116</v>
      </c>
      <c r="D46" s="255" t="s">
        <v>117</v>
      </c>
      <c r="E46" s="255" t="str">
        <f>IF(currency.denomination="0s",currency.type,CONCATENATE(currency.type," ","'"&amp;currency.denomination))</f>
        <v>USD 'Units</v>
      </c>
    </row>
    <row r="47" spans="3:7">
      <c r="C47" s="257"/>
      <c r="D47" s="257"/>
      <c r="E47" s="257"/>
    </row>
    <row r="48" spans="3:7">
      <c r="C48" s="279" t="s">
        <v>2416</v>
      </c>
      <c r="D48" s="279"/>
      <c r="E48" s="280"/>
    </row>
    <row r="49" spans="3:11" customFormat="1" ht="15.5">
      <c r="C49" s="257" t="s">
        <v>2785</v>
      </c>
      <c r="D49" s="257"/>
      <c r="E49" s="1571">
        <f>Form!N45</f>
        <v>50000</v>
      </c>
      <c r="F49" s="246"/>
      <c r="G49" s="246"/>
      <c r="H49" s="1662" t="str">
        <f>IF($E$50=I49,"Newly incorporated",IF($E$50=I50,"Start-up",IF($E$50=I51,"Growing",IF($E$50=I52,"Growing",IF($E$50=I53,"Grown to maturity",IF($E$50=I54,"Saturated/Declining",0))))))</f>
        <v>Growing</v>
      </c>
      <c r="I49" s="2052" t="s">
        <v>3166</v>
      </c>
      <c r="J49" s="1661"/>
      <c r="K49" s="246"/>
    </row>
    <row r="50" spans="3:11" customFormat="1" ht="15.5">
      <c r="C50" s="257" t="s">
        <v>2426</v>
      </c>
      <c r="D50" s="257"/>
      <c r="E50" s="1562" t="str">
        <f>D15</f>
        <v>Growth</v>
      </c>
      <c r="F50" s="246"/>
      <c r="G50" s="246"/>
      <c r="H50" s="246"/>
      <c r="I50" s="2052" t="s">
        <v>3167</v>
      </c>
      <c r="J50" s="1661"/>
      <c r="K50" s="246"/>
    </row>
    <row r="51" spans="3:11" customFormat="1" ht="15.5">
      <c r="I51" s="2052" t="s">
        <v>2529</v>
      </c>
      <c r="J51" s="1661"/>
      <c r="K51" s="246"/>
    </row>
    <row r="52" spans="3:11">
      <c r="C52" s="257" t="s">
        <v>2417</v>
      </c>
      <c r="D52" s="257" t="s">
        <v>2418</v>
      </c>
      <c r="E52" s="1570" t="str">
        <f>Form!N47</f>
        <v>Apparel</v>
      </c>
      <c r="F52" s="246" t="s">
        <v>2419</v>
      </c>
      <c r="I52" s="2052" t="s">
        <v>3168</v>
      </c>
      <c r="J52" s="1661"/>
    </row>
    <row r="53" spans="3:11">
      <c r="C53" s="257" t="s">
        <v>3169</v>
      </c>
      <c r="D53" s="257" t="s">
        <v>3170</v>
      </c>
      <c r="E53" s="1570" t="str">
        <f>Form!N48</f>
        <v>Enter text</v>
      </c>
      <c r="I53" s="2052" t="s">
        <v>3171</v>
      </c>
      <c r="J53" s="1661"/>
    </row>
    <row r="54" spans="3:11">
      <c r="C54" s="257" t="s">
        <v>2424</v>
      </c>
      <c r="D54" s="257" t="s">
        <v>2429</v>
      </c>
      <c r="E54" s="1570" t="str">
        <f>Form!N49</f>
        <v>Retailer</v>
      </c>
      <c r="I54" s="2052" t="s">
        <v>2866</v>
      </c>
      <c r="J54" s="1661"/>
    </row>
    <row r="55" spans="3:11">
      <c r="C55" s="257" t="s">
        <v>3187</v>
      </c>
      <c r="D55" s="257" t="s">
        <v>3188</v>
      </c>
      <c r="E55" s="1570">
        <f>Form!N50</f>
        <v>0</v>
      </c>
      <c r="K55" s="2048"/>
    </row>
    <row r="56" spans="3:11">
      <c r="C56" s="257" t="s">
        <v>2422</v>
      </c>
      <c r="D56" s="257" t="s">
        <v>2423</v>
      </c>
      <c r="E56" s="1570" t="str">
        <f>Form!N51</f>
        <v>United Arab Emirates</v>
      </c>
      <c r="F56" s="246" t="s">
        <v>2765</v>
      </c>
    </row>
    <row r="57" spans="3:11">
      <c r="C57" s="257"/>
      <c r="D57" s="257"/>
      <c r="E57" s="1570"/>
    </row>
    <row r="58" spans="3:11" s="2048" customFormat="1">
      <c r="C58" s="2043" t="s">
        <v>3172</v>
      </c>
      <c r="D58" s="2043" t="s">
        <v>3173</v>
      </c>
      <c r="E58" s="2043" t="s">
        <v>3174</v>
      </c>
    </row>
    <row r="59" spans="3:11" s="2048" customFormat="1">
      <c r="C59" s="257" t="s">
        <v>3175</v>
      </c>
      <c r="D59" s="1562" t="s">
        <v>182</v>
      </c>
      <c r="E59" s="2044">
        <v>0.1</v>
      </c>
    </row>
    <row r="60" spans="3:11" s="2048" customFormat="1">
      <c r="C60" s="257" t="s">
        <v>3176</v>
      </c>
      <c r="D60" s="1562" t="s">
        <v>178</v>
      </c>
      <c r="E60" s="2044">
        <v>0.05</v>
      </c>
    </row>
    <row r="61" spans="3:11" s="2048" customFormat="1">
      <c r="C61" s="257" t="s">
        <v>3177</v>
      </c>
      <c r="D61" s="1562" t="s">
        <v>201</v>
      </c>
      <c r="E61" s="2044">
        <v>0.04</v>
      </c>
    </row>
    <row r="62" spans="3:11">
      <c r="C62" s="257"/>
      <c r="D62" s="257"/>
      <c r="E62" s="257"/>
      <c r="J62" s="2052"/>
    </row>
    <row r="63" spans="3:11">
      <c r="C63" s="257" t="s">
        <v>2420</v>
      </c>
      <c r="D63" s="257" t="s">
        <v>2427</v>
      </c>
      <c r="E63" s="1570" t="str">
        <f>Form!N55</f>
        <v>Restaurant/Dining</v>
      </c>
      <c r="F63" s="246" t="s">
        <v>2419</v>
      </c>
      <c r="J63" s="2052"/>
      <c r="K63" s="2052"/>
    </row>
    <row r="64" spans="3:11">
      <c r="C64" s="257" t="s">
        <v>3178</v>
      </c>
      <c r="D64" s="257" t="s">
        <v>3179</v>
      </c>
      <c r="E64" s="1570" t="str">
        <f>Form!N56</f>
        <v>Enter text</v>
      </c>
      <c r="J64" s="2052"/>
      <c r="K64" s="2052"/>
    </row>
    <row r="65" spans="3:11">
      <c r="C65" s="257" t="s">
        <v>2425</v>
      </c>
      <c r="D65" s="257" t="s">
        <v>2430</v>
      </c>
      <c r="E65" s="1570" t="str">
        <f>Form!N57</f>
        <v>Retailer</v>
      </c>
      <c r="J65" s="2052"/>
    </row>
    <row r="66" spans="3:11">
      <c r="C66" s="257" t="s">
        <v>3180</v>
      </c>
      <c r="D66" s="257" t="s">
        <v>3181</v>
      </c>
      <c r="E66" s="1570">
        <f>Form!N58</f>
        <v>0</v>
      </c>
      <c r="J66" s="2052"/>
      <c r="K66" s="2052"/>
    </row>
    <row r="67" spans="3:11">
      <c r="C67" s="257" t="s">
        <v>2421</v>
      </c>
      <c r="D67" s="257" t="s">
        <v>2428</v>
      </c>
      <c r="E67" s="1570" t="str">
        <f>Form!N59</f>
        <v>Saudi Arabia</v>
      </c>
      <c r="F67" s="246" t="s">
        <v>2765</v>
      </c>
      <c r="J67" s="2052"/>
      <c r="K67" s="2052"/>
    </row>
    <row r="68" spans="3:11">
      <c r="C68" s="1523" t="s">
        <v>2658</v>
      </c>
      <c r="D68" s="1523" t="s">
        <v>2766</v>
      </c>
      <c r="E68" s="1532">
        <v>0.5</v>
      </c>
      <c r="J68" s="2052"/>
    </row>
    <row r="69" spans="3:11">
      <c r="C69" s="257"/>
      <c r="D69" s="257"/>
      <c r="E69" s="257"/>
      <c r="J69" s="2052"/>
      <c r="K69" s="2048"/>
    </row>
    <row r="70" spans="3:11">
      <c r="C70" s="2043" t="s">
        <v>3182</v>
      </c>
      <c r="D70" s="2043" t="s">
        <v>3173</v>
      </c>
      <c r="E70" s="2043" t="s">
        <v>3174</v>
      </c>
      <c r="J70" s="2052"/>
      <c r="K70" s="2048"/>
    </row>
    <row r="71" spans="3:11">
      <c r="C71" s="257" t="s">
        <v>3175</v>
      </c>
      <c r="D71" s="1562" t="s">
        <v>182</v>
      </c>
      <c r="E71" s="2044">
        <v>0.1</v>
      </c>
      <c r="J71" s="2052"/>
      <c r="K71" s="2048"/>
    </row>
    <row r="72" spans="3:11">
      <c r="C72" s="257" t="s">
        <v>3176</v>
      </c>
      <c r="D72" s="1562" t="s">
        <v>178</v>
      </c>
      <c r="E72" s="2044">
        <v>0.05</v>
      </c>
      <c r="J72" s="2048"/>
      <c r="K72" s="2048"/>
    </row>
    <row r="73" spans="3:11">
      <c r="C73" s="257" t="s">
        <v>3177</v>
      </c>
      <c r="D73" s="1562" t="s">
        <v>201</v>
      </c>
      <c r="E73" s="2044">
        <v>0.04</v>
      </c>
    </row>
    <row r="74" spans="3:11">
      <c r="C74" s="257"/>
      <c r="D74" s="257"/>
      <c r="E74" s="257"/>
    </row>
    <row r="75" spans="3:11">
      <c r="C75" s="279" t="s">
        <v>1966</v>
      </c>
      <c r="D75" s="279"/>
      <c r="E75" s="280"/>
    </row>
    <row r="76" spans="3:11">
      <c r="C76" s="262" t="s">
        <v>1921</v>
      </c>
      <c r="D76" s="1549" t="str">
        <f>Form!N71</f>
        <v>Product/Service</v>
      </c>
      <c r="E76" s="263" t="s">
        <v>1969</v>
      </c>
    </row>
    <row r="77" spans="3:11">
      <c r="C77" s="255" t="s">
        <v>1962</v>
      </c>
      <c r="D77" s="264"/>
      <c r="E77" s="1562" t="str">
        <f>Form!N73</f>
        <v>Aerial Arts</v>
      </c>
    </row>
    <row r="78" spans="3:11">
      <c r="C78" s="255" t="s">
        <v>1963</v>
      </c>
      <c r="D78" s="264"/>
      <c r="E78" s="1562" t="str">
        <f>Form!N74</f>
        <v>Pole Dance</v>
      </c>
    </row>
    <row r="79" spans="3:11">
      <c r="C79" s="255" t="s">
        <v>1964</v>
      </c>
      <c r="D79" s="264"/>
      <c r="E79" s="1562" t="str">
        <f>Form!N75</f>
        <v>Stretching</v>
      </c>
    </row>
    <row r="80" spans="3:11">
      <c r="C80" s="255" t="s">
        <v>1965</v>
      </c>
      <c r="D80" s="264"/>
      <c r="E80" s="1562" t="str">
        <f>Form!N76</f>
        <v>NA</v>
      </c>
    </row>
    <row r="81" spans="3:11">
      <c r="C81" s="262" t="s">
        <v>1967</v>
      </c>
    </row>
    <row r="82" spans="3:11">
      <c r="C82" s="255" t="s">
        <v>1962</v>
      </c>
      <c r="D82" s="264"/>
      <c r="E82" s="1562" t="str">
        <f>Form!N82</f>
        <v>Corporate Clients</v>
      </c>
    </row>
    <row r="83" spans="3:11">
      <c r="C83" s="255" t="s">
        <v>1963</v>
      </c>
      <c r="D83" s="264"/>
      <c r="E83" s="1562" t="str">
        <f>Form!N83</f>
        <v>NA</v>
      </c>
    </row>
    <row r="84" spans="3:11">
      <c r="C84" s="255" t="s">
        <v>1964</v>
      </c>
      <c r="D84" s="264"/>
      <c r="E84" s="1562" t="str">
        <f>Form!N84</f>
        <v>NA</v>
      </c>
    </row>
    <row r="85" spans="3:11">
      <c r="C85" s="255" t="s">
        <v>1965</v>
      </c>
      <c r="D85" s="264"/>
      <c r="E85" s="1562" t="str">
        <f>Form!N85</f>
        <v>NA</v>
      </c>
    </row>
    <row r="86" spans="3:11">
      <c r="C86" s="262" t="s">
        <v>1968</v>
      </c>
    </row>
    <row r="87" spans="3:11">
      <c r="C87" s="255" t="s">
        <v>1962</v>
      </c>
      <c r="D87" s="264"/>
      <c r="E87" s="1562" t="str">
        <f>Form!N91</f>
        <v>Business Events</v>
      </c>
    </row>
    <row r="88" spans="3:11">
      <c r="C88" s="255" t="s">
        <v>1963</v>
      </c>
      <c r="D88" s="264"/>
      <c r="E88" s="1562" t="str">
        <f>Form!N92</f>
        <v>NA</v>
      </c>
    </row>
    <row r="89" spans="3:11">
      <c r="C89" s="255" t="s">
        <v>1964</v>
      </c>
      <c r="D89" s="264"/>
      <c r="E89" s="1562" t="str">
        <f>Form!N93</f>
        <v>NA</v>
      </c>
    </row>
    <row r="90" spans="3:11">
      <c r="C90" s="255" t="s">
        <v>1965</v>
      </c>
      <c r="D90" s="264"/>
      <c r="E90" s="1562" t="str">
        <f>Form!N94</f>
        <v>NA</v>
      </c>
    </row>
    <row r="92" spans="3:11">
      <c r="C92" s="246" t="s">
        <v>2250</v>
      </c>
      <c r="D92" s="1629"/>
      <c r="E92" s="1481" t="str">
        <f>E87</f>
        <v>Business Events</v>
      </c>
      <c r="K92" s="1604">
        <f>Form!N96</f>
        <v>0.9</v>
      </c>
    </row>
    <row r="93" spans="3:11">
      <c r="D93" s="1629"/>
      <c r="E93" s="1481" t="str">
        <f>E88</f>
        <v>NA</v>
      </c>
      <c r="K93" s="1604">
        <f>Form!N97</f>
        <v>0.5</v>
      </c>
    </row>
    <row r="94" spans="3:11">
      <c r="D94" s="1629"/>
      <c r="E94" s="1481" t="str">
        <f>E89</f>
        <v>NA</v>
      </c>
      <c r="K94" s="1604">
        <f>Form!N98</f>
        <v>0.2</v>
      </c>
    </row>
    <row r="95" spans="3:11">
      <c r="D95" s="1629"/>
      <c r="E95" s="1481" t="str">
        <f>E90</f>
        <v>NA</v>
      </c>
      <c r="K95" s="1604">
        <f>Form!N99</f>
        <v>0.2</v>
      </c>
    </row>
    <row r="97" spans="2:17">
      <c r="C97" s="279" t="s">
        <v>2294</v>
      </c>
      <c r="D97" s="279"/>
      <c r="E97" s="280"/>
      <c r="F97" s="280"/>
      <c r="G97" s="280"/>
      <c r="H97" s="280"/>
      <c r="I97" s="280"/>
      <c r="J97" s="280"/>
      <c r="K97" s="280"/>
      <c r="L97" s="280"/>
      <c r="M97" s="280"/>
      <c r="N97" s="280"/>
      <c r="O97" s="280"/>
      <c r="P97" s="280"/>
      <c r="Q97" s="280"/>
    </row>
    <row r="98" spans="2:17" customFormat="1" ht="15.5">
      <c r="B98" s="246"/>
      <c r="C98" s="1478" t="s">
        <v>2439</v>
      </c>
    </row>
    <row r="99" spans="2:17" ht="15.5">
      <c r="C99" s="265" t="s">
        <v>1971</v>
      </c>
      <c r="J99"/>
      <c r="M99" s="246" t="s">
        <v>2295</v>
      </c>
    </row>
    <row r="100" spans="2:17" ht="15.5">
      <c r="C100" s="246" t="s">
        <v>2266</v>
      </c>
      <c r="J100" s="1563">
        <f>Form!K113</f>
        <v>0</v>
      </c>
      <c r="K100"/>
      <c r="L100" s="1563">
        <f>Form!L113</f>
        <v>0</v>
      </c>
      <c r="M100" s="1574">
        <f>Form!M119</f>
        <v>0</v>
      </c>
      <c r="N100" s="1574">
        <f>Form!N119</f>
        <v>0</v>
      </c>
      <c r="O100" s="1574">
        <f>Form!O119</f>
        <v>0</v>
      </c>
      <c r="P100" s="1574">
        <f>Form!P119</f>
        <v>0</v>
      </c>
      <c r="Q100" s="1574">
        <f>Form!Q119</f>
        <v>0</v>
      </c>
    </row>
    <row r="101" spans="2:17" ht="15.5">
      <c r="C101" s="246" t="s">
        <v>2267</v>
      </c>
      <c r="J101" s="1563">
        <f>Form!K114</f>
        <v>0</v>
      </c>
      <c r="K101"/>
      <c r="L101" s="1563">
        <f>Form!L114</f>
        <v>0</v>
      </c>
      <c r="M101" s="1574">
        <f>Form!M120</f>
        <v>0</v>
      </c>
      <c r="N101" s="1574">
        <f>Form!N120</f>
        <v>0</v>
      </c>
      <c r="O101" s="1574">
        <f>Form!O120</f>
        <v>0</v>
      </c>
      <c r="P101" s="1574">
        <f>Form!P120</f>
        <v>0</v>
      </c>
      <c r="Q101" s="1574">
        <f>Form!Q120</f>
        <v>0</v>
      </c>
    </row>
    <row r="102" spans="2:17" ht="15.5">
      <c r="C102" s="246" t="s">
        <v>2268</v>
      </c>
      <c r="J102" s="1563">
        <f>Form!K115</f>
        <v>0</v>
      </c>
      <c r="K102"/>
      <c r="L102" s="1563">
        <f>Form!L115</f>
        <v>0</v>
      </c>
      <c r="M102" s="1574">
        <f>Form!M121</f>
        <v>0</v>
      </c>
      <c r="N102" s="1574">
        <f>Form!N121</f>
        <v>0</v>
      </c>
      <c r="O102" s="1574">
        <f>Form!O121</f>
        <v>0</v>
      </c>
      <c r="P102" s="1574">
        <f>Form!P121</f>
        <v>0</v>
      </c>
      <c r="Q102" s="1574">
        <f>Form!Q121</f>
        <v>0</v>
      </c>
    </row>
    <row r="103" spans="2:17" ht="15.5">
      <c r="C103" s="246" t="s">
        <v>2269</v>
      </c>
      <c r="J103" s="1563">
        <f>Form!K116</f>
        <v>0</v>
      </c>
      <c r="K103"/>
      <c r="L103" s="1563">
        <f>Form!L116</f>
        <v>0</v>
      </c>
      <c r="M103" s="1574">
        <f>Form!M122</f>
        <v>0</v>
      </c>
      <c r="N103" s="1574">
        <f>Form!N122</f>
        <v>0</v>
      </c>
      <c r="O103" s="1574">
        <f>Form!O122</f>
        <v>0</v>
      </c>
      <c r="P103" s="1574">
        <f>Form!P122</f>
        <v>0</v>
      </c>
      <c r="Q103" s="1574">
        <f>Form!Q122</f>
        <v>0</v>
      </c>
    </row>
    <row r="104" spans="2:17" ht="15.5">
      <c r="C104" s="246" t="s">
        <v>2270</v>
      </c>
      <c r="J104" s="1563">
        <f>Form!K141</f>
        <v>0</v>
      </c>
      <c r="K104"/>
      <c r="L104" s="1563">
        <f>Form!L141</f>
        <v>0</v>
      </c>
      <c r="M104" s="1574">
        <f>Form!M147</f>
        <v>0</v>
      </c>
      <c r="N104" s="1574">
        <f>Form!N147</f>
        <v>0</v>
      </c>
      <c r="O104" s="1574">
        <f>Form!O147</f>
        <v>0</v>
      </c>
      <c r="P104" s="1574">
        <f>Form!P147</f>
        <v>0</v>
      </c>
      <c r="Q104" s="1574">
        <f>Form!Q147</f>
        <v>0</v>
      </c>
    </row>
    <row r="105" spans="2:17" ht="15.5">
      <c r="C105" s="246" t="s">
        <v>2271</v>
      </c>
      <c r="J105" s="1563">
        <f>Form!K142</f>
        <v>0</v>
      </c>
      <c r="K105"/>
      <c r="L105" s="1563">
        <f>Form!L142</f>
        <v>0</v>
      </c>
      <c r="M105" s="1574">
        <f>Form!M148</f>
        <v>0</v>
      </c>
      <c r="N105" s="1574">
        <f>Form!N148</f>
        <v>0</v>
      </c>
      <c r="O105" s="1574">
        <f>Form!O148</f>
        <v>0</v>
      </c>
      <c r="P105" s="1574">
        <f>Form!P148</f>
        <v>0</v>
      </c>
      <c r="Q105" s="1574">
        <f>Form!Q148</f>
        <v>0</v>
      </c>
    </row>
    <row r="106" spans="2:17" ht="15.5">
      <c r="C106" s="2053" t="s">
        <v>2272</v>
      </c>
      <c r="J106" s="1563">
        <f>Form!K143</f>
        <v>0</v>
      </c>
      <c r="K106"/>
      <c r="L106" s="1563">
        <f>Form!L143</f>
        <v>0</v>
      </c>
      <c r="M106" s="1574">
        <f>Form!M149</f>
        <v>0</v>
      </c>
      <c r="N106" s="1574">
        <f>Form!N149</f>
        <v>0</v>
      </c>
      <c r="O106" s="1574">
        <f>Form!O149</f>
        <v>0</v>
      </c>
      <c r="P106" s="1574">
        <f>Form!P149</f>
        <v>0</v>
      </c>
      <c r="Q106" s="1574">
        <f>Form!Q149</f>
        <v>0</v>
      </c>
    </row>
    <row r="107" spans="2:17" ht="15.5">
      <c r="C107" s="2053" t="s">
        <v>2273</v>
      </c>
      <c r="J107" s="1563">
        <f>Form!K144</f>
        <v>0</v>
      </c>
      <c r="K107"/>
      <c r="L107" s="1563">
        <f>Form!L144</f>
        <v>0</v>
      </c>
      <c r="M107" s="1574">
        <f>Form!M150</f>
        <v>0</v>
      </c>
      <c r="N107" s="1574">
        <f>Form!N150</f>
        <v>0</v>
      </c>
      <c r="O107" s="1574">
        <f>Form!O150</f>
        <v>0</v>
      </c>
      <c r="P107" s="1574">
        <f>Form!P150</f>
        <v>0</v>
      </c>
      <c r="Q107" s="1574">
        <f>Form!Q150</f>
        <v>0</v>
      </c>
    </row>
    <row r="108" spans="2:17" ht="15.5">
      <c r="C108" s="2053" t="s">
        <v>2274</v>
      </c>
      <c r="J108" s="1563">
        <f>Form!K169</f>
        <v>0</v>
      </c>
      <c r="K108"/>
      <c r="L108" s="1563">
        <f>Form!L169</f>
        <v>0</v>
      </c>
      <c r="M108" s="1574">
        <f>Form!M175</f>
        <v>0</v>
      </c>
      <c r="N108" s="1574">
        <f>Form!N175</f>
        <v>0</v>
      </c>
      <c r="O108" s="1574">
        <f>Form!O175</f>
        <v>0</v>
      </c>
      <c r="P108" s="1574">
        <f>Form!P175</f>
        <v>0</v>
      </c>
      <c r="Q108" s="1574">
        <f>Form!Q175</f>
        <v>0</v>
      </c>
    </row>
    <row r="109" spans="2:17" ht="15.5">
      <c r="C109" s="2053" t="s">
        <v>2275</v>
      </c>
      <c r="J109" s="1563">
        <f>Form!K170</f>
        <v>0</v>
      </c>
      <c r="K109"/>
      <c r="L109" s="1563">
        <f>Form!L170</f>
        <v>0</v>
      </c>
      <c r="M109" s="1574">
        <f>Form!M176</f>
        <v>0</v>
      </c>
      <c r="N109" s="1574">
        <f>Form!N176</f>
        <v>0</v>
      </c>
      <c r="O109" s="1574">
        <f>Form!O176</f>
        <v>0</v>
      </c>
      <c r="P109" s="1574">
        <f>Form!P176</f>
        <v>0</v>
      </c>
      <c r="Q109" s="1574">
        <f>Form!Q176</f>
        <v>0</v>
      </c>
    </row>
    <row r="110" spans="2:17" ht="15.5">
      <c r="C110" s="2053" t="s">
        <v>2276</v>
      </c>
      <c r="J110" s="1563">
        <f>Form!K171</f>
        <v>0</v>
      </c>
      <c r="K110"/>
      <c r="L110" s="1563">
        <f>Form!L171</f>
        <v>0</v>
      </c>
      <c r="M110" s="1574">
        <f>Form!M177</f>
        <v>0</v>
      </c>
      <c r="N110" s="1574">
        <f>Form!N177</f>
        <v>0</v>
      </c>
      <c r="O110" s="1574">
        <f>Form!O177</f>
        <v>0</v>
      </c>
      <c r="P110" s="1574">
        <f>Form!P177</f>
        <v>0</v>
      </c>
      <c r="Q110" s="1574">
        <f>Form!Q177</f>
        <v>0</v>
      </c>
    </row>
    <row r="111" spans="2:17" ht="15.5">
      <c r="C111" s="2053" t="s">
        <v>2277</v>
      </c>
      <c r="J111" s="1563">
        <f>Form!K172</f>
        <v>0</v>
      </c>
      <c r="K111"/>
      <c r="L111" s="1563">
        <f>Form!L172</f>
        <v>0</v>
      </c>
      <c r="M111" s="1574">
        <f>Form!M178</f>
        <v>0</v>
      </c>
      <c r="N111" s="1574">
        <f>Form!N178</f>
        <v>0</v>
      </c>
      <c r="O111" s="1574">
        <f>Form!O178</f>
        <v>0</v>
      </c>
      <c r="P111" s="1574">
        <f>Form!P178</f>
        <v>0</v>
      </c>
      <c r="Q111" s="1574">
        <f>Form!Q178</f>
        <v>0</v>
      </c>
    </row>
    <row r="112" spans="2:17" ht="15.5">
      <c r="J112"/>
      <c r="K112"/>
    </row>
    <row r="113" spans="3:17" ht="15.5">
      <c r="C113" s="265" t="s">
        <v>1904</v>
      </c>
      <c r="J113"/>
      <c r="K113"/>
      <c r="M113" s="246" t="s">
        <v>2296</v>
      </c>
    </row>
    <row r="114" spans="3:17">
      <c r="C114" s="246" t="s">
        <v>2266</v>
      </c>
      <c r="J114" s="1563">
        <f>Form!K126</f>
        <v>0</v>
      </c>
      <c r="L114" s="1563">
        <f>Form!L126</f>
        <v>0</v>
      </c>
      <c r="M114" s="1574">
        <f>Form!M132</f>
        <v>0</v>
      </c>
      <c r="N114" s="1574">
        <f>Form!N132</f>
        <v>0</v>
      </c>
      <c r="O114" s="1574">
        <f>Form!O132</f>
        <v>0</v>
      </c>
      <c r="P114" s="1574">
        <f>Form!P132</f>
        <v>0</v>
      </c>
      <c r="Q114" s="1574">
        <f>Form!Q132</f>
        <v>0</v>
      </c>
    </row>
    <row r="115" spans="3:17">
      <c r="C115" s="246" t="s">
        <v>2267</v>
      </c>
      <c r="J115" s="1563">
        <f>Form!K127</f>
        <v>0</v>
      </c>
      <c r="L115" s="1563">
        <f>Form!L127</f>
        <v>0</v>
      </c>
      <c r="M115" s="1574">
        <f>Form!M133</f>
        <v>0</v>
      </c>
      <c r="N115" s="1574">
        <f>Form!N133</f>
        <v>0</v>
      </c>
      <c r="O115" s="1574">
        <f>Form!O133</f>
        <v>0</v>
      </c>
      <c r="P115" s="1574">
        <f>Form!P133</f>
        <v>0</v>
      </c>
      <c r="Q115" s="1574">
        <f>Form!Q133</f>
        <v>0</v>
      </c>
    </row>
    <row r="116" spans="3:17">
      <c r="C116" s="246" t="s">
        <v>2268</v>
      </c>
      <c r="J116" s="1563">
        <f>Form!K128</f>
        <v>0</v>
      </c>
      <c r="L116" s="1563">
        <f>Form!L128</f>
        <v>0</v>
      </c>
      <c r="M116" s="1574">
        <f>Form!M134</f>
        <v>0</v>
      </c>
      <c r="N116" s="1574">
        <f>Form!N134</f>
        <v>0</v>
      </c>
      <c r="O116" s="1574">
        <f>Form!O134</f>
        <v>0</v>
      </c>
      <c r="P116" s="1574">
        <f>Form!P134</f>
        <v>0</v>
      </c>
      <c r="Q116" s="1574">
        <f>Form!Q134</f>
        <v>0</v>
      </c>
    </row>
    <row r="117" spans="3:17">
      <c r="C117" s="246" t="s">
        <v>2269</v>
      </c>
      <c r="J117" s="1563">
        <f>Form!K129</f>
        <v>0</v>
      </c>
      <c r="L117" s="1563">
        <f>Form!L129</f>
        <v>0</v>
      </c>
      <c r="M117" s="1574">
        <f>Form!M135</f>
        <v>0</v>
      </c>
      <c r="N117" s="1574">
        <f>Form!N135</f>
        <v>0</v>
      </c>
      <c r="O117" s="1574">
        <f>Form!O135</f>
        <v>0</v>
      </c>
      <c r="P117" s="1574">
        <f>Form!P135</f>
        <v>0</v>
      </c>
      <c r="Q117" s="1574">
        <f>Form!Q135</f>
        <v>0</v>
      </c>
    </row>
    <row r="118" spans="3:17">
      <c r="C118" s="246" t="s">
        <v>2270</v>
      </c>
      <c r="J118" s="1563">
        <f>Form!K154</f>
        <v>0</v>
      </c>
      <c r="L118" s="1563">
        <f>Form!L154</f>
        <v>0</v>
      </c>
      <c r="M118" s="1574">
        <f>Form!M154</f>
        <v>0</v>
      </c>
      <c r="N118" s="1574">
        <f>Form!N154</f>
        <v>0</v>
      </c>
      <c r="O118" s="1574">
        <f>Form!O154</f>
        <v>0</v>
      </c>
      <c r="P118" s="1574">
        <f>Form!P154</f>
        <v>0</v>
      </c>
      <c r="Q118" s="1574">
        <f>Form!Q154</f>
        <v>0</v>
      </c>
    </row>
    <row r="119" spans="3:17">
      <c r="C119" s="246" t="s">
        <v>2271</v>
      </c>
      <c r="J119" s="1563">
        <f>Form!K155</f>
        <v>0</v>
      </c>
      <c r="L119" s="1563">
        <f>Form!L155</f>
        <v>0</v>
      </c>
      <c r="M119" s="1574">
        <f>Form!M155</f>
        <v>0</v>
      </c>
      <c r="N119" s="1574">
        <f>Form!N155</f>
        <v>0</v>
      </c>
      <c r="O119" s="1574">
        <f>Form!O155</f>
        <v>0</v>
      </c>
      <c r="P119" s="1574">
        <f>Form!P155</f>
        <v>0</v>
      </c>
      <c r="Q119" s="1574">
        <f>Form!Q155</f>
        <v>0</v>
      </c>
    </row>
    <row r="120" spans="3:17">
      <c r="C120" s="246" t="s">
        <v>2272</v>
      </c>
      <c r="J120" s="1563">
        <f>Form!K156</f>
        <v>0</v>
      </c>
      <c r="L120" s="1563">
        <f>Form!L156</f>
        <v>0</v>
      </c>
      <c r="M120" s="1574">
        <f>Form!M156</f>
        <v>0</v>
      </c>
      <c r="N120" s="1574">
        <f>Form!N156</f>
        <v>0</v>
      </c>
      <c r="O120" s="1574">
        <f>Form!O156</f>
        <v>0</v>
      </c>
      <c r="P120" s="1574">
        <f>Form!P156</f>
        <v>0</v>
      </c>
      <c r="Q120" s="1574">
        <f>Form!Q156</f>
        <v>0</v>
      </c>
    </row>
    <row r="121" spans="3:17">
      <c r="C121" s="2053" t="s">
        <v>2273</v>
      </c>
      <c r="J121" s="1563">
        <f>Form!K157</f>
        <v>0</v>
      </c>
      <c r="L121" s="1563">
        <f>Form!L157</f>
        <v>0</v>
      </c>
      <c r="M121" s="1574">
        <f>Form!M157</f>
        <v>0</v>
      </c>
      <c r="N121" s="1574">
        <f>Form!N157</f>
        <v>0</v>
      </c>
      <c r="O121" s="1574">
        <f>Form!O157</f>
        <v>0</v>
      </c>
      <c r="P121" s="1574">
        <f>Form!P157</f>
        <v>0</v>
      </c>
      <c r="Q121" s="1574">
        <f>Form!Q157</f>
        <v>0</v>
      </c>
    </row>
    <row r="122" spans="3:17">
      <c r="C122" s="2053" t="s">
        <v>2274</v>
      </c>
      <c r="J122" s="1563">
        <f>Form!K182</f>
        <v>0</v>
      </c>
      <c r="L122" s="1563">
        <f>Form!L182</f>
        <v>0</v>
      </c>
      <c r="M122" s="1574">
        <f>Form!M188</f>
        <v>0</v>
      </c>
      <c r="N122" s="1574">
        <v>0</v>
      </c>
      <c r="O122" s="1574">
        <v>0</v>
      </c>
      <c r="P122" s="1574">
        <v>0</v>
      </c>
      <c r="Q122" s="1574">
        <v>0</v>
      </c>
    </row>
    <row r="123" spans="3:17">
      <c r="C123" s="2053" t="s">
        <v>2275</v>
      </c>
      <c r="J123" s="1563">
        <f>Form!K183</f>
        <v>0</v>
      </c>
      <c r="L123" s="1563">
        <f>Form!L183</f>
        <v>0</v>
      </c>
      <c r="M123" s="1574">
        <f>Form!M189</f>
        <v>0</v>
      </c>
      <c r="N123" s="1574">
        <v>0</v>
      </c>
      <c r="O123" s="1574">
        <v>0</v>
      </c>
      <c r="P123" s="1574">
        <v>0</v>
      </c>
      <c r="Q123" s="1574">
        <v>0</v>
      </c>
    </row>
    <row r="124" spans="3:17">
      <c r="C124" s="2053" t="s">
        <v>2276</v>
      </c>
      <c r="J124" s="1563">
        <f>Form!K184</f>
        <v>0</v>
      </c>
      <c r="L124" s="1563">
        <f>Form!L184</f>
        <v>0</v>
      </c>
      <c r="M124" s="1574">
        <f>Form!M190</f>
        <v>0</v>
      </c>
      <c r="N124" s="1574">
        <v>0</v>
      </c>
      <c r="O124" s="1574">
        <v>0</v>
      </c>
      <c r="P124" s="1574">
        <v>0</v>
      </c>
      <c r="Q124" s="1574">
        <v>0</v>
      </c>
    </row>
    <row r="125" spans="3:17">
      <c r="C125" s="2053" t="s">
        <v>2277</v>
      </c>
      <c r="J125" s="1563">
        <f>Form!K185</f>
        <v>0</v>
      </c>
      <c r="L125" s="1563">
        <f>Form!L185</f>
        <v>0</v>
      </c>
      <c r="M125" s="1574">
        <f>Form!M191</f>
        <v>0</v>
      </c>
      <c r="N125" s="1574">
        <v>0</v>
      </c>
      <c r="O125" s="1574">
        <v>0</v>
      </c>
      <c r="P125" s="1574">
        <v>0</v>
      </c>
      <c r="Q125" s="1574">
        <v>0</v>
      </c>
    </row>
    <row r="127" spans="3:17">
      <c r="C127" s="1478" t="s">
        <v>2440</v>
      </c>
    </row>
    <row r="128" spans="3:17">
      <c r="C128" s="263" t="s">
        <v>1921</v>
      </c>
      <c r="L128" s="266"/>
    </row>
    <row r="129" spans="3:17">
      <c r="C129" s="246" t="s">
        <v>2431</v>
      </c>
      <c r="E129" s="259" t="str">
        <f>currency.heading1</f>
        <v>USD 'Units</v>
      </c>
      <c r="J129" s="1563">
        <f>Form!K199</f>
        <v>0</v>
      </c>
      <c r="L129" s="1563">
        <f>Form!L199</f>
        <v>0</v>
      </c>
      <c r="M129" s="1563">
        <f>Form!M199</f>
        <v>0</v>
      </c>
      <c r="N129" s="1563">
        <f>Form!N199</f>
        <v>0</v>
      </c>
      <c r="O129" s="1563">
        <f>Form!O199</f>
        <v>0</v>
      </c>
      <c r="P129" s="1563">
        <f>Form!P199</f>
        <v>0</v>
      </c>
      <c r="Q129" s="1563">
        <f>Form!Q199</f>
        <v>0</v>
      </c>
    </row>
    <row r="130" spans="3:17">
      <c r="C130" s="246" t="s">
        <v>2432</v>
      </c>
      <c r="E130" s="259" t="str">
        <f>currency.heading1</f>
        <v>USD 'Units</v>
      </c>
      <c r="J130" s="1563">
        <f>Form!K200</f>
        <v>0</v>
      </c>
      <c r="L130" s="1563">
        <f>Form!L200</f>
        <v>0</v>
      </c>
      <c r="M130" s="1563">
        <f>Form!M200</f>
        <v>0</v>
      </c>
      <c r="N130" s="1563">
        <f>Form!N200</f>
        <v>0</v>
      </c>
      <c r="O130" s="1563">
        <f>Form!O200</f>
        <v>0</v>
      </c>
      <c r="P130" s="1563">
        <f>Form!P200</f>
        <v>0</v>
      </c>
      <c r="Q130" s="1563">
        <f>Form!Q200</f>
        <v>0</v>
      </c>
    </row>
    <row r="131" spans="3:17">
      <c r="C131" s="246" t="s">
        <v>2433</v>
      </c>
      <c r="E131" s="259" t="str">
        <f>currency.heading1</f>
        <v>USD 'Units</v>
      </c>
      <c r="J131" s="1563">
        <f>Form!K201</f>
        <v>0</v>
      </c>
      <c r="L131" s="1563">
        <f>Form!L201</f>
        <v>0</v>
      </c>
      <c r="M131" s="1563">
        <f>Form!M201</f>
        <v>0</v>
      </c>
      <c r="N131" s="1563">
        <f>Form!N201</f>
        <v>0</v>
      </c>
      <c r="O131" s="1563">
        <f>Form!O201</f>
        <v>0</v>
      </c>
      <c r="P131" s="1563">
        <f>Form!P201</f>
        <v>0</v>
      </c>
      <c r="Q131" s="1563">
        <f>Form!Q201</f>
        <v>0</v>
      </c>
    </row>
    <row r="132" spans="3:17">
      <c r="C132" s="246" t="s">
        <v>2434</v>
      </c>
      <c r="E132" s="259" t="str">
        <f>currency.heading1</f>
        <v>USD 'Units</v>
      </c>
      <c r="J132" s="1563">
        <f>Form!K202</f>
        <v>0</v>
      </c>
      <c r="L132" s="1563">
        <f>Form!L202</f>
        <v>0</v>
      </c>
      <c r="M132" s="1563">
        <f>Form!M202</f>
        <v>0</v>
      </c>
      <c r="N132" s="1563">
        <f>Form!N202</f>
        <v>0</v>
      </c>
      <c r="O132" s="1563">
        <f>Form!O202</f>
        <v>0</v>
      </c>
      <c r="P132" s="1563">
        <f>Form!P202</f>
        <v>0</v>
      </c>
      <c r="Q132" s="1563">
        <f>Form!Q202</f>
        <v>0</v>
      </c>
    </row>
    <row r="133" spans="3:17">
      <c r="E133" s="259"/>
    </row>
    <row r="134" spans="3:17">
      <c r="C134" s="263" t="s">
        <v>1934</v>
      </c>
      <c r="E134" s="259"/>
      <c r="L134" s="266"/>
      <c r="M134" s="266"/>
      <c r="N134" s="266"/>
      <c r="O134" s="266"/>
      <c r="P134" s="266"/>
      <c r="Q134" s="266"/>
    </row>
    <row r="135" spans="3:17">
      <c r="C135" s="246" t="s">
        <v>2270</v>
      </c>
      <c r="E135" s="259" t="str">
        <f>currency.heading1</f>
        <v>USD 'Units</v>
      </c>
      <c r="J135" s="1563">
        <f>Form!K214</f>
        <v>0</v>
      </c>
      <c r="L135" s="1563">
        <f>Form!L214</f>
        <v>0</v>
      </c>
      <c r="M135" s="1563">
        <f>Form!M214</f>
        <v>0</v>
      </c>
      <c r="N135" s="1563">
        <f>Form!N214</f>
        <v>0</v>
      </c>
      <c r="O135" s="1563">
        <f>Form!O214</f>
        <v>0</v>
      </c>
      <c r="P135" s="1563">
        <f>Form!P214</f>
        <v>0</v>
      </c>
      <c r="Q135" s="1563">
        <f>Form!Q214</f>
        <v>0</v>
      </c>
    </row>
    <row r="136" spans="3:17">
      <c r="C136" s="246" t="s">
        <v>2271</v>
      </c>
      <c r="E136" s="259" t="str">
        <f>currency.heading1</f>
        <v>USD 'Units</v>
      </c>
      <c r="J136" s="1563">
        <f>Form!K215</f>
        <v>0</v>
      </c>
      <c r="L136" s="1563">
        <f>Form!L215</f>
        <v>0</v>
      </c>
      <c r="M136" s="1563">
        <f>Form!M215</f>
        <v>0</v>
      </c>
      <c r="N136" s="1563">
        <f>Form!N215</f>
        <v>0</v>
      </c>
      <c r="O136" s="1563">
        <f>Form!O215</f>
        <v>0</v>
      </c>
      <c r="P136" s="1563">
        <f>Form!P215</f>
        <v>0</v>
      </c>
      <c r="Q136" s="1563">
        <f>Form!Q215</f>
        <v>0</v>
      </c>
    </row>
    <row r="137" spans="3:17">
      <c r="C137" s="246" t="s">
        <v>2272</v>
      </c>
      <c r="E137" s="259" t="str">
        <f>currency.heading1</f>
        <v>USD 'Units</v>
      </c>
      <c r="J137" s="1563">
        <f>Form!K216</f>
        <v>0</v>
      </c>
      <c r="L137" s="1563">
        <f>Form!L216</f>
        <v>0</v>
      </c>
      <c r="M137" s="1563">
        <f>Form!M216</f>
        <v>0</v>
      </c>
      <c r="N137" s="1563">
        <f>Form!N216</f>
        <v>0</v>
      </c>
      <c r="O137" s="1563">
        <f>Form!O216</f>
        <v>0</v>
      </c>
      <c r="P137" s="1563">
        <f>Form!P216</f>
        <v>0</v>
      </c>
      <c r="Q137" s="1563">
        <f>Form!Q216</f>
        <v>0</v>
      </c>
    </row>
    <row r="138" spans="3:17">
      <c r="C138" s="246" t="s">
        <v>2273</v>
      </c>
      <c r="E138" s="259" t="str">
        <f>currency.heading1</f>
        <v>USD 'Units</v>
      </c>
      <c r="J138" s="1563">
        <f>Form!K217</f>
        <v>0</v>
      </c>
      <c r="L138" s="1563">
        <f>Form!L217</f>
        <v>0</v>
      </c>
      <c r="M138" s="1563">
        <f>Form!M217</f>
        <v>0</v>
      </c>
      <c r="N138" s="1563">
        <f>Form!N217</f>
        <v>0</v>
      </c>
      <c r="O138" s="1563">
        <f>Form!O217</f>
        <v>0</v>
      </c>
      <c r="P138" s="1563">
        <f>Form!P217</f>
        <v>0</v>
      </c>
      <c r="Q138" s="1563">
        <f>Form!Q217</f>
        <v>0</v>
      </c>
    </row>
    <row r="139" spans="3:17">
      <c r="E139" s="259"/>
    </row>
    <row r="140" spans="3:17">
      <c r="C140" s="263" t="s">
        <v>1935</v>
      </c>
      <c r="E140" s="259"/>
      <c r="L140" s="266"/>
      <c r="M140" s="266"/>
      <c r="N140" s="266"/>
      <c r="O140" s="266"/>
      <c r="P140" s="266"/>
      <c r="Q140" s="266"/>
    </row>
    <row r="141" spans="3:17">
      <c r="C141" s="246" t="s">
        <v>2435</v>
      </c>
      <c r="E141" s="259" t="str">
        <f>currency.heading1</f>
        <v>USD 'Units</v>
      </c>
      <c r="J141" s="1563">
        <f>Form!K229</f>
        <v>0</v>
      </c>
      <c r="L141" s="1563">
        <f>Form!L229</f>
        <v>0</v>
      </c>
      <c r="M141" s="1563">
        <f>Form!M229</f>
        <v>0</v>
      </c>
      <c r="N141" s="1563">
        <f>Form!N229</f>
        <v>0</v>
      </c>
      <c r="O141" s="1563">
        <f>Form!O229</f>
        <v>0</v>
      </c>
      <c r="P141" s="1563">
        <f>Form!P229</f>
        <v>0</v>
      </c>
      <c r="Q141" s="1563">
        <f>Form!Q229</f>
        <v>0</v>
      </c>
    </row>
    <row r="142" spans="3:17">
      <c r="C142" s="246" t="s">
        <v>2436</v>
      </c>
      <c r="E142" s="259" t="str">
        <f>currency.heading1</f>
        <v>USD 'Units</v>
      </c>
      <c r="J142" s="1563">
        <f>Form!K230</f>
        <v>0</v>
      </c>
      <c r="L142" s="1563">
        <f>Form!L230</f>
        <v>0</v>
      </c>
      <c r="M142" s="1563">
        <f>Form!M230</f>
        <v>0</v>
      </c>
      <c r="N142" s="1563">
        <f>Form!N230</f>
        <v>0</v>
      </c>
      <c r="O142" s="1563">
        <f>Form!O230</f>
        <v>0</v>
      </c>
      <c r="P142" s="1563">
        <f>Form!P230</f>
        <v>0</v>
      </c>
      <c r="Q142" s="1563">
        <f>Form!Q230</f>
        <v>0</v>
      </c>
    </row>
    <row r="143" spans="3:17">
      <c r="C143" s="246" t="s">
        <v>2437</v>
      </c>
      <c r="E143" s="259" t="str">
        <f>currency.heading1</f>
        <v>USD 'Units</v>
      </c>
      <c r="J143" s="1563">
        <f>Form!K231</f>
        <v>0</v>
      </c>
      <c r="L143" s="1563">
        <f>Form!L231</f>
        <v>0</v>
      </c>
      <c r="M143" s="1563">
        <f>Form!M231</f>
        <v>0</v>
      </c>
      <c r="N143" s="1563">
        <f>Form!N231</f>
        <v>0</v>
      </c>
      <c r="O143" s="1563">
        <f>Form!O231</f>
        <v>0</v>
      </c>
      <c r="P143" s="1563">
        <f>Form!P231</f>
        <v>0</v>
      </c>
      <c r="Q143" s="1563">
        <f>Form!Q231</f>
        <v>0</v>
      </c>
    </row>
    <row r="144" spans="3:17">
      <c r="C144" s="246" t="s">
        <v>2438</v>
      </c>
      <c r="E144" s="259" t="str">
        <f>currency.heading1</f>
        <v>USD 'Units</v>
      </c>
      <c r="J144" s="1563">
        <f>Form!K232</f>
        <v>0</v>
      </c>
      <c r="L144" s="1563">
        <f>Form!L232</f>
        <v>0</v>
      </c>
      <c r="M144" s="1563">
        <f>Form!M232</f>
        <v>0</v>
      </c>
      <c r="N144" s="1563">
        <f>Form!N232</f>
        <v>0</v>
      </c>
      <c r="O144" s="1563">
        <f>Form!O232</f>
        <v>0</v>
      </c>
      <c r="P144" s="1563">
        <f>Form!P232</f>
        <v>0</v>
      </c>
      <c r="Q144" s="1563">
        <f>Form!Q232</f>
        <v>0</v>
      </c>
    </row>
    <row r="145" spans="2:17">
      <c r="E145" s="259"/>
    </row>
    <row r="146" spans="2:17">
      <c r="C146" s="1478" t="s">
        <v>2441</v>
      </c>
    </row>
    <row r="147" spans="2:17">
      <c r="B147" s="263" t="s">
        <v>2442</v>
      </c>
      <c r="E147" s="259" t="str">
        <f>currency.heading1</f>
        <v>USD 'Units</v>
      </c>
      <c r="H147" s="1479"/>
      <c r="I147" s="1479"/>
      <c r="J147" s="1563">
        <f>Form!K204</f>
        <v>0</v>
      </c>
      <c r="L147" s="1563">
        <f>Form!L204</f>
        <v>0</v>
      </c>
      <c r="M147" s="1563">
        <f>Form!M204</f>
        <v>0</v>
      </c>
      <c r="N147" s="1563">
        <f>Form!N204</f>
        <v>0</v>
      </c>
      <c r="O147" s="1563">
        <f>Form!O204</f>
        <v>0</v>
      </c>
      <c r="P147" s="1563">
        <f>Form!P204</f>
        <v>0</v>
      </c>
      <c r="Q147" s="1563">
        <f>Form!Q204</f>
        <v>0</v>
      </c>
    </row>
    <row r="148" spans="2:17">
      <c r="B148" s="263"/>
      <c r="C148" s="259" t="s">
        <v>2443</v>
      </c>
      <c r="H148" s="1479"/>
      <c r="I148" s="1479"/>
      <c r="J148" s="1575">
        <f>Form!K205</f>
        <v>0</v>
      </c>
      <c r="L148" s="1575">
        <f>Form!L205</f>
        <v>0</v>
      </c>
      <c r="M148" s="1575">
        <f>Form!M205</f>
        <v>0</v>
      </c>
      <c r="N148" s="1575">
        <f>Form!N205</f>
        <v>0</v>
      </c>
      <c r="O148" s="1575">
        <f>Form!O205</f>
        <v>0</v>
      </c>
      <c r="P148" s="1575">
        <f>Form!P205</f>
        <v>0</v>
      </c>
      <c r="Q148" s="1575">
        <f>Form!Q205</f>
        <v>0</v>
      </c>
    </row>
    <row r="149" spans="2:17">
      <c r="B149" s="263"/>
      <c r="C149" s="259" t="s">
        <v>2444</v>
      </c>
      <c r="H149" s="1479"/>
      <c r="I149" s="1479"/>
      <c r="J149" s="1575">
        <f>Form!K206</f>
        <v>0</v>
      </c>
      <c r="L149" s="1575">
        <f>Form!L206</f>
        <v>0</v>
      </c>
      <c r="M149" s="1575">
        <f>Form!M206</f>
        <v>0</v>
      </c>
      <c r="N149" s="1575">
        <f>Form!N206</f>
        <v>0</v>
      </c>
      <c r="O149" s="1575">
        <f>Form!O206</f>
        <v>0</v>
      </c>
      <c r="P149" s="1575">
        <f>Form!P206</f>
        <v>0</v>
      </c>
      <c r="Q149" s="1575">
        <f>Form!Q206</f>
        <v>0</v>
      </c>
    </row>
    <row r="150" spans="2:17">
      <c r="B150" s="263"/>
      <c r="C150" s="259" t="s">
        <v>2445</v>
      </c>
      <c r="H150" s="1479"/>
      <c r="I150" s="1479"/>
      <c r="J150" s="1575">
        <f>Form!K207</f>
        <v>0</v>
      </c>
      <c r="L150" s="1575">
        <f>Form!L207</f>
        <v>0</v>
      </c>
      <c r="M150" s="1575">
        <f>Form!M207</f>
        <v>0</v>
      </c>
      <c r="N150" s="1575">
        <f>Form!N207</f>
        <v>0</v>
      </c>
      <c r="O150" s="1575">
        <f>Form!O207</f>
        <v>0</v>
      </c>
      <c r="P150" s="1575">
        <f>Form!P207</f>
        <v>0</v>
      </c>
      <c r="Q150" s="1575">
        <f>Form!Q207</f>
        <v>0</v>
      </c>
    </row>
    <row r="151" spans="2:17">
      <c r="B151" s="263"/>
      <c r="C151" s="259" t="s">
        <v>2446</v>
      </c>
      <c r="H151" s="1479"/>
      <c r="I151" s="1479"/>
      <c r="J151" s="1575">
        <f>Form!K208</f>
        <v>0</v>
      </c>
      <c r="L151" s="1575">
        <f>Form!L208</f>
        <v>0</v>
      </c>
      <c r="M151" s="1575">
        <f>Form!M208</f>
        <v>0</v>
      </c>
      <c r="N151" s="1575">
        <f>Form!N208</f>
        <v>0</v>
      </c>
      <c r="O151" s="1575">
        <f>Form!O208</f>
        <v>0</v>
      </c>
      <c r="P151" s="1575">
        <f>Form!P208</f>
        <v>0</v>
      </c>
      <c r="Q151" s="1575">
        <f>Form!Q208</f>
        <v>0</v>
      </c>
    </row>
    <row r="152" spans="2:17">
      <c r="B152" s="263"/>
      <c r="C152" s="259"/>
      <c r="H152" s="1479"/>
      <c r="I152" s="1479"/>
      <c r="L152" s="1479"/>
      <c r="M152" s="1479"/>
      <c r="N152" s="1479"/>
      <c r="O152" s="1479"/>
      <c r="P152" s="1479"/>
      <c r="Q152" s="1479"/>
    </row>
    <row r="153" spans="2:17">
      <c r="B153" s="263" t="s">
        <v>2447</v>
      </c>
      <c r="C153" s="259"/>
      <c r="E153" s="259" t="str">
        <f>currency.heading1</f>
        <v>USD 'Units</v>
      </c>
      <c r="H153" s="1479"/>
      <c r="I153" s="1479"/>
      <c r="J153" s="1563">
        <f>Form!K219</f>
        <v>0</v>
      </c>
      <c r="L153" s="1563">
        <f>Form!L219</f>
        <v>0</v>
      </c>
      <c r="M153" s="1563">
        <f>Form!M219</f>
        <v>0</v>
      </c>
      <c r="N153" s="1563">
        <f>Form!N219</f>
        <v>0</v>
      </c>
      <c r="O153" s="1563">
        <f>Form!O219</f>
        <v>0</v>
      </c>
      <c r="P153" s="1563">
        <f>Form!P219</f>
        <v>0</v>
      </c>
      <c r="Q153" s="1563">
        <f>Form!Q219</f>
        <v>0</v>
      </c>
    </row>
    <row r="154" spans="2:17">
      <c r="B154" s="263"/>
      <c r="C154" s="259" t="s">
        <v>2448</v>
      </c>
      <c r="H154" s="1479"/>
      <c r="I154" s="1479"/>
      <c r="J154" s="1575">
        <f>Form!K220</f>
        <v>0</v>
      </c>
      <c r="L154" s="1575">
        <f>Form!L220</f>
        <v>0</v>
      </c>
      <c r="M154" s="1575">
        <f>Form!M220</f>
        <v>0</v>
      </c>
      <c r="N154" s="1575">
        <f>Form!N220</f>
        <v>0</v>
      </c>
      <c r="O154" s="1575">
        <f>Form!O220</f>
        <v>0</v>
      </c>
      <c r="P154" s="1575">
        <f>Form!P220</f>
        <v>0</v>
      </c>
      <c r="Q154" s="1575">
        <f>Form!Q220</f>
        <v>0</v>
      </c>
    </row>
    <row r="155" spans="2:17">
      <c r="B155" s="263"/>
      <c r="C155" s="259" t="s">
        <v>2449</v>
      </c>
      <c r="H155" s="1479"/>
      <c r="I155" s="1479"/>
      <c r="J155" s="1575">
        <f>Form!K221</f>
        <v>0</v>
      </c>
      <c r="L155" s="1575">
        <f>Form!L221</f>
        <v>0</v>
      </c>
      <c r="M155" s="1575">
        <f>Form!M221</f>
        <v>0</v>
      </c>
      <c r="N155" s="1575">
        <f>Form!N221</f>
        <v>0</v>
      </c>
      <c r="O155" s="1575">
        <f>Form!O221</f>
        <v>0</v>
      </c>
      <c r="P155" s="1575">
        <f>Form!P221</f>
        <v>0</v>
      </c>
      <c r="Q155" s="1575">
        <f>Form!Q221</f>
        <v>0</v>
      </c>
    </row>
    <row r="156" spans="2:17">
      <c r="B156" s="263"/>
      <c r="C156" s="259" t="s">
        <v>2450</v>
      </c>
      <c r="H156" s="1479"/>
      <c r="I156" s="1479"/>
      <c r="J156" s="1575">
        <f>Form!K222</f>
        <v>0</v>
      </c>
      <c r="L156" s="1575">
        <f>Form!L222</f>
        <v>0</v>
      </c>
      <c r="M156" s="1575">
        <f>Form!M222</f>
        <v>0</v>
      </c>
      <c r="N156" s="1575">
        <f>Form!N222</f>
        <v>0</v>
      </c>
      <c r="O156" s="1575">
        <f>Form!O222</f>
        <v>0</v>
      </c>
      <c r="P156" s="1575">
        <f>Form!P222</f>
        <v>0</v>
      </c>
      <c r="Q156" s="1575">
        <f>Form!Q222</f>
        <v>0</v>
      </c>
    </row>
    <row r="157" spans="2:17">
      <c r="B157" s="263"/>
      <c r="C157" s="259" t="s">
        <v>2451</v>
      </c>
      <c r="H157" s="1479"/>
      <c r="I157" s="1479"/>
      <c r="J157" s="1575">
        <f>Form!K223</f>
        <v>0</v>
      </c>
      <c r="L157" s="1575">
        <f>Form!L223</f>
        <v>0</v>
      </c>
      <c r="M157" s="1575">
        <f>Form!M223</f>
        <v>0</v>
      </c>
      <c r="N157" s="1575">
        <f>Form!N223</f>
        <v>0</v>
      </c>
      <c r="O157" s="1575">
        <f>Form!O223</f>
        <v>0</v>
      </c>
      <c r="P157" s="1575">
        <f>Form!P223</f>
        <v>0</v>
      </c>
      <c r="Q157" s="1575">
        <f>Form!Q223</f>
        <v>0</v>
      </c>
    </row>
    <row r="158" spans="2:17">
      <c r="B158" s="263"/>
      <c r="C158" s="259"/>
      <c r="H158" s="1479"/>
      <c r="I158" s="1479"/>
      <c r="L158" s="1479"/>
      <c r="M158" s="1479"/>
      <c r="N158" s="1479"/>
      <c r="O158" s="1479"/>
      <c r="P158" s="1479"/>
      <c r="Q158" s="1479"/>
    </row>
    <row r="159" spans="2:17">
      <c r="B159" s="263" t="s">
        <v>2452</v>
      </c>
      <c r="C159" s="259"/>
      <c r="E159" s="259" t="str">
        <f>currency.heading1</f>
        <v>USD 'Units</v>
      </c>
      <c r="H159" s="1479"/>
      <c r="I159" s="1479"/>
      <c r="J159" s="1563">
        <f>Form!K234</f>
        <v>0</v>
      </c>
      <c r="L159" s="1563">
        <f>Form!L234</f>
        <v>0</v>
      </c>
      <c r="M159" s="1563">
        <f>Form!M234</f>
        <v>0</v>
      </c>
      <c r="N159" s="1563">
        <f>Form!N234</f>
        <v>0</v>
      </c>
      <c r="O159" s="1563">
        <f>Form!O234</f>
        <v>0</v>
      </c>
      <c r="P159" s="1563">
        <f>Form!P234</f>
        <v>0</v>
      </c>
      <c r="Q159" s="1563">
        <f>Form!Q234</f>
        <v>0</v>
      </c>
    </row>
    <row r="160" spans="2:17">
      <c r="B160" s="263"/>
      <c r="C160" s="259" t="s">
        <v>2453</v>
      </c>
      <c r="H160" s="1479"/>
      <c r="I160" s="1479"/>
      <c r="J160" s="1575">
        <f>Form!K235</f>
        <v>0</v>
      </c>
      <c r="L160" s="1575">
        <f>Form!L235</f>
        <v>0</v>
      </c>
      <c r="M160" s="1575">
        <f>Form!M235</f>
        <v>0</v>
      </c>
      <c r="N160" s="1575">
        <f>Form!N235</f>
        <v>0</v>
      </c>
      <c r="O160" s="1575">
        <f>Form!O235</f>
        <v>0</v>
      </c>
      <c r="P160" s="1575">
        <f>Form!P235</f>
        <v>0</v>
      </c>
      <c r="Q160" s="1575">
        <f>Form!Q235</f>
        <v>0</v>
      </c>
    </row>
    <row r="161" spans="2:17">
      <c r="B161" s="263"/>
      <c r="C161" s="259" t="s">
        <v>2454</v>
      </c>
      <c r="H161" s="1479"/>
      <c r="I161" s="1479"/>
      <c r="J161" s="1575">
        <f>Form!K236</f>
        <v>0</v>
      </c>
      <c r="L161" s="1575">
        <f>Form!L236</f>
        <v>0</v>
      </c>
      <c r="M161" s="1575">
        <f>Form!M236</f>
        <v>0</v>
      </c>
      <c r="N161" s="1575">
        <f>Form!N236</f>
        <v>0</v>
      </c>
      <c r="O161" s="1575">
        <f>Form!O236</f>
        <v>0</v>
      </c>
      <c r="P161" s="1575">
        <f>Form!P236</f>
        <v>0</v>
      </c>
      <c r="Q161" s="1575">
        <f>Form!Q236</f>
        <v>0</v>
      </c>
    </row>
    <row r="162" spans="2:17">
      <c r="B162" s="263"/>
      <c r="C162" s="259" t="s">
        <v>2455</v>
      </c>
      <c r="H162" s="1479"/>
      <c r="I162" s="1479"/>
      <c r="J162" s="1575">
        <f>Form!K237</f>
        <v>0</v>
      </c>
      <c r="L162" s="1575">
        <f>Form!L237</f>
        <v>0</v>
      </c>
      <c r="M162" s="1575">
        <f>Form!M237</f>
        <v>0</v>
      </c>
      <c r="N162" s="1575">
        <f>Form!N237</f>
        <v>0</v>
      </c>
      <c r="O162" s="1575">
        <f>Form!O237</f>
        <v>0</v>
      </c>
      <c r="P162" s="1575">
        <f>Form!P237</f>
        <v>0</v>
      </c>
      <c r="Q162" s="1575">
        <f>Form!Q237</f>
        <v>0</v>
      </c>
    </row>
    <row r="163" spans="2:17">
      <c r="B163" s="263"/>
      <c r="C163" s="259" t="s">
        <v>2456</v>
      </c>
      <c r="H163" s="1479"/>
      <c r="I163" s="1479"/>
      <c r="J163" s="1575">
        <f>Form!K238</f>
        <v>0</v>
      </c>
      <c r="L163" s="1575">
        <f>Form!L238</f>
        <v>0</v>
      </c>
      <c r="M163" s="1575">
        <f>Form!M238</f>
        <v>0</v>
      </c>
      <c r="N163" s="1575">
        <f>Form!N238</f>
        <v>0</v>
      </c>
      <c r="O163" s="1575">
        <f>Form!O238</f>
        <v>0</v>
      </c>
      <c r="P163" s="1575">
        <f>Form!P238</f>
        <v>0</v>
      </c>
      <c r="Q163" s="1575">
        <f>Form!Q238</f>
        <v>0</v>
      </c>
    </row>
    <row r="164" spans="2:17">
      <c r="B164" s="263"/>
      <c r="C164" s="259"/>
    </row>
    <row r="165" spans="2:17">
      <c r="C165" s="281" t="s">
        <v>2299</v>
      </c>
      <c r="D165" s="279"/>
      <c r="E165" s="280"/>
      <c r="F165" s="280"/>
      <c r="G165" s="280"/>
      <c r="H165" s="280"/>
      <c r="I165" s="280"/>
      <c r="J165" s="280"/>
      <c r="K165" s="280"/>
      <c r="L165" s="280"/>
      <c r="M165" s="280"/>
      <c r="N165" s="280"/>
      <c r="O165" s="280"/>
      <c r="P165" s="280"/>
      <c r="Q165" s="280"/>
    </row>
    <row r="166" spans="2:17">
      <c r="C166" s="267" t="s">
        <v>2457</v>
      </c>
    </row>
    <row r="167" spans="2:17">
      <c r="C167" s="268" t="s">
        <v>2266</v>
      </c>
      <c r="K167" s="951"/>
      <c r="L167" s="1576">
        <f>Form!L244</f>
        <v>0.3</v>
      </c>
      <c r="M167" s="1576">
        <f>Form!M244</f>
        <v>0.3</v>
      </c>
      <c r="N167" s="1576">
        <f>Form!N244</f>
        <v>0.3</v>
      </c>
      <c r="O167" s="1576">
        <f>Form!O244</f>
        <v>0.3</v>
      </c>
      <c r="P167" s="1576">
        <f>Form!P244</f>
        <v>0.3</v>
      </c>
      <c r="Q167" s="1576">
        <f>Form!Q244</f>
        <v>0.3</v>
      </c>
    </row>
    <row r="168" spans="2:17">
      <c r="C168" s="268" t="s">
        <v>2267</v>
      </c>
      <c r="K168" s="951"/>
      <c r="L168" s="1576">
        <f>Form!L245</f>
        <v>0.3</v>
      </c>
      <c r="M168" s="1576">
        <f>Form!M245</f>
        <v>0.3</v>
      </c>
      <c r="N168" s="1576">
        <f>Form!N245</f>
        <v>0.3</v>
      </c>
      <c r="O168" s="1576">
        <f>Form!O245</f>
        <v>0.3</v>
      </c>
      <c r="P168" s="1576">
        <f>Form!P245</f>
        <v>0.3</v>
      </c>
      <c r="Q168" s="1576">
        <f>Form!Q245</f>
        <v>0.3</v>
      </c>
    </row>
    <row r="169" spans="2:17">
      <c r="C169" s="268" t="s">
        <v>2268</v>
      </c>
      <c r="K169" s="951"/>
      <c r="L169" s="1576">
        <f>Form!L246</f>
        <v>0.3</v>
      </c>
      <c r="M169" s="1576">
        <f>Form!M246</f>
        <v>0.3</v>
      </c>
      <c r="N169" s="1576">
        <f>Form!N246</f>
        <v>0.3</v>
      </c>
      <c r="O169" s="1576">
        <f>Form!O246</f>
        <v>0.3</v>
      </c>
      <c r="P169" s="1576">
        <f>Form!P246</f>
        <v>0.3</v>
      </c>
      <c r="Q169" s="1576">
        <f>Form!Q246</f>
        <v>0.3</v>
      </c>
    </row>
    <row r="170" spans="2:17">
      <c r="C170" s="268" t="s">
        <v>2269</v>
      </c>
      <c r="K170" s="951"/>
      <c r="L170" s="1576">
        <f>Form!L247</f>
        <v>0.3</v>
      </c>
      <c r="M170" s="1576">
        <f>Form!M247</f>
        <v>0.3</v>
      </c>
      <c r="N170" s="1576">
        <f>Form!N247</f>
        <v>0.3</v>
      </c>
      <c r="O170" s="1576">
        <f>Form!O247</f>
        <v>0.3</v>
      </c>
      <c r="P170" s="1576">
        <f>Form!P247</f>
        <v>0.3</v>
      </c>
      <c r="Q170" s="1576">
        <f>Form!Q247</f>
        <v>0.3</v>
      </c>
    </row>
    <row r="171" spans="2:17">
      <c r="C171" s="268" t="s">
        <v>2270</v>
      </c>
      <c r="K171" s="951"/>
      <c r="L171" s="1576">
        <f>Form!L248</f>
        <v>0.3</v>
      </c>
      <c r="M171" s="1576">
        <f>Form!M248</f>
        <v>0.3</v>
      </c>
      <c r="N171" s="1576">
        <f>Form!N248</f>
        <v>0.3</v>
      </c>
      <c r="O171" s="1576">
        <f>Form!O248</f>
        <v>0.3</v>
      </c>
      <c r="P171" s="1576">
        <f>Form!P248</f>
        <v>0.3</v>
      </c>
      <c r="Q171" s="1576">
        <f>Form!Q248</f>
        <v>0.3</v>
      </c>
    </row>
    <row r="172" spans="2:17">
      <c r="C172" s="268" t="s">
        <v>2271</v>
      </c>
      <c r="K172" s="951"/>
      <c r="L172" s="1576">
        <f>Form!L249</f>
        <v>0.3</v>
      </c>
      <c r="M172" s="1576">
        <f>Form!M249</f>
        <v>0.3</v>
      </c>
      <c r="N172" s="1576">
        <f>Form!N249</f>
        <v>0.3</v>
      </c>
      <c r="O172" s="1576">
        <f>Form!O249</f>
        <v>0.3</v>
      </c>
      <c r="P172" s="1576">
        <f>Form!P249</f>
        <v>0.3</v>
      </c>
      <c r="Q172" s="1576">
        <f>Form!Q249</f>
        <v>0.3</v>
      </c>
    </row>
    <row r="173" spans="2:17">
      <c r="C173" s="268" t="s">
        <v>2272</v>
      </c>
      <c r="K173" s="951"/>
      <c r="L173" s="1576">
        <f>Form!L250</f>
        <v>0.3</v>
      </c>
      <c r="M173" s="1576">
        <f>Form!M250</f>
        <v>0.3</v>
      </c>
      <c r="N173" s="1576">
        <f>Form!N250</f>
        <v>0.3</v>
      </c>
      <c r="O173" s="1576">
        <f>Form!O250</f>
        <v>0.3</v>
      </c>
      <c r="P173" s="1576">
        <f>Form!P250</f>
        <v>0.3</v>
      </c>
      <c r="Q173" s="1576">
        <f>Form!Q250</f>
        <v>0.3</v>
      </c>
    </row>
    <row r="174" spans="2:17">
      <c r="C174" s="268" t="s">
        <v>2273</v>
      </c>
      <c r="K174" s="951"/>
      <c r="L174" s="1576">
        <f>Form!L251</f>
        <v>0.3</v>
      </c>
      <c r="M174" s="1576">
        <f>Form!M251</f>
        <v>0.3</v>
      </c>
      <c r="N174" s="1576">
        <f>Form!N251</f>
        <v>0.3</v>
      </c>
      <c r="O174" s="1576">
        <f>Form!O251</f>
        <v>0.3</v>
      </c>
      <c r="P174" s="1576">
        <f>Form!P251</f>
        <v>0.3</v>
      </c>
      <c r="Q174" s="1576">
        <f>Form!Q251</f>
        <v>0.3</v>
      </c>
    </row>
    <row r="175" spans="2:17">
      <c r="C175" s="268" t="s">
        <v>2274</v>
      </c>
      <c r="K175" s="951"/>
      <c r="L175" s="1576">
        <f>Form!L252</f>
        <v>0.3</v>
      </c>
      <c r="M175" s="1576">
        <f>Form!M252</f>
        <v>0.3</v>
      </c>
      <c r="N175" s="1576">
        <f>Form!N252</f>
        <v>0.3</v>
      </c>
      <c r="O175" s="1576">
        <f>Form!O252</f>
        <v>0.3</v>
      </c>
      <c r="P175" s="1576">
        <f>Form!P252</f>
        <v>0.3</v>
      </c>
      <c r="Q175" s="1576">
        <f>Form!Q252</f>
        <v>0.3</v>
      </c>
    </row>
    <row r="176" spans="2:17">
      <c r="C176" s="268" t="s">
        <v>2275</v>
      </c>
      <c r="K176" s="951"/>
      <c r="L176" s="1576">
        <f>Form!L253</f>
        <v>0.3</v>
      </c>
      <c r="M176" s="1576">
        <f>Form!M253</f>
        <v>0.3</v>
      </c>
      <c r="N176" s="1576">
        <f>Form!N253</f>
        <v>0.3</v>
      </c>
      <c r="O176" s="1576">
        <f>Form!O253</f>
        <v>0.3</v>
      </c>
      <c r="P176" s="1576">
        <f>Form!P253</f>
        <v>0.3</v>
      </c>
      <c r="Q176" s="1576">
        <f>Form!Q253</f>
        <v>0.3</v>
      </c>
    </row>
    <row r="177" spans="3:17">
      <c r="C177" s="268" t="s">
        <v>2276</v>
      </c>
      <c r="K177" s="951"/>
      <c r="L177" s="1576">
        <f>Form!L254</f>
        <v>0.3</v>
      </c>
      <c r="M177" s="1576">
        <f>Form!M254</f>
        <v>0.3</v>
      </c>
      <c r="N177" s="1576">
        <f>Form!N254</f>
        <v>0.3</v>
      </c>
      <c r="O177" s="1576">
        <f>Form!O254</f>
        <v>0.3</v>
      </c>
      <c r="P177" s="1576">
        <f>Form!P254</f>
        <v>0.3</v>
      </c>
      <c r="Q177" s="1576">
        <f>Form!Q254</f>
        <v>0.3</v>
      </c>
    </row>
    <row r="178" spans="3:17">
      <c r="C178" s="268" t="s">
        <v>2277</v>
      </c>
      <c r="K178" s="951"/>
      <c r="L178" s="1576">
        <f>Form!L255</f>
        <v>0.3</v>
      </c>
      <c r="M178" s="1576">
        <f>Form!M255</f>
        <v>0.3</v>
      </c>
      <c r="N178" s="1576">
        <f>Form!N255</f>
        <v>0.3</v>
      </c>
      <c r="O178" s="1576">
        <f>Form!O255</f>
        <v>0.3</v>
      </c>
      <c r="P178" s="1576">
        <f>Form!P255</f>
        <v>0.3</v>
      </c>
      <c r="Q178" s="1576">
        <f>Form!Q255</f>
        <v>0.3</v>
      </c>
    </row>
    <row r="180" spans="3:17">
      <c r="C180" s="267" t="s">
        <v>2298</v>
      </c>
      <c r="L180" s="266"/>
    </row>
    <row r="181" spans="3:17">
      <c r="C181" s="1602" t="s">
        <v>2801</v>
      </c>
      <c r="D181" s="1601" t="str">
        <f>IF(E181="Option 1","Selected","Unselected")</f>
        <v>Selected</v>
      </c>
      <c r="E181" s="1549" t="str">
        <f>Form!O258</f>
        <v>Option 1</v>
      </c>
      <c r="L181" s="266"/>
    </row>
    <row r="182" spans="3:17">
      <c r="C182" s="246" t="s">
        <v>1911</v>
      </c>
      <c r="E182" s="259" t="str">
        <f t="shared" ref="E182:E191" si="0">currency.heading1</f>
        <v>USD 'Units</v>
      </c>
      <c r="J182" s="1563">
        <f>Form!K265</f>
        <v>5000</v>
      </c>
      <c r="L182" s="1563">
        <f>Form!L265</f>
        <v>5000</v>
      </c>
      <c r="M182" s="1563">
        <f>Form!M265</f>
        <v>5000</v>
      </c>
      <c r="N182" s="1563">
        <f>Form!N265</f>
        <v>5000</v>
      </c>
      <c r="O182" s="1563">
        <f>Form!O265</f>
        <v>5000</v>
      </c>
      <c r="P182" s="1563">
        <f>Form!P265</f>
        <v>5000</v>
      </c>
      <c r="Q182" s="1563">
        <f>Form!Q265</f>
        <v>5000</v>
      </c>
    </row>
    <row r="183" spans="3:17">
      <c r="C183" s="246" t="s">
        <v>1912</v>
      </c>
      <c r="E183" s="259" t="str">
        <f t="shared" si="0"/>
        <v>USD 'Units</v>
      </c>
      <c r="J183" s="1563">
        <f>Form!K266</f>
        <v>5000</v>
      </c>
      <c r="L183" s="1563">
        <f>Form!L266</f>
        <v>5000</v>
      </c>
      <c r="M183" s="1563">
        <f>Form!M266</f>
        <v>5000</v>
      </c>
      <c r="N183" s="1563">
        <f>Form!N266</f>
        <v>5000</v>
      </c>
      <c r="O183" s="1563">
        <f>Form!O266</f>
        <v>5000</v>
      </c>
      <c r="P183" s="1563">
        <f>Form!P266</f>
        <v>5000</v>
      </c>
      <c r="Q183" s="1563">
        <f>Form!Q266</f>
        <v>5000</v>
      </c>
    </row>
    <row r="184" spans="3:17">
      <c r="C184" s="246" t="s">
        <v>1913</v>
      </c>
      <c r="E184" s="259" t="str">
        <f t="shared" si="0"/>
        <v>USD 'Units</v>
      </c>
      <c r="J184" s="1563">
        <f>Form!K267</f>
        <v>5000</v>
      </c>
      <c r="L184" s="1563">
        <f>Form!L267</f>
        <v>5000</v>
      </c>
      <c r="M184" s="1563">
        <f>Form!M267</f>
        <v>5000</v>
      </c>
      <c r="N184" s="1563">
        <f>Form!N267</f>
        <v>5000</v>
      </c>
      <c r="O184" s="1563">
        <f>Form!O267</f>
        <v>5000</v>
      </c>
      <c r="P184" s="1563">
        <f>Form!P267</f>
        <v>5000</v>
      </c>
      <c r="Q184" s="1563">
        <f>Form!Q267</f>
        <v>5000</v>
      </c>
    </row>
    <row r="185" spans="3:17">
      <c r="C185" s="246" t="s">
        <v>1914</v>
      </c>
      <c r="E185" s="259" t="str">
        <f t="shared" si="0"/>
        <v>USD 'Units</v>
      </c>
      <c r="J185" s="1563">
        <f>Form!K268</f>
        <v>5000</v>
      </c>
      <c r="L185" s="1563">
        <f>Form!L268</f>
        <v>5000</v>
      </c>
      <c r="M185" s="1563">
        <f>Form!M268</f>
        <v>5000</v>
      </c>
      <c r="N185" s="1563">
        <f>Form!N268</f>
        <v>5000</v>
      </c>
      <c r="O185" s="1563">
        <f>Form!O268</f>
        <v>5000</v>
      </c>
      <c r="P185" s="1563">
        <f>Form!P268</f>
        <v>5000</v>
      </c>
      <c r="Q185" s="1563">
        <f>Form!Q268</f>
        <v>5000</v>
      </c>
    </row>
    <row r="186" spans="3:17">
      <c r="C186" s="246" t="s">
        <v>1915</v>
      </c>
      <c r="E186" s="259" t="str">
        <f t="shared" si="0"/>
        <v>USD 'Units</v>
      </c>
      <c r="J186" s="1563">
        <f>Form!K269</f>
        <v>5000</v>
      </c>
      <c r="L186" s="1563">
        <f>Form!L269</f>
        <v>5000</v>
      </c>
      <c r="M186" s="1563">
        <f>Form!M269</f>
        <v>5000</v>
      </c>
      <c r="N186" s="1563">
        <f>Form!N269</f>
        <v>5000</v>
      </c>
      <c r="O186" s="1563">
        <f>Form!O269</f>
        <v>5000</v>
      </c>
      <c r="P186" s="1563">
        <f>Form!P269</f>
        <v>5000</v>
      </c>
      <c r="Q186" s="1563">
        <f>Form!Q269</f>
        <v>5000</v>
      </c>
    </row>
    <row r="187" spans="3:17">
      <c r="C187" s="246" t="s">
        <v>2458</v>
      </c>
      <c r="E187" s="259" t="str">
        <f t="shared" si="0"/>
        <v>USD 'Units</v>
      </c>
      <c r="J187" s="1563">
        <f>Form!K270</f>
        <v>5000</v>
      </c>
      <c r="L187" s="1563">
        <f>Form!L270</f>
        <v>5000</v>
      </c>
      <c r="M187" s="1563">
        <f>Form!M270</f>
        <v>5000</v>
      </c>
      <c r="N187" s="1563">
        <f>Form!N270</f>
        <v>5000</v>
      </c>
      <c r="O187" s="1563">
        <f>Form!O270</f>
        <v>5000</v>
      </c>
      <c r="P187" s="1563">
        <f>Form!P270</f>
        <v>5000</v>
      </c>
      <c r="Q187" s="1563">
        <f>Form!Q270</f>
        <v>5000</v>
      </c>
    </row>
    <row r="188" spans="3:17">
      <c r="C188" s="246" t="s">
        <v>3148</v>
      </c>
      <c r="E188" s="259" t="str">
        <f t="shared" si="0"/>
        <v>USD 'Units</v>
      </c>
      <c r="J188" s="1563">
        <f>Form!K271</f>
        <v>5000</v>
      </c>
      <c r="L188" s="1563">
        <f>Form!L271</f>
        <v>5000</v>
      </c>
      <c r="M188" s="1563">
        <f>Form!M271</f>
        <v>5000</v>
      </c>
      <c r="N188" s="1563">
        <f>Form!N271</f>
        <v>5000</v>
      </c>
      <c r="O188" s="1563">
        <f>Form!O271</f>
        <v>5000</v>
      </c>
      <c r="P188" s="1563">
        <f>Form!P271</f>
        <v>5000</v>
      </c>
      <c r="Q188" s="1563">
        <f>Form!Q271</f>
        <v>5000</v>
      </c>
    </row>
    <row r="189" spans="3:17">
      <c r="C189" s="246" t="s">
        <v>1976</v>
      </c>
      <c r="E189" s="259" t="str">
        <f t="shared" si="0"/>
        <v>USD 'Units</v>
      </c>
      <c r="J189" s="1563">
        <f>Form!K272</f>
        <v>5000</v>
      </c>
      <c r="L189" s="1563">
        <f>Form!L272</f>
        <v>5000</v>
      </c>
      <c r="M189" s="1563">
        <f>Form!M272</f>
        <v>5000</v>
      </c>
      <c r="N189" s="1563">
        <f>Form!N272</f>
        <v>5000</v>
      </c>
      <c r="O189" s="1563">
        <f>Form!O272</f>
        <v>5000</v>
      </c>
      <c r="P189" s="1563">
        <f>Form!P272</f>
        <v>5000</v>
      </c>
      <c r="Q189" s="1563">
        <f>Form!Q272</f>
        <v>5000</v>
      </c>
    </row>
    <row r="190" spans="3:17">
      <c r="C190" s="246" t="s">
        <v>1977</v>
      </c>
      <c r="E190" s="259" t="str">
        <f t="shared" si="0"/>
        <v>USD 'Units</v>
      </c>
      <c r="J190" s="1563">
        <f>Form!K273</f>
        <v>5000</v>
      </c>
      <c r="L190" s="1563">
        <f>Form!L273</f>
        <v>5000</v>
      </c>
      <c r="M190" s="1563">
        <f>Form!M273</f>
        <v>5000</v>
      </c>
      <c r="N190" s="1563">
        <f>Form!N273</f>
        <v>5000</v>
      </c>
      <c r="O190" s="1563">
        <f>Form!O273</f>
        <v>5000</v>
      </c>
      <c r="P190" s="1563">
        <f>Form!P273</f>
        <v>5000</v>
      </c>
      <c r="Q190" s="1563">
        <f>Form!Q273</f>
        <v>5000</v>
      </c>
    </row>
    <row r="191" spans="3:17">
      <c r="C191" s="246" t="s">
        <v>1653</v>
      </c>
      <c r="D191" s="2062" t="str">
        <f>IF(SUM(L191:Q191)&gt;0,"On","Off")</f>
        <v>On</v>
      </c>
      <c r="E191" s="259" t="str">
        <f t="shared" si="0"/>
        <v>USD 'Units</v>
      </c>
      <c r="J191" s="1563">
        <f>Form!K274</f>
        <v>200000</v>
      </c>
      <c r="L191" s="1563">
        <f>Form!L274</f>
        <v>200000</v>
      </c>
      <c r="M191" s="1563">
        <f>Form!M274</f>
        <v>200000</v>
      </c>
      <c r="N191" s="1563">
        <f>Form!N274</f>
        <v>200000</v>
      </c>
      <c r="O191" s="1563">
        <f>Form!O274</f>
        <v>200000</v>
      </c>
      <c r="P191" s="1563">
        <f>Form!P274</f>
        <v>200000</v>
      </c>
      <c r="Q191" s="1563">
        <f>Form!Q274</f>
        <v>200000</v>
      </c>
    </row>
    <row r="192" spans="3:17">
      <c r="C192" s="246" t="s">
        <v>97</v>
      </c>
    </row>
    <row r="193" spans="3:17">
      <c r="C193" s="265" t="s">
        <v>2802</v>
      </c>
      <c r="D193" s="1601" t="str">
        <f>IF(D181="No","Selected","Unselected")</f>
        <v>Unselected</v>
      </c>
      <c r="E193" s="2055" t="s">
        <v>2572</v>
      </c>
      <c r="L193" s="263" t="str">
        <f>E188</f>
        <v>USD 'Units</v>
      </c>
      <c r="M193" s="263" t="s">
        <v>2788</v>
      </c>
    </row>
    <row r="194" spans="3:17">
      <c r="C194" s="246" t="s">
        <v>1911</v>
      </c>
      <c r="E194" s="2056" t="str">
        <f>Form!I278</f>
        <v>Fixed/Variable</v>
      </c>
      <c r="J194" s="1581">
        <f>Form!K278</f>
        <v>5000</v>
      </c>
      <c r="L194" s="1581">
        <f>Form!L278</f>
        <v>5000</v>
      </c>
      <c r="M194" s="1579">
        <f>Form!M278</f>
        <v>0.02</v>
      </c>
      <c r="N194" s="1579">
        <f>Form!N278</f>
        <v>0.02</v>
      </c>
      <c r="O194" s="1579">
        <f>Form!O278</f>
        <v>0.02</v>
      </c>
      <c r="P194" s="1579">
        <f>Form!P278</f>
        <v>0.02</v>
      </c>
      <c r="Q194" s="1579">
        <f>Form!Q278</f>
        <v>0.02</v>
      </c>
    </row>
    <row r="195" spans="3:17">
      <c r="C195" s="246" t="s">
        <v>1912</v>
      </c>
      <c r="E195" s="2056" t="str">
        <f>Form!I279</f>
        <v>Fixed/Variable</v>
      </c>
      <c r="J195" s="1581">
        <f>Form!K279</f>
        <v>5000</v>
      </c>
      <c r="L195" s="1581">
        <f>Form!L279</f>
        <v>5000</v>
      </c>
      <c r="M195" s="1579">
        <f>Form!M279</f>
        <v>0.02</v>
      </c>
      <c r="N195" s="1579">
        <f>Form!N279</f>
        <v>0.02</v>
      </c>
      <c r="O195" s="1579">
        <f>Form!O279</f>
        <v>0.02</v>
      </c>
      <c r="P195" s="1579">
        <f>Form!P279</f>
        <v>0.02</v>
      </c>
      <c r="Q195" s="1579">
        <f>Form!Q279</f>
        <v>0.02</v>
      </c>
    </row>
    <row r="196" spans="3:17">
      <c r="C196" s="246" t="s">
        <v>1913</v>
      </c>
      <c r="E196" s="2056" t="str">
        <f>Form!I280</f>
        <v>Fixed/Variable</v>
      </c>
      <c r="J196" s="1581">
        <f>Form!K280</f>
        <v>5000</v>
      </c>
      <c r="L196" s="1581">
        <f>Form!L280</f>
        <v>5000</v>
      </c>
      <c r="M196" s="1579">
        <f>Form!M280</f>
        <v>0.02</v>
      </c>
      <c r="N196" s="1579">
        <f>Form!N280</f>
        <v>0.02</v>
      </c>
      <c r="O196" s="1579">
        <f>Form!O280</f>
        <v>0.02</v>
      </c>
      <c r="P196" s="1579">
        <f>Form!P280</f>
        <v>0.02</v>
      </c>
      <c r="Q196" s="1579">
        <f>Form!Q280</f>
        <v>0.02</v>
      </c>
    </row>
    <row r="197" spans="3:17">
      <c r="C197" s="246" t="s">
        <v>1914</v>
      </c>
      <c r="E197" s="2056" t="str">
        <f>Form!I281</f>
        <v>Fixed/Variable</v>
      </c>
      <c r="J197" s="1581">
        <f>Form!K281</f>
        <v>5000</v>
      </c>
      <c r="L197" s="1581">
        <f>Form!L281</f>
        <v>5000</v>
      </c>
      <c r="M197" s="1579">
        <f>Form!M281</f>
        <v>0.02</v>
      </c>
      <c r="N197" s="1579">
        <f>Form!N281</f>
        <v>0.02</v>
      </c>
      <c r="O197" s="1579">
        <f>Form!O281</f>
        <v>0.02</v>
      </c>
      <c r="P197" s="1579">
        <f>Form!P281</f>
        <v>0.02</v>
      </c>
      <c r="Q197" s="1579">
        <f>Form!Q281</f>
        <v>0.02</v>
      </c>
    </row>
    <row r="198" spans="3:17">
      <c r="C198" s="246" t="s">
        <v>1915</v>
      </c>
      <c r="E198" s="2056" t="str">
        <f>Form!I282</f>
        <v>Fixed/Variable</v>
      </c>
      <c r="J198" s="1581">
        <f>Form!K282</f>
        <v>5000</v>
      </c>
      <c r="L198" s="1581">
        <f>Form!L282</f>
        <v>5000</v>
      </c>
      <c r="M198" s="1579">
        <f>Form!M282</f>
        <v>0.02</v>
      </c>
      <c r="N198" s="1579">
        <f>Form!N282</f>
        <v>0.02</v>
      </c>
      <c r="O198" s="1579">
        <f>Form!O282</f>
        <v>0.02</v>
      </c>
      <c r="P198" s="1579">
        <f>Form!P282</f>
        <v>0.02</v>
      </c>
      <c r="Q198" s="1579">
        <f>Form!Q282</f>
        <v>0.02</v>
      </c>
    </row>
    <row r="199" spans="3:17">
      <c r="C199" s="246" t="s">
        <v>2458</v>
      </c>
      <c r="E199" s="2056" t="str">
        <f>Form!I283</f>
        <v>Fixed/Variable</v>
      </c>
      <c r="J199" s="1581">
        <f>Form!K283</f>
        <v>5000</v>
      </c>
      <c r="L199" s="1581">
        <f>Form!L283</f>
        <v>5000</v>
      </c>
      <c r="M199" s="1579">
        <f>Form!M283</f>
        <v>0.02</v>
      </c>
      <c r="N199" s="1579">
        <f>Form!N283</f>
        <v>0.02</v>
      </c>
      <c r="O199" s="1579">
        <f>Form!O283</f>
        <v>0.02</v>
      </c>
      <c r="P199" s="1579">
        <f>Form!P283</f>
        <v>0.02</v>
      </c>
      <c r="Q199" s="1579">
        <f>Form!Q283</f>
        <v>0.02</v>
      </c>
    </row>
    <row r="200" spans="3:17">
      <c r="C200" s="246" t="s">
        <v>1917</v>
      </c>
      <c r="E200" s="2056" t="str">
        <f>Form!I284</f>
        <v>Fixed/Variable</v>
      </c>
      <c r="J200" s="1581">
        <f>Form!K284</f>
        <v>5000</v>
      </c>
      <c r="L200" s="1581">
        <f>Form!L284</f>
        <v>5000</v>
      </c>
      <c r="M200" s="1579">
        <f>Form!M284</f>
        <v>0.02</v>
      </c>
      <c r="N200" s="1579">
        <f>Form!N284</f>
        <v>0.02</v>
      </c>
      <c r="O200" s="1579">
        <f>Form!O284</f>
        <v>0.02</v>
      </c>
      <c r="P200" s="1579">
        <f>Form!P284</f>
        <v>0.02</v>
      </c>
      <c r="Q200" s="1579">
        <f>Form!Q284</f>
        <v>0.02</v>
      </c>
    </row>
    <row r="201" spans="3:17">
      <c r="C201" s="246" t="s">
        <v>1976</v>
      </c>
      <c r="E201" s="2056" t="str">
        <f>Form!I285</f>
        <v>Fixed/Variable</v>
      </c>
      <c r="J201" s="1581">
        <f>Form!K285</f>
        <v>5000</v>
      </c>
      <c r="L201" s="1581">
        <f>Form!L285</f>
        <v>5000</v>
      </c>
      <c r="M201" s="1579">
        <f>Form!M285</f>
        <v>0.02</v>
      </c>
      <c r="N201" s="1579">
        <f>Form!N285</f>
        <v>0.02</v>
      </c>
      <c r="O201" s="1579">
        <f>Form!O285</f>
        <v>0.02</v>
      </c>
      <c r="P201" s="1579">
        <f>Form!P285</f>
        <v>0.02</v>
      </c>
      <c r="Q201" s="1579">
        <f>Form!Q285</f>
        <v>0.02</v>
      </c>
    </row>
    <row r="202" spans="3:17">
      <c r="C202" s="246" t="s">
        <v>1977</v>
      </c>
      <c r="E202" s="2056" t="str">
        <f>Form!I286</f>
        <v>Fixed/Variable</v>
      </c>
      <c r="J202" s="1581">
        <f>Form!K286</f>
        <v>5000</v>
      </c>
      <c r="L202" s="1581">
        <f>Form!L286</f>
        <v>5000</v>
      </c>
      <c r="M202" s="1579">
        <f>Form!M286</f>
        <v>0.02</v>
      </c>
      <c r="N202" s="1579">
        <f>Form!N286</f>
        <v>0.02</v>
      </c>
      <c r="O202" s="1579">
        <f>Form!O286</f>
        <v>0.02</v>
      </c>
      <c r="P202" s="1579">
        <f>Form!P286</f>
        <v>0.02</v>
      </c>
      <c r="Q202" s="1579">
        <f>Form!Q286</f>
        <v>0.02</v>
      </c>
    </row>
    <row r="203" spans="3:17">
      <c r="C203" s="246" t="s">
        <v>1653</v>
      </c>
      <c r="D203" s="2062" t="str">
        <f>IF(L203&gt;0,"On","Off")</f>
        <v>On</v>
      </c>
      <c r="E203" s="2056"/>
      <c r="J203" s="1581">
        <f>Form!K287</f>
        <v>200000</v>
      </c>
      <c r="L203" s="1581">
        <f>Form!L287</f>
        <v>200000</v>
      </c>
      <c r="M203" s="1579">
        <f>Form!M287</f>
        <v>0.02</v>
      </c>
      <c r="N203" s="1579">
        <f>Form!N287</f>
        <v>0.02</v>
      </c>
      <c r="O203" s="1579">
        <f>Form!O287</f>
        <v>0.02</v>
      </c>
      <c r="P203" s="1579">
        <f>Form!P287</f>
        <v>0.02</v>
      </c>
      <c r="Q203" s="1579">
        <f>Form!Q287</f>
        <v>0.02</v>
      </c>
    </row>
    <row r="205" spans="3:17">
      <c r="C205" s="281" t="s">
        <v>2073</v>
      </c>
      <c r="D205" s="281"/>
      <c r="E205" s="1586"/>
      <c r="F205" s="1586"/>
      <c r="G205" s="1586"/>
      <c r="H205" s="1586"/>
      <c r="I205" s="1586"/>
      <c r="J205" s="1586"/>
      <c r="K205" s="1586"/>
      <c r="L205" s="1586"/>
      <c r="M205" s="1586"/>
      <c r="N205" s="1586"/>
      <c r="O205" s="1586"/>
      <c r="P205" s="1586"/>
      <c r="Q205" s="1586"/>
    </row>
    <row r="206" spans="3:17" ht="5" customHeight="1">
      <c r="C206" s="1587"/>
      <c r="D206" s="269"/>
      <c r="E206" s="1588"/>
    </row>
    <row r="207" spans="3:17" ht="10.25" customHeight="1">
      <c r="C207" s="1583" t="s">
        <v>2789</v>
      </c>
      <c r="D207" s="1584"/>
      <c r="E207" s="1585"/>
      <c r="F207" s="951"/>
      <c r="G207" s="951"/>
      <c r="H207" s="951"/>
      <c r="I207" s="951"/>
      <c r="J207" s="246" t="str">
        <f>Form!K290</f>
        <v>B</v>
      </c>
    </row>
    <row r="208" spans="3:17">
      <c r="C208" s="1589" t="s">
        <v>2138</v>
      </c>
      <c r="D208" s="269"/>
      <c r="E208" s="1590"/>
    </row>
    <row r="209" spans="3:17">
      <c r="C209" s="255" t="s">
        <v>2074</v>
      </c>
      <c r="D209" s="269"/>
      <c r="J209" s="1562">
        <f>Form!K293</f>
        <v>0</v>
      </c>
    </row>
    <row r="210" spans="3:17">
      <c r="C210" s="255" t="s">
        <v>2239</v>
      </c>
      <c r="D210" s="269"/>
      <c r="E210" s="274"/>
      <c r="K210" s="1599"/>
      <c r="L210" s="1562">
        <f>Form!L293</f>
        <v>0</v>
      </c>
      <c r="M210" s="1562">
        <f>Form!M293</f>
        <v>0</v>
      </c>
      <c r="N210" s="1562">
        <f>Form!N293</f>
        <v>0</v>
      </c>
      <c r="O210" s="1562">
        <f>Form!O293</f>
        <v>0</v>
      </c>
      <c r="P210" s="1562">
        <f>Form!P293</f>
        <v>0</v>
      </c>
      <c r="Q210" s="1562">
        <f>Form!Q293</f>
        <v>0</v>
      </c>
    </row>
    <row r="211" spans="3:17">
      <c r="C211" s="262" t="s">
        <v>2139</v>
      </c>
      <c r="D211" s="269"/>
      <c r="E211" s="1582"/>
      <c r="L211" s="1549"/>
      <c r="M211" s="1549"/>
      <c r="N211" s="1549"/>
      <c r="O211" s="1549"/>
      <c r="P211" s="1549"/>
      <c r="Q211" s="1549"/>
    </row>
    <row r="212" spans="3:17">
      <c r="C212" s="255" t="s">
        <v>2074</v>
      </c>
      <c r="D212" s="269"/>
      <c r="J212" s="1562">
        <f>Form!K294</f>
        <v>0</v>
      </c>
      <c r="L212" s="1549"/>
      <c r="M212" s="1549"/>
      <c r="N212" s="1549"/>
      <c r="O212" s="1549"/>
      <c r="P212" s="1549"/>
      <c r="Q212" s="1549"/>
    </row>
    <row r="213" spans="3:17">
      <c r="C213" s="255" t="s">
        <v>2239</v>
      </c>
      <c r="D213" s="269"/>
      <c r="E213" s="274"/>
      <c r="K213" s="1599"/>
      <c r="L213" s="1562">
        <f>Form!L294</f>
        <v>0</v>
      </c>
      <c r="M213" s="1562">
        <f>Form!M294</f>
        <v>0</v>
      </c>
      <c r="N213" s="1562">
        <f>Form!N294</f>
        <v>0</v>
      </c>
      <c r="O213" s="1562">
        <f>Form!O294</f>
        <v>0</v>
      </c>
      <c r="P213" s="1562">
        <f>Form!P294</f>
        <v>0</v>
      </c>
      <c r="Q213" s="1562">
        <f>Form!Q294</f>
        <v>0</v>
      </c>
    </row>
    <row r="214" spans="3:17">
      <c r="C214" s="262" t="s">
        <v>2140</v>
      </c>
      <c r="D214" s="269"/>
      <c r="E214" s="1582"/>
      <c r="L214" s="1549"/>
      <c r="M214" s="1549"/>
      <c r="N214" s="1549"/>
      <c r="O214" s="1549"/>
      <c r="P214" s="1549"/>
      <c r="Q214" s="1549"/>
    </row>
    <row r="215" spans="3:17">
      <c r="C215" s="255" t="s">
        <v>2074</v>
      </c>
      <c r="D215" s="269"/>
      <c r="J215" s="1562">
        <f>Form!K295</f>
        <v>0</v>
      </c>
      <c r="L215" s="1549"/>
      <c r="M215" s="1549"/>
      <c r="N215" s="1549"/>
      <c r="O215" s="1549"/>
      <c r="P215" s="1549"/>
      <c r="Q215" s="1549"/>
    </row>
    <row r="216" spans="3:17">
      <c r="C216" s="255" t="s">
        <v>2239</v>
      </c>
      <c r="D216" s="269"/>
      <c r="J216" s="274"/>
      <c r="K216" s="1599"/>
      <c r="L216" s="1562">
        <f>Form!L295</f>
        <v>0</v>
      </c>
      <c r="M216" s="1562">
        <f>Form!M295</f>
        <v>0</v>
      </c>
      <c r="N216" s="1562">
        <f>Form!N295</f>
        <v>0</v>
      </c>
      <c r="O216" s="1562">
        <f>Form!O295</f>
        <v>0</v>
      </c>
      <c r="P216" s="1562">
        <f>Form!P295</f>
        <v>0</v>
      </c>
      <c r="Q216" s="1562">
        <f>Form!Q295</f>
        <v>0</v>
      </c>
    </row>
    <row r="217" spans="3:17">
      <c r="C217" s="262" t="s">
        <v>2141</v>
      </c>
      <c r="D217" s="269"/>
      <c r="J217" s="1582"/>
      <c r="L217" s="1549"/>
      <c r="M217" s="1549"/>
      <c r="N217" s="1549"/>
      <c r="O217" s="1549"/>
      <c r="P217" s="1549"/>
      <c r="Q217" s="1549"/>
    </row>
    <row r="218" spans="3:17">
      <c r="C218" s="255" t="s">
        <v>2074</v>
      </c>
      <c r="D218" s="269"/>
      <c r="J218" s="1562">
        <f>Form!K296</f>
        <v>0</v>
      </c>
      <c r="L218" s="1549"/>
      <c r="M218" s="1549"/>
      <c r="N218" s="1549"/>
      <c r="O218" s="1549"/>
      <c r="P218" s="1549"/>
      <c r="Q218" s="1549"/>
    </row>
    <row r="219" spans="3:17">
      <c r="C219" s="255" t="s">
        <v>2239</v>
      </c>
      <c r="D219" s="269"/>
      <c r="E219" s="274"/>
      <c r="K219" s="1599"/>
      <c r="L219" s="1562">
        <f>Form!L296</f>
        <v>0</v>
      </c>
      <c r="M219" s="1562">
        <f>Form!M296</f>
        <v>0</v>
      </c>
      <c r="N219" s="1562">
        <f>Form!N296</f>
        <v>0</v>
      </c>
      <c r="O219" s="1562">
        <f>Form!O296</f>
        <v>0</v>
      </c>
      <c r="P219" s="1562">
        <f>Form!P296</f>
        <v>0</v>
      </c>
      <c r="Q219" s="1562">
        <f>Form!Q296</f>
        <v>0</v>
      </c>
    </row>
    <row r="221" spans="3:17" ht="10.25" customHeight="1">
      <c r="C221" s="1583" t="s">
        <v>2790</v>
      </c>
      <c r="D221" s="1584"/>
      <c r="E221" s="1585"/>
      <c r="F221" s="951"/>
      <c r="G221" s="951"/>
      <c r="H221" s="951"/>
      <c r="I221" s="951"/>
      <c r="J221" s="1549">
        <f>Form!K298</f>
        <v>0</v>
      </c>
      <c r="K221" s="951"/>
      <c r="L221" s="1562">
        <f>Form!L298</f>
        <v>0</v>
      </c>
      <c r="M221" s="1562">
        <f>Form!M298</f>
        <v>0</v>
      </c>
      <c r="N221" s="1562">
        <f>Form!N298</f>
        <v>0</v>
      </c>
      <c r="O221" s="1562">
        <f>Form!O298</f>
        <v>0</v>
      </c>
      <c r="P221" s="1562">
        <f>Form!P298</f>
        <v>0</v>
      </c>
      <c r="Q221" s="1562">
        <f>Form!Q298</f>
        <v>0</v>
      </c>
    </row>
    <row r="222" spans="3:17">
      <c r="M222" s="1580"/>
      <c r="N222" s="1580"/>
      <c r="O222" s="1580"/>
      <c r="P222" s="1580"/>
      <c r="Q222" s="1580"/>
    </row>
    <row r="223" spans="3:17" ht="10.25" customHeight="1">
      <c r="C223" s="1583" t="s">
        <v>2791</v>
      </c>
      <c r="D223" s="1584"/>
      <c r="E223" s="1585"/>
      <c r="F223" s="951"/>
      <c r="G223" s="951"/>
      <c r="H223" s="951"/>
      <c r="I223" s="951"/>
      <c r="J223" s="1576">
        <f>Form!K300</f>
        <v>0</v>
      </c>
      <c r="K223" s="1600"/>
      <c r="L223" s="1576">
        <f>Form!L300</f>
        <v>0</v>
      </c>
      <c r="M223" s="1576">
        <f>Form!M300</f>
        <v>0</v>
      </c>
      <c r="N223" s="1576">
        <f>Form!N300</f>
        <v>0</v>
      </c>
      <c r="O223" s="1576">
        <f>Form!O300</f>
        <v>0</v>
      </c>
      <c r="P223" s="1576">
        <f>Form!P300</f>
        <v>0</v>
      </c>
      <c r="Q223" s="1576">
        <f>Form!Q300</f>
        <v>0</v>
      </c>
    </row>
    <row r="224" spans="3:17">
      <c r="M224" s="1580"/>
      <c r="N224" s="1580"/>
      <c r="O224" s="1580"/>
      <c r="P224" s="1580"/>
      <c r="Q224" s="1580"/>
    </row>
    <row r="225" spans="3:17">
      <c r="C225" s="281" t="s">
        <v>2387</v>
      </c>
      <c r="D225" s="281"/>
      <c r="E225" s="1586"/>
      <c r="F225" s="1586"/>
      <c r="G225" s="1586"/>
      <c r="H225" s="1586"/>
      <c r="I225" s="1586"/>
      <c r="J225" s="1586"/>
      <c r="K225" s="1586"/>
      <c r="L225" s="1586"/>
      <c r="M225" s="1586"/>
      <c r="N225" s="1586"/>
      <c r="O225" s="1586"/>
      <c r="P225" s="1586"/>
      <c r="Q225" s="1586"/>
    </row>
    <row r="226" spans="3:17" ht="5" customHeight="1">
      <c r="M226" s="1580"/>
      <c r="N226" s="1580"/>
      <c r="O226" s="1580"/>
      <c r="P226" s="1580"/>
      <c r="Q226" s="1580"/>
    </row>
    <row r="227" spans="3:17">
      <c r="C227" s="1592" t="s">
        <v>1615</v>
      </c>
      <c r="E227" s="1549" t="s">
        <v>3207</v>
      </c>
      <c r="M227" s="1580"/>
      <c r="N227" s="1580"/>
      <c r="O227" s="1580"/>
      <c r="P227" s="1580"/>
      <c r="Q227" s="1580"/>
    </row>
    <row r="228" spans="3:17">
      <c r="C228" s="1591" t="s">
        <v>2583</v>
      </c>
      <c r="L228" s="1549">
        <f>Form!L306</f>
        <v>-20</v>
      </c>
      <c r="M228" s="1549">
        <f>Form!M306</f>
        <v>-20</v>
      </c>
      <c r="N228" s="1549">
        <f>Form!N306</f>
        <v>-20</v>
      </c>
      <c r="O228" s="1549">
        <f>Form!O306</f>
        <v>-20</v>
      </c>
      <c r="P228" s="1549">
        <f>Form!P306</f>
        <v>-20</v>
      </c>
      <c r="Q228" s="1549">
        <f>Form!Q306</f>
        <v>-20</v>
      </c>
    </row>
    <row r="229" spans="3:17">
      <c r="C229" s="1591" t="s">
        <v>2586</v>
      </c>
      <c r="L229" s="1549">
        <f>Form!L307</f>
        <v>0</v>
      </c>
      <c r="M229" s="1549">
        <f>Form!M307</f>
        <v>0</v>
      </c>
      <c r="N229" s="1549">
        <f>Form!N307</f>
        <v>0</v>
      </c>
      <c r="O229" s="1549">
        <f>Form!O307</f>
        <v>0</v>
      </c>
      <c r="P229" s="1549">
        <f>Form!P307</f>
        <v>0</v>
      </c>
      <c r="Q229" s="1549">
        <f>Form!Q307</f>
        <v>0</v>
      </c>
    </row>
    <row r="230" spans="3:17">
      <c r="C230" s="1591" t="s">
        <v>2588</v>
      </c>
      <c r="L230" s="1549">
        <f>Form!L308</f>
        <v>0</v>
      </c>
      <c r="M230" s="1549">
        <f>Form!M308</f>
        <v>0</v>
      </c>
      <c r="N230" s="1549">
        <f>Form!N308</f>
        <v>0</v>
      </c>
      <c r="O230" s="1549">
        <f>Form!O308</f>
        <v>0</v>
      </c>
      <c r="P230" s="1549">
        <f>Form!P308</f>
        <v>0</v>
      </c>
      <c r="Q230" s="1549">
        <f>Form!Q308</f>
        <v>0</v>
      </c>
    </row>
    <row r="231" spans="3:17">
      <c r="C231" s="1591" t="s">
        <v>2590</v>
      </c>
      <c r="L231" s="1549">
        <f>Form!L309</f>
        <v>0</v>
      </c>
      <c r="M231" s="1549">
        <f>Form!M309</f>
        <v>0</v>
      </c>
      <c r="N231" s="1549">
        <f>Form!N309</f>
        <v>0</v>
      </c>
      <c r="O231" s="1549">
        <f>Form!O309</f>
        <v>0</v>
      </c>
      <c r="P231" s="1549">
        <f>Form!P309</f>
        <v>0</v>
      </c>
      <c r="Q231" s="1549">
        <f>Form!Q309</f>
        <v>0</v>
      </c>
    </row>
    <row r="232" spans="3:17">
      <c r="C232" s="1592" t="s">
        <v>1993</v>
      </c>
      <c r="M232" s="1580"/>
      <c r="N232" s="1580"/>
      <c r="O232" s="1580"/>
      <c r="P232" s="1580"/>
      <c r="Q232" s="1580"/>
    </row>
    <row r="233" spans="3:17">
      <c r="C233" s="1591" t="s">
        <v>2592</v>
      </c>
      <c r="L233" s="1549">
        <f>Form!L312</f>
        <v>-40</v>
      </c>
      <c r="M233" s="1549">
        <f>Form!M312</f>
        <v>-40</v>
      </c>
      <c r="N233" s="1549">
        <f>Form!N312</f>
        <v>-40</v>
      </c>
      <c r="O233" s="1549">
        <f>Form!O312</f>
        <v>-40</v>
      </c>
      <c r="P233" s="1549">
        <f>Form!P312</f>
        <v>-40</v>
      </c>
      <c r="Q233" s="1549">
        <f>Form!Q312</f>
        <v>-40</v>
      </c>
    </row>
    <row r="234" spans="3:17">
      <c r="C234" s="1591" t="s">
        <v>2594</v>
      </c>
      <c r="L234" s="1549">
        <f>Form!L313</f>
        <v>0</v>
      </c>
      <c r="M234" s="1549">
        <f>Form!M313</f>
        <v>0</v>
      </c>
      <c r="N234" s="1549">
        <f>Form!N313</f>
        <v>0</v>
      </c>
      <c r="O234" s="1549">
        <f>Form!O313</f>
        <v>0</v>
      </c>
      <c r="P234" s="1549">
        <f>Form!P313</f>
        <v>0</v>
      </c>
      <c r="Q234" s="1549">
        <f>Form!Q313</f>
        <v>0</v>
      </c>
    </row>
    <row r="235" spans="3:17">
      <c r="C235" s="1591" t="s">
        <v>2596</v>
      </c>
      <c r="L235" s="1549">
        <f>Form!L314</f>
        <v>0</v>
      </c>
      <c r="M235" s="1549">
        <f>Form!M314</f>
        <v>0</v>
      </c>
      <c r="N235" s="1549">
        <f>Form!N314</f>
        <v>0</v>
      </c>
      <c r="O235" s="1549">
        <f>Form!O314</f>
        <v>0</v>
      </c>
      <c r="P235" s="1549">
        <f>Form!P314</f>
        <v>0</v>
      </c>
      <c r="Q235" s="1549">
        <f>Form!Q314</f>
        <v>0</v>
      </c>
    </row>
    <row r="236" spans="3:17">
      <c r="C236" s="1591" t="s">
        <v>2598</v>
      </c>
      <c r="L236" s="1549">
        <f>Form!L315</f>
        <v>0</v>
      </c>
      <c r="M236" s="1549">
        <f>Form!M315</f>
        <v>0</v>
      </c>
      <c r="N236" s="1549">
        <f>Form!N315</f>
        <v>0</v>
      </c>
      <c r="O236" s="1549">
        <f>Form!O315</f>
        <v>0</v>
      </c>
      <c r="P236" s="1549">
        <f>Form!P315</f>
        <v>0</v>
      </c>
      <c r="Q236" s="1549">
        <f>Form!Q315</f>
        <v>0</v>
      </c>
    </row>
    <row r="237" spans="3:17">
      <c r="C237" s="1591" t="s">
        <v>2600</v>
      </c>
      <c r="L237" s="1549">
        <f>Form!L316</f>
        <v>0</v>
      </c>
      <c r="M237" s="1549">
        <f>Form!M316</f>
        <v>0</v>
      </c>
      <c r="N237" s="1549">
        <f>Form!N316</f>
        <v>0</v>
      </c>
      <c r="O237" s="1549">
        <f>Form!O316</f>
        <v>0</v>
      </c>
      <c r="P237" s="1549">
        <f>Form!P316</f>
        <v>0</v>
      </c>
      <c r="Q237" s="1549">
        <f>Form!Q316</f>
        <v>0</v>
      </c>
    </row>
    <row r="238" spans="3:17">
      <c r="M238" s="1580"/>
      <c r="N238" s="1580"/>
      <c r="O238" s="1580"/>
      <c r="P238" s="1580"/>
      <c r="Q238" s="1580"/>
    </row>
    <row r="239" spans="3:17">
      <c r="C239" s="279" t="s">
        <v>123</v>
      </c>
      <c r="D239" s="279" t="s">
        <v>99</v>
      </c>
      <c r="E239" s="280" t="s">
        <v>6</v>
      </c>
      <c r="M239" s="1580"/>
      <c r="N239" s="1580"/>
      <c r="O239" s="1580"/>
      <c r="P239" s="1580"/>
      <c r="Q239" s="1580"/>
    </row>
    <row r="240" spans="3:17">
      <c r="C240" s="255" t="s">
        <v>124</v>
      </c>
      <c r="D240" s="255" t="s">
        <v>125</v>
      </c>
      <c r="E240" s="270" t="s">
        <v>126</v>
      </c>
    </row>
    <row r="241" spans="3:5">
      <c r="C241" s="255" t="s">
        <v>127</v>
      </c>
      <c r="D241" s="255" t="s">
        <v>128</v>
      </c>
      <c r="E241" s="271">
        <v>0.02</v>
      </c>
    </row>
    <row r="242" spans="3:5">
      <c r="C242" s="255" t="s">
        <v>2662</v>
      </c>
      <c r="D242" s="255" t="s">
        <v>129</v>
      </c>
      <c r="E242" s="1630">
        <v>0.09</v>
      </c>
    </row>
    <row r="243" spans="3:5">
      <c r="C243" s="255" t="s">
        <v>2041</v>
      </c>
      <c r="D243" s="255" t="s">
        <v>130</v>
      </c>
      <c r="E243" s="271">
        <v>0.03</v>
      </c>
    </row>
    <row r="244" spans="3:5">
      <c r="C244" s="255" t="s">
        <v>2062</v>
      </c>
      <c r="D244" s="255" t="s">
        <v>2063</v>
      </c>
      <c r="E244" s="272">
        <v>0</v>
      </c>
    </row>
    <row r="245" spans="3:5">
      <c r="C245" s="255" t="s">
        <v>2042</v>
      </c>
      <c r="D245" s="255" t="s">
        <v>131</v>
      </c>
      <c r="E245" s="272">
        <v>0</v>
      </c>
    </row>
    <row r="246" spans="3:5">
      <c r="C246" s="255" t="s">
        <v>2793</v>
      </c>
      <c r="D246" s="255" t="s">
        <v>2064</v>
      </c>
      <c r="E246" s="272">
        <v>0</v>
      </c>
    </row>
    <row r="247" spans="3:5">
      <c r="C247" s="255" t="s">
        <v>2065</v>
      </c>
      <c r="D247" s="255" t="s">
        <v>2066</v>
      </c>
      <c r="E247" s="2063"/>
    </row>
    <row r="248" spans="3:5">
      <c r="C248" s="255" t="s">
        <v>2067</v>
      </c>
      <c r="D248" s="255" t="s">
        <v>2068</v>
      </c>
      <c r="E248" s="2063"/>
    </row>
    <row r="249" spans="3:5">
      <c r="C249" s="255" t="s">
        <v>2069</v>
      </c>
      <c r="D249" s="255" t="s">
        <v>2070</v>
      </c>
      <c r="E249" s="2063"/>
    </row>
    <row r="250" spans="3:5">
      <c r="C250" s="255" t="s">
        <v>2071</v>
      </c>
      <c r="D250" s="255" t="s">
        <v>2072</v>
      </c>
      <c r="E250" s="271">
        <v>0.5</v>
      </c>
    </row>
    <row r="252" spans="3:5">
      <c r="C252" s="265" t="s">
        <v>2287</v>
      </c>
    </row>
    <row r="253" spans="3:5">
      <c r="C253" s="246" t="s">
        <v>2288</v>
      </c>
      <c r="E253" s="2042">
        <f>Form!L336</f>
        <v>45</v>
      </c>
    </row>
    <row r="254" spans="3:5">
      <c r="C254" s="246" t="s">
        <v>2289</v>
      </c>
      <c r="E254" s="2042">
        <f>Form!M339-Form!M340+Form!L342</f>
        <v>65</v>
      </c>
    </row>
    <row r="256" spans="3:5">
      <c r="C256" s="246" t="s">
        <v>2628</v>
      </c>
      <c r="E256" s="271">
        <v>0.05</v>
      </c>
    </row>
    <row r="259" spans="3:5">
      <c r="C259" s="279" t="s">
        <v>2133</v>
      </c>
      <c r="D259" s="279"/>
      <c r="E259" s="280"/>
    </row>
    <row r="260" spans="3:5">
      <c r="C260" s="246" t="s">
        <v>2134</v>
      </c>
      <c r="E260" s="273">
        <v>45241</v>
      </c>
    </row>
    <row r="261" spans="3:5">
      <c r="C261" s="246" t="s">
        <v>1391</v>
      </c>
      <c r="D261" s="274" t="s">
        <v>2137</v>
      </c>
      <c r="E261" s="275">
        <v>1</v>
      </c>
    </row>
    <row r="262" spans="3:5">
      <c r="C262" s="246" t="s">
        <v>113</v>
      </c>
      <c r="E262" s="275">
        <v>3.6749999999999998</v>
      </c>
    </row>
    <row r="263" spans="3:5">
      <c r="C263" s="246" t="s">
        <v>214</v>
      </c>
      <c r="E263" s="275">
        <v>0.79</v>
      </c>
    </row>
    <row r="264" spans="3:5">
      <c r="C264" s="246" t="s">
        <v>1859</v>
      </c>
      <c r="E264" s="275">
        <v>0.91</v>
      </c>
    </row>
    <row r="265" spans="3:5">
      <c r="C265" s="246" t="s">
        <v>1871</v>
      </c>
      <c r="E265" s="275">
        <v>3.75</v>
      </c>
    </row>
    <row r="266" spans="3:5">
      <c r="C266" s="246" t="s">
        <v>1862</v>
      </c>
      <c r="E266" s="275">
        <v>1.37</v>
      </c>
    </row>
    <row r="267" spans="3:5">
      <c r="C267" s="246" t="s">
        <v>1861</v>
      </c>
      <c r="E267" s="275">
        <v>83.34</v>
      </c>
    </row>
    <row r="269" spans="3:5">
      <c r="C269" s="279" t="s">
        <v>2966</v>
      </c>
      <c r="D269" s="279" t="s">
        <v>99</v>
      </c>
      <c r="E269" s="280" t="s">
        <v>6</v>
      </c>
    </row>
    <row r="270" spans="3:5">
      <c r="C270" s="255" t="s">
        <v>2975</v>
      </c>
      <c r="D270" s="255"/>
      <c r="E270" s="2064" t="str">
        <f>Form!L346</f>
        <v>No</v>
      </c>
    </row>
    <row r="271" spans="3:5">
      <c r="C271" s="255" t="s">
        <v>2967</v>
      </c>
      <c r="D271" s="255" t="s">
        <v>2968</v>
      </c>
      <c r="E271" s="2064" t="str">
        <f>Form!L347</f>
        <v>No</v>
      </c>
    </row>
    <row r="272" spans="3:5">
      <c r="C272" s="255" t="s">
        <v>2969</v>
      </c>
      <c r="D272" s="255" t="s">
        <v>2974</v>
      </c>
      <c r="E272" s="2064" t="str">
        <f>Form!L348</f>
        <v>No</v>
      </c>
    </row>
    <row r="273" spans="3:5">
      <c r="C273" s="255" t="s">
        <v>2970</v>
      </c>
      <c r="D273" s="255" t="s">
        <v>2973</v>
      </c>
      <c r="E273" s="2064" t="str">
        <f>Form!L349</f>
        <v>No</v>
      </c>
    </row>
    <row r="274" spans="3:5">
      <c r="C274" s="246" t="s">
        <v>2971</v>
      </c>
      <c r="D274" s="246" t="s">
        <v>2972</v>
      </c>
      <c r="E274" s="2064" t="str">
        <f>Form!L350</f>
        <v>No</v>
      </c>
    </row>
    <row r="275" spans="3:5">
      <c r="C275" s="246" t="s">
        <v>3163</v>
      </c>
      <c r="E275" s="2064" t="str">
        <f>Form!L351</f>
        <v>No</v>
      </c>
    </row>
    <row r="276" spans="3:5">
      <c r="C276" s="246" t="s">
        <v>3183</v>
      </c>
      <c r="E276" s="2065" t="str">
        <f>IF(SUM(E59:E61,E71:E73,E68)=0,"No","Yes")</f>
        <v>Yes</v>
      </c>
    </row>
    <row r="277" spans="3:5">
      <c r="C277" s="246" t="s">
        <v>3206</v>
      </c>
      <c r="E277" s="2065" t="str">
        <f>IF(E12="Yes","Yes","No")</f>
        <v>No</v>
      </c>
    </row>
  </sheetData>
  <dataValidations count="7">
    <dataValidation type="list" allowBlank="1" showInputMessage="1" showErrorMessage="1" sqref="E240" xr:uid="{00000000-0002-0000-0300-00000A000000}">
      <formula1>"Forecast,Input Assumptions"</formula1>
    </dataValidation>
    <dataValidation type="list" allowBlank="1" showInputMessage="1" showErrorMessage="1" sqref="E31" xr:uid="{00000000-0002-0000-0300-000003000000}">
      <formula1>"Yes, No"</formula1>
    </dataValidation>
    <dataValidation type="list" allowBlank="1" showInputMessage="1" showErrorMessage="1" sqref="E22:E23" xr:uid="{00000000-0002-0000-0300-000004000000}">
      <formula1>"Fair Market Value, Fair Value, Investment Value, Intrinsic Value"</formula1>
    </dataValidation>
    <dataValidation type="list" allowBlank="1" showInputMessage="1" showErrorMessage="1" sqref="D12:D14" xr:uid="{52A8C5BF-7490-42C3-8B76-0FFCDEA7E8F8}">
      <formula1>$A$7:$A$8</formula1>
    </dataValidation>
    <dataValidation type="list" allowBlank="1" showInputMessage="1" showErrorMessage="1" sqref="D11" xr:uid="{12C14871-9078-4F16-9532-00CA8922DA4B}">
      <formula1>$B$5:$B$8</formula1>
    </dataValidation>
    <dataValidation type="list" allowBlank="1" showInputMessage="1" showErrorMessage="1" sqref="D15" xr:uid="{4524D226-1E5E-4E05-AB33-FC04B6134670}">
      <formula1>$I$49:$I$54</formula1>
    </dataValidation>
    <dataValidation type="list" allowBlank="1" showInputMessage="1" showErrorMessage="1" sqref="E227" xr:uid="{562AFC3F-D653-461F-9254-F4B914B1E9D7}">
      <formula1>"Benchmark Rates, Provided Rates"</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A8E0B8"/>
    <pageSetUpPr fitToPage="1"/>
  </sheetPr>
  <dimension ref="B1:X92"/>
  <sheetViews>
    <sheetView showGridLines="0" view="pageBreakPreview" topLeftCell="A74" zoomScaleNormal="90" zoomScaleSheetLayoutView="100" workbookViewId="0">
      <selection activeCell="F11" sqref="F11"/>
    </sheetView>
  </sheetViews>
  <sheetFormatPr defaultColWidth="8" defaultRowHeight="10.5" outlineLevelRow="1" outlineLevelCol="1"/>
  <cols>
    <col min="1" max="1" width="3.53515625" style="433" customWidth="1"/>
    <col min="2" max="2" width="5.15234375" style="433" customWidth="1"/>
    <col min="3" max="3" width="27.3828125" style="433" customWidth="1"/>
    <col min="4" max="4" width="12.921875" style="433" customWidth="1"/>
    <col min="5" max="5" width="11.84375" style="433" customWidth="1"/>
    <col min="6" max="6" width="18.3828125" style="433" customWidth="1"/>
    <col min="7" max="7" width="10.84375" style="433" customWidth="1"/>
    <col min="8" max="8" width="10.84375" style="433" hidden="1" customWidth="1" outlineLevel="1"/>
    <col min="9" max="9" width="11.84375" style="433" hidden="1" customWidth="1" outlineLevel="1"/>
    <col min="10" max="10" width="11.84375" style="433" customWidth="1" collapsed="1"/>
    <col min="11" max="12" width="10.84375" style="433" customWidth="1"/>
    <col min="13" max="13" width="5" style="433" customWidth="1"/>
    <col min="14" max="14" width="2.84375" style="433" customWidth="1"/>
    <col min="15" max="15" width="8" style="433"/>
    <col min="16" max="16" width="17.3828125" style="433" customWidth="1"/>
    <col min="17" max="17" width="13.4609375" style="433" customWidth="1"/>
    <col min="18" max="18" width="11.4609375" style="433" customWidth="1"/>
    <col min="19" max="23" width="10" style="433" customWidth="1"/>
    <col min="24" max="24" width="13.84375" style="433" customWidth="1"/>
    <col min="25" max="16384" width="8" style="433"/>
  </cols>
  <sheetData>
    <row r="1" spans="2:24" s="603" customFormat="1"/>
    <row r="2" spans="2:24">
      <c r="B2" s="245" t="s">
        <v>2328</v>
      </c>
      <c r="C2" s="604"/>
      <c r="D2" s="604"/>
      <c r="E2" s="604"/>
      <c r="F2" s="604"/>
      <c r="G2" s="605"/>
      <c r="H2" s="605"/>
      <c r="I2" s="605"/>
      <c r="J2" s="605"/>
      <c r="K2" s="605"/>
      <c r="L2" s="605"/>
      <c r="M2" s="606"/>
      <c r="N2" s="607"/>
      <c r="O2" s="455"/>
      <c r="P2" s="455"/>
      <c r="Q2" s="455"/>
      <c r="R2" s="455"/>
      <c r="S2" s="455"/>
      <c r="T2" s="455"/>
      <c r="U2" s="455"/>
      <c r="V2" s="455"/>
      <c r="W2" s="455"/>
      <c r="X2" s="455"/>
    </row>
    <row r="3" spans="2:24">
      <c r="B3" s="608" t="str">
        <f>Inputs!B3</f>
        <v>Aerial Arts India XXXXXXXXXXXXXXXXX - Self Valuation using DCF Method, Transaction Multiples Method, &amp; Market Multiples Method as at September 30, 2024</v>
      </c>
      <c r="C3" s="609"/>
      <c r="D3" s="609"/>
      <c r="E3" s="609"/>
      <c r="F3" s="609"/>
      <c r="G3" s="610"/>
      <c r="H3" s="610"/>
      <c r="I3" s="610"/>
      <c r="J3" s="610"/>
      <c r="K3" s="610"/>
      <c r="L3" s="610"/>
      <c r="M3" s="611"/>
      <c r="N3" s="612"/>
      <c r="O3" s="455"/>
      <c r="P3" s="455"/>
      <c r="Q3" s="455"/>
      <c r="R3" s="455"/>
      <c r="S3" s="455"/>
      <c r="T3" s="455"/>
      <c r="U3" s="455"/>
      <c r="V3" s="455"/>
      <c r="W3" s="455"/>
      <c r="X3" s="455"/>
    </row>
    <row r="4" spans="2:24">
      <c r="B4" s="613" t="s">
        <v>2036</v>
      </c>
      <c r="C4" s="614"/>
      <c r="D4" s="614"/>
      <c r="E4" s="614"/>
      <c r="F4" s="614"/>
      <c r="G4" s="615"/>
      <c r="H4" s="615"/>
      <c r="I4" s="615"/>
      <c r="J4" s="615"/>
      <c r="K4" s="615"/>
      <c r="L4" s="615"/>
      <c r="M4" s="741" t="str">
        <f>valuation.date.header</f>
        <v>Valuation Date:  September 30, 2024</v>
      </c>
      <c r="N4" s="612"/>
      <c r="O4" s="616"/>
      <c r="P4" s="616"/>
      <c r="Q4" s="455"/>
      <c r="R4" s="616"/>
      <c r="S4" s="616"/>
      <c r="T4" s="616"/>
      <c r="U4" s="455"/>
      <c r="V4" s="455"/>
      <c r="W4" s="455"/>
      <c r="X4" s="455"/>
    </row>
    <row r="5" spans="2:24">
      <c r="B5" s="617"/>
      <c r="C5" s="617"/>
      <c r="D5" s="617"/>
      <c r="E5" s="617"/>
      <c r="F5" s="617"/>
      <c r="G5" s="617"/>
      <c r="H5" s="617"/>
      <c r="I5" s="617"/>
      <c r="J5" s="617"/>
      <c r="K5" s="617"/>
      <c r="L5" s="617"/>
      <c r="M5" s="618"/>
      <c r="O5" s="619"/>
      <c r="P5" s="616"/>
      <c r="Q5" s="455"/>
      <c r="R5" s="619"/>
      <c r="S5" s="616"/>
      <c r="T5" s="619"/>
      <c r="U5" s="455"/>
      <c r="V5" s="455"/>
      <c r="W5" s="455"/>
      <c r="X5" s="455"/>
    </row>
    <row r="6" spans="2:24">
      <c r="B6" s="617"/>
      <c r="C6" s="620" t="s">
        <v>2320</v>
      </c>
      <c r="D6" s="621" t="s">
        <v>1831</v>
      </c>
      <c r="E6" s="617"/>
      <c r="F6" s="617"/>
      <c r="G6" s="617"/>
      <c r="H6" s="617"/>
      <c r="I6" s="617"/>
      <c r="J6" s="617"/>
      <c r="K6" s="617"/>
      <c r="L6" s="617"/>
      <c r="M6" s="618"/>
      <c r="O6" s="619"/>
      <c r="P6" s="616"/>
      <c r="Q6" s="455"/>
      <c r="R6" s="619"/>
      <c r="S6" s="616"/>
      <c r="T6" s="619"/>
      <c r="U6" s="455"/>
      <c r="V6" s="455"/>
      <c r="W6" s="455"/>
      <c r="X6" s="455"/>
    </row>
    <row r="7" spans="2:24">
      <c r="B7" s="617"/>
      <c r="C7" s="617"/>
      <c r="D7" s="617"/>
      <c r="E7" s="617"/>
      <c r="F7" s="617"/>
      <c r="G7" s="617"/>
      <c r="H7" s="617"/>
      <c r="I7" s="617"/>
      <c r="J7" s="617"/>
      <c r="K7" s="617"/>
      <c r="L7" s="617"/>
      <c r="M7" s="618"/>
      <c r="O7" s="619"/>
      <c r="P7" s="616"/>
      <c r="Q7" s="455"/>
      <c r="R7" s="619"/>
      <c r="S7" s="616"/>
      <c r="T7" s="619"/>
      <c r="U7" s="455"/>
      <c r="V7" s="455"/>
      <c r="W7" s="455"/>
      <c r="X7" s="455"/>
    </row>
    <row r="8" spans="2:24">
      <c r="C8" s="622" t="s">
        <v>1387</v>
      </c>
      <c r="D8" s="623" t="s">
        <v>215</v>
      </c>
      <c r="E8" s="624" t="s">
        <v>216</v>
      </c>
      <c r="F8" s="625" t="s">
        <v>2033</v>
      </c>
      <c r="G8" s="626" t="s">
        <v>2323</v>
      </c>
      <c r="H8" s="627"/>
      <c r="I8" s="627"/>
      <c r="J8" s="627"/>
      <c r="K8" s="627"/>
      <c r="L8" s="627"/>
      <c r="O8" s="455"/>
      <c r="P8" s="455"/>
      <c r="Q8" s="455"/>
      <c r="R8" s="455"/>
      <c r="S8" s="455"/>
      <c r="T8" s="455"/>
      <c r="U8" s="455"/>
      <c r="V8" s="455"/>
      <c r="W8" s="455"/>
      <c r="X8" s="455"/>
    </row>
    <row r="9" spans="2:24">
      <c r="C9" s="628" t="s">
        <v>2020</v>
      </c>
      <c r="D9" s="629"/>
      <c r="E9" s="630"/>
      <c r="O9" s="455"/>
      <c r="P9" s="455"/>
      <c r="Q9" s="455"/>
      <c r="R9" s="455"/>
      <c r="S9" s="455"/>
      <c r="T9" s="455"/>
      <c r="U9" s="455"/>
      <c r="V9" s="455"/>
      <c r="W9" s="455"/>
      <c r="X9" s="455"/>
    </row>
    <row r="10" spans="2:24">
      <c r="C10" s="631" t="s">
        <v>2020</v>
      </c>
      <c r="D10" s="632">
        <v>7.0000000000000007E-2</v>
      </c>
      <c r="E10" s="633">
        <v>0.08</v>
      </c>
      <c r="F10" s="433" t="s">
        <v>2326</v>
      </c>
      <c r="O10" s="455"/>
      <c r="P10" s="455"/>
      <c r="Q10" s="455"/>
      <c r="R10" s="455"/>
      <c r="S10" s="455"/>
      <c r="T10" s="455"/>
      <c r="U10" s="455"/>
      <c r="V10" s="455"/>
      <c r="W10" s="455"/>
      <c r="X10" s="455"/>
    </row>
    <row r="11" spans="2:24" ht="11.5">
      <c r="C11" s="635" t="s">
        <v>2021</v>
      </c>
      <c r="D11" s="636" t="e">
        <f>D10*(1-#REF!)</f>
        <v>#REF!</v>
      </c>
      <c r="E11" s="2046" t="str">
        <f>IF(D15=K57,"Yes",IF(D15=K59,"Yes","No"))</f>
        <v>No</v>
      </c>
      <c r="F11" s="433" t="s">
        <v>1393</v>
      </c>
      <c r="O11" s="455"/>
      <c r="P11" s="455"/>
      <c r="Q11" s="455"/>
      <c r="R11" s="455"/>
      <c r="S11" s="455"/>
      <c r="T11" s="455"/>
      <c r="U11" s="455"/>
      <c r="V11" s="455"/>
      <c r="W11" s="455"/>
      <c r="X11" s="455"/>
    </row>
    <row r="12" spans="2:24" ht="11.5">
      <c r="C12" s="638" t="s">
        <v>2022</v>
      </c>
      <c r="D12" s="639">
        <f>G75</f>
        <v>0</v>
      </c>
      <c r="E12" s="2046" t="str">
        <f>IF(D15=K52,"Yes",IF(D15=K53,"Yes","No"))</f>
        <v>No</v>
      </c>
    </row>
    <row r="13" spans="2:24" ht="11.5">
      <c r="C13" s="628" t="s">
        <v>2023</v>
      </c>
      <c r="D13" s="641"/>
      <c r="E13" s="2046" t="str">
        <f>IF(D15=K54,"Yes",IF(D15=K55,"Yes","No"))</f>
        <v>No</v>
      </c>
    </row>
    <row r="14" spans="2:24" ht="11.5">
      <c r="C14" s="631" t="s">
        <v>2024</v>
      </c>
      <c r="D14" s="642">
        <v>4.4900000000000002E-2</v>
      </c>
      <c r="E14" s="2047" t="s">
        <v>106</v>
      </c>
      <c r="F14" s="433" t="s">
        <v>2324</v>
      </c>
      <c r="G14" s="644" t="s">
        <v>2327</v>
      </c>
    </row>
    <row r="15" spans="2:24" ht="11.5">
      <c r="C15" s="631" t="s">
        <v>2025</v>
      </c>
      <c r="D15" s="642">
        <v>0.02</v>
      </c>
      <c r="E15" s="2047" t="s">
        <v>106</v>
      </c>
      <c r="F15" s="433" t="s">
        <v>2325</v>
      </c>
      <c r="G15" s="644" t="s">
        <v>2321</v>
      </c>
    </row>
    <row r="16" spans="2:24">
      <c r="C16" s="631" t="s">
        <v>2026</v>
      </c>
      <c r="D16" s="642">
        <f>D15</f>
        <v>0.02</v>
      </c>
      <c r="E16" s="643" t="str">
        <f>E15</f>
        <v>Yes</v>
      </c>
      <c r="F16" s="433" t="s">
        <v>2325</v>
      </c>
      <c r="G16" s="644" t="s">
        <v>2322</v>
      </c>
    </row>
    <row r="17" spans="2:23">
      <c r="C17" s="635" t="s">
        <v>2027</v>
      </c>
      <c r="D17" s="645">
        <f>D14-D15+D16</f>
        <v>4.4900000000000002E-2</v>
      </c>
      <c r="E17" s="637" t="e">
        <f>E14-E15+E16</f>
        <v>#VALUE!</v>
      </c>
    </row>
    <row r="18" spans="2:23">
      <c r="C18" s="631" t="s">
        <v>2028</v>
      </c>
      <c r="D18" s="646" t="e">
        <f ca="1">_xlfn.XLOOKUP(D6,DamodaranCRP!A5:A195,DamodaranCRP!C5:C195)</f>
        <v>#NAME?</v>
      </c>
      <c r="E18" s="643" t="e">
        <f ca="1">D18</f>
        <v>#NAME?</v>
      </c>
      <c r="F18" s="433" t="s">
        <v>2034</v>
      </c>
    </row>
    <row r="19" spans="2:23">
      <c r="C19" s="631" t="s">
        <v>2029</v>
      </c>
      <c r="D19" s="647" t="str">
        <f ca="1">$G$77</f>
        <v>na</v>
      </c>
      <c r="E19" s="648" t="str">
        <f ca="1">D19</f>
        <v>na</v>
      </c>
      <c r="F19" s="433" t="s">
        <v>2330</v>
      </c>
    </row>
    <row r="20" spans="2:23">
      <c r="C20" s="631" t="s">
        <v>2030</v>
      </c>
      <c r="D20" s="649" t="e">
        <f ca="1">_xlfn.XLOOKUP(D6,DamodaranCRP!A5:A195,DamodaranCRP!D5:D195)</f>
        <v>#NAME?</v>
      </c>
      <c r="E20" s="634" t="e">
        <f ca="1">D20</f>
        <v>#NAME?</v>
      </c>
      <c r="F20" s="433" t="s">
        <v>1389</v>
      </c>
    </row>
    <row r="21" spans="2:23">
      <c r="C21" s="631" t="s">
        <v>2031</v>
      </c>
      <c r="D21" s="650">
        <f>SizePremia!$BV$21</f>
        <v>4.7E-2</v>
      </c>
      <c r="E21" s="643">
        <f>D21</f>
        <v>4.7E-2</v>
      </c>
      <c r="F21" s="433" t="s">
        <v>2302</v>
      </c>
    </row>
    <row r="22" spans="2:23">
      <c r="C22" s="651" t="s">
        <v>2035</v>
      </c>
      <c r="D22" s="652">
        <v>0.03</v>
      </c>
      <c r="E22" s="653">
        <v>0.04</v>
      </c>
      <c r="F22" s="433" t="s">
        <v>1388</v>
      </c>
    </row>
    <row r="23" spans="2:23">
      <c r="C23" s="635" t="s">
        <v>2023</v>
      </c>
      <c r="D23" s="636" t="e">
        <f ca="1">D17+(D18*D19)+D20+D21+D22</f>
        <v>#NAME?</v>
      </c>
      <c r="E23" s="637" t="e">
        <f ca="1">E17+(E18*E19)+E20+E21+E22</f>
        <v>#VALUE!</v>
      </c>
      <c r="F23" s="433" t="s">
        <v>1390</v>
      </c>
    </row>
    <row r="24" spans="2:23">
      <c r="C24" s="638" t="s">
        <v>2032</v>
      </c>
      <c r="D24" s="654">
        <f>1-D12</f>
        <v>1</v>
      </c>
      <c r="E24" s="640" t="e">
        <f>1-E12</f>
        <v>#VALUE!</v>
      </c>
    </row>
    <row r="25" spans="2:23">
      <c r="C25" s="655" t="s">
        <v>1387</v>
      </c>
      <c r="D25" s="656" t="e">
        <f ca="1">(D11*D12)+(D23*D24)</f>
        <v>#REF!</v>
      </c>
      <c r="E25" s="657" t="e">
        <f ca="1">(E11*E12)+(E23*E24)</f>
        <v>#VALUE!</v>
      </c>
    </row>
    <row r="27" spans="2:23" s="436" customFormat="1" ht="15.65" customHeight="1">
      <c r="C27" s="658" t="s">
        <v>1369</v>
      </c>
      <c r="D27" s="659"/>
      <c r="E27" s="659"/>
      <c r="F27" s="659"/>
      <c r="G27" s="659"/>
      <c r="H27" s="659"/>
      <c r="I27" s="659"/>
      <c r="J27" s="659"/>
      <c r="K27" s="659"/>
      <c r="L27" s="659"/>
      <c r="O27" s="1779"/>
      <c r="P27" s="1779"/>
      <c r="Q27" s="660"/>
      <c r="R27" s="660"/>
      <c r="S27" s="661"/>
      <c r="T27" s="661"/>
      <c r="U27" s="661"/>
      <c r="V27" s="661"/>
      <c r="W27" s="662"/>
    </row>
    <row r="28" spans="2:23" s="436" customFormat="1" ht="59" customHeight="1" thickBot="1">
      <c r="C28" s="663" t="s">
        <v>1370</v>
      </c>
      <c r="D28" s="664"/>
      <c r="E28" s="664"/>
      <c r="F28" s="664" t="s">
        <v>1372</v>
      </c>
      <c r="G28" s="664" t="s">
        <v>1373</v>
      </c>
      <c r="H28" s="664" t="s">
        <v>1374</v>
      </c>
      <c r="I28" s="664" t="s">
        <v>1375</v>
      </c>
      <c r="J28" s="664" t="s">
        <v>1376</v>
      </c>
      <c r="K28" s="664" t="str">
        <f>$O$5&amp;IF(T5="No",""," Adjusted")&amp;" Equity Beta (Levered)"</f>
        <v xml:space="preserve"> Adjusted Equity Beta (Levered)</v>
      </c>
      <c r="L28" s="664" t="str">
        <f>$O$5&amp;IF(T5="No",""," Adjusted")&amp;" Asset Beta (Unlevered)"</f>
        <v xml:space="preserve"> Adjusted Asset Beta (Unlevered)</v>
      </c>
      <c r="N28" s="665"/>
      <c r="O28" s="665"/>
      <c r="P28" s="665" t="s">
        <v>2301</v>
      </c>
      <c r="Q28" s="666"/>
      <c r="R28" s="667"/>
      <c r="S28" s="668"/>
      <c r="T28" s="668"/>
      <c r="U28" s="668"/>
      <c r="V28" s="668"/>
      <c r="W28" s="668"/>
    </row>
    <row r="29" spans="2:23" ht="12" customHeight="1" thickBot="1">
      <c r="B29" s="669">
        <v>1</v>
      </c>
      <c r="C29" s="670" t="str">
        <f>'GPC Data'!E22</f>
        <v>Comp 1</v>
      </c>
      <c r="D29" s="671"/>
      <c r="E29" s="672"/>
      <c r="F29" s="673">
        <f>'GPC Data'!X124</f>
        <v>0</v>
      </c>
      <c r="G29" s="673">
        <f>IF($R$5="Spot",'D|E'!R5,IF($R$5="5 Year",'D|E'!S5,'D|E'!T5))</f>
        <v>0</v>
      </c>
      <c r="H29" s="674" t="e">
        <f>IF(C29="","",INDEX(#REF!,B29))</f>
        <v>#REF!</v>
      </c>
      <c r="I29" s="674" t="e">
        <f>IF(C29="","",INDEX(#REF!,B29))</f>
        <v>#REF!</v>
      </c>
      <c r="J29" s="673">
        <f>'GPC Data'!R22</f>
        <v>0</v>
      </c>
      <c r="K29" s="675">
        <f>'GPC Data'!N22</f>
        <v>0</v>
      </c>
      <c r="L29" s="676">
        <f t="shared" ref="L29:L37" si="0">IF(C29="","",K29/(1+F29*(1-J29)))</f>
        <v>0</v>
      </c>
      <c r="N29" s="455"/>
      <c r="O29" s="455"/>
      <c r="P29" s="677" t="s">
        <v>1368</v>
      </c>
      <c r="Q29" s="678"/>
      <c r="R29" s="679"/>
      <c r="S29" s="680"/>
      <c r="T29" s="680"/>
      <c r="U29" s="681"/>
      <c r="V29" s="681"/>
      <c r="W29" s="678"/>
    </row>
    <row r="30" spans="2:23" ht="12" customHeight="1" thickBot="1">
      <c r="B30" s="669">
        <v>2</v>
      </c>
      <c r="C30" s="682" t="str">
        <f>'GPC Data'!E23</f>
        <v>Comp 2</v>
      </c>
      <c r="D30" s="683"/>
      <c r="E30" s="684"/>
      <c r="F30" s="685">
        <f>'GPC Data'!X125</f>
        <v>0</v>
      </c>
      <c r="G30" s="685">
        <f>IF($R$5="Spot",'D|E'!R6,IF($R$5="5 Year",'D|E'!S6,'D|E'!T6))</f>
        <v>0</v>
      </c>
      <c r="H30" s="686" t="e">
        <f>IF(C30="","",INDEX(#REF!,B30))</f>
        <v>#REF!</v>
      </c>
      <c r="I30" s="686" t="e">
        <f>IF(C30="","",INDEX(#REF!,B30))</f>
        <v>#REF!</v>
      </c>
      <c r="J30" s="685">
        <f>'GPC Data'!R23</f>
        <v>0</v>
      </c>
      <c r="K30" s="687">
        <f>'GPC Data'!N23</f>
        <v>0</v>
      </c>
      <c r="L30" s="688">
        <f t="shared" si="0"/>
        <v>0</v>
      </c>
      <c r="N30" s="455"/>
      <c r="O30" s="455"/>
      <c r="P30" s="677" t="s">
        <v>1368</v>
      </c>
      <c r="Q30" s="678"/>
      <c r="R30" s="679"/>
      <c r="S30" s="680"/>
      <c r="T30" s="680"/>
      <c r="U30" s="681"/>
      <c r="V30" s="681"/>
      <c r="W30" s="678"/>
    </row>
    <row r="31" spans="2:23" ht="12" customHeight="1" thickBot="1">
      <c r="B31" s="669">
        <v>3</v>
      </c>
      <c r="C31" s="682" t="str">
        <f>'GPC Data'!E24</f>
        <v>Comp 3</v>
      </c>
      <c r="D31" s="683"/>
      <c r="E31" s="684"/>
      <c r="F31" s="685">
        <f>'GPC Data'!X126</f>
        <v>0</v>
      </c>
      <c r="G31" s="685">
        <f>IF($R$5="Spot",'D|E'!R7,IF($R$5="5 Year",'D|E'!S7,'D|E'!T7))</f>
        <v>0</v>
      </c>
      <c r="H31" s="686" t="e">
        <f>IF(C31="","",INDEX(#REF!,B31))</f>
        <v>#REF!</v>
      </c>
      <c r="I31" s="686" t="e">
        <f>IF(C31="","",INDEX(#REF!,B31))</f>
        <v>#REF!</v>
      </c>
      <c r="J31" s="685">
        <f>'GPC Data'!R24</f>
        <v>0</v>
      </c>
      <c r="K31" s="687">
        <f>'GPC Data'!N24</f>
        <v>0</v>
      </c>
      <c r="L31" s="688">
        <f t="shared" si="0"/>
        <v>0</v>
      </c>
      <c r="N31" s="455"/>
      <c r="O31" s="455"/>
      <c r="P31" s="677" t="s">
        <v>1368</v>
      </c>
      <c r="Q31" s="678"/>
      <c r="R31" s="679"/>
      <c r="S31" s="680"/>
      <c r="T31" s="680"/>
      <c r="U31" s="681"/>
      <c r="V31" s="681"/>
      <c r="W31" s="678"/>
    </row>
    <row r="32" spans="2:23" ht="12" customHeight="1" thickBot="1">
      <c r="B32" s="669">
        <v>4</v>
      </c>
      <c r="C32" s="682" t="str">
        <f>'GPC Data'!E25</f>
        <v>Comp 4</v>
      </c>
      <c r="D32" s="683"/>
      <c r="E32" s="684"/>
      <c r="F32" s="685">
        <f>'GPC Data'!X127</f>
        <v>0</v>
      </c>
      <c r="G32" s="685">
        <f>IF($R$5="Spot",'D|E'!R8,IF($R$5="5 Year",'D|E'!S8,'D|E'!T8))</f>
        <v>0</v>
      </c>
      <c r="H32" s="686" t="e">
        <f>IF(C32="","",INDEX(#REF!,B32))</f>
        <v>#REF!</v>
      </c>
      <c r="I32" s="686" t="e">
        <f>IF(C32="","",INDEX(#REF!,B32))</f>
        <v>#REF!</v>
      </c>
      <c r="J32" s="685">
        <f>'GPC Data'!R25</f>
        <v>0</v>
      </c>
      <c r="K32" s="687">
        <f>'GPC Data'!N25</f>
        <v>0</v>
      </c>
      <c r="L32" s="688">
        <f t="shared" si="0"/>
        <v>0</v>
      </c>
      <c r="N32" s="455"/>
      <c r="O32" s="455"/>
      <c r="P32" s="677" t="s">
        <v>1368</v>
      </c>
      <c r="Q32" s="678"/>
      <c r="R32" s="679"/>
      <c r="S32" s="680"/>
      <c r="T32" s="680"/>
      <c r="U32" s="681"/>
      <c r="V32" s="681"/>
      <c r="W32" s="678"/>
    </row>
    <row r="33" spans="2:23" ht="12" customHeight="1" thickBot="1">
      <c r="B33" s="669">
        <v>5</v>
      </c>
      <c r="C33" s="682" t="str">
        <f>'GPC Data'!E26</f>
        <v>Comp 5</v>
      </c>
      <c r="D33" s="683"/>
      <c r="E33" s="684"/>
      <c r="F33" s="685">
        <f>'GPC Data'!X128</f>
        <v>0</v>
      </c>
      <c r="G33" s="685">
        <f>IF($R$5="Spot",'D|E'!R9,IF($R$5="5 Year",'D|E'!S9,'D|E'!T9))</f>
        <v>0</v>
      </c>
      <c r="H33" s="686" t="e">
        <f>IF(C33="","",INDEX(#REF!,B33))</f>
        <v>#REF!</v>
      </c>
      <c r="I33" s="686" t="e">
        <f>IF(C33="","",INDEX(#REF!,B33))</f>
        <v>#REF!</v>
      </c>
      <c r="J33" s="685">
        <f>'GPC Data'!R26</f>
        <v>0</v>
      </c>
      <c r="K33" s="687">
        <f>'GPC Data'!N26</f>
        <v>0</v>
      </c>
      <c r="L33" s="688">
        <f t="shared" si="0"/>
        <v>0</v>
      </c>
      <c r="N33" s="455"/>
      <c r="O33" s="455"/>
      <c r="P33" s="677" t="s">
        <v>1368</v>
      </c>
      <c r="Q33" s="678"/>
      <c r="R33" s="679"/>
      <c r="S33" s="680"/>
      <c r="T33" s="680"/>
      <c r="U33" s="681"/>
      <c r="V33" s="681"/>
      <c r="W33" s="678"/>
    </row>
    <row r="34" spans="2:23" ht="12" customHeight="1" thickBot="1">
      <c r="B34" s="669">
        <v>6</v>
      </c>
      <c r="C34" s="682" t="str">
        <f>'GPC Data'!E27</f>
        <v>Comp 6</v>
      </c>
      <c r="D34" s="683"/>
      <c r="E34" s="684"/>
      <c r="F34" s="685">
        <f>'GPC Data'!X129</f>
        <v>0</v>
      </c>
      <c r="G34" s="685">
        <f>IF($R$5="Spot",'D|E'!R10,IF($R$5="5 Year",'D|E'!S10,'D|E'!T10))</f>
        <v>0</v>
      </c>
      <c r="H34" s="686" t="e">
        <f>IF(C34="","",INDEX(#REF!,B34))</f>
        <v>#REF!</v>
      </c>
      <c r="I34" s="686" t="e">
        <f>IF(C34="","",INDEX(#REF!,B34))</f>
        <v>#REF!</v>
      </c>
      <c r="J34" s="685">
        <f>'GPC Data'!R27</f>
        <v>0</v>
      </c>
      <c r="K34" s="687">
        <f>'GPC Data'!N27</f>
        <v>0</v>
      </c>
      <c r="L34" s="688">
        <f t="shared" si="0"/>
        <v>0</v>
      </c>
      <c r="N34" s="455"/>
      <c r="O34" s="455"/>
      <c r="P34" s="677" t="s">
        <v>1368</v>
      </c>
      <c r="Q34" s="678"/>
      <c r="R34" s="679"/>
      <c r="S34" s="680"/>
      <c r="T34" s="680"/>
      <c r="U34" s="681"/>
      <c r="V34" s="681"/>
      <c r="W34" s="678"/>
    </row>
    <row r="35" spans="2:23" ht="12" customHeight="1" thickBot="1">
      <c r="B35" s="669">
        <v>7</v>
      </c>
      <c r="C35" s="682" t="str">
        <f>'GPC Data'!E28</f>
        <v>Comp 7</v>
      </c>
      <c r="D35" s="683"/>
      <c r="E35" s="684"/>
      <c r="F35" s="685">
        <f>'GPC Data'!X130</f>
        <v>0</v>
      </c>
      <c r="G35" s="685">
        <f>IF($R$5="Spot",'D|E'!R11,IF($R$5="5 Year",'D|E'!S11,'D|E'!T11))</f>
        <v>0</v>
      </c>
      <c r="H35" s="686" t="e">
        <f>IF(C35="","",INDEX(#REF!,B35))</f>
        <v>#REF!</v>
      </c>
      <c r="I35" s="686" t="e">
        <f>IF(C35="","",INDEX(#REF!,B35))</f>
        <v>#REF!</v>
      </c>
      <c r="J35" s="685">
        <f>'GPC Data'!R28</f>
        <v>0</v>
      </c>
      <c r="K35" s="687">
        <f>'GPC Data'!N28</f>
        <v>0</v>
      </c>
      <c r="L35" s="688">
        <f t="shared" si="0"/>
        <v>0</v>
      </c>
      <c r="N35" s="455"/>
      <c r="O35" s="455"/>
      <c r="P35" s="677" t="s">
        <v>1368</v>
      </c>
      <c r="Q35" s="678"/>
      <c r="R35" s="679"/>
      <c r="S35" s="680"/>
      <c r="T35" s="680"/>
      <c r="U35" s="681"/>
      <c r="V35" s="681"/>
      <c r="W35" s="678"/>
    </row>
    <row r="36" spans="2:23" ht="12" customHeight="1" thickBot="1">
      <c r="B36" s="669">
        <v>8</v>
      </c>
      <c r="C36" s="682" t="str">
        <f>'GPC Data'!E29</f>
        <v>Comp 8</v>
      </c>
      <c r="D36" s="683"/>
      <c r="E36" s="684"/>
      <c r="F36" s="685">
        <f>'GPC Data'!X131</f>
        <v>0</v>
      </c>
      <c r="G36" s="685">
        <f>IF($R$5="Spot",'D|E'!R12,IF($R$5="5 Year",'D|E'!S12,'D|E'!T12))</f>
        <v>0</v>
      </c>
      <c r="H36" s="686" t="e">
        <f>IF(C36="","",INDEX(#REF!,B36))</f>
        <v>#REF!</v>
      </c>
      <c r="I36" s="686" t="e">
        <f>IF(C36="","",INDEX(#REF!,B36))</f>
        <v>#REF!</v>
      </c>
      <c r="J36" s="685">
        <f>'GPC Data'!R29</f>
        <v>0</v>
      </c>
      <c r="K36" s="687">
        <f>'GPC Data'!N29</f>
        <v>0</v>
      </c>
      <c r="L36" s="688">
        <f t="shared" si="0"/>
        <v>0</v>
      </c>
      <c r="N36" s="455"/>
      <c r="O36" s="455"/>
      <c r="P36" s="677" t="s">
        <v>1368</v>
      </c>
      <c r="Q36" s="678"/>
      <c r="R36" s="679"/>
      <c r="S36" s="680"/>
      <c r="T36" s="680"/>
      <c r="U36" s="681"/>
      <c r="V36" s="681"/>
      <c r="W36" s="678"/>
    </row>
    <row r="37" spans="2:23" ht="12" customHeight="1" thickBot="1">
      <c r="B37" s="669">
        <v>9</v>
      </c>
      <c r="C37" s="682" t="str">
        <f>'GPC Data'!E30</f>
        <v>Comp 9</v>
      </c>
      <c r="D37" s="683"/>
      <c r="E37" s="684"/>
      <c r="F37" s="685">
        <f>'GPC Data'!X132</f>
        <v>0</v>
      </c>
      <c r="G37" s="685">
        <f>IF($R$5="Spot",'D|E'!R13,IF($R$5="5 Year",'D|E'!S13,'D|E'!T13))</f>
        <v>0</v>
      </c>
      <c r="H37" s="686" t="e">
        <f>IF(C37="","",INDEX(#REF!,B37))</f>
        <v>#REF!</v>
      </c>
      <c r="I37" s="686" t="e">
        <f>IF(C37="","",INDEX(#REF!,B37))</f>
        <v>#REF!</v>
      </c>
      <c r="J37" s="685">
        <f>'GPC Data'!R30</f>
        <v>0</v>
      </c>
      <c r="K37" s="687">
        <f>'GPC Data'!N30</f>
        <v>0</v>
      </c>
      <c r="L37" s="688">
        <f t="shared" si="0"/>
        <v>0</v>
      </c>
      <c r="N37" s="455"/>
      <c r="O37" s="455"/>
      <c r="P37" s="677" t="s">
        <v>1368</v>
      </c>
      <c r="Q37" s="678"/>
      <c r="R37" s="679"/>
      <c r="S37" s="680"/>
      <c r="T37" s="680"/>
      <c r="U37" s="681"/>
      <c r="V37" s="681"/>
      <c r="W37" s="678"/>
    </row>
    <row r="38" spans="2:23" ht="12" customHeight="1" thickBot="1">
      <c r="B38" s="669"/>
      <c r="C38" s="682" t="str">
        <f>'GPC Data'!E31</f>
        <v>Comp 10</v>
      </c>
      <c r="D38" s="683"/>
      <c r="E38" s="684"/>
      <c r="F38" s="685">
        <f>'GPC Data'!X133</f>
        <v>0</v>
      </c>
      <c r="G38" s="685">
        <f>IF($R$5="Spot",'D|E'!R14,IF($R$5="5 Year",'D|E'!S14,'D|E'!T14))</f>
        <v>0</v>
      </c>
      <c r="H38" s="686" t="e">
        <f>IF(C38="","",INDEX(#REF!,B38))</f>
        <v>#REF!</v>
      </c>
      <c r="I38" s="686" t="e">
        <f>IF(C38="","",INDEX(#REF!,B38))</f>
        <v>#REF!</v>
      </c>
      <c r="J38" s="685">
        <f>'GPC Data'!R31</f>
        <v>0</v>
      </c>
      <c r="K38" s="687">
        <f>'GPC Data'!N31</f>
        <v>0</v>
      </c>
      <c r="L38" s="688">
        <f t="shared" ref="L38:L51" si="1">IF(C38="","",K38/(1+F38*(1-J38)))</f>
        <v>0</v>
      </c>
      <c r="N38" s="455"/>
      <c r="O38" s="455"/>
      <c r="P38" s="677" t="s">
        <v>1368</v>
      </c>
      <c r="Q38" s="678"/>
      <c r="R38" s="679"/>
      <c r="S38" s="680"/>
      <c r="T38" s="680"/>
      <c r="U38" s="681"/>
      <c r="V38" s="681"/>
      <c r="W38" s="678"/>
    </row>
    <row r="39" spans="2:23" ht="12" hidden="1" customHeight="1" outlineLevel="1" thickBot="1">
      <c r="B39" s="669"/>
      <c r="C39" s="682" t="str">
        <f>'GPC Data'!E32</f>
        <v>Comp 11</v>
      </c>
      <c r="D39" s="683" t="e">
        <f ca="1">_xlfn.SINGLE(INDEX('D|E'!#REF!,B39))</f>
        <v>#NAME?</v>
      </c>
      <c r="E39" s="684" t="e">
        <f ca="1">_xlfn.SINGLE(INDEX('D|E'!#REF!,B39))</f>
        <v>#NAME?</v>
      </c>
      <c r="F39" s="685">
        <f>'GPC Data'!X134</f>
        <v>0</v>
      </c>
      <c r="G39" s="685">
        <f>IF($R$5="Spot",'D|E'!R15,IF($R$5="5 Year",'D|E'!S15,'D|E'!T15))</f>
        <v>0</v>
      </c>
      <c r="H39" s="686" t="e">
        <f>IF(C39="","",INDEX(#REF!,B39))</f>
        <v>#REF!</v>
      </c>
      <c r="I39" s="686" t="e">
        <f>IF(C39="","",INDEX(#REF!,B39))</f>
        <v>#REF!</v>
      </c>
      <c r="J39" s="685">
        <f>'GPC Data'!R32</f>
        <v>0</v>
      </c>
      <c r="K39" s="687">
        <f>'GPC Data'!N32</f>
        <v>0</v>
      </c>
      <c r="L39" s="688">
        <f t="shared" si="1"/>
        <v>0</v>
      </c>
      <c r="N39" s="455"/>
      <c r="O39" s="455"/>
      <c r="P39" s="677" t="s">
        <v>106</v>
      </c>
      <c r="Q39" s="678"/>
      <c r="R39" s="679"/>
      <c r="S39" s="680"/>
      <c r="T39" s="680"/>
      <c r="U39" s="681"/>
      <c r="V39" s="681"/>
      <c r="W39" s="678"/>
    </row>
    <row r="40" spans="2:23" ht="12" hidden="1" customHeight="1" outlineLevel="1" thickBot="1">
      <c r="B40" s="669"/>
      <c r="C40" s="682" t="str">
        <f>'GPC Data'!E33</f>
        <v>Comp 12</v>
      </c>
      <c r="D40" s="683" t="e">
        <f ca="1">_xlfn.SINGLE(INDEX('D|E'!#REF!,B40))</f>
        <v>#NAME?</v>
      </c>
      <c r="E40" s="684" t="e">
        <f ca="1">_xlfn.SINGLE(INDEX('D|E'!#REF!,B40))</f>
        <v>#NAME?</v>
      </c>
      <c r="F40" s="685">
        <f>'GPC Data'!X135</f>
        <v>0</v>
      </c>
      <c r="G40" s="685">
        <f>IF($R$5="Spot",'D|E'!R16,IF($R$5="5 Year",'D|E'!S16,'D|E'!T16))</f>
        <v>0</v>
      </c>
      <c r="H40" s="686" t="e">
        <f>IF(C40="","",INDEX(#REF!,B40))</f>
        <v>#REF!</v>
      </c>
      <c r="I40" s="686" t="e">
        <f>IF(C40="","",INDEX(#REF!,B40))</f>
        <v>#REF!</v>
      </c>
      <c r="J40" s="685">
        <f>'GPC Data'!R33</f>
        <v>0</v>
      </c>
      <c r="K40" s="687">
        <f>'GPC Data'!N33</f>
        <v>0</v>
      </c>
      <c r="L40" s="688">
        <f t="shared" si="1"/>
        <v>0</v>
      </c>
      <c r="N40" s="455"/>
      <c r="O40" s="455"/>
      <c r="P40" s="677" t="s">
        <v>106</v>
      </c>
      <c r="Q40" s="678"/>
      <c r="R40" s="679"/>
      <c r="S40" s="680"/>
      <c r="T40" s="680"/>
      <c r="U40" s="681"/>
      <c r="V40" s="681"/>
      <c r="W40" s="678"/>
    </row>
    <row r="41" spans="2:23" ht="12" hidden="1" customHeight="1" outlineLevel="1" thickBot="1">
      <c r="B41" s="669"/>
      <c r="C41" s="682" t="str">
        <f>'GPC Data'!E34</f>
        <v>Comp 13</v>
      </c>
      <c r="D41" s="683" t="e">
        <f ca="1">_xlfn.SINGLE(INDEX('D|E'!#REF!,B41))</f>
        <v>#NAME?</v>
      </c>
      <c r="E41" s="684" t="e">
        <f ca="1">_xlfn.SINGLE(INDEX('D|E'!#REF!,B41))</f>
        <v>#NAME?</v>
      </c>
      <c r="F41" s="685">
        <f>'GPC Data'!X136</f>
        <v>0</v>
      </c>
      <c r="G41" s="685">
        <f>IF($R$5="Spot",'D|E'!R17,IF($R$5="5 Year",'D|E'!S17,'D|E'!T17))</f>
        <v>0</v>
      </c>
      <c r="H41" s="686" t="e">
        <f>IF(C41="","",INDEX(#REF!,B41))</f>
        <v>#REF!</v>
      </c>
      <c r="I41" s="686" t="e">
        <f>IF(C41="","",INDEX(#REF!,B41))</f>
        <v>#REF!</v>
      </c>
      <c r="J41" s="685">
        <f>'GPC Data'!R34</f>
        <v>0</v>
      </c>
      <c r="K41" s="687">
        <f>'GPC Data'!N34</f>
        <v>0</v>
      </c>
      <c r="L41" s="688">
        <f t="shared" si="1"/>
        <v>0</v>
      </c>
      <c r="N41" s="455"/>
      <c r="O41" s="455"/>
      <c r="P41" s="677" t="s">
        <v>106</v>
      </c>
      <c r="Q41" s="678"/>
      <c r="R41" s="679"/>
      <c r="S41" s="680"/>
      <c r="T41" s="680"/>
      <c r="U41" s="681"/>
      <c r="V41" s="681"/>
      <c r="W41" s="678"/>
    </row>
    <row r="42" spans="2:23" ht="12" hidden="1" customHeight="1" outlineLevel="1" thickBot="1">
      <c r="B42" s="669"/>
      <c r="C42" s="682" t="str">
        <f>'GPC Data'!E35</f>
        <v>Comp 14</v>
      </c>
      <c r="D42" s="683" t="e">
        <f ca="1">_xlfn.SINGLE(INDEX('D|E'!#REF!,B42))</f>
        <v>#NAME?</v>
      </c>
      <c r="E42" s="684" t="e">
        <f ca="1">_xlfn.SINGLE(INDEX('D|E'!#REF!,B42))</f>
        <v>#NAME?</v>
      </c>
      <c r="F42" s="685">
        <f>'GPC Data'!X137</f>
        <v>0</v>
      </c>
      <c r="G42" s="685">
        <f>IF($R$5="Spot",'D|E'!R18,IF($R$5="5 Year",'D|E'!S18,'D|E'!T18))</f>
        <v>0</v>
      </c>
      <c r="H42" s="686" t="e">
        <f>IF(C42="","",INDEX(#REF!,B42))</f>
        <v>#REF!</v>
      </c>
      <c r="I42" s="686" t="e">
        <f>IF(C42="","",INDEX(#REF!,B42))</f>
        <v>#REF!</v>
      </c>
      <c r="J42" s="685">
        <f>'GPC Data'!R35</f>
        <v>0</v>
      </c>
      <c r="K42" s="687">
        <f>'GPC Data'!N35</f>
        <v>0</v>
      </c>
      <c r="L42" s="688">
        <f t="shared" si="1"/>
        <v>0</v>
      </c>
      <c r="N42" s="455"/>
      <c r="O42" s="455"/>
      <c r="P42" s="677" t="s">
        <v>106</v>
      </c>
      <c r="Q42" s="678"/>
      <c r="R42" s="679"/>
      <c r="S42" s="680"/>
      <c r="T42" s="680"/>
      <c r="U42" s="681"/>
      <c r="V42" s="681"/>
      <c r="W42" s="678"/>
    </row>
    <row r="43" spans="2:23" ht="12" hidden="1" customHeight="1" outlineLevel="1" thickBot="1">
      <c r="B43" s="669"/>
      <c r="C43" s="682" t="str">
        <f>'GPC Data'!E36</f>
        <v>Comp 15</v>
      </c>
      <c r="D43" s="683" t="e">
        <f ca="1">_xlfn.SINGLE(INDEX('D|E'!#REF!,B43))</f>
        <v>#NAME?</v>
      </c>
      <c r="E43" s="684" t="e">
        <f ca="1">_xlfn.SINGLE(INDEX('D|E'!#REF!,B43))</f>
        <v>#NAME?</v>
      </c>
      <c r="F43" s="685">
        <f>'GPC Data'!X138</f>
        <v>0</v>
      </c>
      <c r="G43" s="685">
        <f>IF($R$5="Spot",'D|E'!R19,IF($R$5="5 Year",'D|E'!S19,'D|E'!T19))</f>
        <v>0</v>
      </c>
      <c r="H43" s="686" t="e">
        <f>IF(C43="","",INDEX(#REF!,B43))</f>
        <v>#REF!</v>
      </c>
      <c r="I43" s="686" t="e">
        <f>IF(C43="","",INDEX(#REF!,B43))</f>
        <v>#REF!</v>
      </c>
      <c r="J43" s="685">
        <f>'GPC Data'!R36</f>
        <v>0</v>
      </c>
      <c r="K43" s="687">
        <f>'GPC Data'!N36</f>
        <v>0</v>
      </c>
      <c r="L43" s="688">
        <f t="shared" si="1"/>
        <v>0</v>
      </c>
      <c r="N43" s="455"/>
      <c r="O43" s="455"/>
      <c r="P43" s="677" t="s">
        <v>106</v>
      </c>
      <c r="Q43" s="678"/>
      <c r="R43" s="679"/>
      <c r="S43" s="680"/>
      <c r="T43" s="680"/>
      <c r="U43" s="681"/>
      <c r="V43" s="681"/>
      <c r="W43" s="678"/>
    </row>
    <row r="44" spans="2:23" ht="12" hidden="1" customHeight="1" outlineLevel="1" thickBot="1">
      <c r="B44" s="669"/>
      <c r="C44" s="682" t="str">
        <f>'GPC Data'!E37</f>
        <v>Comp 16</v>
      </c>
      <c r="D44" s="683" t="e">
        <f ca="1">_xlfn.SINGLE(INDEX('D|E'!#REF!,B44))</f>
        <v>#NAME?</v>
      </c>
      <c r="E44" s="684" t="e">
        <f ca="1">_xlfn.SINGLE(INDEX('D|E'!#REF!,B44))</f>
        <v>#NAME?</v>
      </c>
      <c r="F44" s="685">
        <f>'GPC Data'!X139</f>
        <v>0</v>
      </c>
      <c r="G44" s="685">
        <f>IF($R$5="Spot",'D|E'!R20,IF($R$5="5 Year",'D|E'!S20,'D|E'!T20))</f>
        <v>0</v>
      </c>
      <c r="H44" s="686" t="e">
        <f>IF(C44="","",INDEX(#REF!,B44))</f>
        <v>#REF!</v>
      </c>
      <c r="I44" s="686" t="e">
        <f>IF(C44="","",INDEX(#REF!,B44))</f>
        <v>#REF!</v>
      </c>
      <c r="J44" s="685">
        <f>'GPC Data'!R37</f>
        <v>0</v>
      </c>
      <c r="K44" s="687">
        <f>'GPC Data'!N37</f>
        <v>0</v>
      </c>
      <c r="L44" s="688">
        <f t="shared" si="1"/>
        <v>0</v>
      </c>
      <c r="N44" s="455"/>
      <c r="O44" s="455"/>
      <c r="P44" s="677" t="s">
        <v>106</v>
      </c>
      <c r="Q44" s="678"/>
      <c r="R44" s="679"/>
      <c r="S44" s="680"/>
      <c r="T44" s="680"/>
      <c r="U44" s="681"/>
      <c r="V44" s="681"/>
      <c r="W44" s="678"/>
    </row>
    <row r="45" spans="2:23" ht="12" hidden="1" customHeight="1" outlineLevel="1" thickBot="1">
      <c r="B45" s="669"/>
      <c r="C45" s="682" t="str">
        <f>'GPC Data'!E38</f>
        <v>Comp 17</v>
      </c>
      <c r="D45" s="683" t="e">
        <f ca="1">_xlfn.SINGLE(INDEX('D|E'!#REF!,B45))</f>
        <v>#NAME?</v>
      </c>
      <c r="E45" s="684" t="e">
        <f ca="1">_xlfn.SINGLE(INDEX('D|E'!#REF!,B45))</f>
        <v>#NAME?</v>
      </c>
      <c r="F45" s="685">
        <f>'GPC Data'!X140</f>
        <v>0</v>
      </c>
      <c r="G45" s="685">
        <f>IF($R$5="Spot",'D|E'!R21,IF($R$5="5 Year",'D|E'!S21,'D|E'!T21))</f>
        <v>0</v>
      </c>
      <c r="H45" s="686" t="e">
        <f>IF(C45="","",INDEX(#REF!,B45))</f>
        <v>#REF!</v>
      </c>
      <c r="I45" s="686" t="e">
        <f>IF(C45="","",INDEX(#REF!,B45))</f>
        <v>#REF!</v>
      </c>
      <c r="J45" s="685">
        <f>'GPC Data'!R38</f>
        <v>0</v>
      </c>
      <c r="K45" s="687">
        <f>'GPC Data'!N38</f>
        <v>0</v>
      </c>
      <c r="L45" s="688">
        <f t="shared" si="1"/>
        <v>0</v>
      </c>
      <c r="N45" s="455"/>
      <c r="O45" s="455"/>
      <c r="P45" s="677" t="s">
        <v>106</v>
      </c>
      <c r="Q45" s="678"/>
      <c r="R45" s="679"/>
      <c r="S45" s="680"/>
      <c r="T45" s="680"/>
      <c r="U45" s="681"/>
      <c r="V45" s="681"/>
      <c r="W45" s="678"/>
    </row>
    <row r="46" spans="2:23" ht="12" hidden="1" customHeight="1" outlineLevel="1" thickBot="1">
      <c r="B46" s="669"/>
      <c r="C46" s="682" t="str">
        <f>'GPC Data'!E39</f>
        <v>Comp 18</v>
      </c>
      <c r="D46" s="683" t="e">
        <f ca="1">_xlfn.SINGLE(INDEX('D|E'!#REF!,B46))</f>
        <v>#NAME?</v>
      </c>
      <c r="E46" s="684" t="e">
        <f ca="1">_xlfn.SINGLE(INDEX('D|E'!#REF!,B46))</f>
        <v>#NAME?</v>
      </c>
      <c r="F46" s="685">
        <f>'GPC Data'!X141</f>
        <v>0</v>
      </c>
      <c r="G46" s="685">
        <f>IF($R$5="Spot",'D|E'!R22,IF($R$5="5 Year",'D|E'!S22,'D|E'!T22))</f>
        <v>0</v>
      </c>
      <c r="H46" s="686" t="e">
        <f>IF(C46="","",INDEX(#REF!,B46))</f>
        <v>#REF!</v>
      </c>
      <c r="I46" s="686" t="e">
        <f>IF(C46="","",INDEX(#REF!,B46))</f>
        <v>#REF!</v>
      </c>
      <c r="J46" s="685">
        <f>'GPC Data'!R39</f>
        <v>0</v>
      </c>
      <c r="K46" s="687">
        <f>'GPC Data'!N39</f>
        <v>0</v>
      </c>
      <c r="L46" s="688">
        <f t="shared" si="1"/>
        <v>0</v>
      </c>
      <c r="N46" s="455"/>
      <c r="O46" s="455"/>
      <c r="P46" s="677" t="s">
        <v>106</v>
      </c>
      <c r="Q46" s="678"/>
      <c r="R46" s="679"/>
      <c r="S46" s="680"/>
      <c r="T46" s="680"/>
      <c r="U46" s="681"/>
      <c r="V46" s="681"/>
      <c r="W46" s="678"/>
    </row>
    <row r="47" spans="2:23" ht="12" hidden="1" customHeight="1" outlineLevel="1" thickBot="1">
      <c r="B47" s="669"/>
      <c r="C47" s="682" t="str">
        <f>'GPC Data'!E40</f>
        <v>Comp 19</v>
      </c>
      <c r="D47" s="683" t="e">
        <f ca="1">_xlfn.SINGLE(INDEX('D|E'!#REF!,B47))</f>
        <v>#NAME?</v>
      </c>
      <c r="E47" s="684" t="e">
        <f ca="1">_xlfn.SINGLE(INDEX('D|E'!#REF!,B47))</f>
        <v>#NAME?</v>
      </c>
      <c r="F47" s="685">
        <f>'GPC Data'!X142</f>
        <v>0</v>
      </c>
      <c r="G47" s="685">
        <f>IF($R$5="Spot",'D|E'!R23,IF($R$5="5 Year",'D|E'!S23,'D|E'!T23))</f>
        <v>0</v>
      </c>
      <c r="H47" s="686" t="e">
        <f>IF(C47="","",INDEX(#REF!,B47))</f>
        <v>#REF!</v>
      </c>
      <c r="I47" s="686" t="e">
        <f>IF(C47="","",INDEX(#REF!,B47))</f>
        <v>#REF!</v>
      </c>
      <c r="J47" s="685">
        <f>'GPC Data'!R40</f>
        <v>0</v>
      </c>
      <c r="K47" s="687">
        <f>'GPC Data'!N40</f>
        <v>0</v>
      </c>
      <c r="L47" s="688">
        <f t="shared" si="1"/>
        <v>0</v>
      </c>
      <c r="N47" s="455"/>
      <c r="O47" s="455"/>
      <c r="P47" s="677" t="s">
        <v>106</v>
      </c>
      <c r="Q47" s="678"/>
      <c r="R47" s="679"/>
      <c r="S47" s="680"/>
      <c r="T47" s="680"/>
      <c r="U47" s="681"/>
      <c r="V47" s="681"/>
      <c r="W47" s="678"/>
    </row>
    <row r="48" spans="2:23" ht="12" hidden="1" customHeight="1" outlineLevel="1" thickBot="1">
      <c r="B48" s="669"/>
      <c r="C48" s="682" t="str">
        <f>'GPC Data'!E41</f>
        <v>Comp 20</v>
      </c>
      <c r="D48" s="683" t="e">
        <f ca="1">_xlfn.SINGLE(INDEX('D|E'!#REF!,B48))</f>
        <v>#NAME?</v>
      </c>
      <c r="E48" s="684" t="e">
        <f ca="1">_xlfn.SINGLE(INDEX('D|E'!#REF!,B48))</f>
        <v>#NAME?</v>
      </c>
      <c r="F48" s="685">
        <f>'GPC Data'!X143</f>
        <v>0</v>
      </c>
      <c r="G48" s="685">
        <f>IF($R$5="Spot",'D|E'!R24,IF($R$5="5 Year",'D|E'!S24,'D|E'!T24))</f>
        <v>0</v>
      </c>
      <c r="H48" s="686" t="e">
        <f>IF(C48="","",INDEX(#REF!,B48))</f>
        <v>#REF!</v>
      </c>
      <c r="I48" s="686" t="e">
        <f>IF(C48="","",INDEX(#REF!,B48))</f>
        <v>#REF!</v>
      </c>
      <c r="J48" s="685">
        <f>'GPC Data'!R41</f>
        <v>0</v>
      </c>
      <c r="K48" s="687">
        <f>'GPC Data'!N41</f>
        <v>0</v>
      </c>
      <c r="L48" s="688">
        <f t="shared" si="1"/>
        <v>0</v>
      </c>
      <c r="N48" s="455"/>
      <c r="O48" s="455"/>
      <c r="P48" s="677" t="s">
        <v>106</v>
      </c>
      <c r="Q48" s="678"/>
      <c r="R48" s="679"/>
      <c r="S48" s="680"/>
      <c r="T48" s="680"/>
      <c r="U48" s="681"/>
      <c r="V48" s="681"/>
      <c r="W48" s="678"/>
    </row>
    <row r="49" spans="2:23" ht="12" hidden="1" customHeight="1" outlineLevel="1" thickBot="1">
      <c r="B49" s="669"/>
      <c r="C49" s="682" t="str">
        <f>'GPC Data'!E42</f>
        <v>Comp 21</v>
      </c>
      <c r="D49" s="683" t="e">
        <f ca="1">_xlfn.SINGLE(INDEX('D|E'!#REF!,B49))</f>
        <v>#NAME?</v>
      </c>
      <c r="E49" s="684" t="e">
        <f ca="1">_xlfn.SINGLE(INDEX('D|E'!#REF!,B49))</f>
        <v>#NAME?</v>
      </c>
      <c r="F49" s="685">
        <f>'GPC Data'!X144</f>
        <v>0</v>
      </c>
      <c r="G49" s="685">
        <f>IF($R$5="Spot",'D|E'!R25,IF($R$5="5 Year",'D|E'!S25,'D|E'!T25))</f>
        <v>0</v>
      </c>
      <c r="H49" s="686" t="e">
        <f>IF(C49="","",INDEX(#REF!,B49))</f>
        <v>#REF!</v>
      </c>
      <c r="I49" s="686" t="e">
        <f>IF(C49="","",INDEX(#REF!,B49))</f>
        <v>#REF!</v>
      </c>
      <c r="J49" s="685">
        <f>'GPC Data'!R42</f>
        <v>0</v>
      </c>
      <c r="K49" s="687">
        <f>'GPC Data'!N42</f>
        <v>0</v>
      </c>
      <c r="L49" s="688">
        <f t="shared" si="1"/>
        <v>0</v>
      </c>
      <c r="N49" s="455"/>
      <c r="O49" s="455"/>
      <c r="P49" s="677" t="s">
        <v>106</v>
      </c>
      <c r="Q49" s="678"/>
      <c r="R49" s="679"/>
      <c r="S49" s="680"/>
      <c r="T49" s="680"/>
      <c r="U49" s="681"/>
      <c r="V49" s="681"/>
      <c r="W49" s="678"/>
    </row>
    <row r="50" spans="2:23" ht="12" hidden="1" customHeight="1" outlineLevel="1" thickBot="1">
      <c r="B50" s="669"/>
      <c r="C50" s="682" t="str">
        <f>'GPC Data'!E43</f>
        <v>Comp 22</v>
      </c>
      <c r="D50" s="683" t="e">
        <f ca="1">_xlfn.SINGLE(INDEX('D|E'!#REF!,B50))</f>
        <v>#NAME?</v>
      </c>
      <c r="E50" s="684" t="e">
        <f ca="1">_xlfn.SINGLE(INDEX('D|E'!#REF!,B50))</f>
        <v>#NAME?</v>
      </c>
      <c r="F50" s="685">
        <f>'GPC Data'!X145</f>
        <v>0</v>
      </c>
      <c r="G50" s="685">
        <f>IF($R$5="Spot",'D|E'!R26,IF($R$5="5 Year",'D|E'!S26,'D|E'!T26))</f>
        <v>0</v>
      </c>
      <c r="H50" s="686" t="e">
        <f>IF(C50="","",INDEX(#REF!,B50))</f>
        <v>#REF!</v>
      </c>
      <c r="I50" s="686" t="e">
        <f>IF(C50="","",INDEX(#REF!,B50))</f>
        <v>#REF!</v>
      </c>
      <c r="J50" s="685">
        <f>'GPC Data'!R43</f>
        <v>0</v>
      </c>
      <c r="K50" s="687">
        <f>'GPC Data'!N43</f>
        <v>0</v>
      </c>
      <c r="L50" s="688">
        <f t="shared" si="1"/>
        <v>0</v>
      </c>
      <c r="N50" s="455"/>
      <c r="O50" s="455"/>
      <c r="P50" s="677" t="s">
        <v>106</v>
      </c>
      <c r="Q50" s="678"/>
      <c r="R50" s="679"/>
      <c r="S50" s="680"/>
      <c r="T50" s="680"/>
      <c r="U50" s="681"/>
      <c r="V50" s="681"/>
      <c r="W50" s="678"/>
    </row>
    <row r="51" spans="2:23" ht="12" hidden="1" customHeight="1" outlineLevel="1" thickBot="1">
      <c r="B51" s="669"/>
      <c r="C51" s="682" t="str">
        <f>'GPC Data'!E44</f>
        <v>Comp 23</v>
      </c>
      <c r="D51" s="683" t="e">
        <f ca="1">_xlfn.SINGLE(INDEX('D|E'!#REF!,B51))</f>
        <v>#NAME?</v>
      </c>
      <c r="E51" s="684" t="e">
        <f ca="1">_xlfn.SINGLE(INDEX('D|E'!#REF!,B51))</f>
        <v>#NAME?</v>
      </c>
      <c r="F51" s="685">
        <f>'GPC Data'!X146</f>
        <v>0</v>
      </c>
      <c r="G51" s="685">
        <f>IF($R$5="Spot",'D|E'!R27,IF($R$5="5 Year",'D|E'!S27,'D|E'!T27))</f>
        <v>0</v>
      </c>
      <c r="H51" s="686" t="e">
        <f>IF(C51="","",INDEX(#REF!,B51))</f>
        <v>#REF!</v>
      </c>
      <c r="I51" s="686" t="e">
        <f>IF(C51="","",INDEX(#REF!,B51))</f>
        <v>#REF!</v>
      </c>
      <c r="J51" s="685">
        <f>'GPC Data'!R44</f>
        <v>0</v>
      </c>
      <c r="K51" s="687">
        <f>'GPC Data'!N44</f>
        <v>0</v>
      </c>
      <c r="L51" s="688">
        <f t="shared" si="1"/>
        <v>0</v>
      </c>
      <c r="N51" s="455"/>
      <c r="O51" s="455"/>
      <c r="P51" s="677" t="s">
        <v>106</v>
      </c>
      <c r="Q51" s="678"/>
      <c r="R51" s="679"/>
      <c r="S51" s="680"/>
      <c r="T51" s="680"/>
      <c r="U51" s="681"/>
      <c r="V51" s="681"/>
      <c r="W51" s="678"/>
    </row>
    <row r="52" spans="2:23" ht="12" hidden="1" customHeight="1" outlineLevel="1" thickBot="1">
      <c r="B52" s="669"/>
      <c r="C52" s="682" t="str">
        <f>'GPC Data'!E45</f>
        <v>Comp 24</v>
      </c>
      <c r="D52" s="683" t="e">
        <f ca="1">_xlfn.SINGLE(INDEX('D|E'!#REF!,B52))</f>
        <v>#NAME?</v>
      </c>
      <c r="E52" s="684" t="e">
        <f ca="1">_xlfn.SINGLE(INDEX('D|E'!#REF!,B52))</f>
        <v>#NAME?</v>
      </c>
      <c r="F52" s="685">
        <f>'GPC Data'!X147</f>
        <v>0</v>
      </c>
      <c r="G52" s="685">
        <f>IF($R$5="Spot",'D|E'!R28,IF($R$5="5 Year",'D|E'!S28,'D|E'!T28))</f>
        <v>0</v>
      </c>
      <c r="H52" s="686" t="e">
        <f>IF(C52="","",INDEX(#REF!,B52))</f>
        <v>#REF!</v>
      </c>
      <c r="I52" s="686" t="e">
        <f>IF(C52="","",INDEX(#REF!,B52))</f>
        <v>#REF!</v>
      </c>
      <c r="J52" s="685">
        <f>'GPC Data'!R45</f>
        <v>0</v>
      </c>
      <c r="K52" s="687">
        <f>'GPC Data'!N45</f>
        <v>0</v>
      </c>
      <c r="L52" s="688">
        <f t="shared" ref="L52:L57" si="2">IF(C52="","",K52/(1+F52*(1-J52)))</f>
        <v>0</v>
      </c>
      <c r="N52" s="455"/>
      <c r="O52" s="455"/>
      <c r="P52" s="677" t="s">
        <v>106</v>
      </c>
      <c r="Q52" s="678"/>
      <c r="R52" s="679"/>
      <c r="S52" s="680"/>
      <c r="T52" s="680"/>
      <c r="U52" s="681"/>
      <c r="V52" s="681"/>
      <c r="W52" s="678"/>
    </row>
    <row r="53" spans="2:23" ht="12" hidden="1" customHeight="1" outlineLevel="1" thickBot="1">
      <c r="B53" s="669"/>
      <c r="C53" s="682" t="str">
        <f>'GPC Data'!E46</f>
        <v>Comp 25</v>
      </c>
      <c r="D53" s="683" t="e">
        <f ca="1">_xlfn.SINGLE(INDEX('D|E'!#REF!,B53))</f>
        <v>#NAME?</v>
      </c>
      <c r="E53" s="684" t="e">
        <f ca="1">_xlfn.SINGLE(INDEX('D|E'!#REF!,B53))</f>
        <v>#NAME?</v>
      </c>
      <c r="F53" s="685">
        <f>'GPC Data'!X148</f>
        <v>0</v>
      </c>
      <c r="G53" s="685">
        <f>IF($R$5="Spot",'D|E'!R29,IF($R$5="5 Year",'D|E'!S29,'D|E'!T29))</f>
        <v>0</v>
      </c>
      <c r="H53" s="686" t="e">
        <f>IF(C53="","",INDEX(#REF!,B53))</f>
        <v>#REF!</v>
      </c>
      <c r="I53" s="686" t="e">
        <f>IF(C53="","",INDEX(#REF!,B53))</f>
        <v>#REF!</v>
      </c>
      <c r="J53" s="685">
        <f>'GPC Data'!R46</f>
        <v>0</v>
      </c>
      <c r="K53" s="687">
        <f>'GPC Data'!N46</f>
        <v>0</v>
      </c>
      <c r="L53" s="688">
        <f t="shared" si="2"/>
        <v>0</v>
      </c>
      <c r="N53" s="455"/>
      <c r="O53" s="455"/>
      <c r="P53" s="677" t="s">
        <v>106</v>
      </c>
      <c r="Q53" s="678"/>
      <c r="R53" s="679"/>
      <c r="S53" s="680"/>
      <c r="T53" s="680"/>
      <c r="U53" s="681"/>
      <c r="V53" s="681"/>
      <c r="W53" s="678"/>
    </row>
    <row r="54" spans="2:23" ht="12" hidden="1" customHeight="1" outlineLevel="1" thickBot="1">
      <c r="B54" s="669"/>
      <c r="C54" s="682" t="str">
        <f>'GPC Data'!E47</f>
        <v>Comp 26</v>
      </c>
      <c r="D54" s="683" t="e">
        <f ca="1">_xlfn.SINGLE(INDEX('D|E'!#REF!,B54))</f>
        <v>#NAME?</v>
      </c>
      <c r="E54" s="684" t="e">
        <f ca="1">_xlfn.SINGLE(INDEX('D|E'!#REF!,B54))</f>
        <v>#NAME?</v>
      </c>
      <c r="F54" s="685">
        <f>'GPC Data'!X149</f>
        <v>0</v>
      </c>
      <c r="G54" s="685">
        <f>IF($R$5="Spot",'D|E'!R30,IF($R$5="5 Year",'D|E'!S30,'D|E'!T30))</f>
        <v>0</v>
      </c>
      <c r="H54" s="686" t="e">
        <f>IF(C54="","",INDEX(#REF!,B54))</f>
        <v>#REF!</v>
      </c>
      <c r="I54" s="686" t="e">
        <f>IF(C54="","",INDEX(#REF!,B54))</f>
        <v>#REF!</v>
      </c>
      <c r="J54" s="685">
        <f>'GPC Data'!R47</f>
        <v>0</v>
      </c>
      <c r="K54" s="687">
        <f>'GPC Data'!N47</f>
        <v>0</v>
      </c>
      <c r="L54" s="688">
        <f t="shared" si="2"/>
        <v>0</v>
      </c>
      <c r="N54" s="455"/>
      <c r="O54" s="455"/>
      <c r="P54" s="677" t="s">
        <v>106</v>
      </c>
      <c r="Q54" s="678"/>
      <c r="R54" s="679"/>
      <c r="S54" s="680"/>
      <c r="T54" s="680"/>
      <c r="U54" s="681"/>
      <c r="V54" s="681"/>
      <c r="W54" s="678"/>
    </row>
    <row r="55" spans="2:23" ht="12" hidden="1" customHeight="1" outlineLevel="1" thickBot="1">
      <c r="B55" s="669"/>
      <c r="C55" s="682" t="str">
        <f>'GPC Data'!E48</f>
        <v>Comp 27</v>
      </c>
      <c r="D55" s="683" t="e">
        <f ca="1">_xlfn.SINGLE(INDEX('D|E'!#REF!,B55))</f>
        <v>#NAME?</v>
      </c>
      <c r="E55" s="684" t="e">
        <f ca="1">_xlfn.SINGLE(INDEX('D|E'!#REF!,B55))</f>
        <v>#NAME?</v>
      </c>
      <c r="F55" s="685">
        <f>'GPC Data'!X150</f>
        <v>0</v>
      </c>
      <c r="G55" s="685">
        <f>IF($R$5="Spot",'D|E'!R31,IF($R$5="5 Year",'D|E'!S31,'D|E'!T31))</f>
        <v>0</v>
      </c>
      <c r="H55" s="686" t="e">
        <f>IF(C55="","",INDEX(#REF!,B55))</f>
        <v>#REF!</v>
      </c>
      <c r="I55" s="686" t="e">
        <f>IF(C55="","",INDEX(#REF!,B55))</f>
        <v>#REF!</v>
      </c>
      <c r="J55" s="685">
        <f>'GPC Data'!R48</f>
        <v>0</v>
      </c>
      <c r="K55" s="687">
        <f>'GPC Data'!N48</f>
        <v>0</v>
      </c>
      <c r="L55" s="688">
        <f t="shared" si="2"/>
        <v>0</v>
      </c>
      <c r="N55" s="455"/>
      <c r="O55" s="455"/>
      <c r="P55" s="677" t="s">
        <v>106</v>
      </c>
      <c r="Q55" s="678"/>
      <c r="R55" s="679"/>
      <c r="S55" s="680"/>
      <c r="T55" s="680"/>
      <c r="U55" s="681"/>
      <c r="V55" s="681"/>
      <c r="W55" s="678"/>
    </row>
    <row r="56" spans="2:23" ht="12" hidden="1" customHeight="1" outlineLevel="1" thickBot="1">
      <c r="B56" s="669"/>
      <c r="C56" s="682" t="str">
        <f>'GPC Data'!E49</f>
        <v>Comp 28</v>
      </c>
      <c r="D56" s="683" t="e">
        <f ca="1">_xlfn.SINGLE(INDEX('D|E'!#REF!,B56))</f>
        <v>#NAME?</v>
      </c>
      <c r="E56" s="684" t="e">
        <f ca="1">_xlfn.SINGLE(INDEX('D|E'!#REF!,B56))</f>
        <v>#NAME?</v>
      </c>
      <c r="F56" s="685">
        <f>'GPC Data'!X151</f>
        <v>0</v>
      </c>
      <c r="G56" s="685">
        <f>IF($R$5="Spot",'D|E'!R32,IF($R$5="5 Year",'D|E'!S32,'D|E'!T32))</f>
        <v>0</v>
      </c>
      <c r="H56" s="686" t="e">
        <f>IF(C56="","",INDEX(#REF!,B56))</f>
        <v>#REF!</v>
      </c>
      <c r="I56" s="686" t="e">
        <f>IF(C56="","",INDEX(#REF!,B56))</f>
        <v>#REF!</v>
      </c>
      <c r="J56" s="685">
        <f>'GPC Data'!R49</f>
        <v>0</v>
      </c>
      <c r="K56" s="687">
        <f>'GPC Data'!N49</f>
        <v>0</v>
      </c>
      <c r="L56" s="688">
        <f t="shared" si="2"/>
        <v>0</v>
      </c>
      <c r="N56" s="455"/>
      <c r="O56" s="455"/>
      <c r="P56" s="677" t="s">
        <v>106</v>
      </c>
      <c r="Q56" s="678"/>
      <c r="R56" s="679"/>
      <c r="S56" s="680"/>
      <c r="T56" s="680"/>
      <c r="U56" s="681"/>
      <c r="V56" s="681"/>
      <c r="W56" s="678"/>
    </row>
    <row r="57" spans="2:23" ht="12" hidden="1" customHeight="1" outlineLevel="1" thickBot="1">
      <c r="B57" s="669"/>
      <c r="C57" s="682" t="str">
        <f>'GPC Data'!E50</f>
        <v>Comp 29</v>
      </c>
      <c r="D57" s="683" t="e">
        <f ca="1">_xlfn.SINGLE(INDEX('D|E'!#REF!,B57))</f>
        <v>#NAME?</v>
      </c>
      <c r="E57" s="684" t="e">
        <f ca="1">_xlfn.SINGLE(INDEX('D|E'!#REF!,B57))</f>
        <v>#NAME?</v>
      </c>
      <c r="F57" s="685">
        <f>'GPC Data'!X152</f>
        <v>0</v>
      </c>
      <c r="G57" s="685">
        <f>IF($R$5="Spot",'D|E'!R33,IF($R$5="5 Year",'D|E'!S33,'D|E'!T33))</f>
        <v>0</v>
      </c>
      <c r="H57" s="686" t="e">
        <f>IF(C57="","",INDEX(#REF!,B57))</f>
        <v>#REF!</v>
      </c>
      <c r="I57" s="686" t="e">
        <f>IF(C57="","",INDEX(#REF!,B57))</f>
        <v>#REF!</v>
      </c>
      <c r="J57" s="685">
        <f>'GPC Data'!R50</f>
        <v>0</v>
      </c>
      <c r="K57" s="687">
        <f>'GPC Data'!N50</f>
        <v>0</v>
      </c>
      <c r="L57" s="688">
        <f t="shared" si="2"/>
        <v>0</v>
      </c>
      <c r="N57" s="455"/>
      <c r="O57" s="455"/>
      <c r="P57" s="677" t="s">
        <v>106</v>
      </c>
      <c r="Q57" s="678"/>
      <c r="R57" s="679"/>
      <c r="S57" s="680"/>
      <c r="T57" s="680"/>
      <c r="U57" s="681"/>
      <c r="V57" s="681"/>
      <c r="W57" s="678"/>
    </row>
    <row r="58" spans="2:23" ht="12" hidden="1" customHeight="1" outlineLevel="1" thickBot="1">
      <c r="B58" s="669">
        <v>10</v>
      </c>
      <c r="C58" s="682" t="str">
        <f>'GPC Data'!E51</f>
        <v>Comp 30</v>
      </c>
      <c r="D58" s="683" t="e">
        <f ca="1">_xlfn.SINGLE(INDEX('D|E'!#REF!,B58))</f>
        <v>#NAME?</v>
      </c>
      <c r="E58" s="684" t="e">
        <f ca="1">_xlfn.SINGLE(INDEX('D|E'!#REF!,B58))</f>
        <v>#NAME?</v>
      </c>
      <c r="F58" s="685">
        <f>'GPC Data'!X153</f>
        <v>0</v>
      </c>
      <c r="G58" s="685">
        <f>IF($R$5="Spot",'D|E'!R14,IF($R$5="5 Year",'D|E'!S14,'D|E'!T14))</f>
        <v>0</v>
      </c>
      <c r="H58" s="686" t="e">
        <f>IF(C58="","",INDEX(#REF!,B58))</f>
        <v>#REF!</v>
      </c>
      <c r="I58" s="686" t="e">
        <f>IF(C58="","",INDEX(#REF!,B58))</f>
        <v>#REF!</v>
      </c>
      <c r="J58" s="685">
        <f>'GPC Data'!R51</f>
        <v>0</v>
      </c>
      <c r="K58" s="687">
        <f>'GPC Data'!N51</f>
        <v>0</v>
      </c>
      <c r="L58" s="688">
        <f>IF(C58="","",K58/(1+F58*(1-J58)))</f>
        <v>0</v>
      </c>
      <c r="N58" s="455"/>
      <c r="O58" s="455"/>
      <c r="P58" s="677" t="s">
        <v>106</v>
      </c>
      <c r="Q58" s="678"/>
      <c r="R58" s="679"/>
      <c r="S58" s="680"/>
      <c r="T58" s="680"/>
      <c r="U58" s="681"/>
      <c r="V58" s="681"/>
      <c r="W58" s="678"/>
    </row>
    <row r="59" spans="2:23" s="436" customFormat="1" collapsed="1">
      <c r="C59" s="689" t="str">
        <f>"As of "&amp;TEXT(valuation.date,"d mmmm yyy")&amp;"."&amp;" Historical financial information for the selected guideline public companies provided by EIKON"</f>
        <v>As of 30 September 2024. Historical financial information for the selected guideline public companies provided by EIKON</v>
      </c>
      <c r="D59" s="690"/>
      <c r="E59" s="691"/>
      <c r="F59" s="692"/>
      <c r="G59" s="692"/>
      <c r="H59" s="693"/>
      <c r="I59" s="693"/>
      <c r="J59" s="692"/>
      <c r="K59" s="694"/>
      <c r="L59" s="694"/>
      <c r="S59" s="695"/>
      <c r="T59" s="696"/>
      <c r="U59" s="697"/>
      <c r="V59" s="697"/>
    </row>
    <row r="60" spans="2:23" s="436" customFormat="1">
      <c r="C60" s="698"/>
      <c r="E60" s="699"/>
      <c r="F60" s="700"/>
      <c r="G60" s="700"/>
      <c r="H60" s="701"/>
      <c r="I60" s="701"/>
      <c r="J60" s="700"/>
      <c r="K60" s="702"/>
      <c r="L60" s="702"/>
      <c r="S60" s="695"/>
      <c r="T60" s="696"/>
      <c r="U60" s="697"/>
      <c r="V60" s="697"/>
    </row>
    <row r="61" spans="2:23" s="436" customFormat="1">
      <c r="E61" s="703" t="s">
        <v>1377</v>
      </c>
      <c r="F61" s="700"/>
      <c r="G61" s="700"/>
      <c r="H61" s="701"/>
      <c r="I61" s="701"/>
      <c r="J61" s="700"/>
      <c r="K61" s="702"/>
      <c r="L61" s="702"/>
      <c r="S61" s="695"/>
      <c r="T61" s="696"/>
      <c r="U61" s="697"/>
      <c r="V61" s="697"/>
    </row>
    <row r="62" spans="2:23" s="436" customFormat="1" ht="12" customHeight="1">
      <c r="E62" s="704" t="s">
        <v>1378</v>
      </c>
      <c r="F62" s="673">
        <f t="shared" ref="F62:L62" si="3">IFERROR(MAX(F29:F58),"NA")</f>
        <v>0</v>
      </c>
      <c r="G62" s="673">
        <f t="shared" si="3"/>
        <v>0</v>
      </c>
      <c r="H62" s="674" t="str">
        <f t="shared" si="3"/>
        <v>NA</v>
      </c>
      <c r="I62" s="674" t="str">
        <f t="shared" si="3"/>
        <v>NA</v>
      </c>
      <c r="J62" s="673">
        <f t="shared" si="3"/>
        <v>0</v>
      </c>
      <c r="K62" s="705">
        <f t="shared" si="3"/>
        <v>0</v>
      </c>
      <c r="L62" s="705">
        <f t="shared" si="3"/>
        <v>0</v>
      </c>
      <c r="U62" s="697"/>
      <c r="V62" s="697"/>
    </row>
    <row r="63" spans="2:23" s="436" customFormat="1" ht="12" customHeight="1">
      <c r="E63" s="706" t="s">
        <v>1379</v>
      </c>
      <c r="F63" s="685">
        <f t="shared" ref="F63:L63" si="4">IFERROR(MIN(F29:F58),"NA")</f>
        <v>0</v>
      </c>
      <c r="G63" s="685">
        <f t="shared" si="4"/>
        <v>0</v>
      </c>
      <c r="H63" s="686" t="str">
        <f t="shared" si="4"/>
        <v>NA</v>
      </c>
      <c r="I63" s="686" t="str">
        <f t="shared" si="4"/>
        <v>NA</v>
      </c>
      <c r="J63" s="685">
        <f t="shared" si="4"/>
        <v>0</v>
      </c>
      <c r="K63" s="707">
        <f t="shared" si="4"/>
        <v>0</v>
      </c>
      <c r="L63" s="707">
        <f t="shared" si="4"/>
        <v>0</v>
      </c>
      <c r="U63" s="697"/>
      <c r="V63" s="697"/>
    </row>
    <row r="64" spans="2:23" s="436" customFormat="1" ht="12" customHeight="1">
      <c r="E64" s="706" t="s">
        <v>1380</v>
      </c>
      <c r="F64" s="685">
        <f t="shared" ref="F64:L64" si="5">IFERROR(AVERAGE(F29:F58),"NA")</f>
        <v>0</v>
      </c>
      <c r="G64" s="685">
        <f t="shared" si="5"/>
        <v>0</v>
      </c>
      <c r="H64" s="686" t="str">
        <f t="shared" si="5"/>
        <v>NA</v>
      </c>
      <c r="I64" s="686" t="str">
        <f t="shared" si="5"/>
        <v>NA</v>
      </c>
      <c r="J64" s="685">
        <f t="shared" si="5"/>
        <v>0</v>
      </c>
      <c r="K64" s="707">
        <f t="shared" si="5"/>
        <v>0</v>
      </c>
      <c r="L64" s="707">
        <f t="shared" si="5"/>
        <v>0</v>
      </c>
      <c r="U64" s="697"/>
      <c r="V64" s="697"/>
    </row>
    <row r="65" spans="2:23" s="436" customFormat="1" ht="12" customHeight="1">
      <c r="E65" s="708" t="s">
        <v>1381</v>
      </c>
      <c r="F65" s="709">
        <f t="shared" ref="F65:L65" si="6">IFERROR(MEDIAN(F29:F58),"NA")</f>
        <v>0</v>
      </c>
      <c r="G65" s="709">
        <f t="shared" si="6"/>
        <v>0</v>
      </c>
      <c r="H65" s="710" t="str">
        <f t="shared" si="6"/>
        <v>NA</v>
      </c>
      <c r="I65" s="710" t="str">
        <f t="shared" si="6"/>
        <v>NA</v>
      </c>
      <c r="J65" s="709">
        <f t="shared" si="6"/>
        <v>0</v>
      </c>
      <c r="K65" s="711">
        <f t="shared" si="6"/>
        <v>0</v>
      </c>
      <c r="L65" s="711">
        <f t="shared" si="6"/>
        <v>0</v>
      </c>
      <c r="U65" s="697"/>
      <c r="V65" s="697"/>
    </row>
    <row r="66" spans="2:23" s="436" customFormat="1" ht="12" customHeight="1">
      <c r="E66" s="712"/>
      <c r="F66" s="700"/>
      <c r="G66" s="700"/>
      <c r="H66" s="701"/>
      <c r="I66" s="701"/>
      <c r="J66" s="700"/>
      <c r="K66" s="702"/>
      <c r="L66" s="702"/>
      <c r="U66" s="697"/>
      <c r="V66" s="697"/>
    </row>
    <row r="67" spans="2:23" s="436" customFormat="1" ht="12" customHeight="1">
      <c r="E67" s="703" t="s">
        <v>1382</v>
      </c>
      <c r="F67" s="700"/>
      <c r="G67" s="700"/>
      <c r="H67" s="701"/>
      <c r="I67" s="701"/>
      <c r="J67" s="700"/>
      <c r="K67" s="702"/>
      <c r="L67" s="702"/>
      <c r="R67" s="713"/>
      <c r="S67" s="714"/>
      <c r="T67" s="714"/>
      <c r="U67" s="697"/>
      <c r="V67" s="697"/>
    </row>
    <row r="68" spans="2:23" s="436" customFormat="1" ht="12" customHeight="1">
      <c r="E68" s="704" t="s">
        <v>1378</v>
      </c>
      <c r="F68" s="673" cm="1">
        <f t="array" ref="F68">IFERROR(MAX(IF($P$29:$P$58="No",F29:F58)),"")</f>
        <v>0</v>
      </c>
      <c r="G68" s="673" cm="1">
        <f t="array" ref="G68">IFERROR(MAX(IF($P$29:$P$58="No",G29:G58)),"")</f>
        <v>0</v>
      </c>
      <c r="H68" s="673" t="str" cm="1">
        <f t="array" ref="H68">IFERROR(MAX(IF($P$29:$P$58="No",H29:H58)),"")</f>
        <v/>
      </c>
      <c r="I68" s="673" t="str" cm="1">
        <f t="array" ref="I68">IFERROR(MAX(IF($P$29:$P$58="No",I29:I58)),"")</f>
        <v/>
      </c>
      <c r="J68" s="673" cm="1">
        <f t="array" ref="J68">IFERROR(MAX(IF($P$29:$P$58="No",J29:J58)),"")</f>
        <v>0</v>
      </c>
      <c r="K68" s="673" cm="1">
        <f t="array" ref="K68">IFERROR(MAX(IF($P$29:$P$58="No",K29:K58)),"")</f>
        <v>0</v>
      </c>
      <c r="L68" s="673" cm="1">
        <f t="array" ref="L68">IFERROR(MAX(IF($P$29:$P$58="No",L29:L58)),"")</f>
        <v>0</v>
      </c>
      <c r="R68" s="713"/>
      <c r="S68" s="714"/>
      <c r="T68" s="714"/>
      <c r="U68" s="697"/>
      <c r="V68" s="697"/>
    </row>
    <row r="69" spans="2:23" s="436" customFormat="1" ht="12" customHeight="1">
      <c r="E69" s="706" t="s">
        <v>1379</v>
      </c>
      <c r="F69" s="685" cm="1">
        <f t="array" ref="F69">IFERROR(MIN(IF($P$29:$P$58="No",F29:F58)),"")</f>
        <v>0</v>
      </c>
      <c r="G69" s="715" cm="1">
        <f t="array" ref="G69">IFERROR(MIN(IF($P$29:$P$58="No",G29:G58)),"")</f>
        <v>0</v>
      </c>
      <c r="H69" s="715" t="str" cm="1">
        <f t="array" ref="H69">IFERROR(MIN(IF($P$29:$P$58="No",H29:H58)),"")</f>
        <v/>
      </c>
      <c r="I69" s="715" t="str" cm="1">
        <f t="array" ref="I69">IFERROR(MIN(IF($P$29:$P$58="No",I29:I58)),"")</f>
        <v/>
      </c>
      <c r="J69" s="715" cm="1">
        <f t="array" ref="J69">IFERROR(MIN(IF($P$29:$P$58="No",J29:J58)),"")</f>
        <v>0</v>
      </c>
      <c r="K69" s="715" cm="1">
        <f t="array" ref="K69">IFERROR(MIN(IF($P$29:$P$58="No",K29:K58)),"")</f>
        <v>0</v>
      </c>
      <c r="L69" s="715" cm="1">
        <f t="array" ref="L69">IFERROR(MIN(IF($P$29:$P$58="No",L29:L58)),"")</f>
        <v>0</v>
      </c>
      <c r="R69" s="713"/>
      <c r="S69" s="714"/>
      <c r="T69" s="714"/>
      <c r="U69" s="697"/>
      <c r="V69" s="697"/>
    </row>
    <row r="70" spans="2:23" s="436" customFormat="1" ht="12" customHeight="1">
      <c r="E70" s="706" t="s">
        <v>1380</v>
      </c>
      <c r="F70" s="685">
        <f t="shared" ref="F70:L70" si="7">IFERROR(AVERAGEIF($P$29:$P$58,"No",F29:F58),"")</f>
        <v>0</v>
      </c>
      <c r="G70" s="685">
        <f t="shared" si="7"/>
        <v>0</v>
      </c>
      <c r="H70" s="715" t="str">
        <f t="shared" si="7"/>
        <v/>
      </c>
      <c r="I70" s="715" t="str">
        <f t="shared" si="7"/>
        <v/>
      </c>
      <c r="J70" s="685">
        <f t="shared" si="7"/>
        <v>0</v>
      </c>
      <c r="K70" s="715">
        <f t="shared" si="7"/>
        <v>0</v>
      </c>
      <c r="L70" s="715">
        <f t="shared" si="7"/>
        <v>0</v>
      </c>
      <c r="R70" s="713"/>
      <c r="S70" s="714"/>
      <c r="T70" s="714"/>
      <c r="U70" s="697"/>
      <c r="V70" s="697"/>
    </row>
    <row r="71" spans="2:23" s="436" customFormat="1" ht="12" customHeight="1">
      <c r="E71" s="708" t="s">
        <v>1381</v>
      </c>
      <c r="F71" s="709" cm="1">
        <f t="array" ref="F71">IFERROR(MEDIAN(IF($P$29:$P$58="No",F29:F58)),"")</f>
        <v>0</v>
      </c>
      <c r="G71" s="716" cm="1">
        <f t="array" ref="G71">IFERROR(MEDIAN(IF($P$29:$P$58="No",G29:G58)),"")</f>
        <v>0</v>
      </c>
      <c r="H71" s="716" t="str" cm="1">
        <f t="array" ref="H71">IFERROR(MEDIAN(IF($P$29:$P$58="No",H29:H58)),"")</f>
        <v/>
      </c>
      <c r="I71" s="716" t="str" cm="1">
        <f t="array" ref="I71">IFERROR(MEDIAN(IF($P$29:$P$58="No",I29:I58)),"")</f>
        <v/>
      </c>
      <c r="J71" s="716" cm="1">
        <f t="array" ref="J71">IFERROR(MEDIAN(IF($P$29:$P$58="No",J29:J58)),"")</f>
        <v>0</v>
      </c>
      <c r="K71" s="716" cm="1">
        <f t="array" ref="K71">IFERROR(MEDIAN(IF($P$29:$P$58="No",K29:K58)),"")</f>
        <v>0</v>
      </c>
      <c r="L71" s="716" cm="1">
        <f t="array" ref="L71">IFERROR(MEDIAN(IF($P$29:$P$58="No",L29:L58)),"")</f>
        <v>0</v>
      </c>
      <c r="M71" s="717"/>
      <c r="R71" s="713"/>
      <c r="S71" s="714"/>
      <c r="T71" s="714"/>
      <c r="U71" s="697"/>
      <c r="V71" s="697"/>
    </row>
    <row r="72" spans="2:23" s="436" customFormat="1" ht="12">
      <c r="F72" s="718"/>
      <c r="G72" s="719"/>
      <c r="H72" s="720"/>
      <c r="J72" s="718"/>
      <c r="K72" s="721"/>
      <c r="L72" s="721"/>
      <c r="S72" s="722"/>
      <c r="T72" s="722"/>
      <c r="U72" s="723"/>
      <c r="V72" s="723"/>
      <c r="W72" s="724"/>
    </row>
    <row r="73" spans="2:23" ht="12">
      <c r="E73" s="725" t="s">
        <v>1383</v>
      </c>
      <c r="F73" s="726"/>
      <c r="G73" s="726"/>
      <c r="M73" s="457"/>
      <c r="N73" s="457"/>
      <c r="S73" s="697"/>
      <c r="T73" s="727"/>
      <c r="U73" s="728"/>
      <c r="V73" s="728"/>
      <c r="W73" s="603"/>
    </row>
    <row r="74" spans="2:23" ht="12">
      <c r="E74" s="729" t="s">
        <v>1384</v>
      </c>
      <c r="F74" s="729"/>
      <c r="G74" s="707">
        <f>L71</f>
        <v>0</v>
      </c>
      <c r="M74" s="457"/>
      <c r="N74" s="457"/>
      <c r="S74" s="697"/>
      <c r="T74" s="727"/>
      <c r="U74" s="728"/>
      <c r="V74" s="728"/>
      <c r="W74" s="603"/>
    </row>
    <row r="75" spans="2:23" ht="12">
      <c r="E75" s="698" t="s">
        <v>1385</v>
      </c>
      <c r="F75" s="698"/>
      <c r="G75" s="730">
        <f>G71</f>
        <v>0</v>
      </c>
      <c r="M75" s="457"/>
      <c r="N75" s="457"/>
      <c r="S75" s="697"/>
      <c r="T75" s="727"/>
      <c r="U75" s="728"/>
      <c r="V75" s="728"/>
      <c r="W75" s="603"/>
    </row>
    <row r="76" spans="2:23" ht="12">
      <c r="E76" s="698" t="s">
        <v>1954</v>
      </c>
      <c r="F76" s="698"/>
      <c r="G76" s="1598" t="e">
        <f ca="1">IS_Calcs!F181</f>
        <v>#NAME?</v>
      </c>
      <c r="M76" s="457"/>
      <c r="N76" s="457"/>
      <c r="S76" s="697"/>
      <c r="T76" s="727"/>
      <c r="U76" s="728"/>
      <c r="V76" s="728"/>
      <c r="W76" s="603"/>
    </row>
    <row r="77" spans="2:23" ht="12">
      <c r="E77" s="731" t="s">
        <v>1386</v>
      </c>
      <c r="F77" s="731"/>
      <c r="G77" s="732" t="str">
        <f ca="1">IFERROR(G74*(1+G75*(1-G76)/(1-G75)),"na")</f>
        <v>na</v>
      </c>
      <c r="M77" s="457"/>
      <c r="N77" s="457"/>
      <c r="S77" s="697"/>
      <c r="T77" s="727"/>
      <c r="U77" s="728"/>
      <c r="V77" s="728"/>
      <c r="W77" s="603"/>
    </row>
    <row r="78" spans="2:23" ht="16">
      <c r="F78"/>
      <c r="G78"/>
      <c r="M78" s="457"/>
      <c r="N78" s="457"/>
      <c r="S78" s="697"/>
      <c r="T78" s="727"/>
      <c r="U78" s="728"/>
      <c r="V78" s="728"/>
      <c r="W78" s="603"/>
    </row>
    <row r="79" spans="2:23" ht="15.5">
      <c r="B79" s="455"/>
      <c r="C79" s="1775" t="s">
        <v>2976</v>
      </c>
      <c r="D79" s="1775" t="s">
        <v>2977</v>
      </c>
      <c r="E79" s="1775" t="s">
        <v>2978</v>
      </c>
      <c r="F79" s="1775" t="s">
        <v>2999</v>
      </c>
      <c r="G79"/>
      <c r="H79" s="455"/>
      <c r="I79" s="455"/>
      <c r="J79" s="455"/>
      <c r="K79" s="455"/>
      <c r="L79" s="455"/>
      <c r="M79" s="455"/>
      <c r="R79" s="463"/>
      <c r="S79" s="463"/>
      <c r="T79" s="463"/>
    </row>
    <row r="80" spans="2:23" ht="15.5">
      <c r="B80" s="455"/>
      <c r="C80" s="455" t="str">
        <f>Inputs!C270</f>
        <v>Niche Nature</v>
      </c>
      <c r="D80" s="455" t="str">
        <f>Inputs!E270</f>
        <v>No</v>
      </c>
      <c r="E80" s="1771">
        <v>0.01</v>
      </c>
      <c r="F80" s="1771">
        <f>IF(D80="Cyclical",E80,IF(D80="Necessity",E80/2,0))</f>
        <v>0</v>
      </c>
      <c r="G80"/>
      <c r="H80" s="455"/>
      <c r="I80" s="455"/>
      <c r="J80" s="455"/>
      <c r="K80" s="455"/>
      <c r="L80" s="455"/>
      <c r="M80" s="455"/>
      <c r="R80" s="463"/>
      <c r="S80" s="463"/>
      <c r="T80" s="463"/>
    </row>
    <row r="81" spans="2:20" ht="15.5">
      <c r="B81" s="455"/>
      <c r="C81" s="455" t="str">
        <f>Inputs!C271</f>
        <v>Penetration risk</v>
      </c>
      <c r="D81" s="455" t="str">
        <f>Inputs!E271</f>
        <v>No</v>
      </c>
      <c r="E81" s="1771">
        <v>0.01</v>
      </c>
      <c r="F81" s="1771">
        <f>IF(D81="Yes",E81,0)</f>
        <v>0</v>
      </c>
      <c r="G81"/>
      <c r="H81" s="455"/>
      <c r="I81" s="455"/>
      <c r="J81" s="455"/>
      <c r="K81" s="455"/>
      <c r="L81" s="455"/>
      <c r="M81" s="455"/>
      <c r="R81" s="463"/>
      <c r="S81" s="463"/>
      <c r="T81" s="463"/>
    </row>
    <row r="82" spans="2:20" ht="15.5">
      <c r="B82" s="455"/>
      <c r="C82" s="455" t="str">
        <f>Inputs!C272</f>
        <v>Risky contracts</v>
      </c>
      <c r="D82" s="455" t="str">
        <f>Inputs!E272</f>
        <v>No</v>
      </c>
      <c r="E82" s="1771">
        <v>0.01</v>
      </c>
      <c r="F82" s="1771">
        <f t="shared" ref="F82:F84" si="8">IF(D82="Yes",E82,0)</f>
        <v>0</v>
      </c>
      <c r="G82"/>
      <c r="H82" s="455"/>
      <c r="I82" s="455"/>
      <c r="J82" s="455"/>
      <c r="K82" s="455"/>
      <c r="L82" s="455"/>
      <c r="M82" s="455"/>
      <c r="R82" s="463"/>
      <c r="S82" s="463"/>
      <c r="T82" s="463"/>
    </row>
    <row r="83" spans="2:20" ht="15.5">
      <c r="B83" s="455"/>
      <c r="C83" s="455" t="str">
        <f>Inputs!C273</f>
        <v>Vendor Dependency</v>
      </c>
      <c r="D83" s="455" t="str">
        <f>Inputs!E273</f>
        <v>No</v>
      </c>
      <c r="E83" s="1771">
        <v>5.0000000000000001E-3</v>
      </c>
      <c r="F83" s="1771">
        <f t="shared" si="8"/>
        <v>0</v>
      </c>
      <c r="G83"/>
      <c r="H83" s="455"/>
      <c r="I83" s="455"/>
      <c r="J83" s="455"/>
      <c r="K83" s="455"/>
      <c r="L83" s="455"/>
      <c r="M83" s="455"/>
      <c r="R83" s="463"/>
      <c r="S83" s="463"/>
      <c r="T83" s="463"/>
    </row>
    <row r="84" spans="2:20" ht="15.5">
      <c r="B84" s="455"/>
      <c r="C84" s="455" t="str">
        <f>Inputs!C274</f>
        <v>Key customer risk</v>
      </c>
      <c r="D84" s="455" t="str">
        <f>Inputs!E274</f>
        <v>No</v>
      </c>
      <c r="E84" s="1771">
        <v>0.01</v>
      </c>
      <c r="F84" s="1771">
        <f t="shared" si="8"/>
        <v>0</v>
      </c>
      <c r="G84"/>
      <c r="H84" s="455"/>
      <c r="I84" s="455"/>
      <c r="J84" s="455"/>
      <c r="K84" s="455"/>
      <c r="L84" s="455"/>
      <c r="M84" s="455"/>
      <c r="R84" s="463"/>
      <c r="S84" s="463"/>
      <c r="T84" s="463"/>
    </row>
    <row r="85" spans="2:20" ht="15.5">
      <c r="B85" s="455"/>
      <c r="C85" s="1772" t="s">
        <v>2979</v>
      </c>
      <c r="D85" s="1773"/>
      <c r="E85" s="1774">
        <f>SUM(E80:E84)</f>
        <v>4.4999999999999998E-2</v>
      </c>
      <c r="F85" s="1774">
        <f>SUM(F80:F84)</f>
        <v>0</v>
      </c>
      <c r="G85"/>
      <c r="H85" s="455"/>
      <c r="I85" s="455"/>
      <c r="J85" s="455"/>
      <c r="K85" s="455"/>
      <c r="L85" s="455"/>
      <c r="M85" s="455"/>
      <c r="R85" s="463"/>
      <c r="S85" s="463"/>
      <c r="T85" s="463"/>
    </row>
    <row r="86" spans="2:20">
      <c r="B86" s="455"/>
      <c r="C86" s="455"/>
      <c r="D86" s="455"/>
      <c r="E86" s="455"/>
      <c r="F86" s="455"/>
      <c r="G86" s="455"/>
      <c r="H86" s="455"/>
      <c r="I86" s="455"/>
      <c r="J86" s="455"/>
      <c r="K86" s="455"/>
      <c r="L86" s="455"/>
      <c r="M86" s="455"/>
      <c r="R86" s="463"/>
      <c r="S86" s="463"/>
      <c r="T86" s="463"/>
    </row>
    <row r="87" spans="2:20" s="735" customFormat="1">
      <c r="B87" s="733" t="s">
        <v>1394</v>
      </c>
      <c r="C87" s="734"/>
      <c r="D87" s="734"/>
      <c r="E87" s="734"/>
      <c r="F87" s="734"/>
      <c r="G87" s="734"/>
      <c r="H87" s="734"/>
      <c r="I87" s="734"/>
      <c r="J87" s="734"/>
      <c r="K87" s="734"/>
      <c r="L87" s="734"/>
      <c r="M87" s="734"/>
    </row>
    <row r="88" spans="2:20" s="738" customFormat="1">
      <c r="B88" s="736">
        <v>1</v>
      </c>
      <c r="C88" s="1776" t="s">
        <v>1395</v>
      </c>
    </row>
    <row r="89" spans="2:20" s="738" customFormat="1">
      <c r="B89" s="736">
        <v>2</v>
      </c>
      <c r="C89" s="737" t="s">
        <v>1396</v>
      </c>
    </row>
    <row r="90" spans="2:20" s="738" customFormat="1">
      <c r="B90" s="736">
        <v>3</v>
      </c>
      <c r="C90" s="737" t="s">
        <v>1397</v>
      </c>
    </row>
    <row r="91" spans="2:20" s="738" customFormat="1">
      <c r="B91" s="736">
        <v>4</v>
      </c>
      <c r="C91" s="737" t="s">
        <v>1398</v>
      </c>
    </row>
    <row r="92" spans="2:20" s="740" customFormat="1">
      <c r="B92" s="739"/>
      <c r="C92" s="737"/>
    </row>
  </sheetData>
  <mergeCells count="1">
    <mergeCell ref="O27:P27"/>
  </mergeCells>
  <phoneticPr fontId="21" type="noConversion"/>
  <conditionalFormatting sqref="S29:T58">
    <cfRule type="cellIs" dxfId="23" priority="39" operator="lessThan">
      <formula>0.0999999</formula>
    </cfRule>
    <cfRule type="cellIs" dxfId="22" priority="41" operator="greaterThan">
      <formula>0.1</formula>
    </cfRule>
  </conditionalFormatting>
  <conditionalFormatting sqref="Q29:Q58">
    <cfRule type="cellIs" dxfId="21" priority="33" operator="between">
      <formula>61</formula>
      <formula>103</formula>
    </cfRule>
    <cfRule type="cellIs" dxfId="20" priority="34" operator="lessThan">
      <formula>60</formula>
    </cfRule>
    <cfRule type="cellIs" dxfId="19" priority="35" operator="greaterThan">
      <formula>104</formula>
    </cfRule>
  </conditionalFormatting>
  <conditionalFormatting sqref="E30 E29:L29 C29:C56 D31:E56 G31:L58 C57:E58">
    <cfRule type="expression" dxfId="18" priority="23">
      <formula>$W29="Yes"</formula>
    </cfRule>
  </conditionalFormatting>
  <conditionalFormatting sqref="D29:D30">
    <cfRule type="expression" dxfId="17" priority="22">
      <formula>$W29="Yes"</formula>
    </cfRule>
  </conditionalFormatting>
  <conditionalFormatting sqref="F30:L30 F31:F58">
    <cfRule type="expression" dxfId="16" priority="24">
      <formula>$W30="Yes"</formula>
    </cfRule>
  </conditionalFormatting>
  <conditionalFormatting sqref="C29:C30">
    <cfRule type="expression" dxfId="15" priority="21">
      <formula>$W29="Yes"</formula>
    </cfRule>
  </conditionalFormatting>
  <conditionalFormatting sqref="E68:E71">
    <cfRule type="expression" dxfId="14" priority="14">
      <formula>$W68="Yes"</formula>
    </cfRule>
  </conditionalFormatting>
  <conditionalFormatting sqref="E68:E71">
    <cfRule type="expression" dxfId="13" priority="13">
      <formula>$W68="Yes"</formula>
    </cfRule>
  </conditionalFormatting>
  <conditionalFormatting sqref="E77:F77 E74:F74">
    <cfRule type="expression" dxfId="12" priority="46">
      <formula>#REF!="Yes"</formula>
    </cfRule>
  </conditionalFormatting>
  <conditionalFormatting sqref="E62:E65">
    <cfRule type="expression" dxfId="11" priority="2">
      <formula>$W62="Yes"</formula>
    </cfRule>
  </conditionalFormatting>
  <conditionalFormatting sqref="E62:E65">
    <cfRule type="expression" dxfId="10" priority="1">
      <formula>$W62="Yes"</formula>
    </cfRule>
  </conditionalFormatting>
  <dataValidations disablePrompts="1" count="5">
    <dataValidation type="list" allowBlank="1" showInputMessage="1" showErrorMessage="1" sqref="O5:O7" xr:uid="{00000000-0002-0000-0700-000000000000}">
      <formula1>"5-Year Monthly, 2-Year Weekly"</formula1>
    </dataValidation>
    <dataValidation type="list" allowBlank="1" showInputMessage="1" showErrorMessage="1" sqref="R5:R7" xr:uid="{00000000-0002-0000-0700-000004000000}">
      <formula1>"Spot, 5 Year, 2 Year"</formula1>
    </dataValidation>
    <dataValidation type="list" allowBlank="1" showInputMessage="1" showErrorMessage="1" sqref="T5:T7" xr:uid="{BDEFFE49-CC0E-4176-9B6D-2CA17A427A37}">
      <formula1>"No, Blume, Vasicek"</formula1>
    </dataValidation>
    <dataValidation type="list" allowBlank="1" showInputMessage="1" showErrorMessage="1" sqref="W29:W58" xr:uid="{00000000-0002-0000-0700-000001000000}">
      <formula1>"Yes, No"</formula1>
    </dataValidation>
    <dataValidation type="list" allowBlank="1" showInputMessage="1" showErrorMessage="1" sqref="P29:P58" xr:uid="{7B55D3C8-8192-4268-BC50-1817C412E36B}">
      <formula1>"Yes,No"</formula1>
    </dataValidation>
  </dataValidations>
  <hyperlinks>
    <hyperlink ref="G15" r:id="rId1" xr:uid="{416B7FE5-0FFD-4434-8793-DDA42B4D83F8}"/>
    <hyperlink ref="G16" r:id="rId2" xr:uid="{36280434-E074-4DCA-A5E4-CDA7A18F50D2}"/>
    <hyperlink ref="G14" r:id="rId3" xr:uid="{BA7949CA-7A93-48C9-9851-D9F51CA71BCB}"/>
  </hyperlinks>
  <printOptions horizontalCentered="1"/>
  <pageMargins left="0.7" right="0.7" top="0.75" bottom="0.75" header="0.3" footer="0.3"/>
  <pageSetup scale="60" orientation="portrait" r:id="rId4"/>
  <headerFooter alignWithMargins="0">
    <oddHeader>&amp;R&amp;"Arial"&amp;8&amp;K000000Confidential&amp;1#</oddHeader>
  </headerFooter>
  <legacyDrawing r:id="rId5"/>
  <extLst>
    <ext xmlns:x14="http://schemas.microsoft.com/office/spreadsheetml/2009/9/main" uri="{78C0D931-6437-407d-A8EE-F0AAD7539E65}">
      <x14:conditionalFormattings>
        <x14:conditionalFormatting xmlns:xm="http://schemas.microsoft.com/office/excel/2006/main">
          <x14:cfRule type="iconSet" priority="118" id="{A5510649-03D0-4ED3-B6A3-5B29BC456BBE}">
            <x14:iconSet iconSet="5Boxes">
              <x14:cfvo type="percent">
                <xm:f>0</xm:f>
              </x14:cfvo>
              <x14:cfvo type="percent">
                <xm:f>20</xm:f>
              </x14:cfvo>
              <x14:cfvo type="percent">
                <xm:f>40</xm:f>
              </x14:cfvo>
              <x14:cfvo type="percent">
                <xm:f>60</xm:f>
              </x14:cfvo>
              <x14:cfvo type="percent">
                <xm:f>80</xm:f>
              </x14:cfvo>
            </x14:iconSet>
          </x14:cfRule>
          <xm:sqref>R29:R58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63E1E6EF-A22C-40E1-BF7E-2344D482E021}">
          <x14:formula1>
            <xm:f>DamodaranCRP!$A$5:$A$195</xm:f>
          </x14:formula1>
          <xm:sqref>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1E4BD-37DF-4CD7-B9FF-9BB41D7D18D1}">
  <dimension ref="B2:G24"/>
  <sheetViews>
    <sheetView topLeftCell="A10" workbookViewId="0">
      <selection activeCell="A27" sqref="A27"/>
    </sheetView>
  </sheetViews>
  <sheetFormatPr defaultRowHeight="15.5"/>
  <cols>
    <col min="2" max="2" width="54.84375" bestFit="1" customWidth="1"/>
  </cols>
  <sheetData>
    <row r="2" spans="2:7">
      <c r="B2" s="1477" t="s">
        <v>2407</v>
      </c>
      <c r="G2" s="1667" t="s">
        <v>2876</v>
      </c>
    </row>
    <row r="3" spans="2:7">
      <c r="G3" s="1477" t="s">
        <v>2877</v>
      </c>
    </row>
    <row r="4" spans="2:7">
      <c r="B4" s="1477" t="s">
        <v>2408</v>
      </c>
      <c r="G4" s="1477" t="s">
        <v>2878</v>
      </c>
    </row>
    <row r="5" spans="2:7">
      <c r="B5" s="1477" t="s">
        <v>2409</v>
      </c>
      <c r="G5" s="1477" t="s">
        <v>2879</v>
      </c>
    </row>
    <row r="6" spans="2:7">
      <c r="B6" s="1477" t="s">
        <v>2410</v>
      </c>
    </row>
    <row r="7" spans="2:7">
      <c r="B7" s="1477" t="s">
        <v>2411</v>
      </c>
    </row>
    <row r="9" spans="2:7">
      <c r="B9" s="1477" t="s">
        <v>2412</v>
      </c>
    </row>
    <row r="11" spans="2:7">
      <c r="B11" s="1477" t="s">
        <v>2414</v>
      </c>
    </row>
    <row r="14" spans="2:7">
      <c r="B14" s="1667" t="s">
        <v>2938</v>
      </c>
    </row>
    <row r="15" spans="2:7">
      <c r="B15" s="1477" t="s">
        <v>2939</v>
      </c>
    </row>
    <row r="17" spans="2:2">
      <c r="B17" s="1667" t="s">
        <v>2982</v>
      </c>
    </row>
    <row r="18" spans="2:2">
      <c r="B18" s="1477" t="s">
        <v>2983</v>
      </c>
    </row>
    <row r="19" spans="2:2">
      <c r="B19" s="1477" t="s">
        <v>2984</v>
      </c>
    </row>
    <row r="20" spans="2:2">
      <c r="B20" s="1477" t="s">
        <v>2988</v>
      </c>
    </row>
    <row r="21" spans="2:2">
      <c r="B21" s="1477" t="s">
        <v>2992</v>
      </c>
    </row>
    <row r="22" spans="2:2">
      <c r="B22" s="1477" t="s">
        <v>2994</v>
      </c>
    </row>
    <row r="23" spans="2:2">
      <c r="B23" s="1477" t="s">
        <v>2996</v>
      </c>
    </row>
    <row r="24" spans="2:2">
      <c r="B24" s="1477" t="s">
        <v>2997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5A5AD-695A-4313-A69D-B8908C29C2B5}">
  <sheetPr>
    <tabColor rgb="FFD7EEF1"/>
  </sheetPr>
  <dimension ref="A1:I32"/>
  <sheetViews>
    <sheetView showGridLines="0" workbookViewId="0">
      <selection activeCell="D7" sqref="D7"/>
    </sheetView>
  </sheetViews>
  <sheetFormatPr defaultColWidth="0" defaultRowHeight="0" customHeight="1" zeroHeight="1"/>
  <cols>
    <col min="1" max="1" width="2.23046875" style="254" customWidth="1"/>
    <col min="2" max="3" width="1.61328125" style="254" customWidth="1"/>
    <col min="4" max="9" width="8.69140625" style="254" customWidth="1"/>
    <col min="10" max="16384" width="8.69140625" style="254" hidden="1"/>
  </cols>
  <sheetData>
    <row r="1" spans="2:9" ht="15" customHeight="1"/>
    <row r="2" spans="2:9" ht="15.5">
      <c r="B2" s="245" t="s">
        <v>2332</v>
      </c>
      <c r="C2" s="246"/>
      <c r="D2" s="246"/>
      <c r="E2" s="246"/>
    </row>
    <row r="3" spans="2:9" ht="15.5">
      <c r="B3" s="247" t="str">
        <f>Inputs!B3</f>
        <v>Aerial Arts India XXXXXXXXXXXXXXXXX - Self Valuation using DCF Method, Transaction Multiples Method, &amp; Market Multiples Method as at September 30, 2024</v>
      </c>
      <c r="C3" s="246"/>
      <c r="D3" s="246"/>
      <c r="E3" s="246"/>
    </row>
    <row r="4" spans="2:9" ht="15.5">
      <c r="B4" s="285" t="s">
        <v>2077</v>
      </c>
      <c r="C4" s="246"/>
      <c r="D4" s="246"/>
      <c r="E4" s="246"/>
    </row>
    <row r="5" spans="2:9" ht="5" customHeight="1" thickBot="1">
      <c r="B5" s="283"/>
      <c r="C5" s="249"/>
      <c r="D5" s="249"/>
      <c r="E5" s="249"/>
      <c r="F5" s="284"/>
      <c r="G5" s="284"/>
      <c r="H5" s="284"/>
      <c r="I5" s="284"/>
    </row>
    <row r="6" spans="2:9" ht="16" thickTop="1">
      <c r="B6" s="246"/>
      <c r="C6" s="246"/>
      <c r="D6" s="246"/>
      <c r="E6" s="246"/>
    </row>
    <row r="7" spans="2:9" ht="15.5">
      <c r="B7" s="246"/>
      <c r="C7" s="246"/>
      <c r="D7" s="245" t="s">
        <v>1906</v>
      </c>
      <c r="E7" s="246"/>
    </row>
    <row r="8" spans="2:9" ht="15.5"/>
    <row r="9" spans="2:9" ht="15.5"/>
    <row r="10" spans="2:9" ht="15.5"/>
    <row r="11" spans="2:9" ht="15.5"/>
    <row r="12" spans="2:9" ht="15.5"/>
    <row r="13" spans="2:9" ht="15.5"/>
    <row r="14" spans="2:9" ht="15.5"/>
    <row r="15" spans="2:9" ht="15.5"/>
    <row r="16" spans="2:9" ht="15.5"/>
    <row r="18" ht="15.5" hidden="1"/>
    <row r="19" ht="15.5" hidden="1"/>
    <row r="20" ht="15.5" hidden="1"/>
    <row r="21" ht="15.5" hidden="1"/>
    <row r="22" ht="15.5" hidden="1"/>
    <row r="23" ht="15.5" hidden="1"/>
    <row r="24" ht="15.5" hidden="1"/>
    <row r="25" ht="15.5" hidden="1"/>
    <row r="26" ht="15.5" hidden="1"/>
    <row r="27" ht="15.5" hidden="1"/>
    <row r="28" ht="15.5" hidden="1"/>
    <row r="29" ht="15.5" hidden="1"/>
    <row r="30" ht="15.5" hidden="1"/>
    <row r="31" ht="15.5" hidden="1"/>
    <row r="32" ht="15" customHeight="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69139-2922-4FD3-AA11-7E038A71AF11}">
  <sheetPr>
    <tabColor rgb="FFD7EEF1"/>
  </sheetPr>
  <dimension ref="B2:R34"/>
  <sheetViews>
    <sheetView showGridLines="0" view="pageBreakPreview" zoomScaleNormal="100" zoomScaleSheetLayoutView="100" workbookViewId="0">
      <selection activeCell="J23" sqref="J23"/>
    </sheetView>
  </sheetViews>
  <sheetFormatPr defaultColWidth="8.69140625" defaultRowHeight="10.5"/>
  <cols>
    <col min="1" max="2" width="2.61328125" style="246" customWidth="1"/>
    <col min="3" max="14" width="8.69140625" style="246" customWidth="1"/>
    <col min="15" max="15" width="5.53515625" style="246" bestFit="1" customWidth="1"/>
    <col min="16" max="17" width="8.69140625" style="246" customWidth="1"/>
    <col min="18" max="18" width="2.61328125" style="246" customWidth="1"/>
    <col min="19" max="16384" width="8.69140625" style="246"/>
  </cols>
  <sheetData>
    <row r="2" spans="2:18">
      <c r="B2" s="245" t="s">
        <v>2332</v>
      </c>
    </row>
    <row r="3" spans="2:18">
      <c r="B3" s="247" t="str">
        <f>Inputs!$B$3</f>
        <v>Aerial Arts India XXXXXXXXXXXXXXXXX - Self Valuation using DCF Method, Transaction Multiples Method, &amp; Market Multiples Method as at September 30, 2024</v>
      </c>
    </row>
    <row r="4" spans="2:18">
      <c r="B4" s="248" t="s">
        <v>1899</v>
      </c>
    </row>
    <row r="5" spans="2:18" ht="5" customHeight="1" thickBot="1">
      <c r="B5" s="249"/>
      <c r="C5" s="249"/>
      <c r="D5" s="249"/>
      <c r="E5" s="249"/>
      <c r="F5" s="249"/>
      <c r="G5" s="249"/>
      <c r="H5" s="249"/>
      <c r="I5" s="249"/>
      <c r="J5" s="249"/>
      <c r="K5" s="249"/>
      <c r="L5" s="249"/>
      <c r="M5" s="249"/>
      <c r="N5" s="249"/>
      <c r="O5" s="249"/>
      <c r="P5" s="249"/>
      <c r="Q5" s="249"/>
      <c r="R5" s="249"/>
    </row>
    <row r="6" spans="2:18" ht="11" thickTop="1"/>
    <row r="19" spans="3:17">
      <c r="C19" s="286"/>
      <c r="D19" s="286"/>
      <c r="E19" s="286"/>
      <c r="F19" s="286"/>
      <c r="G19" s="287" t="s">
        <v>1955</v>
      </c>
      <c r="H19" s="288" t="str">
        <f>IS_Calcs!I7</f>
        <v>FY22</v>
      </c>
      <c r="I19" s="288" t="str">
        <f>IS_Calcs!J7</f>
        <v>FY23</v>
      </c>
      <c r="J19" s="288" t="str">
        <f>IS_Calcs!K7</f>
        <v>YTD24</v>
      </c>
      <c r="K19" s="288" t="str">
        <f>IS_Calcs!L7</f>
        <v>YTG24</v>
      </c>
      <c r="L19" s="288" t="str">
        <f>IS_Calcs!M7</f>
        <v>FY24</v>
      </c>
      <c r="M19" s="288" t="str">
        <f>IS_Calcs!N7</f>
        <v>FY25</v>
      </c>
      <c r="N19" s="288" t="str">
        <f>IS_Calcs!O7</f>
        <v>FY26</v>
      </c>
      <c r="O19" s="288" t="str">
        <f>IS_Calcs!P7</f>
        <v>FY27</v>
      </c>
      <c r="P19" s="288" t="str">
        <f>IS_Calcs!Q7</f>
        <v>FY28</v>
      </c>
      <c r="Q19" s="288" t="str">
        <f>IS_Calcs!R7</f>
        <v>FY29</v>
      </c>
    </row>
    <row r="20" spans="3:17">
      <c r="H20" s="289"/>
      <c r="I20" s="289"/>
      <c r="J20" s="289"/>
      <c r="K20" s="289"/>
      <c r="L20" s="289"/>
      <c r="M20" s="289"/>
      <c r="N20" s="289"/>
      <c r="O20" s="289"/>
      <c r="P20" s="289"/>
      <c r="Q20" s="289"/>
    </row>
    <row r="21" spans="3:17">
      <c r="C21" s="246" t="s">
        <v>1460</v>
      </c>
      <c r="H21" s="290">
        <f>IS_Calcs!I69</f>
        <v>0</v>
      </c>
      <c r="I21" s="290">
        <f>IS_Calcs!J69</f>
        <v>0</v>
      </c>
      <c r="J21" s="290">
        <f>IS_Calcs!K69</f>
        <v>0</v>
      </c>
      <c r="K21" s="290">
        <f>IS_Calcs!L69</f>
        <v>0</v>
      </c>
      <c r="L21" s="290">
        <f>IS_Calcs!M69</f>
        <v>0</v>
      </c>
      <c r="M21" s="290">
        <f>IS_Calcs!N69</f>
        <v>0</v>
      </c>
      <c r="N21" s="290">
        <f>IS_Calcs!O69</f>
        <v>0</v>
      </c>
      <c r="O21" s="290">
        <f>IS_Calcs!P69</f>
        <v>0</v>
      </c>
      <c r="P21" s="290">
        <f>IS_Calcs!Q69</f>
        <v>0</v>
      </c>
      <c r="Q21" s="290">
        <f>IS_Calcs!R69</f>
        <v>0</v>
      </c>
    </row>
    <row r="22" spans="3:17">
      <c r="C22" s="246" t="s">
        <v>1900</v>
      </c>
      <c r="H22" s="290">
        <f>IS_Calcs!I115</f>
        <v>0</v>
      </c>
      <c r="I22" s="290">
        <f>IS_Calcs!J115</f>
        <v>0</v>
      </c>
      <c r="J22" s="290">
        <f>IS_Calcs!K115</f>
        <v>0</v>
      </c>
      <c r="K22" s="290">
        <f>IS_Calcs!L115</f>
        <v>0</v>
      </c>
      <c r="L22" s="290">
        <f>IS_Calcs!M115</f>
        <v>0</v>
      </c>
      <c r="M22" s="290">
        <f>IS_Calcs!N115</f>
        <v>0</v>
      </c>
      <c r="N22" s="290">
        <f>IS_Calcs!O115</f>
        <v>0</v>
      </c>
      <c r="O22" s="290">
        <f>IS_Calcs!P115</f>
        <v>0</v>
      </c>
      <c r="P22" s="290">
        <f>IS_Calcs!Q115</f>
        <v>0</v>
      </c>
      <c r="Q22" s="290">
        <f>IS_Calcs!R115</f>
        <v>0</v>
      </c>
    </row>
    <row r="23" spans="3:17">
      <c r="C23" s="246" t="s">
        <v>1902</v>
      </c>
      <c r="H23" s="291">
        <f>H21-H22</f>
        <v>0</v>
      </c>
      <c r="I23" s="291">
        <f>I21-I22</f>
        <v>0</v>
      </c>
      <c r="J23" s="291">
        <f>J21-J22</f>
        <v>0</v>
      </c>
      <c r="K23" s="291">
        <f>K21-K22</f>
        <v>0</v>
      </c>
      <c r="L23" s="291">
        <f t="shared" ref="L23:Q23" si="0">L21-L22</f>
        <v>0</v>
      </c>
      <c r="M23" s="291">
        <f t="shared" si="0"/>
        <v>0</v>
      </c>
      <c r="N23" s="291">
        <f t="shared" si="0"/>
        <v>0</v>
      </c>
      <c r="O23" s="291">
        <f t="shared" si="0"/>
        <v>0</v>
      </c>
      <c r="P23" s="291">
        <f t="shared" si="0"/>
        <v>0</v>
      </c>
      <c r="Q23" s="291">
        <f t="shared" si="0"/>
        <v>0</v>
      </c>
    </row>
    <row r="24" spans="3:17">
      <c r="C24" s="246" t="s">
        <v>1901</v>
      </c>
      <c r="H24" s="289"/>
      <c r="I24" s="289"/>
      <c r="J24" s="289"/>
      <c r="K24" s="289"/>
      <c r="L24" s="289"/>
      <c r="M24" s="289"/>
      <c r="N24" s="289"/>
      <c r="O24" s="289"/>
      <c r="P24" s="289"/>
      <c r="Q24" s="289"/>
    </row>
    <row r="25" spans="3:17">
      <c r="H25" s="289"/>
      <c r="I25" s="289"/>
      <c r="J25" s="289"/>
      <c r="K25" s="289"/>
      <c r="L25" s="289"/>
      <c r="M25" s="289"/>
      <c r="N25" s="289"/>
      <c r="O25" s="289"/>
      <c r="P25" s="289"/>
      <c r="Q25" s="289"/>
    </row>
    <row r="26" spans="3:17">
      <c r="C26" s="246" t="s">
        <v>1903</v>
      </c>
      <c r="H26" s="292"/>
      <c r="I26" s="292"/>
      <c r="J26" s="292"/>
      <c r="K26" s="289">
        <f>-BS_Calc!L61</f>
        <v>0</v>
      </c>
      <c r="L26" s="289">
        <f>-BS_Calc!M61</f>
        <v>0</v>
      </c>
      <c r="M26" s="289">
        <f>-BS_Calc!N61</f>
        <v>0</v>
      </c>
      <c r="N26" s="289">
        <f>-BS_Calc!O61</f>
        <v>0</v>
      </c>
      <c r="O26" s="289">
        <f>-BS_Calc!P61</f>
        <v>0</v>
      </c>
      <c r="P26" s="289">
        <f>-BS_Calc!Q61</f>
        <v>0</v>
      </c>
      <c r="Q26" s="289">
        <f>-BS_Calc!R61</f>
        <v>0</v>
      </c>
    </row>
    <row r="27" spans="3:17">
      <c r="C27" s="293"/>
      <c r="D27" s="293"/>
      <c r="E27" s="293"/>
      <c r="F27" s="293"/>
      <c r="G27" s="294"/>
      <c r="H27" s="295"/>
      <c r="I27" s="296"/>
      <c r="J27" s="296"/>
      <c r="K27" s="296"/>
      <c r="L27" s="296"/>
      <c r="M27" s="296"/>
      <c r="N27" s="296"/>
      <c r="O27" s="289"/>
      <c r="P27" s="289"/>
      <c r="Q27" s="289"/>
    </row>
    <row r="28" spans="3:17">
      <c r="C28" s="297" t="s">
        <v>1926</v>
      </c>
      <c r="D28" s="298"/>
      <c r="E28" s="298"/>
      <c r="F28" s="298"/>
      <c r="G28" s="299"/>
      <c r="H28" s="299" t="str">
        <f>IS!I7</f>
        <v>FY22</v>
      </c>
      <c r="I28" s="299" t="str">
        <f>IS!J7</f>
        <v>FY23</v>
      </c>
      <c r="J28" s="299" t="str">
        <f>IS!K7</f>
        <v>YTD24</v>
      </c>
      <c r="K28" s="299" t="str">
        <f>IS!L7</f>
        <v>YTG24</v>
      </c>
      <c r="L28" s="299" t="str">
        <f>IS!M7</f>
        <v>FY24</v>
      </c>
      <c r="M28" s="299" t="str">
        <f>IS!N7</f>
        <v>FY25</v>
      </c>
      <c r="N28" s="299" t="str">
        <f>IS!O7</f>
        <v>FY26</v>
      </c>
      <c r="O28" s="299" t="str">
        <f>IS!P7</f>
        <v>FY27</v>
      </c>
      <c r="P28" s="299" t="str">
        <f>IS!Q7</f>
        <v>FY28</v>
      </c>
      <c r="Q28" s="300" t="str">
        <f>IS!R7</f>
        <v>FY29</v>
      </c>
    </row>
    <row r="29" spans="3:17">
      <c r="C29" s="301" t="str">
        <f>IS!C72</f>
        <v>Revenue growth</v>
      </c>
      <c r="D29" s="293"/>
      <c r="E29" s="293"/>
      <c r="F29" s="293"/>
      <c r="G29" s="302"/>
      <c r="H29" s="303"/>
      <c r="I29" s="304">
        <f>IS!J72</f>
        <v>0</v>
      </c>
      <c r="J29" s="304">
        <f>IS!K72</f>
        <v>0</v>
      </c>
      <c r="K29" s="305">
        <f>IS!L72</f>
        <v>0</v>
      </c>
      <c r="L29" s="305">
        <f>IS!M72</f>
        <v>0</v>
      </c>
      <c r="M29" s="305">
        <f>IS!N72</f>
        <v>0</v>
      </c>
      <c r="N29" s="305">
        <f>IS!O72</f>
        <v>0</v>
      </c>
      <c r="O29" s="305">
        <f>IS!P72</f>
        <v>0</v>
      </c>
      <c r="P29" s="305">
        <f>IS!Q72</f>
        <v>0</v>
      </c>
      <c r="Q29" s="306">
        <f>IS!R72</f>
        <v>0</v>
      </c>
    </row>
    <row r="30" spans="3:17">
      <c r="C30" s="301" t="str">
        <f>IS!C74</f>
        <v>Gross margins</v>
      </c>
      <c r="D30" s="293"/>
      <c r="E30" s="293"/>
      <c r="F30" s="293"/>
      <c r="G30" s="302"/>
      <c r="H30" s="302">
        <f>IS!I74</f>
        <v>0</v>
      </c>
      <c r="I30" s="305">
        <f>IS!J74</f>
        <v>0</v>
      </c>
      <c r="J30" s="305">
        <f>IS!K74</f>
        <v>0</v>
      </c>
      <c r="K30" s="305">
        <f>IS!L74</f>
        <v>0</v>
      </c>
      <c r="L30" s="305">
        <f>IS!M74</f>
        <v>0</v>
      </c>
      <c r="M30" s="305">
        <f>IS!N74</f>
        <v>0</v>
      </c>
      <c r="N30" s="305">
        <f>IS!O74</f>
        <v>0</v>
      </c>
      <c r="O30" s="305">
        <f>IS!P74</f>
        <v>0</v>
      </c>
      <c r="P30" s="305">
        <f>IS!Q74</f>
        <v>0</v>
      </c>
      <c r="Q30" s="306">
        <f>IS!R74</f>
        <v>0</v>
      </c>
    </row>
    <row r="31" spans="3:17">
      <c r="C31" s="301" t="str">
        <f>IS!C75</f>
        <v>OPEX as a % sales</v>
      </c>
      <c r="D31" s="293"/>
      <c r="E31" s="293"/>
      <c r="F31" s="293"/>
      <c r="G31" s="307"/>
      <c r="H31" s="302">
        <f>IS!I75</f>
        <v>0</v>
      </c>
      <c r="I31" s="302">
        <f>IS!J75</f>
        <v>0</v>
      </c>
      <c r="J31" s="302">
        <f>IS!K75</f>
        <v>0</v>
      </c>
      <c r="K31" s="302">
        <f>IS!L75</f>
        <v>0</v>
      </c>
      <c r="L31" s="302">
        <f>IS!M75</f>
        <v>0</v>
      </c>
      <c r="M31" s="302">
        <f>IS!N75</f>
        <v>0</v>
      </c>
      <c r="N31" s="302">
        <f>IS!O75</f>
        <v>0</v>
      </c>
      <c r="O31" s="302">
        <f>IS!P75</f>
        <v>0</v>
      </c>
      <c r="P31" s="302">
        <f>IS!Q75</f>
        <v>0</v>
      </c>
      <c r="Q31" s="308">
        <f>IS!R75</f>
        <v>0</v>
      </c>
    </row>
    <row r="32" spans="3:17">
      <c r="C32" s="301" t="str">
        <f>IS!C76</f>
        <v>EBITDA margin</v>
      </c>
      <c r="D32" s="293"/>
      <c r="E32" s="293"/>
      <c r="F32" s="293"/>
      <c r="G32" s="307"/>
      <c r="H32" s="302">
        <f>IS!I76</f>
        <v>0</v>
      </c>
      <c r="I32" s="302">
        <f>IS!J76</f>
        <v>0</v>
      </c>
      <c r="J32" s="302">
        <f>IS!K76</f>
        <v>0</v>
      </c>
      <c r="K32" s="302">
        <f>IS!L76</f>
        <v>0</v>
      </c>
      <c r="L32" s="302">
        <f>IS!M76</f>
        <v>0</v>
      </c>
      <c r="M32" s="302">
        <f>IS!N76</f>
        <v>0</v>
      </c>
      <c r="N32" s="302">
        <f>IS!O76</f>
        <v>0</v>
      </c>
      <c r="O32" s="302">
        <f>IS!P76</f>
        <v>0</v>
      </c>
      <c r="P32" s="302">
        <f>IS!Q76</f>
        <v>0</v>
      </c>
      <c r="Q32" s="308">
        <f>IS!R76</f>
        <v>0</v>
      </c>
    </row>
    <row r="33" spans="3:17">
      <c r="C33" s="301" t="str">
        <f>IS!C77</f>
        <v>D&amp;A as a % of sales</v>
      </c>
      <c r="D33" s="293"/>
      <c r="E33" s="293"/>
      <c r="F33" s="293"/>
      <c r="G33" s="302"/>
      <c r="H33" s="302">
        <f>IS!I77</f>
        <v>0</v>
      </c>
      <c r="I33" s="304">
        <f>IS!J77</f>
        <v>0</v>
      </c>
      <c r="J33" s="304">
        <f>IS!K77</f>
        <v>0</v>
      </c>
      <c r="K33" s="305">
        <f>IS!L77</f>
        <v>0</v>
      </c>
      <c r="L33" s="305">
        <f ca="1">IS!M77</f>
        <v>0</v>
      </c>
      <c r="M33" s="305">
        <f ca="1">IS!N77</f>
        <v>0</v>
      </c>
      <c r="N33" s="305">
        <f ca="1">IS!O77</f>
        <v>0</v>
      </c>
      <c r="O33" s="305">
        <f ca="1">IS!P77</f>
        <v>0</v>
      </c>
      <c r="P33" s="305">
        <f ca="1">IS!Q77</f>
        <v>0</v>
      </c>
      <c r="Q33" s="306">
        <f ca="1">IS!R77</f>
        <v>0</v>
      </c>
    </row>
    <row r="34" spans="3:17">
      <c r="C34" s="309" t="str">
        <f>IS!C78</f>
        <v>Net margin</v>
      </c>
      <c r="D34" s="310"/>
      <c r="E34" s="310"/>
      <c r="F34" s="310"/>
      <c r="G34" s="311"/>
      <c r="H34" s="311">
        <f>IS!I78</f>
        <v>0</v>
      </c>
      <c r="I34" s="311">
        <f>IS!J78</f>
        <v>0</v>
      </c>
      <c r="J34" s="312">
        <f>IS!K78</f>
        <v>0</v>
      </c>
      <c r="K34" s="313">
        <f>IS!L78</f>
        <v>0</v>
      </c>
      <c r="L34" s="313">
        <f ca="1">IS!M78</f>
        <v>0</v>
      </c>
      <c r="M34" s="313">
        <f ca="1">IS!N78</f>
        <v>0</v>
      </c>
      <c r="N34" s="313">
        <f ca="1">IS!O78</f>
        <v>0</v>
      </c>
      <c r="O34" s="313">
        <f ca="1">IS!P78</f>
        <v>0</v>
      </c>
      <c r="P34" s="313">
        <f ca="1">IS!Q78</f>
        <v>0</v>
      </c>
      <c r="Q34" s="314">
        <f ca="1">IS!R78</f>
        <v>0</v>
      </c>
    </row>
  </sheetData>
  <pageMargins left="0.7" right="0.7" top="0.75" bottom="0.75" header="0.3" footer="0.3"/>
  <pageSetup scale="57"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14FFE-22E3-4248-82D6-8D2823FF2DA5}">
  <sheetPr>
    <tabColor rgb="FFD7EEF1"/>
  </sheetPr>
  <dimension ref="A2:AK107"/>
  <sheetViews>
    <sheetView showGridLines="0" topLeftCell="K1" zoomScale="80" workbookViewId="0">
      <selection activeCell="U16" sqref="U16"/>
    </sheetView>
  </sheetViews>
  <sheetFormatPr defaultColWidth="0" defaultRowHeight="15.5"/>
  <cols>
    <col min="1" max="1" width="1.61328125" style="254" customWidth="1"/>
    <col min="2" max="14" width="8.69140625" style="254" customWidth="1"/>
    <col min="15" max="15" width="25.84375" style="371" bestFit="1" customWidth="1"/>
    <col min="16" max="16" width="9.3828125" style="372" bestFit="1" customWidth="1"/>
    <col min="17" max="17" width="8.4609375" style="372" bestFit="1" customWidth="1"/>
    <col min="18" max="18" width="9.3828125" style="372" bestFit="1" customWidth="1"/>
    <col min="19" max="19" width="10.61328125" style="372" bestFit="1" customWidth="1"/>
    <col min="20" max="20" width="8.4609375" style="372" bestFit="1" customWidth="1"/>
    <col min="21" max="26" width="9.15234375" style="372" bestFit="1" customWidth="1"/>
    <col min="27" max="27" width="8.69140625" style="254" customWidth="1"/>
    <col min="28" max="37" width="0" style="254" hidden="1" customWidth="1"/>
    <col min="38" max="16384" width="8.69140625" style="254" hidden="1"/>
  </cols>
  <sheetData>
    <row r="2" spans="2:26">
      <c r="B2" s="369" t="s">
        <v>2328</v>
      </c>
      <c r="C2" s="370"/>
    </row>
    <row r="3" spans="2:26">
      <c r="B3" s="373" t="s">
        <v>2184</v>
      </c>
      <c r="C3" s="374"/>
    </row>
    <row r="4" spans="2:26">
      <c r="B4" s="375" t="s">
        <v>2333</v>
      </c>
      <c r="C4" s="376"/>
      <c r="D4" s="376"/>
      <c r="E4" s="376"/>
      <c r="F4" s="376"/>
      <c r="G4" s="376"/>
      <c r="H4" s="376"/>
      <c r="I4" s="376"/>
      <c r="J4" s="376"/>
    </row>
    <row r="5" spans="2:26">
      <c r="B5" s="377"/>
      <c r="C5" s="378"/>
    </row>
    <row r="6" spans="2:26">
      <c r="B6" s="379" t="s">
        <v>2241</v>
      </c>
      <c r="C6" s="380"/>
      <c r="D6" s="381"/>
      <c r="E6" s="381"/>
      <c r="F6" s="381"/>
      <c r="G6" s="381"/>
      <c r="H6" s="381"/>
      <c r="I6" s="381"/>
      <c r="J6" s="381"/>
      <c r="K6" s="381"/>
      <c r="L6" s="381"/>
      <c r="M6" s="381"/>
      <c r="N6" s="381"/>
      <c r="O6" s="382"/>
      <c r="P6" s="383"/>
      <c r="Q6" s="383"/>
      <c r="R6" s="383"/>
      <c r="S6" s="383"/>
      <c r="T6" s="383"/>
      <c r="U6" s="383"/>
      <c r="V6" s="383"/>
      <c r="W6" s="383"/>
      <c r="X6" s="383"/>
      <c r="Y6" s="383"/>
      <c r="Z6" s="383"/>
    </row>
    <row r="7" spans="2:26">
      <c r="B7" s="377"/>
      <c r="C7" s="378"/>
    </row>
    <row r="8" spans="2:26">
      <c r="B8" s="377"/>
      <c r="C8" s="378"/>
      <c r="O8" s="384" t="s">
        <v>1476</v>
      </c>
      <c r="P8" s="385" t="s">
        <v>215</v>
      </c>
      <c r="Q8" s="385" t="s">
        <v>2245</v>
      </c>
      <c r="R8" s="386" t="s">
        <v>216</v>
      </c>
      <c r="T8" s="254"/>
      <c r="U8" s="372" t="str">
        <f>"Amounts in "&amp;currency.heading1</f>
        <v>Amounts in USD 'Units</v>
      </c>
    </row>
    <row r="9" spans="2:26">
      <c r="B9" s="377"/>
      <c r="C9" s="378"/>
      <c r="O9" s="387" t="s">
        <v>2242</v>
      </c>
      <c r="P9" s="388" t="e">
        <f ca="1">DCF!K34</f>
        <v>#NAME?</v>
      </c>
      <c r="Q9" s="389" t="e">
        <f ca="1">R9-P9</f>
        <v>#NAME?</v>
      </c>
      <c r="R9" s="390" t="e">
        <f ca="1">DCF!L34</f>
        <v>#NAME?</v>
      </c>
      <c r="T9" s="254"/>
      <c r="U9" s="372" t="str">
        <f>"Revenues in "&amp;currency.heading1</f>
        <v>Revenues in USD 'Units</v>
      </c>
    </row>
    <row r="10" spans="2:26">
      <c r="B10" s="377"/>
      <c r="C10" s="378"/>
      <c r="O10" s="387" t="s">
        <v>2244</v>
      </c>
      <c r="P10" s="388">
        <f>ValSum!D65</f>
        <v>0</v>
      </c>
      <c r="Q10" s="389">
        <f>R10-P10</f>
        <v>0</v>
      </c>
      <c r="R10" s="390">
        <f>ValSum!F65</f>
        <v>0</v>
      </c>
      <c r="T10" s="254"/>
      <c r="U10" s="372" t="str">
        <f>"Direct Costs in "&amp;currency.heading1</f>
        <v>Direct Costs in USD 'Units</v>
      </c>
    </row>
    <row r="11" spans="2:26">
      <c r="B11" s="377"/>
      <c r="C11" s="378"/>
      <c r="O11" s="391" t="s">
        <v>2243</v>
      </c>
      <c r="P11" s="392">
        <f>ValSum!D74</f>
        <v>0</v>
      </c>
      <c r="Q11" s="393">
        <f>R11-P11</f>
        <v>0</v>
      </c>
      <c r="R11" s="394">
        <f>ValSum!F74</f>
        <v>0</v>
      </c>
      <c r="T11" s="254"/>
      <c r="U11" s="372" t="str">
        <f>"Working Capital Balance in "&amp;currency.heading1&amp;" &amp; as a % of Revenue"</f>
        <v>Working Capital Balance in USD 'Units &amp; as a % of Revenue</v>
      </c>
    </row>
    <row r="12" spans="2:26">
      <c r="B12" s="377"/>
      <c r="C12" s="378"/>
      <c r="T12" s="254"/>
      <c r="U12" s="372" t="str">
        <f>"Capital Expenditure in "&amp;currency.heading1</f>
        <v>Capital Expenditure in USD 'Units</v>
      </c>
    </row>
    <row r="13" spans="2:26">
      <c r="B13" s="377"/>
      <c r="C13" s="378"/>
      <c r="O13" s="384" t="s">
        <v>2246</v>
      </c>
      <c r="P13" s="385" t="s">
        <v>215</v>
      </c>
      <c r="Q13" s="385" t="s">
        <v>2245</v>
      </c>
      <c r="R13" s="386" t="s">
        <v>216</v>
      </c>
      <c r="T13" s="254"/>
    </row>
    <row r="14" spans="2:26">
      <c r="B14" s="377"/>
      <c r="C14" s="378"/>
      <c r="O14" s="387" t="s">
        <v>2242</v>
      </c>
      <c r="P14" s="388"/>
      <c r="Q14" s="389">
        <f>R14-P14</f>
        <v>0</v>
      </c>
      <c r="R14" s="390"/>
      <c r="T14" s="254"/>
    </row>
    <row r="15" spans="2:26">
      <c r="B15" s="377"/>
      <c r="C15" s="378"/>
      <c r="O15" s="387" t="s">
        <v>2244</v>
      </c>
      <c r="P15" s="388"/>
      <c r="Q15" s="389">
        <f>R15-P15</f>
        <v>0</v>
      </c>
      <c r="R15" s="390"/>
      <c r="T15" s="254"/>
    </row>
    <row r="16" spans="2:26">
      <c r="B16" s="377"/>
      <c r="C16" s="378"/>
      <c r="O16" s="391" t="s">
        <v>2243</v>
      </c>
      <c r="P16" s="392"/>
      <c r="Q16" s="393">
        <f>R16-P16</f>
        <v>0</v>
      </c>
      <c r="R16" s="394"/>
      <c r="T16" s="254"/>
    </row>
    <row r="17" spans="2:26">
      <c r="B17" s="377"/>
      <c r="C17" s="378"/>
      <c r="T17" s="254"/>
    </row>
    <row r="18" spans="2:26">
      <c r="B18" s="377"/>
      <c r="C18" s="378"/>
      <c r="T18" s="254"/>
    </row>
    <row r="19" spans="2:26">
      <c r="B19" s="377"/>
      <c r="C19" s="378"/>
      <c r="O19" s="384" t="s">
        <v>1476</v>
      </c>
      <c r="P19" s="385" t="s">
        <v>215</v>
      </c>
      <c r="Q19" s="385" t="s">
        <v>2245</v>
      </c>
      <c r="R19" s="386" t="s">
        <v>216</v>
      </c>
      <c r="T19" s="254"/>
    </row>
    <row r="20" spans="2:26">
      <c r="B20" s="377"/>
      <c r="C20" s="378"/>
      <c r="O20" s="387" t="s">
        <v>2263</v>
      </c>
      <c r="P20" s="388" t="e">
        <f ca="1">ValSum!D84</f>
        <v>#NAME?</v>
      </c>
      <c r="Q20" s="389" t="e">
        <f ca="1">R20-P20</f>
        <v>#NAME?</v>
      </c>
      <c r="R20" s="390" t="e">
        <f ca="1">ValSum!F84</f>
        <v>#NAME?</v>
      </c>
      <c r="T20" s="254"/>
    </row>
    <row r="21" spans="2:26">
      <c r="B21" s="377"/>
      <c r="C21" s="378"/>
      <c r="O21" s="395" t="s">
        <v>2334</v>
      </c>
      <c r="P21" s="396"/>
      <c r="Q21" s="396">
        <f>R21-P21</f>
        <v>0</v>
      </c>
      <c r="R21" s="397"/>
      <c r="T21" s="254"/>
    </row>
    <row r="22" spans="2:26">
      <c r="B22" s="377"/>
      <c r="C22" s="378"/>
      <c r="T22" s="254"/>
    </row>
    <row r="23" spans="2:26">
      <c r="B23" s="377"/>
      <c r="C23" s="378"/>
      <c r="O23" s="384" t="s">
        <v>2246</v>
      </c>
      <c r="P23" s="385" t="s">
        <v>215</v>
      </c>
      <c r="Q23" s="385" t="s">
        <v>2245</v>
      </c>
      <c r="R23" s="386" t="s">
        <v>216</v>
      </c>
      <c r="T23" s="254"/>
    </row>
    <row r="24" spans="2:26">
      <c r="B24" s="377"/>
      <c r="C24" s="378"/>
      <c r="O24" s="387" t="s">
        <v>2242</v>
      </c>
      <c r="P24" s="388"/>
      <c r="Q24" s="389">
        <f>R24-P24</f>
        <v>0</v>
      </c>
      <c r="R24" s="390"/>
      <c r="T24" s="254"/>
    </row>
    <row r="25" spans="2:26">
      <c r="B25" s="377"/>
      <c r="C25" s="378"/>
      <c r="O25" s="395" t="str">
        <f>O21</f>
        <v>Valify Case</v>
      </c>
      <c r="P25" s="396"/>
      <c r="Q25" s="396">
        <f>R25-P25</f>
        <v>0</v>
      </c>
      <c r="R25" s="397"/>
      <c r="T25" s="254"/>
    </row>
    <row r="26" spans="2:26">
      <c r="B26" s="377"/>
      <c r="C26" s="378"/>
    </row>
    <row r="27" spans="2:26">
      <c r="B27" s="377"/>
      <c r="C27" s="378"/>
    </row>
    <row r="28" spans="2:26">
      <c r="B28" s="379" t="s">
        <v>2224</v>
      </c>
      <c r="C28" s="380"/>
      <c r="D28" s="381"/>
      <c r="E28" s="381"/>
      <c r="F28" s="381"/>
      <c r="G28" s="381"/>
      <c r="H28" s="381"/>
      <c r="I28" s="381"/>
      <c r="J28" s="381"/>
      <c r="K28" s="381"/>
      <c r="L28" s="381"/>
      <c r="M28" s="381"/>
      <c r="N28" s="381"/>
      <c r="O28" s="382"/>
      <c r="P28" s="383"/>
      <c r="Q28" s="383"/>
      <c r="R28" s="383"/>
      <c r="S28" s="383"/>
      <c r="T28" s="383"/>
      <c r="U28" s="383"/>
      <c r="V28" s="383"/>
      <c r="W28" s="383"/>
      <c r="X28" s="383"/>
      <c r="Y28" s="383"/>
      <c r="Z28" s="383"/>
    </row>
    <row r="29" spans="2:26">
      <c r="B29" s="398"/>
      <c r="C29" s="378"/>
    </row>
    <row r="30" spans="2:26">
      <c r="O30" s="384" t="s">
        <v>2225</v>
      </c>
      <c r="P30" s="385" t="str">
        <f>IS!H7</f>
        <v>FY21</v>
      </c>
      <c r="Q30" s="385" t="str">
        <f>IS!I7</f>
        <v>FY22</v>
      </c>
      <c r="R30" s="385" t="str">
        <f>IS!J7</f>
        <v>FY23</v>
      </c>
      <c r="S30" s="385" t="str">
        <f>IS!K7</f>
        <v>YTD24</v>
      </c>
      <c r="T30" s="385" t="str">
        <f>IS!L7</f>
        <v>YTG24</v>
      </c>
      <c r="U30" s="385" t="str">
        <f>IS!M7</f>
        <v>FY24</v>
      </c>
      <c r="V30" s="385" t="str">
        <f>IS!N7</f>
        <v>FY25</v>
      </c>
      <c r="W30" s="385" t="str">
        <f>IS!O7</f>
        <v>FY26</v>
      </c>
      <c r="X30" s="385" t="str">
        <f>IS!P7</f>
        <v>FY27</v>
      </c>
      <c r="Y30" s="385" t="str">
        <f>IS!Q7</f>
        <v>FY28</v>
      </c>
      <c r="Z30" s="399" t="str">
        <f>IS!R7</f>
        <v>FY29</v>
      </c>
    </row>
    <row r="31" spans="2:26">
      <c r="O31" s="387" t="s">
        <v>2284</v>
      </c>
      <c r="P31" s="411">
        <f>IS_Calcs!H72</f>
        <v>0</v>
      </c>
      <c r="Q31" s="411">
        <f>IS_Calcs!I72</f>
        <v>0</v>
      </c>
      <c r="R31" s="411">
        <f>IS_Calcs!J72</f>
        <v>0</v>
      </c>
      <c r="S31" s="411">
        <f>IS_Calcs!K72</f>
        <v>0</v>
      </c>
      <c r="T31" s="411" t="e">
        <f>IS_Calcs!L72</f>
        <v>#DIV/0!</v>
      </c>
      <c r="U31" s="411" t="e">
        <f>IS_Calcs!M72</f>
        <v>#DIV/0!</v>
      </c>
      <c r="V31" s="411" t="e">
        <f>IS_Calcs!N72</f>
        <v>#DIV/0!</v>
      </c>
      <c r="W31" s="411">
        <f>IS_Calcs!O72</f>
        <v>0.4073743890220789</v>
      </c>
      <c r="X31" s="411">
        <f>IS_Calcs!P72</f>
        <v>0.24234183206450213</v>
      </c>
      <c r="Y31" s="411">
        <f>IS_Calcs!Q72</f>
        <v>0.18109190474293105</v>
      </c>
      <c r="Z31" s="412">
        <f>IS_Calcs!R72</f>
        <v>0.13322912034697612</v>
      </c>
    </row>
    <row r="32" spans="2:26">
      <c r="O32" s="387" t="s">
        <v>2285</v>
      </c>
      <c r="P32" s="411">
        <f>IS_Calcs!H73</f>
        <v>0</v>
      </c>
      <c r="Q32" s="411">
        <f>IS_Calcs!I73</f>
        <v>0</v>
      </c>
      <c r="R32" s="411">
        <f>IS_Calcs!J73</f>
        <v>0</v>
      </c>
      <c r="S32" s="411">
        <f>IS_Calcs!K73</f>
        <v>0</v>
      </c>
      <c r="T32" s="411" t="e">
        <f>IS_Calcs!L73</f>
        <v>#DIV/0!</v>
      </c>
      <c r="U32" s="411" t="e">
        <f>IS_Calcs!M73</f>
        <v>#DIV/0!</v>
      </c>
      <c r="V32" s="411" t="e">
        <f>IS_Calcs!N73</f>
        <v>#DIV/0!</v>
      </c>
      <c r="W32" s="411" t="e">
        <f>IS_Calcs!O73</f>
        <v>#DIV/0!</v>
      </c>
      <c r="X32" s="411" t="e">
        <f>IS_Calcs!P73</f>
        <v>#DIV/0!</v>
      </c>
      <c r="Y32" s="411" t="e">
        <f>IS_Calcs!Q73</f>
        <v>#DIV/0!</v>
      </c>
      <c r="Z32" s="412" t="e">
        <f>IS_Calcs!R73</f>
        <v>#DIV/0!</v>
      </c>
    </row>
    <row r="33" spans="15:36">
      <c r="O33" s="391" t="s">
        <v>2286</v>
      </c>
      <c r="P33" s="414">
        <f>IS_Calcs!H74</f>
        <v>0</v>
      </c>
      <c r="Q33" s="414">
        <f>IS_Calcs!I74</f>
        <v>0</v>
      </c>
      <c r="R33" s="414">
        <f>IS_Calcs!J74</f>
        <v>0</v>
      </c>
      <c r="S33" s="414">
        <f>IS_Calcs!K74</f>
        <v>0</v>
      </c>
      <c r="T33" s="414" t="e">
        <f>IS_Calcs!L74</f>
        <v>#DIV/0!</v>
      </c>
      <c r="U33" s="414" t="e">
        <f>IS_Calcs!M74</f>
        <v>#DIV/0!</v>
      </c>
      <c r="V33" s="414" t="e">
        <f>IS_Calcs!N74</f>
        <v>#DIV/0!</v>
      </c>
      <c r="W33" s="414" t="e">
        <f>IS_Calcs!O74</f>
        <v>#DIV/0!</v>
      </c>
      <c r="X33" s="414" t="e">
        <f>IS_Calcs!P74</f>
        <v>#DIV/0!</v>
      </c>
      <c r="Y33" s="414" t="e">
        <f>IS_Calcs!Q74</f>
        <v>#DIV/0!</v>
      </c>
      <c r="Z33" s="415" t="e">
        <f>IS_Calcs!R74</f>
        <v>#DIV/0!</v>
      </c>
    </row>
    <row r="35" spans="15:36">
      <c r="O35" s="384" t="s">
        <v>2227</v>
      </c>
      <c r="P35" s="385" t="str">
        <f t="shared" ref="P35" si="0">P30</f>
        <v>FY21</v>
      </c>
      <c r="Q35" s="385" t="str">
        <f t="shared" ref="Q35:Z35" si="1">Q30</f>
        <v>FY22</v>
      </c>
      <c r="R35" s="385" t="str">
        <f t="shared" si="1"/>
        <v>FY23</v>
      </c>
      <c r="S35" s="385" t="str">
        <f t="shared" si="1"/>
        <v>YTD24</v>
      </c>
      <c r="T35" s="385" t="str">
        <f t="shared" si="1"/>
        <v>YTG24</v>
      </c>
      <c r="U35" s="385" t="str">
        <f t="shared" si="1"/>
        <v>FY24</v>
      </c>
      <c r="V35" s="385" t="str">
        <f t="shared" si="1"/>
        <v>FY25</v>
      </c>
      <c r="W35" s="385" t="str">
        <f t="shared" si="1"/>
        <v>FY26</v>
      </c>
      <c r="X35" s="385" t="str">
        <f t="shared" si="1"/>
        <v>FY27</v>
      </c>
      <c r="Y35" s="385" t="str">
        <f t="shared" si="1"/>
        <v>FY28</v>
      </c>
      <c r="Z35" s="386" t="str">
        <f t="shared" si="1"/>
        <v>FY29</v>
      </c>
    </row>
    <row r="36" spans="15:36">
      <c r="O36" s="387" t="str">
        <f>IS_Calcs!C46</f>
        <v>Revenue Aerial Arts</v>
      </c>
      <c r="P36" s="411">
        <f>IFERROR((IS_Calcs!H46/IS_Calcs!H$69),0)</f>
        <v>0</v>
      </c>
      <c r="Q36" s="411">
        <f>IFERROR((IS_Calcs!I46/IS_Calcs!I$69),0)</f>
        <v>0</v>
      </c>
      <c r="R36" s="411">
        <f>IFERROR((IS_Calcs!J46/IS_Calcs!J$69),0)</f>
        <v>0</v>
      </c>
      <c r="S36" s="411">
        <f>IFERROR((IS_Calcs!K46/IS_Calcs!K$69),0)</f>
        <v>0</v>
      </c>
      <c r="T36" s="411">
        <f>IFERROR((IS_Calcs!L46/IS_Calcs!L$69),0)</f>
        <v>0</v>
      </c>
      <c r="U36" s="411">
        <f>IFERROR((IS_Calcs!M46/IS_Calcs!M$69),0)</f>
        <v>0</v>
      </c>
      <c r="V36" s="411">
        <f>IFERROR((IS_Calcs!N46/IS_Calcs!N$69),0)</f>
        <v>0</v>
      </c>
      <c r="W36" s="411">
        <f>IFERROR((IS_Calcs!O46/IS_Calcs!O$69),0)</f>
        <v>0</v>
      </c>
      <c r="X36" s="411">
        <f>IFERROR((IS_Calcs!P46/IS_Calcs!P$69),0)</f>
        <v>0</v>
      </c>
      <c r="Y36" s="411">
        <f>IFERROR((IS_Calcs!Q46/IS_Calcs!Q$69),0)</f>
        <v>0</v>
      </c>
      <c r="Z36" s="412">
        <f>IFERROR((IS_Calcs!R46/IS_Calcs!R$69),0)</f>
        <v>0</v>
      </c>
    </row>
    <row r="37" spans="15:36">
      <c r="O37" s="387" t="str">
        <f>IS_Calcs!C47</f>
        <v>Revenue Pole Dance</v>
      </c>
      <c r="P37" s="411">
        <f>IFERROR((IS_Calcs!H47/IS_Calcs!H$69),0)</f>
        <v>0</v>
      </c>
      <c r="Q37" s="411">
        <f>IFERROR((IS_Calcs!I47/IS_Calcs!I$69),0)</f>
        <v>0</v>
      </c>
      <c r="R37" s="411">
        <f>IFERROR((IS_Calcs!J47/IS_Calcs!J$69),0)</f>
        <v>0</v>
      </c>
      <c r="S37" s="411">
        <f>IFERROR((IS_Calcs!K47/IS_Calcs!K$69),0)</f>
        <v>0</v>
      </c>
      <c r="T37" s="411">
        <f>IFERROR((IS_Calcs!L47/IS_Calcs!L$69),0)</f>
        <v>0</v>
      </c>
      <c r="U37" s="411">
        <f>IFERROR((IS_Calcs!M47/IS_Calcs!M$69),0)</f>
        <v>0</v>
      </c>
      <c r="V37" s="411">
        <f>IFERROR((IS_Calcs!N47/IS_Calcs!N$69),0)</f>
        <v>0</v>
      </c>
      <c r="W37" s="411">
        <f>IFERROR((IS_Calcs!O47/IS_Calcs!O$69),0)</f>
        <v>0</v>
      </c>
      <c r="X37" s="411">
        <f>IFERROR((IS_Calcs!P47/IS_Calcs!P$69),0)</f>
        <v>0</v>
      </c>
      <c r="Y37" s="411">
        <f>IFERROR((IS_Calcs!Q47/IS_Calcs!Q$69),0)</f>
        <v>0</v>
      </c>
      <c r="Z37" s="412">
        <f>IFERROR((IS_Calcs!R47/IS_Calcs!R$69),0)</f>
        <v>0</v>
      </c>
    </row>
    <row r="38" spans="15:36">
      <c r="O38" s="387" t="str">
        <f>IS_Calcs!C48</f>
        <v>Revenue Stretching</v>
      </c>
      <c r="P38" s="411">
        <f>IFERROR((IS_Calcs!H48/IS_Calcs!H$69),0)</f>
        <v>0</v>
      </c>
      <c r="Q38" s="411">
        <f>IFERROR((IS_Calcs!I48/IS_Calcs!I$69),0)</f>
        <v>0</v>
      </c>
      <c r="R38" s="411">
        <f>IFERROR((IS_Calcs!J48/IS_Calcs!J$69),0)</f>
        <v>0</v>
      </c>
      <c r="S38" s="411">
        <f>IFERROR((IS_Calcs!K48/IS_Calcs!K$69),0)</f>
        <v>0</v>
      </c>
      <c r="T38" s="411">
        <f>IFERROR((IS_Calcs!L48/IS_Calcs!L$69),0)</f>
        <v>0</v>
      </c>
      <c r="U38" s="411">
        <f>IFERROR((IS_Calcs!M48/IS_Calcs!M$69),0)</f>
        <v>0</v>
      </c>
      <c r="V38" s="411">
        <f>IFERROR((IS_Calcs!N48/IS_Calcs!N$69),0)</f>
        <v>0</v>
      </c>
      <c r="W38" s="411">
        <f>IFERROR((IS_Calcs!O48/IS_Calcs!O$69),0)</f>
        <v>0</v>
      </c>
      <c r="X38" s="411">
        <f>IFERROR((IS_Calcs!P48/IS_Calcs!P$69),0)</f>
        <v>0</v>
      </c>
      <c r="Y38" s="411">
        <f>IFERROR((IS_Calcs!Q48/IS_Calcs!Q$69),0)</f>
        <v>0</v>
      </c>
      <c r="Z38" s="412">
        <f>IFERROR((IS_Calcs!R48/IS_Calcs!R$69),0)</f>
        <v>0</v>
      </c>
      <c r="AA38" s="402"/>
      <c r="AB38" s="403"/>
      <c r="AC38" s="403"/>
      <c r="AD38" s="403"/>
      <c r="AE38" s="403"/>
      <c r="AF38" s="403"/>
      <c r="AG38" s="403"/>
      <c r="AH38" s="403"/>
      <c r="AI38" s="403"/>
      <c r="AJ38" s="403"/>
    </row>
    <row r="39" spans="15:36">
      <c r="O39" s="387" t="str">
        <f>IS_Calcs!C49</f>
        <v>Revenue NA</v>
      </c>
      <c r="P39" s="411">
        <f>IFERROR((IS_Calcs!H49/IS_Calcs!H$69),0)</f>
        <v>0</v>
      </c>
      <c r="Q39" s="411">
        <f>IFERROR((IS_Calcs!I49/IS_Calcs!I$69),0)</f>
        <v>0</v>
      </c>
      <c r="R39" s="411">
        <f>IFERROR((IS_Calcs!J49/IS_Calcs!J$69),0)</f>
        <v>0</v>
      </c>
      <c r="S39" s="411">
        <f>IFERROR((IS_Calcs!K49/IS_Calcs!K$69),0)</f>
        <v>0</v>
      </c>
      <c r="T39" s="411">
        <f>IFERROR((IS_Calcs!L49/IS_Calcs!L$69),0)</f>
        <v>0</v>
      </c>
      <c r="U39" s="411">
        <f>IFERROR((IS_Calcs!M49/IS_Calcs!M$69),0)</f>
        <v>0</v>
      </c>
      <c r="V39" s="411">
        <f>IFERROR((IS_Calcs!N49/IS_Calcs!N$69),0)</f>
        <v>0</v>
      </c>
      <c r="W39" s="411">
        <f>IFERROR((IS_Calcs!O49/IS_Calcs!O$69),0)</f>
        <v>0</v>
      </c>
      <c r="X39" s="411">
        <f>IFERROR((IS_Calcs!P49/IS_Calcs!P$69),0)</f>
        <v>0</v>
      </c>
      <c r="Y39" s="411">
        <f>IFERROR((IS_Calcs!Q49/IS_Calcs!Q$69),0)</f>
        <v>0</v>
      </c>
      <c r="Z39" s="412">
        <f>IFERROR((IS_Calcs!R49/IS_Calcs!R$69),0)</f>
        <v>0</v>
      </c>
    </row>
    <row r="40" spans="15:36">
      <c r="O40" s="387" t="str">
        <f>IS_Calcs!C54</f>
        <v>Pipeline Corporate Clients</v>
      </c>
      <c r="P40" s="411">
        <f>IFERROR((IS_Calcs!H50/IS_Calcs!H$69),0)</f>
        <v>0</v>
      </c>
      <c r="Q40" s="411">
        <f>IFERROR((IS_Calcs!I50/IS_Calcs!I$69),0)</f>
        <v>0</v>
      </c>
      <c r="R40" s="411">
        <f>IFERROR((IS_Calcs!J50/IS_Calcs!J$69),0)</f>
        <v>0</v>
      </c>
      <c r="S40" s="411">
        <f>IFERROR((IS_Calcs!K50/IS_Calcs!K$69),0)</f>
        <v>0</v>
      </c>
      <c r="T40" s="411">
        <f>IFERROR((IS_Calcs!L50/IS_Calcs!L$69),0)</f>
        <v>0</v>
      </c>
      <c r="U40" s="411">
        <f>IFERROR((IS_Calcs!M50/IS_Calcs!M$69),0)</f>
        <v>0</v>
      </c>
      <c r="V40" s="411">
        <f>IFERROR((IS_Calcs!N50/IS_Calcs!N$69),0)</f>
        <v>0</v>
      </c>
      <c r="W40" s="411">
        <f>IFERROR((IS_Calcs!O50/IS_Calcs!O$69),0)</f>
        <v>0</v>
      </c>
      <c r="X40" s="411">
        <f>IFERROR((IS_Calcs!P50/IS_Calcs!P$69),0)</f>
        <v>0</v>
      </c>
      <c r="Y40" s="411">
        <f>IFERROR((IS_Calcs!Q50/IS_Calcs!Q$69),0)</f>
        <v>0</v>
      </c>
      <c r="Z40" s="412">
        <f>IFERROR((IS_Calcs!R50/IS_Calcs!R$69),0)</f>
        <v>0</v>
      </c>
    </row>
    <row r="41" spans="15:36">
      <c r="O41" s="387" t="str">
        <f>IS_Calcs!C55</f>
        <v>Pipeline NA</v>
      </c>
      <c r="P41" s="411">
        <f>IFERROR((IS_Calcs!H51/IS_Calcs!H$69),0)</f>
        <v>0</v>
      </c>
      <c r="Q41" s="411">
        <f>IFERROR((IS_Calcs!I51/IS_Calcs!I$69),0)</f>
        <v>0</v>
      </c>
      <c r="R41" s="411">
        <f>IFERROR((IS_Calcs!J51/IS_Calcs!J$69),0)</f>
        <v>0</v>
      </c>
      <c r="S41" s="411">
        <f>IFERROR((IS_Calcs!K51/IS_Calcs!K$69),0)</f>
        <v>0</v>
      </c>
      <c r="T41" s="411">
        <f>IFERROR((IS_Calcs!L51/IS_Calcs!L$69),0)</f>
        <v>0</v>
      </c>
      <c r="U41" s="411">
        <f>IFERROR((IS_Calcs!M51/IS_Calcs!M$69),0)</f>
        <v>0</v>
      </c>
      <c r="V41" s="411">
        <f>IFERROR((IS_Calcs!N51/IS_Calcs!N$69),0)</f>
        <v>0</v>
      </c>
      <c r="W41" s="411">
        <f>IFERROR((IS_Calcs!O51/IS_Calcs!O$69),0)</f>
        <v>0</v>
      </c>
      <c r="X41" s="411">
        <f>IFERROR((IS_Calcs!P51/IS_Calcs!P$69),0)</f>
        <v>0</v>
      </c>
      <c r="Y41" s="411">
        <f>IFERROR((IS_Calcs!Q51/IS_Calcs!Q$69),0)</f>
        <v>0</v>
      </c>
      <c r="Z41" s="412">
        <f>IFERROR((IS_Calcs!R51/IS_Calcs!R$69),0)</f>
        <v>0</v>
      </c>
    </row>
    <row r="42" spans="15:36">
      <c r="O42" s="387" t="str">
        <f>IS_Calcs!C56</f>
        <v>Pipeline NA</v>
      </c>
      <c r="P42" s="411">
        <f>IFERROR((IS_Calcs!H52/IS_Calcs!H$69),0)</f>
        <v>0</v>
      </c>
      <c r="Q42" s="411">
        <f>IFERROR((IS_Calcs!I52/IS_Calcs!I$69),0)</f>
        <v>0</v>
      </c>
      <c r="R42" s="411">
        <f>IFERROR((IS_Calcs!J52/IS_Calcs!J$69),0)</f>
        <v>0</v>
      </c>
      <c r="S42" s="411">
        <f>IFERROR((IS_Calcs!K52/IS_Calcs!K$69),0)</f>
        <v>0</v>
      </c>
      <c r="T42" s="411">
        <f>IFERROR((IS_Calcs!L52/IS_Calcs!L$69),0)</f>
        <v>0</v>
      </c>
      <c r="U42" s="411">
        <f>IFERROR((IS_Calcs!M52/IS_Calcs!M$69),0)</f>
        <v>0</v>
      </c>
      <c r="V42" s="411">
        <f>IFERROR((IS_Calcs!N52/IS_Calcs!N$69),0)</f>
        <v>0</v>
      </c>
      <c r="W42" s="411">
        <f>IFERROR((IS_Calcs!O52/IS_Calcs!O$69),0)</f>
        <v>0</v>
      </c>
      <c r="X42" s="411">
        <f>IFERROR((IS_Calcs!P52/IS_Calcs!P$69),0)</f>
        <v>0</v>
      </c>
      <c r="Y42" s="411">
        <f>IFERROR((IS_Calcs!Q52/IS_Calcs!Q$69),0)</f>
        <v>0</v>
      </c>
      <c r="Z42" s="412">
        <f>IFERROR((IS_Calcs!R52/IS_Calcs!R$69),0)</f>
        <v>0</v>
      </c>
    </row>
    <row r="43" spans="15:36">
      <c r="O43" s="387" t="str">
        <f>IS_Calcs!C57</f>
        <v>Pipeline NA</v>
      </c>
      <c r="P43" s="411">
        <f>IFERROR((IS_Calcs!H53/IS_Calcs!H$69),0)</f>
        <v>0</v>
      </c>
      <c r="Q43" s="411">
        <f>IFERROR((IS_Calcs!I53/IS_Calcs!I$69),0)</f>
        <v>0</v>
      </c>
      <c r="R43" s="411">
        <f>IFERROR((IS_Calcs!J53/IS_Calcs!J$69),0)</f>
        <v>0</v>
      </c>
      <c r="S43" s="411">
        <f>IFERROR((IS_Calcs!K53/IS_Calcs!K$69),0)</f>
        <v>0</v>
      </c>
      <c r="T43" s="411">
        <f>IFERROR((IS_Calcs!L53/IS_Calcs!L$69),0)</f>
        <v>0</v>
      </c>
      <c r="U43" s="411">
        <f>IFERROR((IS_Calcs!M53/IS_Calcs!M$69),0)</f>
        <v>0</v>
      </c>
      <c r="V43" s="411">
        <f>IFERROR((IS_Calcs!N53/IS_Calcs!N$69),0)</f>
        <v>0</v>
      </c>
      <c r="W43" s="411">
        <f>IFERROR((IS_Calcs!O53/IS_Calcs!O$69),0)</f>
        <v>0</v>
      </c>
      <c r="X43" s="411">
        <f>IFERROR((IS_Calcs!P53/IS_Calcs!P$69),0)</f>
        <v>0</v>
      </c>
      <c r="Y43" s="411">
        <f>IFERROR((IS_Calcs!Q53/IS_Calcs!Q$69),0)</f>
        <v>0</v>
      </c>
      <c r="Z43" s="412">
        <f>IFERROR((IS_Calcs!R53/IS_Calcs!R$69),0)</f>
        <v>0</v>
      </c>
    </row>
    <row r="44" spans="15:36">
      <c r="O44" s="387" t="str">
        <f>IS_Calcs!C62</f>
        <v>Potential Revenue Business Events</v>
      </c>
      <c r="P44" s="411">
        <f>IFERROR((IS_Calcs!H62/IS_Calcs!H$69),0)</f>
        <v>0</v>
      </c>
      <c r="Q44" s="411">
        <f>IFERROR((IS_Calcs!I62/IS_Calcs!I$69),0)</f>
        <v>0</v>
      </c>
      <c r="R44" s="411">
        <f>IFERROR((IS_Calcs!J62/IS_Calcs!J$69),0)</f>
        <v>0</v>
      </c>
      <c r="S44" s="411">
        <f>IFERROR((IS_Calcs!K62/IS_Calcs!K$69),0)</f>
        <v>0</v>
      </c>
      <c r="T44" s="411">
        <f>IFERROR((IS_Calcs!L62/IS_Calcs!L$69),0)</f>
        <v>0</v>
      </c>
      <c r="U44" s="411">
        <f>IFERROR((IS_Calcs!M62/IS_Calcs!M$69),0)</f>
        <v>0</v>
      </c>
      <c r="V44" s="411">
        <f>IFERROR((IS_Calcs!N62/IS_Calcs!N$69),0)</f>
        <v>0</v>
      </c>
      <c r="W44" s="411">
        <f>IFERROR((IS_Calcs!O62/IS_Calcs!O$69),0)</f>
        <v>0</v>
      </c>
      <c r="X44" s="411">
        <f>IFERROR((IS_Calcs!P62/IS_Calcs!P$69),0)</f>
        <v>0</v>
      </c>
      <c r="Y44" s="411">
        <f>IFERROR((IS_Calcs!Q62/IS_Calcs!Q$69),0)</f>
        <v>0</v>
      </c>
      <c r="Z44" s="412">
        <f>IFERROR((IS_Calcs!R62/IS_Calcs!R$69),0)</f>
        <v>0</v>
      </c>
    </row>
    <row r="45" spans="15:36">
      <c r="O45" s="387" t="str">
        <f>IS_Calcs!C63</f>
        <v>Potential Revenue NA</v>
      </c>
      <c r="P45" s="411">
        <f>IFERROR((IS_Calcs!H63/IS_Calcs!H$69),0)</f>
        <v>0</v>
      </c>
      <c r="Q45" s="411">
        <f>IFERROR((IS_Calcs!I63/IS_Calcs!I$69),0)</f>
        <v>0</v>
      </c>
      <c r="R45" s="411">
        <f>IFERROR((IS_Calcs!J63/IS_Calcs!J$69),0)</f>
        <v>0</v>
      </c>
      <c r="S45" s="411">
        <f>IFERROR((IS_Calcs!K63/IS_Calcs!K$69),0)</f>
        <v>0</v>
      </c>
      <c r="T45" s="411">
        <f>IFERROR((IS_Calcs!L63/IS_Calcs!L$69),0)</f>
        <v>0</v>
      </c>
      <c r="U45" s="411">
        <f>IFERROR((IS_Calcs!M63/IS_Calcs!M$69),0)</f>
        <v>0</v>
      </c>
      <c r="V45" s="411">
        <f>IFERROR((IS_Calcs!N63/IS_Calcs!N$69),0)</f>
        <v>0</v>
      </c>
      <c r="W45" s="411">
        <f>IFERROR((IS_Calcs!O63/IS_Calcs!O$69),0)</f>
        <v>0</v>
      </c>
      <c r="X45" s="411">
        <f>IFERROR((IS_Calcs!P63/IS_Calcs!P$69),0)</f>
        <v>0</v>
      </c>
      <c r="Y45" s="411">
        <f>IFERROR((IS_Calcs!Q63/IS_Calcs!Q$69),0)</f>
        <v>0</v>
      </c>
      <c r="Z45" s="412">
        <f>IFERROR((IS_Calcs!R63/IS_Calcs!R$69),0)</f>
        <v>0</v>
      </c>
    </row>
    <row r="46" spans="15:36">
      <c r="O46" s="387" t="str">
        <f>IS_Calcs!C64</f>
        <v>Potential Revenue NA</v>
      </c>
      <c r="P46" s="411">
        <f>IFERROR((IS_Calcs!H64/IS_Calcs!H$69),0)</f>
        <v>0</v>
      </c>
      <c r="Q46" s="411">
        <f>IFERROR((IS_Calcs!I64/IS_Calcs!I$69),0)</f>
        <v>0</v>
      </c>
      <c r="R46" s="411">
        <f>IFERROR((IS_Calcs!J64/IS_Calcs!J$69),0)</f>
        <v>0</v>
      </c>
      <c r="S46" s="411">
        <f>IFERROR((IS_Calcs!K64/IS_Calcs!K$69),0)</f>
        <v>0</v>
      </c>
      <c r="T46" s="411">
        <f>IFERROR((IS_Calcs!L64/IS_Calcs!L$69),0)</f>
        <v>0</v>
      </c>
      <c r="U46" s="411">
        <f>IFERROR((IS_Calcs!M64/IS_Calcs!M$69),0)</f>
        <v>0</v>
      </c>
      <c r="V46" s="411">
        <f>IFERROR((IS_Calcs!N64/IS_Calcs!N$69),0)</f>
        <v>0</v>
      </c>
      <c r="W46" s="411">
        <f>IFERROR((IS_Calcs!O64/IS_Calcs!O$69),0)</f>
        <v>0</v>
      </c>
      <c r="X46" s="411">
        <f>IFERROR((IS_Calcs!P64/IS_Calcs!P$69),0)</f>
        <v>0</v>
      </c>
      <c r="Y46" s="411">
        <f>IFERROR((IS_Calcs!Q64/IS_Calcs!Q$69),0)</f>
        <v>0</v>
      </c>
      <c r="Z46" s="412">
        <f>IFERROR((IS_Calcs!R64/IS_Calcs!R$69),0)</f>
        <v>0</v>
      </c>
    </row>
    <row r="47" spans="15:36">
      <c r="O47" s="387" t="str">
        <f>IS_Calcs!C65</f>
        <v>Potential Revenue NA</v>
      </c>
      <c r="P47" s="414">
        <f>IFERROR((IS_Calcs!H65/IS_Calcs!H$69),0)</f>
        <v>0</v>
      </c>
      <c r="Q47" s="414">
        <f>IFERROR((IS_Calcs!I65/IS_Calcs!I$69),0)</f>
        <v>0</v>
      </c>
      <c r="R47" s="414">
        <f>IFERROR((IS_Calcs!J65/IS_Calcs!J$69),0)</f>
        <v>0</v>
      </c>
      <c r="S47" s="414">
        <f>IFERROR((IS_Calcs!K65/IS_Calcs!K$69),0)</f>
        <v>0</v>
      </c>
      <c r="T47" s="414">
        <f>IFERROR((IS_Calcs!L65/IS_Calcs!L$69),0)</f>
        <v>0</v>
      </c>
      <c r="U47" s="414">
        <f>IFERROR((IS_Calcs!M65/IS_Calcs!M$69),0)</f>
        <v>0</v>
      </c>
      <c r="V47" s="414">
        <f>IFERROR((IS_Calcs!N65/IS_Calcs!N$69),0)</f>
        <v>0</v>
      </c>
      <c r="W47" s="414">
        <f>IFERROR((IS_Calcs!O65/IS_Calcs!O$69),0)</f>
        <v>0</v>
      </c>
      <c r="X47" s="414">
        <f>IFERROR((IS_Calcs!P65/IS_Calcs!P$69),0)</f>
        <v>0</v>
      </c>
      <c r="Y47" s="414">
        <f>IFERROR((IS_Calcs!Q65/IS_Calcs!Q$69),0)</f>
        <v>0</v>
      </c>
      <c r="Z47" s="415">
        <f>IFERROR((IS_Calcs!R65/IS_Calcs!R$69),0)</f>
        <v>0</v>
      </c>
    </row>
    <row r="48" spans="15:36">
      <c r="O48" s="400" t="s">
        <v>2226</v>
      </c>
      <c r="P48" s="401">
        <f t="shared" ref="P48" si="2">SUM(P36:P47)</f>
        <v>0</v>
      </c>
      <c r="Q48" s="401">
        <f t="shared" ref="Q48:Z48" si="3">SUM(Q36:Q47)</f>
        <v>0</v>
      </c>
      <c r="R48" s="1647">
        <f t="shared" si="3"/>
        <v>0</v>
      </c>
      <c r="S48" s="1647">
        <f>SUM(S36:S47)</f>
        <v>0</v>
      </c>
      <c r="T48" s="1647">
        <f>SUM(T36:T47)</f>
        <v>0</v>
      </c>
      <c r="U48" s="1647">
        <f t="shared" si="3"/>
        <v>0</v>
      </c>
      <c r="V48" s="1647">
        <f t="shared" si="3"/>
        <v>0</v>
      </c>
      <c r="W48" s="1647">
        <f t="shared" si="3"/>
        <v>0</v>
      </c>
      <c r="X48" s="1647">
        <f t="shared" si="3"/>
        <v>0</v>
      </c>
      <c r="Y48" s="1647">
        <f t="shared" si="3"/>
        <v>0</v>
      </c>
      <c r="Z48" s="1648">
        <f t="shared" si="3"/>
        <v>0</v>
      </c>
    </row>
    <row r="50" spans="15:26">
      <c r="O50" s="384" t="s">
        <v>2826</v>
      </c>
      <c r="P50" s="385" t="str">
        <f>P54</f>
        <v>FY21</v>
      </c>
      <c r="Q50" s="385" t="str">
        <f>Q54</f>
        <v>FY22</v>
      </c>
      <c r="R50" s="385" t="str">
        <f t="shared" ref="R50:Z50" si="4">R54</f>
        <v>FY23</v>
      </c>
      <c r="S50" s="385" t="str">
        <f t="shared" si="4"/>
        <v>YTD24</v>
      </c>
      <c r="T50" s="385" t="str">
        <f t="shared" si="4"/>
        <v>YTG24</v>
      </c>
      <c r="U50" s="385" t="str">
        <f t="shared" si="4"/>
        <v>FY24</v>
      </c>
      <c r="V50" s="385" t="str">
        <f t="shared" si="4"/>
        <v>FY25</v>
      </c>
      <c r="W50" s="385" t="str">
        <f t="shared" si="4"/>
        <v>FY26</v>
      </c>
      <c r="X50" s="385" t="str">
        <f t="shared" si="4"/>
        <v>FY27</v>
      </c>
      <c r="Y50" s="385" t="str">
        <f t="shared" si="4"/>
        <v>FY28</v>
      </c>
      <c r="Z50" s="386" t="str">
        <f t="shared" si="4"/>
        <v>FY29</v>
      </c>
    </row>
    <row r="51" spans="15:26">
      <c r="O51" s="404" t="s">
        <v>2827</v>
      </c>
      <c r="P51" s="420">
        <f>IS!H23</f>
        <v>0</v>
      </c>
      <c r="Q51" s="420">
        <f>IS!I23</f>
        <v>0</v>
      </c>
      <c r="R51" s="420">
        <f>IS!J23</f>
        <v>0</v>
      </c>
      <c r="S51" s="420">
        <f>IS!K23</f>
        <v>0</v>
      </c>
      <c r="T51" s="420">
        <f>IS!L23</f>
        <v>0</v>
      </c>
      <c r="U51" s="420">
        <f>IS!M23</f>
        <v>0</v>
      </c>
      <c r="V51" s="420">
        <f>IS!N23</f>
        <v>0</v>
      </c>
      <c r="W51" s="420">
        <f>IS!O23</f>
        <v>0</v>
      </c>
      <c r="X51" s="420">
        <f>IS!P23</f>
        <v>0</v>
      </c>
      <c r="Y51" s="420">
        <f>IS!Q23</f>
        <v>0</v>
      </c>
      <c r="Z51" s="421">
        <f>IS!R23</f>
        <v>0</v>
      </c>
    </row>
    <row r="52" spans="15:26">
      <c r="O52" s="413" t="s">
        <v>2828</v>
      </c>
      <c r="P52" s="1650">
        <v>50000</v>
      </c>
      <c r="Q52" s="1650">
        <v>50000</v>
      </c>
      <c r="R52" s="1650">
        <v>50000</v>
      </c>
      <c r="S52" s="1650">
        <v>50000</v>
      </c>
      <c r="T52" s="1650">
        <v>50000</v>
      </c>
      <c r="U52" s="1650">
        <v>50000</v>
      </c>
      <c r="V52" s="1650">
        <v>50000</v>
      </c>
      <c r="W52" s="1650">
        <v>50000</v>
      </c>
      <c r="X52" s="1650">
        <v>50000</v>
      </c>
      <c r="Y52" s="1650">
        <v>50000</v>
      </c>
      <c r="Z52" s="1651">
        <v>50000</v>
      </c>
    </row>
    <row r="54" spans="15:26">
      <c r="O54" s="384" t="s">
        <v>2927</v>
      </c>
      <c r="P54" s="385" t="str">
        <f t="shared" ref="P54" si="5">P35</f>
        <v>FY21</v>
      </c>
      <c r="Q54" s="385" t="str">
        <f t="shared" ref="Q54:Z54" si="6">Q35</f>
        <v>FY22</v>
      </c>
      <c r="R54" s="385" t="str">
        <f t="shared" si="6"/>
        <v>FY23</v>
      </c>
      <c r="S54" s="385" t="str">
        <f t="shared" si="6"/>
        <v>YTD24</v>
      </c>
      <c r="T54" s="385" t="str">
        <f t="shared" si="6"/>
        <v>YTG24</v>
      </c>
      <c r="U54" s="385" t="str">
        <f t="shared" si="6"/>
        <v>FY24</v>
      </c>
      <c r="V54" s="385" t="str">
        <f t="shared" si="6"/>
        <v>FY25</v>
      </c>
      <c r="W54" s="385" t="str">
        <f t="shared" si="6"/>
        <v>FY26</v>
      </c>
      <c r="X54" s="385" t="str">
        <f t="shared" si="6"/>
        <v>FY27</v>
      </c>
      <c r="Y54" s="385" t="str">
        <f t="shared" si="6"/>
        <v>FY28</v>
      </c>
      <c r="Z54" s="386" t="str">
        <f t="shared" si="6"/>
        <v>FY29</v>
      </c>
    </row>
    <row r="55" spans="15:26">
      <c r="O55" s="404" t="s">
        <v>1900</v>
      </c>
      <c r="P55" s="420">
        <f>IS_Calcs!H115</f>
        <v>0</v>
      </c>
      <c r="Q55" s="420">
        <f>IS_Calcs!I115</f>
        <v>0</v>
      </c>
      <c r="R55" s="420">
        <f>IS_Calcs!J115</f>
        <v>0</v>
      </c>
      <c r="S55" s="420">
        <f>IS_Calcs!K115</f>
        <v>0</v>
      </c>
      <c r="T55" s="420">
        <f>IS_Calcs!L115</f>
        <v>0</v>
      </c>
      <c r="U55" s="420">
        <f>IS_Calcs!M115</f>
        <v>0</v>
      </c>
      <c r="V55" s="420">
        <f>IS_Calcs!N115</f>
        <v>0</v>
      </c>
      <c r="W55" s="420">
        <f>IS_Calcs!O115</f>
        <v>0</v>
      </c>
      <c r="X55" s="420">
        <f>IS_Calcs!P115</f>
        <v>0</v>
      </c>
      <c r="Y55" s="420">
        <f>IS_Calcs!Q115</f>
        <v>0</v>
      </c>
      <c r="Z55" s="421">
        <f>IS_Calcs!R115</f>
        <v>0</v>
      </c>
    </row>
    <row r="56" spans="15:26">
      <c r="O56" s="404" t="str">
        <f>IS_Calcs!C147</f>
        <v xml:space="preserve">Staff salaries </v>
      </c>
      <c r="P56" s="420">
        <f>IS_Calcs!H147</f>
        <v>0</v>
      </c>
      <c r="Q56" s="420">
        <f>IS_Calcs!I147</f>
        <v>0</v>
      </c>
      <c r="R56" s="420">
        <f>IS_Calcs!J147</f>
        <v>0</v>
      </c>
      <c r="S56" s="420">
        <f>IS_Calcs!K147</f>
        <v>0</v>
      </c>
      <c r="T56" s="420">
        <f>IS_Calcs!L147</f>
        <v>5000</v>
      </c>
      <c r="U56" s="420">
        <f>IS_Calcs!M147</f>
        <v>5000</v>
      </c>
      <c r="V56" s="420">
        <f>IS_Calcs!N147</f>
        <v>5000</v>
      </c>
      <c r="W56" s="420">
        <f>IS_Calcs!O147</f>
        <v>5000</v>
      </c>
      <c r="X56" s="420">
        <f>IS_Calcs!P147</f>
        <v>5000</v>
      </c>
      <c r="Y56" s="420">
        <f>IS_Calcs!Q147</f>
        <v>5000</v>
      </c>
      <c r="Z56" s="421">
        <f>IS_Calcs!R147</f>
        <v>5000</v>
      </c>
    </row>
    <row r="57" spans="15:26">
      <c r="O57" s="404" t="str">
        <f>IS_Calcs!C148</f>
        <v>Commission</v>
      </c>
      <c r="P57" s="420">
        <f>IS_Calcs!H148</f>
        <v>0</v>
      </c>
      <c r="Q57" s="420">
        <f>IS_Calcs!I148</f>
        <v>0</v>
      </c>
      <c r="R57" s="420">
        <f>IS_Calcs!J148</f>
        <v>0</v>
      </c>
      <c r="S57" s="420">
        <f>IS_Calcs!K148</f>
        <v>0</v>
      </c>
      <c r="T57" s="420">
        <f>IS_Calcs!L148</f>
        <v>5000</v>
      </c>
      <c r="U57" s="420">
        <f>IS_Calcs!M148</f>
        <v>5000</v>
      </c>
      <c r="V57" s="420">
        <f>IS_Calcs!N148</f>
        <v>5000</v>
      </c>
      <c r="W57" s="420">
        <f>IS_Calcs!O148</f>
        <v>5000</v>
      </c>
      <c r="X57" s="420">
        <f>IS_Calcs!P148</f>
        <v>5000</v>
      </c>
      <c r="Y57" s="420">
        <f>IS_Calcs!Q148</f>
        <v>5000</v>
      </c>
      <c r="Z57" s="421">
        <f>IS_Calcs!R148</f>
        <v>5000</v>
      </c>
    </row>
    <row r="58" spans="15:26">
      <c r="O58" s="404" t="str">
        <f>IS_Calcs!C149</f>
        <v>Rent</v>
      </c>
      <c r="P58" s="420">
        <f>IS_Calcs!H149</f>
        <v>0</v>
      </c>
      <c r="Q58" s="420">
        <f>IS_Calcs!I149</f>
        <v>0</v>
      </c>
      <c r="R58" s="420">
        <f>IS_Calcs!J149</f>
        <v>0</v>
      </c>
      <c r="S58" s="420">
        <f>IS_Calcs!K149</f>
        <v>0</v>
      </c>
      <c r="T58" s="420">
        <f>IS_Calcs!L149</f>
        <v>5000</v>
      </c>
      <c r="U58" s="420">
        <f>IS_Calcs!M149</f>
        <v>5000</v>
      </c>
      <c r="V58" s="420">
        <f>IS_Calcs!N149</f>
        <v>5000</v>
      </c>
      <c r="W58" s="420">
        <f>IS_Calcs!O149</f>
        <v>5000</v>
      </c>
      <c r="X58" s="420">
        <f>IS_Calcs!P149</f>
        <v>5000</v>
      </c>
      <c r="Y58" s="420">
        <f>IS_Calcs!Q149</f>
        <v>5000</v>
      </c>
      <c r="Z58" s="421">
        <f>IS_Calcs!R149</f>
        <v>5000</v>
      </c>
    </row>
    <row r="59" spans="15:26">
      <c r="O59" s="404" t="str">
        <f>IS_Calcs!C150</f>
        <v>Legal and professional fee</v>
      </c>
      <c r="P59" s="420">
        <f>IS_Calcs!H150</f>
        <v>0</v>
      </c>
      <c r="Q59" s="420">
        <f>IS_Calcs!I150</f>
        <v>0</v>
      </c>
      <c r="R59" s="420">
        <f>IS_Calcs!J150</f>
        <v>0</v>
      </c>
      <c r="S59" s="420">
        <f>IS_Calcs!K150</f>
        <v>0</v>
      </c>
      <c r="T59" s="420">
        <f>IS_Calcs!L150</f>
        <v>5000</v>
      </c>
      <c r="U59" s="420">
        <f>IS_Calcs!M150</f>
        <v>5000</v>
      </c>
      <c r="V59" s="420">
        <f>IS_Calcs!N150</f>
        <v>5000</v>
      </c>
      <c r="W59" s="420">
        <f>IS_Calcs!O150</f>
        <v>5000</v>
      </c>
      <c r="X59" s="420">
        <f>IS_Calcs!P150</f>
        <v>5000</v>
      </c>
      <c r="Y59" s="420">
        <f>IS_Calcs!Q150</f>
        <v>5000</v>
      </c>
      <c r="Z59" s="421">
        <f>IS_Calcs!R150</f>
        <v>5000</v>
      </c>
    </row>
    <row r="60" spans="15:26">
      <c r="O60" s="404" t="str">
        <f>IS_Calcs!C151</f>
        <v>Travelling &amp; communication</v>
      </c>
      <c r="P60" s="420">
        <f>IS_Calcs!H151</f>
        <v>0</v>
      </c>
      <c r="Q60" s="420">
        <f>IS_Calcs!I151</f>
        <v>0</v>
      </c>
      <c r="R60" s="420">
        <f>IS_Calcs!J151</f>
        <v>0</v>
      </c>
      <c r="S60" s="420">
        <f>IS_Calcs!K151</f>
        <v>0</v>
      </c>
      <c r="T60" s="420">
        <f>IS_Calcs!L151</f>
        <v>5000</v>
      </c>
      <c r="U60" s="420">
        <f>IS_Calcs!M151</f>
        <v>5000</v>
      </c>
      <c r="V60" s="420">
        <f>IS_Calcs!N151</f>
        <v>5000</v>
      </c>
      <c r="W60" s="420">
        <f>IS_Calcs!O151</f>
        <v>5000</v>
      </c>
      <c r="X60" s="420">
        <f>IS_Calcs!P151</f>
        <v>5000</v>
      </c>
      <c r="Y60" s="420">
        <f>IS_Calcs!Q151</f>
        <v>5000</v>
      </c>
      <c r="Z60" s="421">
        <f>IS_Calcs!R151</f>
        <v>5000</v>
      </c>
    </row>
    <row r="61" spans="15:26">
      <c r="O61" s="404" t="str">
        <f>IS_Calcs!C152</f>
        <v>Printing &amp; Stationary</v>
      </c>
      <c r="P61" s="420">
        <f>IS_Calcs!H152</f>
        <v>0</v>
      </c>
      <c r="Q61" s="420">
        <f>IS_Calcs!I152</f>
        <v>0</v>
      </c>
      <c r="R61" s="420">
        <f>IS_Calcs!J152</f>
        <v>0</v>
      </c>
      <c r="S61" s="420">
        <f>IS_Calcs!K152</f>
        <v>0</v>
      </c>
      <c r="T61" s="420">
        <f>IS_Calcs!L152</f>
        <v>5000</v>
      </c>
      <c r="U61" s="420">
        <f>IS_Calcs!M152</f>
        <v>5000</v>
      </c>
      <c r="V61" s="420">
        <f>IS_Calcs!N152</f>
        <v>5000</v>
      </c>
      <c r="W61" s="420">
        <f>IS_Calcs!O152</f>
        <v>5000</v>
      </c>
      <c r="X61" s="420">
        <f>IS_Calcs!P152</f>
        <v>5000</v>
      </c>
      <c r="Y61" s="420">
        <f>IS_Calcs!Q152</f>
        <v>5000</v>
      </c>
      <c r="Z61" s="421">
        <f>IS_Calcs!R152</f>
        <v>5000</v>
      </c>
    </row>
    <row r="62" spans="15:26">
      <c r="O62" s="404" t="str">
        <f>IS_Calcs!C153</f>
        <v>Utilities</v>
      </c>
      <c r="P62" s="420">
        <f>IS_Calcs!H153</f>
        <v>0</v>
      </c>
      <c r="Q62" s="420">
        <f>IS_Calcs!I153</f>
        <v>0</v>
      </c>
      <c r="R62" s="420">
        <f>IS_Calcs!J153</f>
        <v>0</v>
      </c>
      <c r="S62" s="420">
        <f>IS_Calcs!K153</f>
        <v>0</v>
      </c>
      <c r="T62" s="420">
        <f>IS_Calcs!L153</f>
        <v>5000</v>
      </c>
      <c r="U62" s="420">
        <f>IS_Calcs!M153</f>
        <v>5000</v>
      </c>
      <c r="V62" s="420">
        <f>IS_Calcs!N153</f>
        <v>5000</v>
      </c>
      <c r="W62" s="420">
        <f>IS_Calcs!O153</f>
        <v>5000</v>
      </c>
      <c r="X62" s="420">
        <f>IS_Calcs!P153</f>
        <v>5000</v>
      </c>
      <c r="Y62" s="420">
        <f>IS_Calcs!Q153</f>
        <v>5000</v>
      </c>
      <c r="Z62" s="421">
        <f>IS_Calcs!R153</f>
        <v>5000</v>
      </c>
    </row>
    <row r="63" spans="15:26">
      <c r="O63" s="408" t="s">
        <v>2928</v>
      </c>
      <c r="P63" s="409">
        <f>SUM(P55:P62)</f>
        <v>0</v>
      </c>
      <c r="Q63" s="409">
        <f t="shared" ref="Q63:Z63" si="7">SUM(Q55:Q62)</f>
        <v>0</v>
      </c>
      <c r="R63" s="409">
        <f t="shared" si="7"/>
        <v>0</v>
      </c>
      <c r="S63" s="409">
        <f t="shared" si="7"/>
        <v>0</v>
      </c>
      <c r="T63" s="409">
        <f t="shared" si="7"/>
        <v>35000</v>
      </c>
      <c r="U63" s="409">
        <f t="shared" si="7"/>
        <v>35000</v>
      </c>
      <c r="V63" s="409">
        <f t="shared" si="7"/>
        <v>35000</v>
      </c>
      <c r="W63" s="409">
        <f t="shared" si="7"/>
        <v>35000</v>
      </c>
      <c r="X63" s="409">
        <f t="shared" si="7"/>
        <v>35000</v>
      </c>
      <c r="Y63" s="409">
        <f t="shared" si="7"/>
        <v>35000</v>
      </c>
      <c r="Z63" s="410">
        <f t="shared" si="7"/>
        <v>35000</v>
      </c>
    </row>
    <row r="64" spans="15:26">
      <c r="P64" s="416"/>
      <c r="Q64" s="416"/>
      <c r="R64" s="416"/>
      <c r="S64" s="416"/>
      <c r="T64" s="416"/>
      <c r="U64" s="416"/>
      <c r="V64" s="416"/>
      <c r="W64" s="416"/>
      <c r="X64" s="416"/>
      <c r="Y64" s="416"/>
      <c r="Z64" s="416"/>
    </row>
    <row r="65" spans="2:26">
      <c r="O65" s="384" t="s">
        <v>2228</v>
      </c>
      <c r="P65" s="385" t="str">
        <f t="shared" ref="P65:Z65" si="8">P54</f>
        <v>FY21</v>
      </c>
      <c r="Q65" s="385" t="str">
        <f t="shared" si="8"/>
        <v>FY22</v>
      </c>
      <c r="R65" s="385" t="str">
        <f t="shared" si="8"/>
        <v>FY23</v>
      </c>
      <c r="S65" s="385" t="str">
        <f t="shared" si="8"/>
        <v>YTD24</v>
      </c>
      <c r="T65" s="385" t="str">
        <f t="shared" si="8"/>
        <v>YTG24</v>
      </c>
      <c r="U65" s="385" t="str">
        <f t="shared" si="8"/>
        <v>FY24</v>
      </c>
      <c r="V65" s="385" t="str">
        <f t="shared" si="8"/>
        <v>FY25</v>
      </c>
      <c r="W65" s="385" t="str">
        <f t="shared" si="8"/>
        <v>FY26</v>
      </c>
      <c r="X65" s="385" t="str">
        <f t="shared" si="8"/>
        <v>FY27</v>
      </c>
      <c r="Y65" s="385" t="str">
        <f t="shared" si="8"/>
        <v>FY28</v>
      </c>
      <c r="Z65" s="386" t="str">
        <f t="shared" si="8"/>
        <v>FY29</v>
      </c>
    </row>
    <row r="66" spans="2:26">
      <c r="O66" s="404" t="s">
        <v>1902</v>
      </c>
      <c r="P66" s="411">
        <f>IS!H74</f>
        <v>0</v>
      </c>
      <c r="Q66" s="411">
        <f>IS!I74</f>
        <v>0</v>
      </c>
      <c r="R66" s="411">
        <f>IS!J74</f>
        <v>0</v>
      </c>
      <c r="S66" s="411">
        <f>IS!K74</f>
        <v>0</v>
      </c>
      <c r="T66" s="411">
        <f>IS!L74</f>
        <v>0</v>
      </c>
      <c r="U66" s="411">
        <f>IS!M74</f>
        <v>0</v>
      </c>
      <c r="V66" s="411">
        <f>IS!N74</f>
        <v>0</v>
      </c>
      <c r="W66" s="411">
        <f>IS!O74</f>
        <v>0</v>
      </c>
      <c r="X66" s="411">
        <f>IS!P74</f>
        <v>0</v>
      </c>
      <c r="Y66" s="411">
        <f>IS!Q74</f>
        <v>0</v>
      </c>
      <c r="Z66" s="412">
        <f>IS!R74</f>
        <v>0</v>
      </c>
    </row>
    <row r="67" spans="2:26">
      <c r="O67" s="404" t="s">
        <v>1467</v>
      </c>
      <c r="P67" s="411">
        <f>IS!H76</f>
        <v>0</v>
      </c>
      <c r="Q67" s="411">
        <f>IS!I76</f>
        <v>0</v>
      </c>
      <c r="R67" s="411">
        <f>IS!J76</f>
        <v>0</v>
      </c>
      <c r="S67" s="411">
        <f>IS!K76</f>
        <v>0</v>
      </c>
      <c r="T67" s="411">
        <f>IS!L76</f>
        <v>0</v>
      </c>
      <c r="U67" s="411">
        <f>IS!M76</f>
        <v>0</v>
      </c>
      <c r="V67" s="411">
        <f>IS!N76</f>
        <v>0</v>
      </c>
      <c r="W67" s="411">
        <f>IS!O76</f>
        <v>0</v>
      </c>
      <c r="X67" s="411">
        <f>IS!P76</f>
        <v>0</v>
      </c>
      <c r="Y67" s="411">
        <f>IS!Q76</f>
        <v>0</v>
      </c>
      <c r="Z67" s="412">
        <f>IS!R76</f>
        <v>0</v>
      </c>
    </row>
    <row r="68" spans="2:26">
      <c r="O68" s="413" t="s">
        <v>1901</v>
      </c>
      <c r="P68" s="414">
        <f>IS!H78</f>
        <v>0</v>
      </c>
      <c r="Q68" s="414">
        <f>IS!I78</f>
        <v>0</v>
      </c>
      <c r="R68" s="414">
        <f>IS!J78</f>
        <v>0</v>
      </c>
      <c r="S68" s="414">
        <f>IS!K78</f>
        <v>0</v>
      </c>
      <c r="T68" s="414">
        <f>IS!L78</f>
        <v>0</v>
      </c>
      <c r="U68" s="414">
        <f ca="1">IS!M78</f>
        <v>0</v>
      </c>
      <c r="V68" s="414">
        <f ca="1">IS!N78</f>
        <v>0</v>
      </c>
      <c r="W68" s="414">
        <f ca="1">IS!O78</f>
        <v>0</v>
      </c>
      <c r="X68" s="414">
        <f ca="1">IS!P78</f>
        <v>0</v>
      </c>
      <c r="Y68" s="414">
        <f ca="1">IS!Q78</f>
        <v>0</v>
      </c>
      <c r="Z68" s="415">
        <f ca="1">IS!R78</f>
        <v>0</v>
      </c>
    </row>
    <row r="69" spans="2:26">
      <c r="P69" s="416"/>
      <c r="Q69" s="416"/>
      <c r="R69" s="416"/>
      <c r="S69" s="416"/>
      <c r="T69" s="416"/>
      <c r="U69" s="416"/>
      <c r="V69" s="416"/>
      <c r="W69" s="416"/>
      <c r="X69" s="416"/>
      <c r="Y69" s="416"/>
      <c r="Z69" s="416"/>
    </row>
    <row r="70" spans="2:26">
      <c r="B70" s="379" t="s">
        <v>2233</v>
      </c>
      <c r="C70" s="380"/>
      <c r="D70" s="381"/>
      <c r="E70" s="381"/>
      <c r="F70" s="381"/>
      <c r="G70" s="381"/>
      <c r="H70" s="381"/>
      <c r="I70" s="381"/>
      <c r="J70" s="381"/>
      <c r="K70" s="381"/>
      <c r="L70" s="381"/>
      <c r="M70" s="381"/>
      <c r="N70" s="381"/>
      <c r="O70" s="382"/>
      <c r="P70" s="383"/>
      <c r="Q70" s="383"/>
      <c r="R70" s="383"/>
      <c r="S70" s="383"/>
      <c r="T70" s="383"/>
      <c r="U70" s="383"/>
      <c r="V70" s="383"/>
      <c r="W70" s="383"/>
      <c r="X70" s="383"/>
      <c r="Y70" s="383"/>
      <c r="Z70" s="383"/>
    </row>
    <row r="72" spans="2:26">
      <c r="O72" s="384" t="s">
        <v>2234</v>
      </c>
      <c r="P72" s="417" t="str">
        <f t="shared" ref="P72:Z72" si="9">P65</f>
        <v>FY21</v>
      </c>
      <c r="Q72" s="417" t="str">
        <f t="shared" si="9"/>
        <v>FY22</v>
      </c>
      <c r="R72" s="417" t="str">
        <f t="shared" si="9"/>
        <v>FY23</v>
      </c>
      <c r="S72" s="417" t="str">
        <f t="shared" si="9"/>
        <v>YTD24</v>
      </c>
      <c r="T72" s="417" t="str">
        <f t="shared" si="9"/>
        <v>YTG24</v>
      </c>
      <c r="U72" s="417" t="str">
        <f t="shared" si="9"/>
        <v>FY24</v>
      </c>
      <c r="V72" s="417" t="str">
        <f t="shared" si="9"/>
        <v>FY25</v>
      </c>
      <c r="W72" s="417" t="str">
        <f t="shared" si="9"/>
        <v>FY26</v>
      </c>
      <c r="X72" s="417" t="str">
        <f t="shared" si="9"/>
        <v>FY27</v>
      </c>
      <c r="Y72" s="417" t="str">
        <f t="shared" si="9"/>
        <v>FY28</v>
      </c>
      <c r="Z72" s="418" t="str">
        <f t="shared" si="9"/>
        <v>FY29</v>
      </c>
    </row>
    <row r="73" spans="2:26">
      <c r="O73" s="404" t="str">
        <f>BS_Calc!C40</f>
        <v>Trade Receivables Days</v>
      </c>
      <c r="P73" s="419">
        <f>BS_Calc!H40</f>
        <v>0</v>
      </c>
      <c r="Q73" s="419">
        <f>BS_Calc!I40</f>
        <v>0</v>
      </c>
      <c r="R73" s="419">
        <f>BS_Calc!J40</f>
        <v>0</v>
      </c>
      <c r="S73" s="419">
        <f>BS_Calc!K40</f>
        <v>0</v>
      </c>
      <c r="T73" s="419">
        <f>BS_Calc!L40</f>
        <v>0</v>
      </c>
      <c r="U73" s="419">
        <f>BS_Calc!M40</f>
        <v>0</v>
      </c>
      <c r="V73" s="420">
        <f>BS_Calc!N40</f>
        <v>0</v>
      </c>
      <c r="W73" s="420">
        <f>BS_Calc!O40</f>
        <v>0</v>
      </c>
      <c r="X73" s="420">
        <f>BS_Calc!P40</f>
        <v>0</v>
      </c>
      <c r="Y73" s="420">
        <f>BS_Calc!Q40</f>
        <v>0</v>
      </c>
      <c r="Z73" s="421">
        <f>BS_Calc!R40</f>
        <v>0</v>
      </c>
    </row>
    <row r="74" spans="2:26">
      <c r="O74" s="404" t="str">
        <f>BS_Calc!C41</f>
        <v>Advances to Suppliers</v>
      </c>
      <c r="P74" s="419">
        <f>BS_Calc!H41</f>
        <v>0</v>
      </c>
      <c r="Q74" s="419">
        <f>BS_Calc!I41</f>
        <v>0</v>
      </c>
      <c r="R74" s="419">
        <f>BS_Calc!J41</f>
        <v>0</v>
      </c>
      <c r="S74" s="419">
        <f>BS_Calc!K41</f>
        <v>0</v>
      </c>
      <c r="T74" s="419">
        <f>BS_Calc!L41</f>
        <v>0</v>
      </c>
      <c r="U74" s="419">
        <f>BS_Calc!M41</f>
        <v>40</v>
      </c>
      <c r="V74" s="420">
        <f>BS_Calc!N41</f>
        <v>40</v>
      </c>
      <c r="W74" s="420">
        <f>BS_Calc!O41</f>
        <v>40</v>
      </c>
      <c r="X74" s="420">
        <f>BS_Calc!P41</f>
        <v>40</v>
      </c>
      <c r="Y74" s="420">
        <f>BS_Calc!Q41</f>
        <v>40</v>
      </c>
      <c r="Z74" s="421">
        <f>BS_Calc!R41</f>
        <v>40</v>
      </c>
    </row>
    <row r="75" spans="2:26">
      <c r="O75" s="404" t="str">
        <f>BS_Calc!C42</f>
        <v>Other Receivables Days</v>
      </c>
      <c r="P75" s="419">
        <f>BS_Calc!H42</f>
        <v>0</v>
      </c>
      <c r="Q75" s="419">
        <f>BS_Calc!I42</f>
        <v>0</v>
      </c>
      <c r="R75" s="419">
        <f>BS_Calc!J42</f>
        <v>0</v>
      </c>
      <c r="S75" s="419">
        <f>BS_Calc!K42</f>
        <v>0</v>
      </c>
      <c r="T75" s="419">
        <f>BS_Calc!L42</f>
        <v>0</v>
      </c>
      <c r="U75" s="419">
        <f>BS_Calc!M42</f>
        <v>0</v>
      </c>
      <c r="V75" s="420">
        <f>BS_Calc!N42</f>
        <v>0</v>
      </c>
      <c r="W75" s="420">
        <f>BS_Calc!O42</f>
        <v>0</v>
      </c>
      <c r="X75" s="420">
        <f>BS_Calc!P42</f>
        <v>0</v>
      </c>
      <c r="Y75" s="420">
        <f>BS_Calc!Q42</f>
        <v>0</v>
      </c>
      <c r="Z75" s="421">
        <f>BS_Calc!R42</f>
        <v>0</v>
      </c>
    </row>
    <row r="76" spans="2:26">
      <c r="O76" s="404" t="str">
        <f>BS_Calc!C43</f>
        <v xml:space="preserve">Inventory Days </v>
      </c>
      <c r="P76" s="419">
        <f>BS_Calc!H43</f>
        <v>0</v>
      </c>
      <c r="Q76" s="419">
        <f>BS_Calc!I43</f>
        <v>0</v>
      </c>
      <c r="R76" s="419">
        <f>BS_Calc!J43</f>
        <v>0</v>
      </c>
      <c r="S76" s="419">
        <f>BS_Calc!K43</f>
        <v>0</v>
      </c>
      <c r="T76" s="419">
        <f>BS_Calc!L43</f>
        <v>0</v>
      </c>
      <c r="U76" s="419">
        <f>BS_Calc!M43</f>
        <v>0</v>
      </c>
      <c r="V76" s="420">
        <f>BS_Calc!N43</f>
        <v>0</v>
      </c>
      <c r="W76" s="420">
        <f>BS_Calc!O43</f>
        <v>0</v>
      </c>
      <c r="X76" s="420">
        <f>BS_Calc!P43</f>
        <v>0</v>
      </c>
      <c r="Y76" s="420">
        <f>BS_Calc!Q43</f>
        <v>0</v>
      </c>
      <c r="Z76" s="421">
        <f>BS_Calc!R43</f>
        <v>0</v>
      </c>
    </row>
    <row r="77" spans="2:26">
      <c r="O77" s="404" t="str">
        <f>BS_Calc!C44</f>
        <v xml:space="preserve">Prepaid Expenses &amp; Other Days </v>
      </c>
      <c r="P77" s="419">
        <f>BS_Calc!H44</f>
        <v>0</v>
      </c>
      <c r="Q77" s="419">
        <f>BS_Calc!I44</f>
        <v>0</v>
      </c>
      <c r="R77" s="419">
        <f>BS_Calc!J44</f>
        <v>0</v>
      </c>
      <c r="S77" s="419">
        <f>BS_Calc!K44</f>
        <v>0</v>
      </c>
      <c r="T77" s="419">
        <f>BS_Calc!L44</f>
        <v>0</v>
      </c>
      <c r="U77" s="419">
        <f>BS_Calc!M44</f>
        <v>0</v>
      </c>
      <c r="V77" s="420">
        <f>BS_Calc!N44</f>
        <v>0</v>
      </c>
      <c r="W77" s="420">
        <f>BS_Calc!O44</f>
        <v>0</v>
      </c>
      <c r="X77" s="420">
        <f>BS_Calc!P44</f>
        <v>0</v>
      </c>
      <c r="Y77" s="420">
        <f>BS_Calc!Q44</f>
        <v>0</v>
      </c>
      <c r="Z77" s="421">
        <f>BS_Calc!R44</f>
        <v>0</v>
      </c>
    </row>
    <row r="78" spans="2:26">
      <c r="O78" s="404"/>
      <c r="P78" s="419"/>
      <c r="Q78" s="419"/>
      <c r="R78" s="419"/>
      <c r="S78" s="419"/>
      <c r="T78" s="419"/>
      <c r="U78" s="419"/>
      <c r="V78" s="420"/>
      <c r="W78" s="420"/>
      <c r="X78" s="420"/>
      <c r="Y78" s="420"/>
      <c r="Z78" s="421"/>
    </row>
    <row r="79" spans="2:26">
      <c r="O79" s="404" t="str">
        <f>BS_Calc!C47</f>
        <v xml:space="preserve">Trade Payables Days </v>
      </c>
      <c r="P79" s="419">
        <f>BS_Calc!H47</f>
        <v>0</v>
      </c>
      <c r="Q79" s="419">
        <f>BS_Calc!I47</f>
        <v>0</v>
      </c>
      <c r="R79" s="419">
        <f>BS_Calc!J47</f>
        <v>0</v>
      </c>
      <c r="S79" s="419">
        <f>BS_Calc!K47</f>
        <v>0</v>
      </c>
      <c r="T79" s="419">
        <f>BS_Calc!L47</f>
        <v>0</v>
      </c>
      <c r="U79" s="419">
        <f>BS_Calc!M47</f>
        <v>0</v>
      </c>
      <c r="V79" s="420">
        <f>BS_Calc!N47</f>
        <v>0</v>
      </c>
      <c r="W79" s="420">
        <f>BS_Calc!O47</f>
        <v>0</v>
      </c>
      <c r="X79" s="420">
        <f>BS_Calc!P47</f>
        <v>0</v>
      </c>
      <c r="Y79" s="420">
        <f>BS_Calc!Q47</f>
        <v>0</v>
      </c>
      <c r="Z79" s="421">
        <f>BS_Calc!R47</f>
        <v>0</v>
      </c>
    </row>
    <row r="80" spans="2:26">
      <c r="O80" s="404" t="str">
        <f>BS_Calc!C48</f>
        <v>Advances from Customers</v>
      </c>
      <c r="P80" s="419">
        <f>BS_Calc!H48</f>
        <v>0</v>
      </c>
      <c r="Q80" s="419">
        <f>BS_Calc!I48</f>
        <v>0</v>
      </c>
      <c r="R80" s="419">
        <f>BS_Calc!J48</f>
        <v>0</v>
      </c>
      <c r="S80" s="419">
        <f>BS_Calc!K48</f>
        <v>0</v>
      </c>
      <c r="T80" s="419">
        <f>BS_Calc!L48</f>
        <v>0</v>
      </c>
      <c r="U80" s="419">
        <f>BS_Calc!M48</f>
        <v>20</v>
      </c>
      <c r="V80" s="420">
        <f>BS_Calc!N48</f>
        <v>20</v>
      </c>
      <c r="W80" s="420">
        <f>BS_Calc!O48</f>
        <v>20</v>
      </c>
      <c r="X80" s="420">
        <f>BS_Calc!P48</f>
        <v>20</v>
      </c>
      <c r="Y80" s="420">
        <f>BS_Calc!Q48</f>
        <v>20</v>
      </c>
      <c r="Z80" s="421">
        <f>BS_Calc!R48</f>
        <v>20</v>
      </c>
    </row>
    <row r="81" spans="15:26">
      <c r="O81" s="404" t="str">
        <f>BS_Calc!C49</f>
        <v>Salaries Payable</v>
      </c>
      <c r="P81" s="419">
        <f>BS_Calc!H49</f>
        <v>0</v>
      </c>
      <c r="Q81" s="419">
        <f>BS_Calc!I49</f>
        <v>0</v>
      </c>
      <c r="R81" s="419">
        <f>BS_Calc!J49</f>
        <v>0</v>
      </c>
      <c r="S81" s="419">
        <f>BS_Calc!K49</f>
        <v>0</v>
      </c>
      <c r="T81" s="419">
        <f>BS_Calc!L49</f>
        <v>0</v>
      </c>
      <c r="U81" s="419">
        <f>BS_Calc!M49</f>
        <v>0</v>
      </c>
      <c r="V81" s="420">
        <f>BS_Calc!N49</f>
        <v>0</v>
      </c>
      <c r="W81" s="420">
        <f>BS_Calc!O49</f>
        <v>0</v>
      </c>
      <c r="X81" s="420">
        <f>BS_Calc!P49</f>
        <v>0</v>
      </c>
      <c r="Y81" s="420">
        <f>BS_Calc!Q49</f>
        <v>0</v>
      </c>
      <c r="Z81" s="421">
        <f>BS_Calc!R49</f>
        <v>0</v>
      </c>
    </row>
    <row r="82" spans="15:26">
      <c r="O82" s="404" t="str">
        <f>BS_Calc!C50</f>
        <v xml:space="preserve">Accrued Expenses Days </v>
      </c>
      <c r="P82" s="419">
        <f>BS_Calc!H50</f>
        <v>0</v>
      </c>
      <c r="Q82" s="419">
        <f>BS_Calc!I50</f>
        <v>0</v>
      </c>
      <c r="R82" s="419">
        <f>BS_Calc!J50</f>
        <v>0</v>
      </c>
      <c r="S82" s="419">
        <f>BS_Calc!K50</f>
        <v>0</v>
      </c>
      <c r="T82" s="419">
        <f>BS_Calc!L50</f>
        <v>0</v>
      </c>
      <c r="U82" s="419">
        <f>BS_Calc!M50</f>
        <v>0</v>
      </c>
      <c r="V82" s="420">
        <f>BS_Calc!N50</f>
        <v>0</v>
      </c>
      <c r="W82" s="420">
        <f>BS_Calc!O50</f>
        <v>0</v>
      </c>
      <c r="X82" s="420">
        <f>BS_Calc!P50</f>
        <v>0</v>
      </c>
      <c r="Y82" s="420">
        <f>BS_Calc!Q50</f>
        <v>0</v>
      </c>
      <c r="Z82" s="421">
        <f>BS_Calc!R50</f>
        <v>0</v>
      </c>
    </row>
    <row r="83" spans="15:26">
      <c r="O83" s="404" t="str">
        <f>BS_Calc!C51</f>
        <v xml:space="preserve">Tax Payables Days </v>
      </c>
      <c r="P83" s="419">
        <f>BS_Calc!H51</f>
        <v>0</v>
      </c>
      <c r="Q83" s="419">
        <f>BS_Calc!I51</f>
        <v>0</v>
      </c>
      <c r="R83" s="419">
        <f>BS_Calc!J51</f>
        <v>0</v>
      </c>
      <c r="S83" s="419">
        <f>BS_Calc!K51</f>
        <v>0</v>
      </c>
      <c r="T83" s="419">
        <f>BS_Calc!L51</f>
        <v>0</v>
      </c>
      <c r="U83" s="419">
        <f>BS_Calc!M51</f>
        <v>0</v>
      </c>
      <c r="V83" s="420">
        <f>BS_Calc!N51</f>
        <v>0</v>
      </c>
      <c r="W83" s="420">
        <f>BS_Calc!O51</f>
        <v>0</v>
      </c>
      <c r="X83" s="420">
        <f>BS_Calc!P51</f>
        <v>0</v>
      </c>
      <c r="Y83" s="420">
        <f>BS_Calc!Q51</f>
        <v>0</v>
      </c>
      <c r="Z83" s="421">
        <f>BS_Calc!R51</f>
        <v>0</v>
      </c>
    </row>
    <row r="84" spans="15:26">
      <c r="O84" s="404" t="str">
        <f>BS_Calc!C52</f>
        <v xml:space="preserve">Other Payables Days </v>
      </c>
      <c r="P84" s="419">
        <f>BS_Calc!H52</f>
        <v>0</v>
      </c>
      <c r="Q84" s="419">
        <f>BS_Calc!I52</f>
        <v>0</v>
      </c>
      <c r="R84" s="419">
        <f>BS_Calc!J52</f>
        <v>0</v>
      </c>
      <c r="S84" s="419">
        <f>BS_Calc!K52</f>
        <v>0</v>
      </c>
      <c r="T84" s="419">
        <f>BS_Calc!L52</f>
        <v>0</v>
      </c>
      <c r="U84" s="419">
        <f>BS_Calc!M52</f>
        <v>0</v>
      </c>
      <c r="V84" s="420">
        <f>BS_Calc!N52</f>
        <v>0</v>
      </c>
      <c r="W84" s="420">
        <f>BS_Calc!O52</f>
        <v>0</v>
      </c>
      <c r="X84" s="420">
        <f>BS_Calc!P52</f>
        <v>0</v>
      </c>
      <c r="Y84" s="420">
        <f>BS_Calc!Q52</f>
        <v>0</v>
      </c>
      <c r="Z84" s="421">
        <f>BS_Calc!R52</f>
        <v>0</v>
      </c>
    </row>
    <row r="85" spans="15:26">
      <c r="O85" s="408" t="s">
        <v>2235</v>
      </c>
      <c r="P85" s="422">
        <f t="shared" ref="P85:Z85" si="10">SUM(P73:P78)-SUM(P79:P84)</f>
        <v>0</v>
      </c>
      <c r="Q85" s="422">
        <f t="shared" si="10"/>
        <v>0</v>
      </c>
      <c r="R85" s="422">
        <f t="shared" si="10"/>
        <v>0</v>
      </c>
      <c r="S85" s="422">
        <f t="shared" si="10"/>
        <v>0</v>
      </c>
      <c r="T85" s="422">
        <f t="shared" si="10"/>
        <v>0</v>
      </c>
      <c r="U85" s="422">
        <f t="shared" si="10"/>
        <v>20</v>
      </c>
      <c r="V85" s="422">
        <f t="shared" si="10"/>
        <v>20</v>
      </c>
      <c r="W85" s="422">
        <f t="shared" si="10"/>
        <v>20</v>
      </c>
      <c r="X85" s="422">
        <f t="shared" si="10"/>
        <v>20</v>
      </c>
      <c r="Y85" s="422">
        <f t="shared" si="10"/>
        <v>20</v>
      </c>
      <c r="Z85" s="423">
        <f t="shared" si="10"/>
        <v>20</v>
      </c>
    </row>
    <row r="87" spans="15:26">
      <c r="O87" s="384" t="s">
        <v>2236</v>
      </c>
      <c r="P87" s="417" t="str">
        <f t="shared" ref="P87" si="11">P72</f>
        <v>FY21</v>
      </c>
      <c r="Q87" s="417" t="str">
        <f t="shared" ref="Q87:Z87" si="12">Q72</f>
        <v>FY22</v>
      </c>
      <c r="R87" s="417" t="str">
        <f t="shared" si="12"/>
        <v>FY23</v>
      </c>
      <c r="S87" s="417" t="str">
        <f t="shared" si="12"/>
        <v>YTD24</v>
      </c>
      <c r="T87" s="417" t="str">
        <f t="shared" si="12"/>
        <v>YTG24</v>
      </c>
      <c r="U87" s="417" t="str">
        <f t="shared" si="12"/>
        <v>FY24</v>
      </c>
      <c r="V87" s="417" t="str">
        <f t="shared" si="12"/>
        <v>FY25</v>
      </c>
      <c r="W87" s="417" t="str">
        <f t="shared" si="12"/>
        <v>FY26</v>
      </c>
      <c r="X87" s="417" t="str">
        <f t="shared" si="12"/>
        <v>FY27</v>
      </c>
      <c r="Y87" s="417" t="str">
        <f t="shared" si="12"/>
        <v>FY28</v>
      </c>
      <c r="Z87" s="418" t="str">
        <f t="shared" si="12"/>
        <v>FY29</v>
      </c>
    </row>
    <row r="88" spans="15:26">
      <c r="O88" s="424" t="s">
        <v>113</v>
      </c>
      <c r="P88" s="1649"/>
      <c r="Q88" s="1649"/>
      <c r="R88" s="1649"/>
      <c r="S88" s="1649"/>
      <c r="T88" s="1649"/>
      <c r="U88" s="1649"/>
      <c r="V88" s="1649"/>
      <c r="W88" s="1649"/>
      <c r="X88" s="1649"/>
      <c r="Y88" s="1649"/>
      <c r="Z88" s="425"/>
    </row>
    <row r="89" spans="15:26">
      <c r="O89" s="404" t="str">
        <f>O73</f>
        <v>Trade Receivables Days</v>
      </c>
      <c r="P89" s="420">
        <f>BS_Calc!H19</f>
        <v>0</v>
      </c>
      <c r="Q89" s="420">
        <f>BS_Calc!I19</f>
        <v>0</v>
      </c>
      <c r="R89" s="420">
        <f>BS_Calc!J19</f>
        <v>0</v>
      </c>
      <c r="S89" s="420">
        <f>BS_Calc!K19</f>
        <v>0</v>
      </c>
      <c r="T89" s="420">
        <f>BS_Calc!L19</f>
        <v>0</v>
      </c>
      <c r="U89" s="420">
        <f>BS_Calc!M19</f>
        <v>0</v>
      </c>
      <c r="V89" s="420">
        <f>BS_Calc!N19</f>
        <v>0</v>
      </c>
      <c r="W89" s="420">
        <f>BS_Calc!O19</f>
        <v>0</v>
      </c>
      <c r="X89" s="420">
        <f>BS_Calc!P19</f>
        <v>0</v>
      </c>
      <c r="Y89" s="420">
        <f>BS_Calc!Q19</f>
        <v>0</v>
      </c>
      <c r="Z89" s="421">
        <f>BS_Calc!R19</f>
        <v>0</v>
      </c>
    </row>
    <row r="90" spans="15:26">
      <c r="O90" s="404" t="str">
        <f>O74</f>
        <v>Advances to Suppliers</v>
      </c>
      <c r="P90" s="420">
        <f>BS_Calc!H20</f>
        <v>0</v>
      </c>
      <c r="Q90" s="420">
        <f>BS_Calc!I20</f>
        <v>0</v>
      </c>
      <c r="R90" s="420">
        <f>BS_Calc!J20</f>
        <v>0</v>
      </c>
      <c r="S90" s="420">
        <f>BS_Calc!K20</f>
        <v>0</v>
      </c>
      <c r="T90" s="420">
        <f>BS_Calc!L20</f>
        <v>0</v>
      </c>
      <c r="U90" s="420">
        <f>BS_Calc!M20</f>
        <v>0</v>
      </c>
      <c r="V90" s="420">
        <f>BS_Calc!N20</f>
        <v>0</v>
      </c>
      <c r="W90" s="420">
        <f>BS_Calc!O20</f>
        <v>0</v>
      </c>
      <c r="X90" s="420">
        <f>BS_Calc!P20</f>
        <v>0</v>
      </c>
      <c r="Y90" s="420">
        <f>BS_Calc!Q20</f>
        <v>0</v>
      </c>
      <c r="Z90" s="421">
        <f>BS_Calc!R20</f>
        <v>0</v>
      </c>
    </row>
    <row r="91" spans="15:26">
      <c r="O91" s="404" t="str">
        <f>O75</f>
        <v>Other Receivables Days</v>
      </c>
      <c r="P91" s="420">
        <f>BS_Calc!H21</f>
        <v>0</v>
      </c>
      <c r="Q91" s="420">
        <f>BS_Calc!I21</f>
        <v>0</v>
      </c>
      <c r="R91" s="420">
        <f>BS_Calc!J21</f>
        <v>0</v>
      </c>
      <c r="S91" s="420">
        <f>BS_Calc!K21</f>
        <v>0</v>
      </c>
      <c r="T91" s="420">
        <f>BS_Calc!L21</f>
        <v>0</v>
      </c>
      <c r="U91" s="420">
        <f>BS_Calc!M21</f>
        <v>0</v>
      </c>
      <c r="V91" s="420">
        <f>BS_Calc!N21</f>
        <v>0</v>
      </c>
      <c r="W91" s="420">
        <f>BS_Calc!O21</f>
        <v>0</v>
      </c>
      <c r="X91" s="420">
        <f>BS_Calc!P21</f>
        <v>0</v>
      </c>
      <c r="Y91" s="420">
        <f>BS_Calc!Q21</f>
        <v>0</v>
      </c>
      <c r="Z91" s="421">
        <f>BS_Calc!R21</f>
        <v>0</v>
      </c>
    </row>
    <row r="92" spans="15:26">
      <c r="O92" s="404" t="str">
        <f>O76</f>
        <v xml:space="preserve">Inventory Days </v>
      </c>
      <c r="P92" s="420">
        <f>BS_Calc!H22</f>
        <v>0</v>
      </c>
      <c r="Q92" s="420">
        <f>BS_Calc!I22</f>
        <v>0</v>
      </c>
      <c r="R92" s="420">
        <f>BS_Calc!J22</f>
        <v>0</v>
      </c>
      <c r="S92" s="420">
        <f>BS_Calc!K22</f>
        <v>0</v>
      </c>
      <c r="T92" s="420">
        <f>BS_Calc!L22</f>
        <v>0</v>
      </c>
      <c r="U92" s="420">
        <f>BS_Calc!M22</f>
        <v>0</v>
      </c>
      <c r="V92" s="420">
        <f>BS_Calc!N22</f>
        <v>0</v>
      </c>
      <c r="W92" s="420">
        <f>BS_Calc!O22</f>
        <v>0</v>
      </c>
      <c r="X92" s="420">
        <f>BS_Calc!P22</f>
        <v>0</v>
      </c>
      <c r="Y92" s="420">
        <f>BS_Calc!Q22</f>
        <v>0</v>
      </c>
      <c r="Z92" s="421">
        <f>BS_Calc!R22</f>
        <v>0</v>
      </c>
    </row>
    <row r="93" spans="15:26">
      <c r="O93" s="404" t="str">
        <f>O77</f>
        <v xml:space="preserve">Prepaid Expenses &amp; Other Days </v>
      </c>
      <c r="P93" s="420">
        <f>BS_Calc!H23</f>
        <v>0</v>
      </c>
      <c r="Q93" s="420">
        <f>BS_Calc!I23</f>
        <v>0</v>
      </c>
      <c r="R93" s="420">
        <f>BS_Calc!J23</f>
        <v>0</v>
      </c>
      <c r="S93" s="420">
        <f>BS_Calc!K23</f>
        <v>0</v>
      </c>
      <c r="T93" s="420">
        <f>BS_Calc!L23</f>
        <v>0</v>
      </c>
      <c r="U93" s="420">
        <f>BS_Calc!M23</f>
        <v>0</v>
      </c>
      <c r="V93" s="420">
        <f>BS_Calc!N23</f>
        <v>0</v>
      </c>
      <c r="W93" s="420">
        <f>BS_Calc!O23</f>
        <v>0</v>
      </c>
      <c r="X93" s="420">
        <f>BS_Calc!P23</f>
        <v>0</v>
      </c>
      <c r="Y93" s="420">
        <f>BS_Calc!Q23</f>
        <v>0</v>
      </c>
      <c r="Z93" s="421">
        <f>BS_Calc!R23</f>
        <v>0</v>
      </c>
    </row>
    <row r="94" spans="15:26">
      <c r="O94" s="404"/>
      <c r="P94" s="420"/>
      <c r="Q94" s="420"/>
      <c r="R94" s="420"/>
      <c r="S94" s="420"/>
      <c r="T94" s="420"/>
      <c r="U94" s="420"/>
      <c r="V94" s="420"/>
      <c r="W94" s="420"/>
      <c r="X94" s="420"/>
      <c r="Y94" s="420"/>
      <c r="Z94" s="421"/>
    </row>
    <row r="95" spans="15:26">
      <c r="O95" s="404" t="str">
        <f t="shared" ref="O95:O100" si="13">O79</f>
        <v xml:space="preserve">Trade Payables Days </v>
      </c>
      <c r="P95" s="420">
        <f>BS_Calc!H26</f>
        <v>0</v>
      </c>
      <c r="Q95" s="420">
        <f>BS_Calc!I26</f>
        <v>0</v>
      </c>
      <c r="R95" s="420">
        <f>BS_Calc!J26</f>
        <v>0</v>
      </c>
      <c r="S95" s="420">
        <f>BS_Calc!K26</f>
        <v>0</v>
      </c>
      <c r="T95" s="420">
        <f>BS_Calc!L26</f>
        <v>0</v>
      </c>
      <c r="U95" s="420">
        <f>BS_Calc!M26</f>
        <v>0</v>
      </c>
      <c r="V95" s="420">
        <f>BS_Calc!N26</f>
        <v>0</v>
      </c>
      <c r="W95" s="420">
        <f>BS_Calc!O26</f>
        <v>0</v>
      </c>
      <c r="X95" s="420">
        <f>BS_Calc!P26</f>
        <v>0</v>
      </c>
      <c r="Y95" s="420">
        <f>BS_Calc!Q26</f>
        <v>0</v>
      </c>
      <c r="Z95" s="421">
        <f>BS_Calc!R26</f>
        <v>0</v>
      </c>
    </row>
    <row r="96" spans="15:26">
      <c r="O96" s="404" t="str">
        <f t="shared" si="13"/>
        <v>Advances from Customers</v>
      </c>
      <c r="P96" s="420">
        <f>BS_Calc!H27</f>
        <v>0</v>
      </c>
      <c r="Q96" s="420">
        <f>BS_Calc!I27</f>
        <v>0</v>
      </c>
      <c r="R96" s="420">
        <f>BS_Calc!J27</f>
        <v>0</v>
      </c>
      <c r="S96" s="420">
        <f>BS_Calc!K27</f>
        <v>0</v>
      </c>
      <c r="T96" s="420">
        <f>BS_Calc!L27</f>
        <v>0</v>
      </c>
      <c r="U96" s="420">
        <f>BS_Calc!M27</f>
        <v>0</v>
      </c>
      <c r="V96" s="420">
        <f>BS_Calc!N27</f>
        <v>0</v>
      </c>
      <c r="W96" s="420">
        <f>BS_Calc!O27</f>
        <v>0</v>
      </c>
      <c r="X96" s="420">
        <f>BS_Calc!P27</f>
        <v>0</v>
      </c>
      <c r="Y96" s="420">
        <f>BS_Calc!Q27</f>
        <v>0</v>
      </c>
      <c r="Z96" s="421">
        <f>BS_Calc!R27</f>
        <v>0</v>
      </c>
    </row>
    <row r="97" spans="15:27">
      <c r="O97" s="404" t="str">
        <f t="shared" si="13"/>
        <v>Salaries Payable</v>
      </c>
      <c r="P97" s="420">
        <f>BS_Calc!H28</f>
        <v>0</v>
      </c>
      <c r="Q97" s="420">
        <f>BS_Calc!I28</f>
        <v>0</v>
      </c>
      <c r="R97" s="420">
        <f>BS_Calc!J28</f>
        <v>0</v>
      </c>
      <c r="S97" s="420">
        <f>BS_Calc!K28</f>
        <v>0</v>
      </c>
      <c r="T97" s="420">
        <f>BS_Calc!L28</f>
        <v>0</v>
      </c>
      <c r="U97" s="420">
        <f>BS_Calc!M28</f>
        <v>0</v>
      </c>
      <c r="V97" s="420">
        <f>BS_Calc!N28</f>
        <v>0</v>
      </c>
      <c r="W97" s="420">
        <f>BS_Calc!O28</f>
        <v>0</v>
      </c>
      <c r="X97" s="420">
        <f>BS_Calc!P28</f>
        <v>0</v>
      </c>
      <c r="Y97" s="420">
        <f>BS_Calc!Q28</f>
        <v>0</v>
      </c>
      <c r="Z97" s="421">
        <f>BS_Calc!R28</f>
        <v>0</v>
      </c>
    </row>
    <row r="98" spans="15:27">
      <c r="O98" s="404" t="str">
        <f t="shared" si="13"/>
        <v xml:space="preserve">Accrued Expenses Days </v>
      </c>
      <c r="P98" s="420">
        <f>BS_Calc!H29</f>
        <v>0</v>
      </c>
      <c r="Q98" s="420">
        <f>BS_Calc!I29</f>
        <v>0</v>
      </c>
      <c r="R98" s="420">
        <f>BS_Calc!J29</f>
        <v>0</v>
      </c>
      <c r="S98" s="420">
        <f>BS_Calc!K29</f>
        <v>0</v>
      </c>
      <c r="T98" s="420">
        <f>BS_Calc!L29</f>
        <v>0</v>
      </c>
      <c r="U98" s="420">
        <f>BS_Calc!M29</f>
        <v>0</v>
      </c>
      <c r="V98" s="420">
        <f>BS_Calc!N29</f>
        <v>0</v>
      </c>
      <c r="W98" s="420">
        <f>BS_Calc!O29</f>
        <v>0</v>
      </c>
      <c r="X98" s="420">
        <f>BS_Calc!P29</f>
        <v>0</v>
      </c>
      <c r="Y98" s="420">
        <f>BS_Calc!Q29</f>
        <v>0</v>
      </c>
      <c r="Z98" s="421">
        <f>BS_Calc!R29</f>
        <v>0</v>
      </c>
    </row>
    <row r="99" spans="15:27">
      <c r="O99" s="404" t="str">
        <f t="shared" si="13"/>
        <v xml:space="preserve">Tax Payables Days </v>
      </c>
      <c r="P99" s="420">
        <f>BS_Calc!H30</f>
        <v>0</v>
      </c>
      <c r="Q99" s="420">
        <f>BS_Calc!I30</f>
        <v>0</v>
      </c>
      <c r="R99" s="420">
        <f>BS_Calc!J30</f>
        <v>0</v>
      </c>
      <c r="S99" s="420">
        <f>BS_Calc!K30</f>
        <v>0</v>
      </c>
      <c r="T99" s="420">
        <f>BS_Calc!L30</f>
        <v>0</v>
      </c>
      <c r="U99" s="420">
        <f ca="1">BS_Calc!M30</f>
        <v>0</v>
      </c>
      <c r="V99" s="420">
        <f ca="1">BS_Calc!N30</f>
        <v>0</v>
      </c>
      <c r="W99" s="420">
        <f ca="1">BS_Calc!O30</f>
        <v>0</v>
      </c>
      <c r="X99" s="420">
        <f ca="1">BS_Calc!P30</f>
        <v>0</v>
      </c>
      <c r="Y99" s="420">
        <f ca="1">BS_Calc!Q30</f>
        <v>0</v>
      </c>
      <c r="Z99" s="421">
        <f ca="1">BS_Calc!R30</f>
        <v>0</v>
      </c>
    </row>
    <row r="100" spans="15:27">
      <c r="O100" s="404" t="str">
        <f t="shared" si="13"/>
        <v xml:space="preserve">Other Payables Days </v>
      </c>
      <c r="P100" s="420">
        <f>BS_Calc!H31</f>
        <v>0</v>
      </c>
      <c r="Q100" s="420">
        <f>BS_Calc!I31</f>
        <v>0</v>
      </c>
      <c r="R100" s="420">
        <f>BS_Calc!J31</f>
        <v>0</v>
      </c>
      <c r="S100" s="420">
        <f>BS_Calc!K31</f>
        <v>0</v>
      </c>
      <c r="T100" s="420">
        <f>BS_Calc!L31</f>
        <v>0</v>
      </c>
      <c r="U100" s="420">
        <f>BS_Calc!M31</f>
        <v>0</v>
      </c>
      <c r="V100" s="420">
        <f>BS_Calc!N31</f>
        <v>0</v>
      </c>
      <c r="W100" s="420">
        <f>BS_Calc!O31</f>
        <v>0</v>
      </c>
      <c r="X100" s="420">
        <f>BS_Calc!P31</f>
        <v>0</v>
      </c>
      <c r="Y100" s="420">
        <f>BS_Calc!Q31</f>
        <v>0</v>
      </c>
      <c r="Z100" s="421">
        <f>BS_Calc!R31</f>
        <v>0</v>
      </c>
    </row>
    <row r="101" spans="15:27">
      <c r="O101" s="408" t="s">
        <v>2238</v>
      </c>
      <c r="P101" s="422">
        <f t="shared" ref="P101:Z101" si="14">SUM(P89:P94)-SUM(P95:P100)</f>
        <v>0</v>
      </c>
      <c r="Q101" s="422">
        <f t="shared" si="14"/>
        <v>0</v>
      </c>
      <c r="R101" s="422">
        <f t="shared" si="14"/>
        <v>0</v>
      </c>
      <c r="S101" s="422">
        <f t="shared" si="14"/>
        <v>0</v>
      </c>
      <c r="T101" s="422">
        <f t="shared" si="14"/>
        <v>0</v>
      </c>
      <c r="U101" s="422">
        <f t="shared" ca="1" si="14"/>
        <v>0</v>
      </c>
      <c r="V101" s="422">
        <f t="shared" ca="1" si="14"/>
        <v>0</v>
      </c>
      <c r="W101" s="422">
        <f t="shared" ca="1" si="14"/>
        <v>0</v>
      </c>
      <c r="X101" s="422">
        <f t="shared" ca="1" si="14"/>
        <v>0</v>
      </c>
      <c r="Y101" s="422">
        <f t="shared" ca="1" si="14"/>
        <v>0</v>
      </c>
      <c r="Z101" s="423">
        <f t="shared" ca="1" si="14"/>
        <v>0</v>
      </c>
    </row>
    <row r="102" spans="15:27">
      <c r="O102" s="413" t="s">
        <v>2237</v>
      </c>
      <c r="P102" s="414">
        <f t="shared" ref="P102:Z102" si="15">IFERROR(P101/SUM(P31:P33),0)</f>
        <v>0</v>
      </c>
      <c r="Q102" s="414">
        <f t="shared" si="15"/>
        <v>0</v>
      </c>
      <c r="R102" s="414">
        <f t="shared" si="15"/>
        <v>0</v>
      </c>
      <c r="S102" s="414">
        <f t="shared" si="15"/>
        <v>0</v>
      </c>
      <c r="T102" s="414">
        <f t="shared" si="15"/>
        <v>0</v>
      </c>
      <c r="U102" s="414">
        <f t="shared" ca="1" si="15"/>
        <v>0</v>
      </c>
      <c r="V102" s="414">
        <f t="shared" ca="1" si="15"/>
        <v>0</v>
      </c>
      <c r="W102" s="414">
        <f t="shared" ca="1" si="15"/>
        <v>0</v>
      </c>
      <c r="X102" s="414">
        <f t="shared" ca="1" si="15"/>
        <v>0</v>
      </c>
      <c r="Y102" s="414">
        <f t="shared" ca="1" si="15"/>
        <v>0</v>
      </c>
      <c r="Z102" s="415">
        <f t="shared" ca="1" si="15"/>
        <v>0</v>
      </c>
    </row>
    <row r="104" spans="15:27">
      <c r="O104" s="384" t="s">
        <v>1903</v>
      </c>
      <c r="P104" s="417" t="str">
        <f t="shared" ref="P104" si="16">P87</f>
        <v>FY21</v>
      </c>
      <c r="Q104" s="417" t="str">
        <f t="shared" ref="Q104:Z104" si="17">Q87</f>
        <v>FY22</v>
      </c>
      <c r="R104" s="417" t="str">
        <f t="shared" si="17"/>
        <v>FY23</v>
      </c>
      <c r="S104" s="417" t="str">
        <f t="shared" si="17"/>
        <v>YTD24</v>
      </c>
      <c r="T104" s="417" t="str">
        <f t="shared" si="17"/>
        <v>YTG24</v>
      </c>
      <c r="U104" s="417" t="str">
        <f t="shared" si="17"/>
        <v>FY24</v>
      </c>
      <c r="V104" s="417" t="str">
        <f t="shared" si="17"/>
        <v>FY25</v>
      </c>
      <c r="W104" s="417" t="str">
        <f t="shared" si="17"/>
        <v>FY26</v>
      </c>
      <c r="X104" s="417" t="str">
        <f t="shared" si="17"/>
        <v>FY27</v>
      </c>
      <c r="Y104" s="417" t="str">
        <f t="shared" si="17"/>
        <v>FY28</v>
      </c>
      <c r="Z104" s="418" t="str">
        <f t="shared" si="17"/>
        <v>FY29</v>
      </c>
    </row>
    <row r="105" spans="15:27">
      <c r="O105" s="404" t="s">
        <v>2239</v>
      </c>
      <c r="P105" s="426"/>
      <c r="Q105" s="426"/>
      <c r="R105" s="426"/>
      <c r="S105" s="426"/>
      <c r="T105" s="426"/>
      <c r="U105" s="426"/>
      <c r="V105" s="372" t="e">
        <f>-BS_Calc!N61/K</f>
        <v>#NAME?</v>
      </c>
      <c r="W105" s="372" t="e">
        <f>-BS_Calc!O61/K</f>
        <v>#NAME?</v>
      </c>
      <c r="X105" s="372" t="e">
        <f>-BS_Calc!P61/K</f>
        <v>#NAME?</v>
      </c>
      <c r="Y105" s="372" t="e">
        <f>-BS_Calc!Q61/K</f>
        <v>#NAME?</v>
      </c>
      <c r="Z105" s="405" t="e">
        <f>-BS_Calc!R61/K</f>
        <v>#NAME?</v>
      </c>
    </row>
    <row r="106" spans="15:27">
      <c r="O106" s="404" t="s">
        <v>2240</v>
      </c>
      <c r="P106" s="427"/>
      <c r="Q106" s="427"/>
      <c r="R106" s="427"/>
      <c r="S106" s="427"/>
      <c r="T106" s="427"/>
      <c r="U106" s="427"/>
      <c r="V106" s="406"/>
      <c r="W106" s="406"/>
      <c r="X106" s="406"/>
      <c r="Y106" s="406"/>
      <c r="Z106" s="407"/>
      <c r="AA106" s="428"/>
    </row>
    <row r="107" spans="15:27">
      <c r="O107" s="408" t="s">
        <v>2095</v>
      </c>
      <c r="P107" s="409">
        <f t="shared" ref="P107" si="18">SUM(P105:P106)</f>
        <v>0</v>
      </c>
      <c r="Q107" s="409">
        <f t="shared" ref="Q107:Z107" si="19">SUM(Q105:Q106)</f>
        <v>0</v>
      </c>
      <c r="R107" s="409">
        <f t="shared" si="19"/>
        <v>0</v>
      </c>
      <c r="S107" s="409">
        <f>SUM(S105:S106)</f>
        <v>0</v>
      </c>
      <c r="T107" s="409">
        <f>SUM(T105:T106)</f>
        <v>0</v>
      </c>
      <c r="U107" s="409">
        <f t="shared" si="19"/>
        <v>0</v>
      </c>
      <c r="V107" s="409" t="e">
        <f t="shared" si="19"/>
        <v>#NAME?</v>
      </c>
      <c r="W107" s="409" t="e">
        <f t="shared" si="19"/>
        <v>#NAME?</v>
      </c>
      <c r="X107" s="409" t="e">
        <f t="shared" si="19"/>
        <v>#NAME?</v>
      </c>
      <c r="Y107" s="409" t="e">
        <f t="shared" si="19"/>
        <v>#NAME?</v>
      </c>
      <c r="Z107" s="410" t="e">
        <f t="shared" si="19"/>
        <v>#NAME?</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02855-47F3-4B4E-BDB8-5880B0B2F4DE}">
  <dimension ref="B1:I55"/>
  <sheetViews>
    <sheetView showGridLines="0" workbookViewId="0">
      <selection activeCell="H14" sqref="H14"/>
    </sheetView>
  </sheetViews>
  <sheetFormatPr defaultColWidth="8.69140625" defaultRowHeight="13"/>
  <cols>
    <col min="1" max="2" width="2.23046875" style="372" customWidth="1"/>
    <col min="3" max="3" width="25.69140625" style="372" bestFit="1" customWidth="1"/>
    <col min="4" max="4" width="19.84375" style="371" customWidth="1"/>
    <col min="5" max="5" width="23.69140625" style="372" customWidth="1"/>
    <col min="6" max="6" width="8" style="372" bestFit="1" customWidth="1"/>
    <col min="7" max="8" width="8.69140625" style="372"/>
    <col min="9" max="9" width="8.69140625" style="372" customWidth="1"/>
    <col min="10" max="16384" width="8.69140625" style="372"/>
  </cols>
  <sheetData>
    <row r="1" spans="2:9">
      <c r="E1" s="372" t="s">
        <v>2943</v>
      </c>
    </row>
    <row r="2" spans="2:9">
      <c r="B2" s="1652" t="s">
        <v>2829</v>
      </c>
      <c r="E2" s="372" t="s">
        <v>2943</v>
      </c>
      <c r="H2" s="1760" t="s">
        <v>2944</v>
      </c>
      <c r="I2" s="372" t="str">
        <f>"Valuation of "&amp;D3</f>
        <v>Valuation of Aerial Arts India XXXXXXXXXXXXXXXXX</v>
      </c>
    </row>
    <row r="3" spans="2:9">
      <c r="C3" s="372" t="s">
        <v>2864</v>
      </c>
      <c r="D3" s="1663" t="str">
        <f>subject.name</f>
        <v>Aerial Arts India XXXXXXXXXXXXXXXXX</v>
      </c>
      <c r="E3" s="372" t="s">
        <v>2943</v>
      </c>
      <c r="I3" s="372" t="str">
        <f>"for "&amp;C9</f>
        <v>for Client Company Name</v>
      </c>
    </row>
    <row r="4" spans="2:9">
      <c r="C4" s="372" t="s">
        <v>2490</v>
      </c>
      <c r="D4" s="1653">
        <f>valuation.date</f>
        <v>45565</v>
      </c>
      <c r="E4" s="372" t="s">
        <v>2943</v>
      </c>
      <c r="I4" s="372" t="str">
        <f>"Valuation as at "&amp;TEXT(D4,"dd mmmmmmm yyy")</f>
        <v>Valuation as at 30 September 2024</v>
      </c>
    </row>
    <row r="5" spans="2:9">
      <c r="C5" s="372" t="s">
        <v>2830</v>
      </c>
      <c r="D5" s="1653">
        <f ca="1">TODAY()</f>
        <v>45617</v>
      </c>
      <c r="E5" s="372" t="s">
        <v>2943</v>
      </c>
      <c r="I5" s="1761" t="str">
        <f ca="1">TEXT(TODAY(),"dd mmmmmmm yyyy")</f>
        <v>21 November 2024</v>
      </c>
    </row>
    <row r="6" spans="2:9">
      <c r="C6" s="372" t="s">
        <v>2867</v>
      </c>
      <c r="D6" s="1654">
        <f ca="1">TODAY()</f>
        <v>45617</v>
      </c>
      <c r="E6" s="372" t="s">
        <v>2943</v>
      </c>
      <c r="H6" s="1760" t="s">
        <v>2945</v>
      </c>
    </row>
    <row r="7" spans="2:9">
      <c r="C7" s="372" t="s">
        <v>2409</v>
      </c>
      <c r="D7" s="1663" t="str">
        <f>Inputs!E20</f>
        <v>Samina Burhani</v>
      </c>
      <c r="E7" s="372" t="s">
        <v>2943</v>
      </c>
    </row>
    <row r="8" spans="2:9">
      <c r="C8" s="372" t="s">
        <v>2865</v>
      </c>
      <c r="D8" s="1663" t="str">
        <f>D7</f>
        <v>Samina Burhani</v>
      </c>
      <c r="E8" s="372" t="s">
        <v>2943</v>
      </c>
      <c r="H8" s="1760" t="s">
        <v>2946</v>
      </c>
    </row>
    <row r="9" spans="2:9">
      <c r="C9" s="372" t="s">
        <v>2610</v>
      </c>
      <c r="D9" s="1663" t="str">
        <f>client.name.long</f>
        <v>Aerial Arts India XXXXXXXXXXXXXXXXX</v>
      </c>
      <c r="E9" s="372" t="s">
        <v>2943</v>
      </c>
      <c r="H9" s="372" t="s">
        <v>2947</v>
      </c>
      <c r="I9" s="372" t="e">
        <f>"Valify has been engaged by "&amp;Log!D9&amp;" ('Client') to run a valuation of "&amp;subject.name&amp;" ('Subject Company' or '"&amp;Inputs!G24&amp;"'), based on the provided Management forecasts, as at "&amp;TEXT(Log!D4,"mmmm dd, yyyy")&amp;" ('Valuation Date')."</f>
        <v>#REF!</v>
      </c>
    </row>
    <row r="10" spans="2:9">
      <c r="C10" s="372" t="s">
        <v>2831</v>
      </c>
      <c r="D10" s="1663" t="e">
        <f>Inputs!G19</f>
        <v>#REF!</v>
      </c>
      <c r="E10" s="372" t="s">
        <v>2943</v>
      </c>
      <c r="H10" s="372" t="s">
        <v>2880</v>
      </c>
      <c r="I10" s="372" t="e">
        <f>"To carry out the valuation of "&amp;Log!D10&amp;", we have relied on financial &amp; non-financialinformation provided by the Valuer including, but not limited to; "</f>
        <v>#REF!</v>
      </c>
    </row>
    <row r="11" spans="2:9">
      <c r="C11" s="372" t="s">
        <v>2410</v>
      </c>
      <c r="D11" s="1663" t="e">
        <f>Inputs!E21&amp;" - "&amp;Inputs!#REF!</f>
        <v>#REF!</v>
      </c>
      <c r="E11" s="372" t="s">
        <v>2943</v>
      </c>
      <c r="H11" s="372" t="s">
        <v>2948</v>
      </c>
      <c r="I11" s="372" t="str">
        <f>"We have corroborated our analysis using the Market approach, which considers market multiples (EV/EBITDA) of a set of publicly listed companies comparable to "&amp;D3&amp;"."</f>
        <v>We have corroborated our analysis using the Market approach, which considers market multiples (EV/EBITDA) of a set of publicly listed companies comparable to Aerial Arts India XXXXXXXXXXXXXXXXX.</v>
      </c>
    </row>
    <row r="12" spans="2:9">
      <c r="C12" s="372" t="s">
        <v>2832</v>
      </c>
      <c r="D12" s="1654">
        <f>projected.year1.end</f>
        <v>45657</v>
      </c>
      <c r="E12" s="372" t="s">
        <v>2943</v>
      </c>
      <c r="H12" s="372" t="s">
        <v>2884</v>
      </c>
      <c r="I12" s="372" t="e">
        <f ca="1">"Based on the sensitivities reflected under Valify Case, we arrived at the aggregate EV range of "&amp;currency.type&amp;" "&amp;MROUND(ValSum!D84,1)&amp;" "&amp;Inputs!$F$45&amp;" to "&amp;currency.type&amp;" "&amp;MROUND(ValSum!F84,1)&amp;" "&amp;Inputs!$F$45&amp;"."</f>
        <v>#NAME?</v>
      </c>
    </row>
    <row r="13" spans="2:9">
      <c r="E13" s="372" t="s">
        <v>2943</v>
      </c>
      <c r="H13" s="1760" t="s">
        <v>2950</v>
      </c>
      <c r="I13" s="1770"/>
    </row>
    <row r="14" spans="2:9">
      <c r="B14" s="1652" t="s">
        <v>2833</v>
      </c>
      <c r="E14" s="372" t="s">
        <v>2943</v>
      </c>
      <c r="H14" s="372" t="s">
        <v>2951</v>
      </c>
      <c r="I14" s="372" t="str">
        <f>D24</f>
        <v>Aerial Arts India XXXXXXXXXXXXXXXXXis a Growing Retailer in the Apparel industry in United Arab Emirates.</v>
      </c>
    </row>
    <row r="15" spans="2:9">
      <c r="C15" s="372" t="s">
        <v>2834</v>
      </c>
      <c r="D15" s="1663" t="e">
        <f ca="1">ReportData!$P$20</f>
        <v>#NAME?</v>
      </c>
      <c r="E15" s="372" t="s">
        <v>2943</v>
      </c>
      <c r="H15" s="372" t="s">
        <v>1921</v>
      </c>
      <c r="I15" s="372" t="e">
        <f>D10&amp;"'s existing business includes "&amp;D26</f>
        <v>#REF!</v>
      </c>
    </row>
    <row r="16" spans="2:9">
      <c r="C16" s="372" t="s">
        <v>2835</v>
      </c>
      <c r="D16" s="1663" t="e">
        <f ca="1">ReportData!$R$20</f>
        <v>#NAME?</v>
      </c>
      <c r="E16" s="372" t="s">
        <v>2943</v>
      </c>
      <c r="H16" s="372" t="s">
        <v>2915</v>
      </c>
      <c r="I16" s="372" t="str">
        <f>"Further, as per provided information, "&amp;D30&amp;" are in confirmed pipeline during the next 5 years."</f>
        <v>Further, as per provided information, Corporate Clients, NA, NA, NA are in confirmed pipeline during the next 5 years.</v>
      </c>
    </row>
    <row r="17" spans="2:9">
      <c r="C17" s="372" t="s">
        <v>2836</v>
      </c>
      <c r="D17" s="1663">
        <f>ReportData!$P$21</f>
        <v>0</v>
      </c>
      <c r="E17" s="372" t="s">
        <v>2943</v>
      </c>
      <c r="H17" s="372" t="s">
        <v>2916</v>
      </c>
      <c r="I17" s="372" t="str">
        <f>"Lastly, as per the provided information, the Company aims to develop business into "&amp;D31&amp;" over the next 5 years."</f>
        <v>Lastly, as per the provided information, the Company aims to develop business into Business Events, NA, NA and NA over the next 5 years.</v>
      </c>
    </row>
    <row r="18" spans="2:9">
      <c r="C18" s="372" t="s">
        <v>2837</v>
      </c>
      <c r="D18" s="1663">
        <f>ReportData!$R$21</f>
        <v>0</v>
      </c>
      <c r="E18" s="372" t="s">
        <v>2943</v>
      </c>
      <c r="H18" s="372" t="s">
        <v>2958</v>
      </c>
      <c r="I18" s="372" t="str">
        <f>"The Company primarily operates in "&amp;Log!D28&amp;". "</f>
        <v xml:space="preserve">The Company primarily operates in United Arab Emirates and Saudi Arabia. </v>
      </c>
    </row>
    <row r="19" spans="2:9">
      <c r="C19" s="372" t="s">
        <v>2838</v>
      </c>
      <c r="D19" s="1663"/>
      <c r="E19" s="372" t="s">
        <v>2943</v>
      </c>
      <c r="H19" s="372" t="s">
        <v>2959</v>
      </c>
      <c r="I19" s="372" t="e">
        <f>Log!D10&amp;" has a secondary business as a "&amp;Inputs!E65&amp;" in "&amp;Inputs!E63&amp;" which contributes "&amp;TEXT(Inputs!E68,"0%")&amp;" to Company revenues."</f>
        <v>#REF!</v>
      </c>
    </row>
    <row r="20" spans="2:9">
      <c r="C20" s="372" t="s">
        <v>2839</v>
      </c>
      <c r="D20" s="1663"/>
      <c r="E20" s="372" t="s">
        <v>2943</v>
      </c>
    </row>
    <row r="21" spans="2:9">
      <c r="C21" s="372" t="s">
        <v>2840</v>
      </c>
      <c r="D21" s="1664">
        <f>ValSum!D64</f>
        <v>0</v>
      </c>
      <c r="E21" s="372" t="s">
        <v>2943</v>
      </c>
      <c r="H21" s="1760" t="s">
        <v>2965</v>
      </c>
    </row>
    <row r="22" spans="2:9">
      <c r="E22" s="372" t="s">
        <v>2943</v>
      </c>
      <c r="H22" s="372" t="s">
        <v>2961</v>
      </c>
      <c r="I22" s="372" t="e">
        <f>"Historically, majority of "&amp;D10&amp;"'s revenues have sourced from "&amp;D39&amp;", which has contributed "&amp;D40&amp;" of the Company's revenues. The Company's historical revenues have grown at a CAGR of "&amp;D36&amp;" from "&amp;D37&amp;" to "&amp;D38&amp;"."</f>
        <v>#REF!</v>
      </c>
    </row>
    <row r="23" spans="2:9">
      <c r="B23" s="1652" t="s">
        <v>2841</v>
      </c>
      <c r="E23" s="372" t="s">
        <v>2943</v>
      </c>
      <c r="H23" s="372" t="s">
        <v>2854</v>
      </c>
      <c r="I23" s="372" t="e">
        <f>"As of "&amp;TEXT(D43,"dd mmmmmmm yyyy")&amp;", "&amp;D10&amp;"'s revenues stood at "&amp;D44&amp;", which is "&amp;D45&amp;" than the management target."</f>
        <v>#REF!</v>
      </c>
    </row>
    <row r="24" spans="2:9">
      <c r="C24" s="372" t="s">
        <v>2011</v>
      </c>
      <c r="D24" s="1663" t="str">
        <f>D3&amp;"is a "&amp;Inputs!H49&amp;" "&amp;Inputs!E54&amp;" in the "&amp;Inputs!E52&amp;" industry in "&amp;Inputs!E56&amp;"."</f>
        <v>Aerial Arts India XXXXXXXXXXXXXXXXXis a Growing Retailer in the Apparel industry in United Arab Emirates.</v>
      </c>
      <c r="E24" s="372" t="s">
        <v>2943</v>
      </c>
      <c r="H24" s="372" t="s">
        <v>2962</v>
      </c>
      <c r="I24" s="372" t="e">
        <f ca="1">"Over the forecast period, majority of "&amp;D10&amp;"'s revenues are projected to source from "&amp;D41&amp;", contributing "&amp;D42&amp;" of the Company's revenues."</f>
        <v>#REF!</v>
      </c>
    </row>
    <row r="25" spans="2:9">
      <c r="C25" s="372" t="s">
        <v>2842</v>
      </c>
      <c r="D25" s="1663"/>
      <c r="E25" s="372" t="s">
        <v>2943</v>
      </c>
      <c r="H25" s="372" t="s">
        <v>2963</v>
      </c>
    </row>
    <row r="26" spans="2:9">
      <c r="C26" s="372" t="s">
        <v>2843</v>
      </c>
      <c r="D26" s="1663" t="str">
        <f>Inputs!E77&amp;", "&amp;Inputs!E78&amp;", "&amp;Inputs!E79&amp;" and  "&amp;Inputs!E80</f>
        <v>Aerial Arts, Pole Dance, Stretching and  NA</v>
      </c>
      <c r="E26" s="372" t="s">
        <v>2943</v>
      </c>
    </row>
    <row r="27" spans="2:9">
      <c r="C27" s="372" t="s">
        <v>2844</v>
      </c>
      <c r="D27" s="1663" t="str">
        <f>IS!J23&amp;" ("&amp;currency.heading1&amp;")"</f>
        <v>0 (USD 'Units)</v>
      </c>
      <c r="E27" s="372" t="s">
        <v>2943</v>
      </c>
    </row>
    <row r="28" spans="2:9">
      <c r="C28" s="372" t="s">
        <v>2845</v>
      </c>
      <c r="D28" s="1663" t="str">
        <f>Inputs!E56&amp;" and "&amp;Inputs!E67</f>
        <v>United Arab Emirates and Saudi Arabia</v>
      </c>
      <c r="E28" s="372" t="s">
        <v>2943</v>
      </c>
      <c r="H28" s="1760" t="s">
        <v>2964</v>
      </c>
    </row>
    <row r="29" spans="2:9">
      <c r="C29" s="372" t="s">
        <v>2846</v>
      </c>
      <c r="D29" s="1663"/>
      <c r="E29" s="372" t="s">
        <v>2943</v>
      </c>
    </row>
    <row r="30" spans="2:9">
      <c r="C30" s="372" t="s">
        <v>2847</v>
      </c>
      <c r="D30" s="1663" t="str">
        <f>Inputs!E82&amp;", "&amp;Inputs!E83&amp;", "&amp;Inputs!E84&amp;", "&amp;Inputs!E85</f>
        <v>Corporate Clients, NA, NA, NA</v>
      </c>
      <c r="E30" s="372" t="s">
        <v>2943</v>
      </c>
    </row>
    <row r="31" spans="2:9">
      <c r="C31" s="372" t="s">
        <v>2954</v>
      </c>
      <c r="D31" s="1663" t="str">
        <f>Inputs!E87&amp;", "&amp;Inputs!E88&amp;", "&amp;Inputs!E89&amp;" and "&amp;Inputs!E90</f>
        <v>Business Events, NA, NA and NA</v>
      </c>
    </row>
    <row r="32" spans="2:9">
      <c r="E32" s="372" t="s">
        <v>2943</v>
      </c>
    </row>
    <row r="33" spans="2:7">
      <c r="B33" s="1652" t="s">
        <v>2848</v>
      </c>
      <c r="E33" s="372" t="s">
        <v>2943</v>
      </c>
    </row>
    <row r="34" spans="2:7">
      <c r="E34" s="372" t="s">
        <v>2943</v>
      </c>
    </row>
    <row r="35" spans="2:7">
      <c r="B35" s="1652" t="s">
        <v>2849</v>
      </c>
      <c r="E35" s="372" t="s">
        <v>2943</v>
      </c>
    </row>
    <row r="36" spans="2:7">
      <c r="C36" s="372" t="s">
        <v>2850</v>
      </c>
      <c r="D36" s="1685" t="str">
        <f>IFERROR((IS!J23/IS!H23)^(1/3)-1,"NA")</f>
        <v>NA</v>
      </c>
      <c r="E36" s="372" t="s">
        <v>2943</v>
      </c>
    </row>
    <row r="37" spans="2:7">
      <c r="C37" s="372" t="s">
        <v>2851</v>
      </c>
      <c r="D37" s="1663" t="str">
        <f>currency.type&amp;" "&amp;IS!J23&amp;" "&amp;Inputs!F45</f>
        <v xml:space="preserve">USD 0 </v>
      </c>
      <c r="E37" s="372" t="s">
        <v>2943</v>
      </c>
    </row>
    <row r="38" spans="2:7">
      <c r="C38" s="372" t="s">
        <v>2852</v>
      </c>
      <c r="D38" s="1663" t="str">
        <f>currency.type&amp;" "&amp;IS!H23&amp;" "&amp;Inputs!F45</f>
        <v xml:space="preserve">USD 0 </v>
      </c>
      <c r="E38" s="372" t="s">
        <v>2943</v>
      </c>
    </row>
    <row r="39" spans="2:7">
      <c r="C39" s="372" t="s">
        <v>2910</v>
      </c>
      <c r="D39" s="1663"/>
      <c r="E39" s="372" t="s">
        <v>2943</v>
      </c>
    </row>
    <row r="40" spans="2:7">
      <c r="C40" s="372" t="s">
        <v>2911</v>
      </c>
      <c r="D40" s="1663"/>
      <c r="E40" s="372" t="s">
        <v>2943</v>
      </c>
    </row>
    <row r="41" spans="2:7">
      <c r="C41" s="372" t="s">
        <v>2912</v>
      </c>
      <c r="D41" s="1663" t="e">
        <f ca="1">IS_Calcs!F90</f>
        <v>#NAME?</v>
      </c>
      <c r="E41" s="372" t="s">
        <v>2943</v>
      </c>
    </row>
    <row r="42" spans="2:7">
      <c r="C42" s="372" t="s">
        <v>2913</v>
      </c>
      <c r="D42" s="1685" t="e">
        <f ca="1">IS_Calcs!G90</f>
        <v>#NAME?</v>
      </c>
      <c r="E42" s="372" t="s">
        <v>2943</v>
      </c>
    </row>
    <row r="43" spans="2:7">
      <c r="C43" s="372" t="s">
        <v>2853</v>
      </c>
      <c r="D43" s="1653">
        <f>valuation.date</f>
        <v>45565</v>
      </c>
      <c r="E43" s="372" t="s">
        <v>2943</v>
      </c>
    </row>
    <row r="44" spans="2:7">
      <c r="C44" s="372" t="s">
        <v>2854</v>
      </c>
      <c r="D44" s="1663" t="str">
        <f>IS!K23&amp;" ("&amp;currency.heading1&amp;")"</f>
        <v>0 (USD 'Units)</v>
      </c>
      <c r="E44" s="372" t="s">
        <v>2943</v>
      </c>
      <c r="G44" s="1687"/>
    </row>
    <row r="45" spans="2:7">
      <c r="C45" s="372" t="s">
        <v>2855</v>
      </c>
      <c r="D45" s="1663" t="e">
        <f>IF(IS!V23-IS!M23&gt;=0,IF(IS!V23/IS!M23-1&lt;=Log!F47,E47,E46),IF(IS!V23/IS!M23-1&gt;=F48,E48,E49))</f>
        <v>#DIV/0!</v>
      </c>
      <c r="E45" s="1692" t="s">
        <v>2909</v>
      </c>
      <c r="F45" s="1693" t="s">
        <v>2908</v>
      </c>
    </row>
    <row r="46" spans="2:7">
      <c r="C46" s="372" t="s">
        <v>2856</v>
      </c>
      <c r="D46" s="1685" t="str">
        <f>IS!T23</f>
        <v>-</v>
      </c>
      <c r="E46" s="1688" t="s">
        <v>2904</v>
      </c>
      <c r="F46" s="1689"/>
    </row>
    <row r="47" spans="2:7">
      <c r="C47" s="372" t="s">
        <v>2830</v>
      </c>
      <c r="D47" s="1653">
        <f>valuation.date</f>
        <v>45565</v>
      </c>
      <c r="E47" s="1688" t="s">
        <v>2905</v>
      </c>
      <c r="F47" s="1689">
        <v>0.1</v>
      </c>
    </row>
    <row r="48" spans="2:7">
      <c r="C48" s="372" t="s">
        <v>2857</v>
      </c>
      <c r="D48" s="1663" t="str">
        <f>IS!R7</f>
        <v>FY29</v>
      </c>
      <c r="E48" s="1688" t="s">
        <v>2906</v>
      </c>
      <c r="F48" s="1689">
        <v>0.1</v>
      </c>
    </row>
    <row r="49" spans="2:6">
      <c r="C49" s="372" t="s">
        <v>2858</v>
      </c>
      <c r="D49" s="1685" t="e">
        <f>AVERAGE(IS_Calcs!N72:R72)</f>
        <v>#DIV/0!</v>
      </c>
      <c r="E49" s="1690" t="s">
        <v>2907</v>
      </c>
      <c r="F49" s="1691"/>
    </row>
    <row r="50" spans="2:6">
      <c r="C50" s="372" t="s">
        <v>2859</v>
      </c>
      <c r="D50" s="1685" t="e">
        <f>AVERAGE(IS_Calcs!N73:R73)</f>
        <v>#DIV/0!</v>
      </c>
    </row>
    <row r="51" spans="2:6">
      <c r="C51" s="372" t="s">
        <v>2860</v>
      </c>
      <c r="D51" s="1685" t="e">
        <f>AVERAGE(IS_Calcs!N74:R74)</f>
        <v>#DIV/0!</v>
      </c>
      <c r="E51" s="1694" t="s">
        <v>2394</v>
      </c>
      <c r="F51" s="1695" t="s">
        <v>2914</v>
      </c>
    </row>
    <row r="52" spans="2:6">
      <c r="C52" s="372" t="s">
        <v>2861</v>
      </c>
      <c r="D52" s="1663" t="e">
        <f ca="1">_xlfn.XLOOKUP(MAX(D49:D51),D49:D51,E51:E53)</f>
        <v>#NAME?</v>
      </c>
      <c r="E52" s="1696" t="s">
        <v>2395</v>
      </c>
      <c r="F52" s="1697" t="s">
        <v>2915</v>
      </c>
    </row>
    <row r="53" spans="2:6">
      <c r="C53" s="372" t="s">
        <v>2862</v>
      </c>
      <c r="D53" s="1663" t="e">
        <f ca="1">_xlfn.XLOOKUP(D52,E51:E53,F51:F53)</f>
        <v>#NAME?</v>
      </c>
      <c r="E53" s="1698" t="s">
        <v>2396</v>
      </c>
      <c r="F53" s="1691" t="s">
        <v>2916</v>
      </c>
    </row>
    <row r="55" spans="2:6">
      <c r="B55" s="1652" t="s">
        <v>2863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30141-437B-4D79-9833-CDAE93AEFDAE}">
  <sheetPr>
    <pageSetUpPr fitToPage="1"/>
  </sheetPr>
  <dimension ref="A1:G517"/>
  <sheetViews>
    <sheetView showGridLines="0" topLeftCell="A7" zoomScale="73" zoomScaleNormal="54" workbookViewId="0">
      <selection activeCell="E29" sqref="E29"/>
    </sheetView>
  </sheetViews>
  <sheetFormatPr defaultColWidth="0" defaultRowHeight="13"/>
  <cols>
    <col min="1" max="1" width="5.69140625" style="372" bestFit="1" customWidth="1"/>
    <col min="2" max="2" width="1.61328125" style="372" customWidth="1"/>
    <col min="3" max="3" width="67.4609375" style="372" customWidth="1"/>
    <col min="4" max="4" width="2.23046875" style="372" customWidth="1"/>
    <col min="5" max="5" width="67.4609375" style="372" customWidth="1"/>
    <col min="6" max="6" width="1.61328125" style="372" customWidth="1"/>
    <col min="7" max="7" width="8.69140625" style="372" customWidth="1"/>
    <col min="8" max="16384" width="8.69140625" style="372" hidden="1"/>
  </cols>
  <sheetData>
    <row r="1" spans="1:6">
      <c r="A1" s="1666" t="s">
        <v>2942</v>
      </c>
      <c r="B1" s="1666"/>
    </row>
    <row r="2" spans="1:6">
      <c r="A2" s="1666"/>
      <c r="B2" s="1666"/>
    </row>
    <row r="3" spans="1:6">
      <c r="A3" s="1738">
        <v>1</v>
      </c>
      <c r="B3" s="1702"/>
      <c r="C3" s="1703"/>
      <c r="D3" s="1703"/>
      <c r="E3" s="1703"/>
      <c r="F3" s="1716"/>
    </row>
    <row r="4" spans="1:6">
      <c r="A4" s="1738">
        <f>A3+1</f>
        <v>2</v>
      </c>
      <c r="B4" s="1707"/>
      <c r="F4" s="1717"/>
    </row>
    <row r="5" spans="1:6">
      <c r="A5" s="1738">
        <f t="shared" ref="A5:A43" si="0">A4+1</f>
        <v>3</v>
      </c>
      <c r="B5" s="1707"/>
      <c r="D5" s="1737" t="s">
        <v>2934</v>
      </c>
      <c r="F5" s="1717"/>
    </row>
    <row r="6" spans="1:6">
      <c r="A6" s="1738">
        <f t="shared" si="0"/>
        <v>4</v>
      </c>
      <c r="B6" s="1707"/>
      <c r="D6" s="1737" t="s">
        <v>2934</v>
      </c>
      <c r="F6" s="1717"/>
    </row>
    <row r="7" spans="1:6" ht="45">
      <c r="A7" s="1738">
        <f t="shared" si="0"/>
        <v>5</v>
      </c>
      <c r="B7" s="1707"/>
      <c r="C7" s="1759"/>
      <c r="D7" s="1737" t="s">
        <v>2934</v>
      </c>
      <c r="F7" s="1717"/>
    </row>
    <row r="8" spans="1:6">
      <c r="A8" s="1738">
        <f>A7+1</f>
        <v>6</v>
      </c>
      <c r="B8" s="1704"/>
      <c r="C8" s="1699"/>
      <c r="D8" s="1737"/>
      <c r="F8" s="1717"/>
    </row>
    <row r="9" spans="1:6">
      <c r="A9" s="1738">
        <f t="shared" si="0"/>
        <v>7</v>
      </c>
      <c r="B9" s="1704"/>
      <c r="D9" s="1737"/>
      <c r="F9" s="1717"/>
    </row>
    <row r="10" spans="1:6">
      <c r="A10" s="1738">
        <f t="shared" si="0"/>
        <v>8</v>
      </c>
      <c r="B10" s="1704"/>
      <c r="C10" s="1700"/>
      <c r="D10" s="1737"/>
      <c r="F10" s="1717"/>
    </row>
    <row r="11" spans="1:6">
      <c r="A11" s="1738">
        <f t="shared" si="0"/>
        <v>9</v>
      </c>
      <c r="B11" s="1704"/>
      <c r="D11" s="1737"/>
      <c r="F11" s="1717"/>
    </row>
    <row r="12" spans="1:6">
      <c r="A12" s="1738">
        <f t="shared" si="0"/>
        <v>10</v>
      </c>
      <c r="B12" s="1704"/>
      <c r="D12" s="1737"/>
      <c r="F12" s="1717"/>
    </row>
    <row r="13" spans="1:6">
      <c r="A13" s="1738">
        <f t="shared" si="0"/>
        <v>11</v>
      </c>
      <c r="B13" s="1704"/>
      <c r="D13" s="1737"/>
      <c r="F13" s="1717"/>
    </row>
    <row r="14" spans="1:6">
      <c r="A14" s="1738">
        <f t="shared" si="0"/>
        <v>12</v>
      </c>
      <c r="B14" s="1704"/>
      <c r="D14" s="1737"/>
      <c r="F14" s="1717"/>
    </row>
    <row r="15" spans="1:6">
      <c r="A15" s="1738">
        <f t="shared" si="0"/>
        <v>13</v>
      </c>
      <c r="B15" s="1704"/>
      <c r="D15" s="1737"/>
      <c r="F15" s="1717"/>
    </row>
    <row r="16" spans="1:6">
      <c r="A16" s="1738">
        <f t="shared" si="0"/>
        <v>14</v>
      </c>
      <c r="B16" s="1704"/>
      <c r="C16" s="371"/>
      <c r="D16" s="1737"/>
      <c r="E16" s="1701"/>
      <c r="F16" s="1717"/>
    </row>
    <row r="17" spans="1:6">
      <c r="A17" s="1738">
        <f t="shared" si="0"/>
        <v>15</v>
      </c>
      <c r="B17" s="1704"/>
      <c r="C17" s="371"/>
      <c r="D17" s="1737"/>
      <c r="F17" s="1717"/>
    </row>
    <row r="18" spans="1:6">
      <c r="A18" s="1738">
        <f t="shared" si="0"/>
        <v>16</v>
      </c>
      <c r="B18" s="1704"/>
      <c r="C18" s="371"/>
      <c r="D18" s="1737"/>
      <c r="F18" s="1717"/>
    </row>
    <row r="19" spans="1:6">
      <c r="A19" s="1738">
        <f t="shared" si="0"/>
        <v>17</v>
      </c>
      <c r="B19" s="1704"/>
      <c r="C19" s="371"/>
      <c r="D19" s="1737"/>
      <c r="F19" s="1717"/>
    </row>
    <row r="20" spans="1:6">
      <c r="A20" s="1738">
        <f t="shared" si="0"/>
        <v>18</v>
      </c>
      <c r="B20" s="1704"/>
      <c r="C20" s="371"/>
      <c r="D20" s="1737"/>
      <c r="F20" s="1717"/>
    </row>
    <row r="21" spans="1:6">
      <c r="A21" s="1738">
        <f t="shared" si="0"/>
        <v>19</v>
      </c>
      <c r="B21" s="1704"/>
      <c r="C21" s="371"/>
      <c r="D21" s="1737"/>
      <c r="F21" s="1717"/>
    </row>
    <row r="22" spans="1:6">
      <c r="A22" s="1738">
        <f t="shared" si="0"/>
        <v>20</v>
      </c>
      <c r="B22" s="1704"/>
      <c r="C22" s="371"/>
      <c r="D22" s="1737"/>
      <c r="F22" s="1717"/>
    </row>
    <row r="23" spans="1:6">
      <c r="A23" s="1738">
        <f t="shared" si="0"/>
        <v>21</v>
      </c>
      <c r="B23" s="1704"/>
      <c r="C23" s="371"/>
      <c r="D23" s="1737"/>
      <c r="F23" s="1717"/>
    </row>
    <row r="24" spans="1:6">
      <c r="A24" s="1738">
        <f t="shared" si="0"/>
        <v>22</v>
      </c>
      <c r="B24" s="1704"/>
      <c r="C24" s="371"/>
      <c r="D24" s="1737"/>
      <c r="E24" s="1708"/>
      <c r="F24" s="1717"/>
    </row>
    <row r="25" spans="1:6">
      <c r="A25" s="1738">
        <f t="shared" si="0"/>
        <v>23</v>
      </c>
      <c r="B25" s="1704"/>
      <c r="C25" s="371"/>
      <c r="D25" s="1737"/>
      <c r="F25" s="1717"/>
    </row>
    <row r="26" spans="1:6">
      <c r="A26" s="1738">
        <f t="shared" si="0"/>
        <v>24</v>
      </c>
      <c r="B26" s="1704"/>
      <c r="C26" s="371"/>
      <c r="D26" s="1737"/>
      <c r="F26" s="1717"/>
    </row>
    <row r="27" spans="1:6">
      <c r="A27" s="1738">
        <f t="shared" si="0"/>
        <v>25</v>
      </c>
      <c r="B27" s="1704"/>
      <c r="D27" s="1737"/>
      <c r="F27" s="1717"/>
    </row>
    <row r="28" spans="1:6">
      <c r="A28" s="1738">
        <f t="shared" si="0"/>
        <v>26</v>
      </c>
      <c r="B28" s="1704"/>
      <c r="D28" s="1737"/>
      <c r="F28" s="1717"/>
    </row>
    <row r="29" spans="1:6">
      <c r="A29" s="1738">
        <f t="shared" si="0"/>
        <v>27</v>
      </c>
      <c r="B29" s="1704"/>
      <c r="D29" s="1737"/>
      <c r="F29" s="1717"/>
    </row>
    <row r="30" spans="1:6">
      <c r="A30" s="1738">
        <f t="shared" si="0"/>
        <v>28</v>
      </c>
      <c r="B30" s="1704"/>
      <c r="C30" s="1701"/>
      <c r="D30" s="1737"/>
      <c r="F30" s="1717"/>
    </row>
    <row r="31" spans="1:6">
      <c r="A31" s="1738">
        <f t="shared" si="0"/>
        <v>29</v>
      </c>
      <c r="B31" s="1704"/>
      <c r="D31" s="1737"/>
      <c r="F31" s="1717"/>
    </row>
    <row r="32" spans="1:6">
      <c r="A32" s="1738">
        <f t="shared" si="0"/>
        <v>30</v>
      </c>
      <c r="B32" s="1704"/>
      <c r="D32" s="1737"/>
      <c r="F32" s="1717"/>
    </row>
    <row r="33" spans="1:6">
      <c r="A33" s="1738">
        <f t="shared" si="0"/>
        <v>31</v>
      </c>
      <c r="B33" s="1704"/>
      <c r="D33" s="1737"/>
      <c r="F33" s="1717"/>
    </row>
    <row r="34" spans="1:6">
      <c r="A34" s="1738">
        <f t="shared" si="0"/>
        <v>32</v>
      </c>
      <c r="B34" s="1704"/>
      <c r="D34" s="1737"/>
      <c r="F34" s="1717"/>
    </row>
    <row r="35" spans="1:6">
      <c r="A35" s="1738">
        <f t="shared" si="0"/>
        <v>33</v>
      </c>
      <c r="B35" s="1704"/>
      <c r="D35" s="1737"/>
      <c r="F35" s="1717"/>
    </row>
    <row r="36" spans="1:6">
      <c r="A36" s="1738">
        <f t="shared" si="0"/>
        <v>34</v>
      </c>
      <c r="B36" s="1704"/>
      <c r="D36" s="1737"/>
      <c r="F36" s="1717"/>
    </row>
    <row r="37" spans="1:6">
      <c r="A37" s="1738">
        <f t="shared" si="0"/>
        <v>35</v>
      </c>
      <c r="B37" s="1704"/>
      <c r="D37" s="1737"/>
      <c r="F37" s="1717"/>
    </row>
    <row r="38" spans="1:6">
      <c r="A38" s="1738">
        <f t="shared" si="0"/>
        <v>36</v>
      </c>
      <c r="B38" s="1704"/>
      <c r="D38" s="1737"/>
      <c r="F38" s="1717"/>
    </row>
    <row r="39" spans="1:6">
      <c r="A39" s="1738">
        <f t="shared" si="0"/>
        <v>37</v>
      </c>
      <c r="B39" s="1704"/>
      <c r="D39" s="1737" t="s">
        <v>2934</v>
      </c>
      <c r="F39" s="1717"/>
    </row>
    <row r="40" spans="1:6">
      <c r="A40" s="1738">
        <f t="shared" si="0"/>
        <v>38</v>
      </c>
      <c r="B40" s="1704"/>
      <c r="D40" s="1737"/>
      <c r="F40" s="1717"/>
    </row>
    <row r="41" spans="1:6">
      <c r="A41" s="1738">
        <f t="shared" si="0"/>
        <v>39</v>
      </c>
      <c r="B41" s="1704"/>
      <c r="D41" s="1737"/>
      <c r="F41" s="1717"/>
    </row>
    <row r="42" spans="1:6">
      <c r="A42" s="1738">
        <f t="shared" si="0"/>
        <v>40</v>
      </c>
      <c r="B42" s="1704"/>
      <c r="D42" s="1737"/>
      <c r="F42" s="1717"/>
    </row>
    <row r="43" spans="1:6">
      <c r="A43" s="1738">
        <f t="shared" si="0"/>
        <v>41</v>
      </c>
      <c r="B43" s="1704"/>
      <c r="D43" s="1737"/>
      <c r="F43" s="1717"/>
    </row>
    <row r="44" spans="1:6">
      <c r="A44" s="1738">
        <f>A43+1</f>
        <v>42</v>
      </c>
      <c r="B44" s="1704"/>
      <c r="D44" s="1737"/>
      <c r="F44" s="1717"/>
    </row>
    <row r="45" spans="1:6">
      <c r="A45" s="1738">
        <f t="shared" ref="A45:A46" si="1">A44+1</f>
        <v>43</v>
      </c>
      <c r="B45" s="1704"/>
      <c r="D45" s="1737"/>
      <c r="F45" s="1717"/>
    </row>
    <row r="46" spans="1:6">
      <c r="A46" s="1738">
        <f t="shared" si="1"/>
        <v>44</v>
      </c>
      <c r="B46" s="1705"/>
      <c r="C46" s="1706"/>
      <c r="D46" s="1706"/>
      <c r="E46" s="1706"/>
      <c r="F46" s="1722"/>
    </row>
    <row r="48" spans="1:6">
      <c r="A48" s="1666" t="s">
        <v>2873</v>
      </c>
      <c r="B48" s="1666"/>
    </row>
    <row r="49" spans="1:6">
      <c r="A49" s="1666"/>
      <c r="B49" s="1666"/>
    </row>
    <row r="50" spans="1:6">
      <c r="A50" s="1738">
        <v>1</v>
      </c>
      <c r="B50" s="1702"/>
      <c r="C50" s="1703"/>
      <c r="D50" s="1703"/>
      <c r="E50" s="1703"/>
      <c r="F50" s="1716"/>
    </row>
    <row r="51" spans="1:6" ht="45">
      <c r="A51" s="1738">
        <f>A50+1</f>
        <v>2</v>
      </c>
      <c r="B51" s="1707"/>
      <c r="D51" s="1709" t="s">
        <v>2917</v>
      </c>
      <c r="F51" s="1717"/>
    </row>
    <row r="52" spans="1:6">
      <c r="A52" s="1738">
        <f t="shared" ref="A52:A90" si="2">A51+1</f>
        <v>3</v>
      </c>
      <c r="B52" s="1707"/>
      <c r="D52" s="1737" t="s">
        <v>2934</v>
      </c>
      <c r="F52" s="1717"/>
    </row>
    <row r="53" spans="1:6">
      <c r="A53" s="1738">
        <f t="shared" si="2"/>
        <v>4</v>
      </c>
      <c r="B53" s="1707"/>
      <c r="D53" s="1737" t="s">
        <v>2934</v>
      </c>
      <c r="F53" s="1717"/>
    </row>
    <row r="54" spans="1:6">
      <c r="A54" s="1738">
        <f t="shared" si="2"/>
        <v>5</v>
      </c>
      <c r="B54" s="1707"/>
      <c r="D54" s="1737" t="s">
        <v>2934</v>
      </c>
      <c r="F54" s="1717"/>
    </row>
    <row r="55" spans="1:6" ht="14.25" customHeight="1">
      <c r="A55" s="1738">
        <f>A54+1</f>
        <v>6</v>
      </c>
      <c r="B55" s="1704"/>
      <c r="C55" s="1699" t="str">
        <f>"Prepared for: "&amp;client.name.long</f>
        <v>Prepared for: Aerial Arts India XXXXXXXXXXXXXXXXX</v>
      </c>
      <c r="D55" s="1737" t="s">
        <v>2934</v>
      </c>
      <c r="F55" s="1717"/>
    </row>
    <row r="56" spans="1:6" ht="14.25" customHeight="1">
      <c r="A56" s="1738">
        <f t="shared" si="2"/>
        <v>7</v>
      </c>
      <c r="B56" s="1704"/>
      <c r="D56" s="1737" t="s">
        <v>2934</v>
      </c>
      <c r="F56" s="1717"/>
    </row>
    <row r="57" spans="1:6" ht="14.25" customHeight="1">
      <c r="A57" s="1738">
        <f t="shared" si="2"/>
        <v>8</v>
      </c>
      <c r="B57" s="1704"/>
      <c r="C57" s="1700">
        <f ca="1">TODAY()</f>
        <v>45617</v>
      </c>
      <c r="D57" s="1737" t="s">
        <v>2934</v>
      </c>
      <c r="F57" s="1717"/>
    </row>
    <row r="58" spans="1:6" ht="14.25" customHeight="1">
      <c r="A58" s="1738">
        <f t="shared" si="2"/>
        <v>9</v>
      </c>
      <c r="B58" s="1704"/>
      <c r="D58" s="1737" t="s">
        <v>2934</v>
      </c>
      <c r="F58" s="1717"/>
    </row>
    <row r="59" spans="1:6" ht="14.25" customHeight="1">
      <c r="A59" s="1738">
        <f t="shared" si="2"/>
        <v>10</v>
      </c>
      <c r="B59" s="1704"/>
      <c r="D59" s="1737" t="s">
        <v>2934</v>
      </c>
      <c r="F59" s="1717"/>
    </row>
    <row r="60" spans="1:6" ht="14.25" customHeight="1">
      <c r="A60" s="1738">
        <f t="shared" si="2"/>
        <v>11</v>
      </c>
      <c r="B60" s="1704"/>
      <c r="D60" s="1737" t="s">
        <v>2934</v>
      </c>
      <c r="F60" s="1717"/>
    </row>
    <row r="61" spans="1:6" ht="14.25" customHeight="1">
      <c r="A61" s="1738">
        <f t="shared" si="2"/>
        <v>12</v>
      </c>
      <c r="B61" s="1704"/>
      <c r="C61" s="372" t="str">
        <f>"Dear "&amp;Inputs!E20&amp;","</f>
        <v>Dear Samina Burhani,</v>
      </c>
      <c r="D61" s="1737" t="s">
        <v>2934</v>
      </c>
      <c r="F61" s="1717"/>
    </row>
    <row r="62" spans="1:6" ht="14.25" customHeight="1">
      <c r="A62" s="1738">
        <f t="shared" si="2"/>
        <v>13</v>
      </c>
      <c r="B62" s="1704"/>
      <c r="D62" s="1737" t="s">
        <v>2934</v>
      </c>
      <c r="F62" s="1717"/>
    </row>
    <row r="63" spans="1:6" ht="14.25" customHeight="1">
      <c r="A63" s="1738">
        <f t="shared" si="2"/>
        <v>14</v>
      </c>
      <c r="B63" s="1704"/>
      <c r="C63" s="371" t="str">
        <f ca="1">"In accordance with our agreement dated "&amp;TEXT(Log!D6,"mmmmmm dd, yyyy")&amp;" (“Agreement”), a copy of which"</f>
        <v>In accordance with our agreement dated November 21, 2024 (“Agreement”), a copy of which</v>
      </c>
      <c r="D63" s="1737" t="s">
        <v>2934</v>
      </c>
      <c r="E63" s="1701"/>
      <c r="F63" s="1727"/>
    </row>
    <row r="64" spans="1:6" ht="14.25" customHeight="1">
      <c r="A64" s="1738">
        <f t="shared" si="2"/>
        <v>15</v>
      </c>
      <c r="B64" s="1704"/>
      <c r="C64" s="371" t="str">
        <f>"provided in Appendix C of this report (“Report”), we have been engaged by "</f>
        <v xml:space="preserve">provided in Appendix C of this report (“Report”), we have been engaged by </v>
      </c>
      <c r="D64" s="1737" t="s">
        <v>2934</v>
      </c>
      <c r="F64" s="1717"/>
    </row>
    <row r="65" spans="1:6" ht="14.25" customHeight="1">
      <c r="A65" s="1738">
        <f t="shared" si="2"/>
        <v>16</v>
      </c>
      <c r="B65" s="1704"/>
      <c r="C65" s="371" t="e">
        <f>client.name.long&amp;" ('Client', '"&amp;client.company.short&amp;"' or 'You') "</f>
        <v>#REF!</v>
      </c>
      <c r="D65" s="1737" t="s">
        <v>2934</v>
      </c>
      <c r="F65" s="1717"/>
    </row>
    <row r="66" spans="1:6" ht="14.25" customHeight="1">
      <c r="A66" s="1738">
        <f t="shared" si="2"/>
        <v>17</v>
      </c>
      <c r="B66" s="1704"/>
      <c r="C66" s="371" t="str">
        <f>"in relation to the business valuation of "&amp;Log!D3</f>
        <v>in relation to the business valuation of Aerial Arts India XXXXXXXXXXXXXXXXX</v>
      </c>
      <c r="D66" s="1737" t="s">
        <v>2934</v>
      </c>
      <c r="F66" s="1717"/>
    </row>
    <row r="67" spans="1:6" ht="14.25" customHeight="1">
      <c r="A67" s="1738">
        <f t="shared" si="2"/>
        <v>18</v>
      </c>
      <c r="B67" s="1704"/>
      <c r="C67" s="371" t="e">
        <f>" ('Subject Company', '"&amp;Inputs!G24&amp;"' or 'Management') as at "&amp;TEXT(Log!D4,"mmmmmm dd, yyyy")&amp;", for the"</f>
        <v>#REF!</v>
      </c>
      <c r="D67" s="1737" t="s">
        <v>2934</v>
      </c>
      <c r="F67" s="1717"/>
    </row>
    <row r="68" spans="1:6" ht="14.25" customHeight="1">
      <c r="A68" s="1738">
        <f t="shared" si="2"/>
        <v>19</v>
      </c>
      <c r="B68" s="1704"/>
      <c r="C68" s="371" t="e">
        <f>"purpose of "&amp;Inputs!E21&amp;Inputs!#REF!</f>
        <v>#REF!</v>
      </c>
      <c r="D68" s="1737" t="s">
        <v>2934</v>
      </c>
      <c r="F68" s="1717"/>
    </row>
    <row r="69" spans="1:6" ht="14.25" customHeight="1">
      <c r="A69" s="1738">
        <f t="shared" si="2"/>
        <v>20</v>
      </c>
      <c r="B69" s="1704"/>
      <c r="C69" s="371" t="str">
        <f>"(the 'Purpose'). Details of the scope and process of our work are set out in the “Important"</f>
        <v>(the 'Purpose'). Details of the scope and process of our work are set out in the “Important</v>
      </c>
      <c r="D69" s="1737" t="s">
        <v>2934</v>
      </c>
      <c r="F69" s="1717"/>
    </row>
    <row r="70" spans="1:6" ht="14.25" customHeight="1">
      <c r="A70" s="1738">
        <f t="shared" si="2"/>
        <v>21</v>
      </c>
      <c r="B70" s="1704"/>
      <c r="C70" s="371" t="str">
        <f>"notice” section in Appendix B which should be read in conjunction with this letter."</f>
        <v>notice” section in Appendix B which should be read in conjunction with this letter.</v>
      </c>
      <c r="D70" s="1737" t="s">
        <v>2934</v>
      </c>
      <c r="F70" s="1717"/>
    </row>
    <row r="71" spans="1:6" ht="14.25" customHeight="1">
      <c r="A71" s="1738">
        <f t="shared" si="2"/>
        <v>22</v>
      </c>
      <c r="B71" s="1704"/>
      <c r="C71" s="371"/>
      <c r="D71" s="1737" t="s">
        <v>2934</v>
      </c>
      <c r="E71" s="1708"/>
      <c r="F71" s="1728"/>
    </row>
    <row r="72" spans="1:6" ht="14.25" customHeight="1">
      <c r="A72" s="1738">
        <f t="shared" si="2"/>
        <v>23</v>
      </c>
      <c r="B72" s="1704"/>
      <c r="C72" s="371"/>
      <c r="D72" s="1737" t="s">
        <v>2934</v>
      </c>
      <c r="F72" s="1717"/>
    </row>
    <row r="73" spans="1:6" ht="14.25" customHeight="1">
      <c r="A73" s="1738">
        <f t="shared" si="2"/>
        <v>24</v>
      </c>
      <c r="B73" s="1704"/>
      <c r="C73" s="371"/>
      <c r="D73" s="1737" t="s">
        <v>2934</v>
      </c>
      <c r="F73" s="1717"/>
    </row>
    <row r="74" spans="1:6" ht="14.25" customHeight="1">
      <c r="A74" s="1738">
        <f t="shared" si="2"/>
        <v>25</v>
      </c>
      <c r="B74" s="1704"/>
      <c r="D74" s="1737" t="s">
        <v>2934</v>
      </c>
      <c r="F74" s="1717"/>
    </row>
    <row r="75" spans="1:6" ht="14.25" customHeight="1">
      <c r="A75" s="1738">
        <f t="shared" si="2"/>
        <v>26</v>
      </c>
      <c r="B75" s="1704"/>
      <c r="D75" s="1737" t="s">
        <v>2934</v>
      </c>
      <c r="F75" s="1717"/>
    </row>
    <row r="76" spans="1:6" ht="14.25" customHeight="1">
      <c r="A76" s="1738">
        <f t="shared" si="2"/>
        <v>27</v>
      </c>
      <c r="B76" s="1704"/>
      <c r="D76" s="1737" t="s">
        <v>2934</v>
      </c>
      <c r="F76" s="1717"/>
    </row>
    <row r="77" spans="1:6" ht="14.25" customHeight="1">
      <c r="A77" s="1738">
        <f t="shared" si="2"/>
        <v>28</v>
      </c>
      <c r="B77" s="1704"/>
      <c r="C77" s="1701"/>
      <c r="D77" s="1737" t="s">
        <v>2934</v>
      </c>
      <c r="F77" s="1717"/>
    </row>
    <row r="78" spans="1:6" ht="14.25" customHeight="1">
      <c r="A78" s="1738">
        <f t="shared" si="2"/>
        <v>29</v>
      </c>
      <c r="B78" s="1704"/>
      <c r="D78" s="1737" t="s">
        <v>2934</v>
      </c>
      <c r="F78" s="1717"/>
    </row>
    <row r="79" spans="1:6" ht="14.25" customHeight="1">
      <c r="A79" s="1738">
        <f t="shared" si="2"/>
        <v>30</v>
      </c>
      <c r="B79" s="1704"/>
      <c r="D79" s="1737" t="s">
        <v>2934</v>
      </c>
      <c r="F79" s="1717"/>
    </row>
    <row r="80" spans="1:6" ht="14.25" customHeight="1">
      <c r="A80" s="1738">
        <f t="shared" si="2"/>
        <v>31</v>
      </c>
      <c r="B80" s="1704"/>
      <c r="D80" s="1737" t="s">
        <v>2934</v>
      </c>
      <c r="F80" s="1717"/>
    </row>
    <row r="81" spans="1:6" ht="14.25" customHeight="1">
      <c r="A81" s="1738">
        <f t="shared" si="2"/>
        <v>32</v>
      </c>
      <c r="B81" s="1704"/>
      <c r="D81" s="1737" t="s">
        <v>2934</v>
      </c>
      <c r="F81" s="1717"/>
    </row>
    <row r="82" spans="1:6" ht="14.25" customHeight="1">
      <c r="A82" s="1738">
        <f t="shared" si="2"/>
        <v>33</v>
      </c>
      <c r="B82" s="1704"/>
      <c r="D82" s="1737" t="s">
        <v>2934</v>
      </c>
      <c r="F82" s="1717"/>
    </row>
    <row r="83" spans="1:6" ht="14.25" customHeight="1">
      <c r="A83" s="1738">
        <f t="shared" si="2"/>
        <v>34</v>
      </c>
      <c r="B83" s="1704"/>
      <c r="D83" s="1737" t="s">
        <v>2934</v>
      </c>
      <c r="F83" s="1717"/>
    </row>
    <row r="84" spans="1:6" ht="14.25" customHeight="1">
      <c r="A84" s="1738">
        <f t="shared" si="2"/>
        <v>35</v>
      </c>
      <c r="B84" s="1704"/>
      <c r="D84" s="1737" t="s">
        <v>2934</v>
      </c>
      <c r="F84" s="1717"/>
    </row>
    <row r="85" spans="1:6" ht="14.25" customHeight="1">
      <c r="A85" s="1738">
        <f t="shared" si="2"/>
        <v>36</v>
      </c>
      <c r="B85" s="1704"/>
      <c r="D85" s="1737" t="s">
        <v>2934</v>
      </c>
      <c r="F85" s="1717"/>
    </row>
    <row r="86" spans="1:6" ht="14.25" customHeight="1">
      <c r="A86" s="1738">
        <f t="shared" si="2"/>
        <v>37</v>
      </c>
      <c r="B86" s="1704"/>
      <c r="D86" s="1737" t="s">
        <v>2934</v>
      </c>
      <c r="F86" s="1717"/>
    </row>
    <row r="87" spans="1:6" ht="14.25" customHeight="1">
      <c r="A87" s="1738">
        <f t="shared" si="2"/>
        <v>38</v>
      </c>
      <c r="B87" s="1704"/>
      <c r="D87" s="1737"/>
      <c r="F87" s="1717"/>
    </row>
    <row r="88" spans="1:6" ht="14.25" customHeight="1">
      <c r="A88" s="1738">
        <f t="shared" si="2"/>
        <v>39</v>
      </c>
      <c r="B88" s="1704"/>
      <c r="D88" s="1737"/>
      <c r="F88" s="1717"/>
    </row>
    <row r="89" spans="1:6" ht="14.25" customHeight="1">
      <c r="A89" s="1738">
        <f t="shared" si="2"/>
        <v>40</v>
      </c>
      <c r="B89" s="1704"/>
      <c r="D89" s="1737"/>
      <c r="F89" s="1717"/>
    </row>
    <row r="90" spans="1:6" ht="14.25" customHeight="1">
      <c r="A90" s="1738">
        <f t="shared" si="2"/>
        <v>41</v>
      </c>
      <c r="B90" s="1704"/>
      <c r="D90" s="1737"/>
      <c r="F90" s="1717"/>
    </row>
    <row r="91" spans="1:6" ht="14.25" customHeight="1">
      <c r="A91" s="1738">
        <f>A90+1</f>
        <v>42</v>
      </c>
      <c r="B91" s="1704"/>
      <c r="D91" s="1737"/>
      <c r="F91" s="1717"/>
    </row>
    <row r="92" spans="1:6" ht="14.25" customHeight="1">
      <c r="A92" s="1738">
        <f t="shared" ref="A92:A93" si="3">A91+1</f>
        <v>43</v>
      </c>
      <c r="B92" s="1704"/>
      <c r="D92" s="1737"/>
      <c r="F92" s="1717"/>
    </row>
    <row r="93" spans="1:6">
      <c r="A93" s="1738">
        <f t="shared" si="3"/>
        <v>44</v>
      </c>
      <c r="B93" s="1705"/>
      <c r="C93" s="1706"/>
      <c r="D93" s="1706"/>
      <c r="E93" s="1706"/>
      <c r="F93" s="1722"/>
    </row>
    <row r="95" spans="1:6">
      <c r="A95" s="1666" t="s">
        <v>2874</v>
      </c>
      <c r="B95" s="1666"/>
    </row>
    <row r="96" spans="1:6">
      <c r="A96" s="1666"/>
      <c r="B96" s="1666"/>
    </row>
    <row r="97" spans="1:6" ht="14.25" customHeight="1">
      <c r="A97" s="1738">
        <v>1</v>
      </c>
      <c r="B97" s="1702"/>
      <c r="C97" s="1703"/>
      <c r="D97" s="1703"/>
      <c r="E97" s="1703"/>
      <c r="F97" s="1716"/>
    </row>
    <row r="98" spans="1:6" ht="45">
      <c r="A98" s="1738">
        <f>A97+1</f>
        <v>2</v>
      </c>
      <c r="B98" s="1707"/>
      <c r="D98" s="1709" t="s">
        <v>2917</v>
      </c>
      <c r="F98" s="1717"/>
    </row>
    <row r="99" spans="1:6" ht="14.25" customHeight="1">
      <c r="A99" s="1738">
        <f t="shared" ref="A99:A140" si="4">A98+1</f>
        <v>3</v>
      </c>
      <c r="B99" s="1707"/>
      <c r="F99" s="1717"/>
    </row>
    <row r="100" spans="1:6" ht="14.25" customHeight="1">
      <c r="A100" s="1738">
        <f t="shared" si="4"/>
        <v>4</v>
      </c>
      <c r="B100" s="1707"/>
      <c r="F100" s="1717"/>
    </row>
    <row r="101" spans="1:6" ht="14.25" customHeight="1">
      <c r="A101" s="1738">
        <f t="shared" si="4"/>
        <v>5</v>
      </c>
      <c r="B101" s="1707"/>
      <c r="D101" s="1737" t="s">
        <v>2934</v>
      </c>
      <c r="F101" s="1717"/>
    </row>
    <row r="102" spans="1:6" ht="14.25" customHeight="1">
      <c r="A102" s="1738">
        <f t="shared" si="4"/>
        <v>6</v>
      </c>
      <c r="B102" s="1707"/>
      <c r="D102" s="1737" t="s">
        <v>2934</v>
      </c>
      <c r="F102" s="1717"/>
    </row>
    <row r="103" spans="1:6" ht="14.25" customHeight="1">
      <c r="A103" s="1738">
        <f t="shared" si="4"/>
        <v>7</v>
      </c>
      <c r="B103" s="1704"/>
      <c r="C103" s="1708"/>
      <c r="D103" s="1737" t="s">
        <v>2934</v>
      </c>
      <c r="F103" s="1717"/>
    </row>
    <row r="104" spans="1:6" ht="14.25" customHeight="1">
      <c r="A104" s="1738">
        <f t="shared" si="4"/>
        <v>8</v>
      </c>
      <c r="B104" s="1704"/>
      <c r="D104" s="1737" t="s">
        <v>2934</v>
      </c>
      <c r="F104" s="1717"/>
    </row>
    <row r="105" spans="1:6" ht="14.25" customHeight="1">
      <c r="A105" s="1738">
        <f t="shared" si="4"/>
        <v>9</v>
      </c>
      <c r="B105" s="1704"/>
      <c r="D105" s="1737" t="s">
        <v>2934</v>
      </c>
      <c r="F105" s="1717"/>
    </row>
    <row r="106" spans="1:6" ht="14.25" customHeight="1">
      <c r="A106" s="1738">
        <f t="shared" si="4"/>
        <v>10</v>
      </c>
      <c r="B106" s="1704"/>
      <c r="D106" s="1737" t="s">
        <v>2934</v>
      </c>
      <c r="F106" s="1717"/>
    </row>
    <row r="107" spans="1:6" ht="14.25" customHeight="1">
      <c r="A107" s="1738">
        <f t="shared" si="4"/>
        <v>11</v>
      </c>
      <c r="B107" s="1704"/>
      <c r="D107" s="1737" t="s">
        <v>2934</v>
      </c>
      <c r="F107" s="1717"/>
    </row>
    <row r="108" spans="1:6" ht="14.25" customHeight="1">
      <c r="A108" s="1738">
        <f t="shared" si="4"/>
        <v>12</v>
      </c>
      <c r="B108" s="1704"/>
      <c r="D108" s="1737" t="s">
        <v>2934</v>
      </c>
      <c r="F108" s="1717"/>
    </row>
    <row r="109" spans="1:6" ht="14.25" customHeight="1">
      <c r="A109" s="1738">
        <f t="shared" si="4"/>
        <v>13</v>
      </c>
      <c r="B109" s="1704"/>
      <c r="D109" s="1737" t="s">
        <v>2934</v>
      </c>
      <c r="F109" s="1717"/>
    </row>
    <row r="110" spans="1:6" ht="14.25" customHeight="1">
      <c r="A110" s="1738">
        <f t="shared" si="4"/>
        <v>14</v>
      </c>
      <c r="B110" s="1704"/>
      <c r="D110" s="1737" t="s">
        <v>2934</v>
      </c>
      <c r="F110" s="1717"/>
    </row>
    <row r="111" spans="1:6" ht="14.25" customHeight="1">
      <c r="A111" s="1738">
        <f t="shared" si="4"/>
        <v>15</v>
      </c>
      <c r="B111" s="1704"/>
      <c r="C111" s="372" t="str">
        <f>"This report is confidential and prepared exclusively for "&amp;Log!D9&amp;"."</f>
        <v>This report is confidential and prepared exclusively for Aerial Arts India XXXXXXXXXXXXXXXXX.</v>
      </c>
      <c r="D111" s="1737" t="s">
        <v>2934</v>
      </c>
      <c r="F111" s="1717"/>
    </row>
    <row r="112" spans="1:6" ht="14.25" customHeight="1">
      <c r="A112" s="1738">
        <f t="shared" si="4"/>
        <v>16</v>
      </c>
      <c r="B112" s="1704"/>
      <c r="C112" s="372" t="str">
        <f>"To the full extent permitted by law, we do not accept or assume responsibility to anyone other "</f>
        <v xml:space="preserve">To the full extent permitted by law, we do not accept or assume responsibility to anyone other </v>
      </c>
      <c r="D112" s="1737" t="s">
        <v>2934</v>
      </c>
      <c r="F112" s="1717"/>
    </row>
    <row r="113" spans="1:6" ht="14.25" customHeight="1">
      <c r="A113" s="1738">
        <f t="shared" si="4"/>
        <v>17</v>
      </c>
      <c r="B113" s="1704"/>
      <c r="C113" s="372" t="e">
        <f>"than "&amp;client.company.short&amp;" for our work, our report and any other communications conducted "</f>
        <v>#REF!</v>
      </c>
      <c r="D113" s="1737" t="s">
        <v>2934</v>
      </c>
      <c r="F113" s="1717"/>
    </row>
    <row r="114" spans="1:6" ht="14.25" customHeight="1">
      <c r="A114" s="1738">
        <f t="shared" si="4"/>
        <v>18</v>
      </c>
      <c r="B114" s="1704"/>
      <c r="C114" s="372" t="str">
        <f>"under the premise of this exercise. We do not accept responsibility for any loss or damages"</f>
        <v>under the premise of this exercise. We do not accept responsibility for any loss or damages</v>
      </c>
      <c r="D114" s="1737" t="s">
        <v>2934</v>
      </c>
      <c r="F114" s="1717"/>
    </row>
    <row r="115" spans="1:6" ht="14.25" customHeight="1">
      <c r="A115" s="1738">
        <f t="shared" si="4"/>
        <v>19</v>
      </c>
      <c r="B115" s="1704"/>
      <c r="C115" s="372" t="str">
        <f>"arising out of the use of the report by the addressee(s) for any purpose other than that stated"</f>
        <v>arising out of the use of the report by the addressee(s) for any purpose other than that stated</v>
      </c>
      <c r="D115" s="1737" t="s">
        <v>2934</v>
      </c>
      <c r="F115" s="1717"/>
    </row>
    <row r="116" spans="1:6" ht="14.25" customHeight="1">
      <c r="A116" s="1738">
        <f t="shared" si="4"/>
        <v>20</v>
      </c>
      <c r="B116" s="1704"/>
      <c r="C116" s="372" t="str">
        <f>" in our Agreement."</f>
        <v xml:space="preserve"> in our Agreement.</v>
      </c>
      <c r="D116" s="1737" t="s">
        <v>2934</v>
      </c>
      <c r="F116" s="1717"/>
    </row>
    <row r="117" spans="1:6" ht="14.25" customHeight="1">
      <c r="A117" s="1738">
        <f t="shared" si="4"/>
        <v>21</v>
      </c>
      <c r="B117" s="1704"/>
      <c r="D117" s="1737" t="s">
        <v>2934</v>
      </c>
      <c r="F117" s="1717"/>
    </row>
    <row r="118" spans="1:6" ht="14.25" customHeight="1">
      <c r="A118" s="1738">
        <f t="shared" si="4"/>
        <v>22</v>
      </c>
      <c r="B118" s="1704"/>
      <c r="D118" s="1737" t="s">
        <v>2934</v>
      </c>
      <c r="F118" s="1717"/>
    </row>
    <row r="119" spans="1:6" ht="14.25" customHeight="1">
      <c r="A119" s="1738">
        <f t="shared" si="4"/>
        <v>23</v>
      </c>
      <c r="B119" s="1704"/>
      <c r="D119" s="1737" t="s">
        <v>2934</v>
      </c>
      <c r="F119" s="1717"/>
    </row>
    <row r="120" spans="1:6" ht="14.25" customHeight="1">
      <c r="A120" s="1738">
        <f t="shared" si="4"/>
        <v>24</v>
      </c>
      <c r="B120" s="1704"/>
      <c r="D120" s="1737" t="s">
        <v>2934</v>
      </c>
      <c r="F120" s="1717"/>
    </row>
    <row r="121" spans="1:6" ht="14.25" customHeight="1">
      <c r="A121" s="1738">
        <f t="shared" si="4"/>
        <v>25</v>
      </c>
      <c r="B121" s="1704"/>
      <c r="D121" s="1737" t="s">
        <v>2934</v>
      </c>
      <c r="F121" s="1717"/>
    </row>
    <row r="122" spans="1:6" ht="14.25" customHeight="1">
      <c r="A122" s="1738">
        <f t="shared" si="4"/>
        <v>26</v>
      </c>
      <c r="B122" s="1704"/>
      <c r="D122" s="1737" t="s">
        <v>2934</v>
      </c>
      <c r="F122" s="1717"/>
    </row>
    <row r="123" spans="1:6" ht="14.25" customHeight="1">
      <c r="A123" s="1738">
        <f t="shared" si="4"/>
        <v>27</v>
      </c>
      <c r="B123" s="1704"/>
      <c r="D123" s="1737" t="s">
        <v>2934</v>
      </c>
      <c r="F123" s="1717"/>
    </row>
    <row r="124" spans="1:6" ht="14.25" customHeight="1">
      <c r="A124" s="1738">
        <f t="shared" si="4"/>
        <v>28</v>
      </c>
      <c r="B124" s="1704"/>
      <c r="D124" s="1737" t="s">
        <v>2934</v>
      </c>
      <c r="F124" s="1717"/>
    </row>
    <row r="125" spans="1:6" ht="14.25" customHeight="1">
      <c r="A125" s="1738">
        <f t="shared" si="4"/>
        <v>29</v>
      </c>
      <c r="B125" s="1704"/>
      <c r="D125" s="1737" t="s">
        <v>2934</v>
      </c>
      <c r="F125" s="1717"/>
    </row>
    <row r="126" spans="1:6" ht="14.25" customHeight="1">
      <c r="A126" s="1738">
        <f t="shared" si="4"/>
        <v>30</v>
      </c>
      <c r="B126" s="1704"/>
      <c r="D126" s="1737" t="s">
        <v>2934</v>
      </c>
      <c r="F126" s="1717"/>
    </row>
    <row r="127" spans="1:6" ht="14.25" customHeight="1">
      <c r="A127" s="1738">
        <f t="shared" si="4"/>
        <v>31</v>
      </c>
      <c r="B127" s="1704"/>
      <c r="D127" s="1737" t="s">
        <v>2934</v>
      </c>
      <c r="F127" s="1717"/>
    </row>
    <row r="128" spans="1:6" ht="14.25" customHeight="1">
      <c r="A128" s="1738">
        <f t="shared" si="4"/>
        <v>32</v>
      </c>
      <c r="B128" s="1704"/>
      <c r="D128" s="1737" t="s">
        <v>2934</v>
      </c>
      <c r="F128" s="1717"/>
    </row>
    <row r="129" spans="1:6" ht="14.25" customHeight="1">
      <c r="A129" s="1738">
        <f t="shared" si="4"/>
        <v>33</v>
      </c>
      <c r="B129" s="1704"/>
      <c r="D129" s="1737" t="s">
        <v>2934</v>
      </c>
      <c r="F129" s="1717"/>
    </row>
    <row r="130" spans="1:6" ht="14.25" customHeight="1">
      <c r="A130" s="1738">
        <f t="shared" si="4"/>
        <v>34</v>
      </c>
      <c r="B130" s="1704"/>
      <c r="D130" s="1737" t="s">
        <v>2934</v>
      </c>
      <c r="F130" s="1717"/>
    </row>
    <row r="131" spans="1:6" ht="14.25" customHeight="1">
      <c r="A131" s="1738">
        <f t="shared" si="4"/>
        <v>35</v>
      </c>
      <c r="B131" s="1704"/>
      <c r="D131" s="1737" t="s">
        <v>2934</v>
      </c>
      <c r="F131" s="1717"/>
    </row>
    <row r="132" spans="1:6" ht="14.25" customHeight="1">
      <c r="A132" s="1738">
        <f t="shared" si="4"/>
        <v>36</v>
      </c>
      <c r="B132" s="1704"/>
      <c r="D132" s="1737" t="s">
        <v>2934</v>
      </c>
      <c r="F132" s="1717"/>
    </row>
    <row r="133" spans="1:6" ht="14.25" customHeight="1">
      <c r="A133" s="1738">
        <f t="shared" si="4"/>
        <v>37</v>
      </c>
      <c r="B133" s="1704"/>
      <c r="D133" s="1737" t="s">
        <v>2934</v>
      </c>
      <c r="F133" s="1717"/>
    </row>
    <row r="134" spans="1:6" ht="14.25" customHeight="1">
      <c r="A134" s="1738">
        <f t="shared" si="4"/>
        <v>38</v>
      </c>
      <c r="B134" s="1704"/>
      <c r="D134" s="1737" t="s">
        <v>2934</v>
      </c>
      <c r="F134" s="1717"/>
    </row>
    <row r="135" spans="1:6" ht="14.25" customHeight="1">
      <c r="A135" s="1738">
        <f t="shared" si="4"/>
        <v>39</v>
      </c>
      <c r="B135" s="1704"/>
      <c r="D135" s="1737" t="s">
        <v>2934</v>
      </c>
      <c r="F135" s="1717"/>
    </row>
    <row r="136" spans="1:6" ht="14.25" customHeight="1">
      <c r="A136" s="1738">
        <f t="shared" si="4"/>
        <v>40</v>
      </c>
      <c r="B136" s="1704"/>
      <c r="D136" s="1737"/>
      <c r="F136" s="1717"/>
    </row>
    <row r="137" spans="1:6" ht="14.25" customHeight="1">
      <c r="A137" s="1738">
        <f t="shared" si="4"/>
        <v>41</v>
      </c>
      <c r="B137" s="1704"/>
      <c r="D137" s="1737"/>
      <c r="F137" s="1717"/>
    </row>
    <row r="138" spans="1:6" ht="14.25" customHeight="1">
      <c r="A138" s="1738">
        <f t="shared" si="4"/>
        <v>42</v>
      </c>
      <c r="B138" s="1704"/>
      <c r="D138" s="1737"/>
      <c r="F138" s="1717"/>
    </row>
    <row r="139" spans="1:6" ht="14.25" customHeight="1">
      <c r="A139" s="1738">
        <f t="shared" si="4"/>
        <v>43</v>
      </c>
      <c r="B139" s="1704"/>
      <c r="D139" s="1737"/>
      <c r="F139" s="1717"/>
    </row>
    <row r="140" spans="1:6" ht="14.25" customHeight="1">
      <c r="A140" s="1738">
        <f t="shared" si="4"/>
        <v>44</v>
      </c>
      <c r="B140" s="1705"/>
      <c r="C140" s="1706"/>
      <c r="D140" s="1706"/>
      <c r="E140" s="1706"/>
      <c r="F140" s="1722"/>
    </row>
    <row r="141" spans="1:6" ht="14.25" customHeight="1"/>
    <row r="142" spans="1:6" ht="14.25" customHeight="1">
      <c r="A142" s="1666" t="s">
        <v>2872</v>
      </c>
      <c r="B142" s="1666"/>
    </row>
    <row r="143" spans="1:6" ht="14.25" customHeight="1">
      <c r="A143" s="1666"/>
      <c r="B143" s="1666"/>
    </row>
    <row r="144" spans="1:6" ht="14.25" customHeight="1">
      <c r="A144" s="1738">
        <v>1</v>
      </c>
      <c r="B144" s="1702"/>
      <c r="C144" s="1703"/>
      <c r="D144" s="1703"/>
      <c r="E144" s="1703"/>
      <c r="F144" s="1716"/>
    </row>
    <row r="145" spans="1:6" ht="45">
      <c r="A145" s="1738">
        <f>A144+1</f>
        <v>2</v>
      </c>
      <c r="B145" s="1707"/>
      <c r="C145" s="1726" t="s">
        <v>2919</v>
      </c>
      <c r="F145" s="1717"/>
    </row>
    <row r="146" spans="1:6" ht="14.25" customHeight="1">
      <c r="A146" s="1738">
        <f t="shared" ref="A146:A187" si="5">A145+1</f>
        <v>3</v>
      </c>
      <c r="B146" s="1707"/>
      <c r="F146" s="1717"/>
    </row>
    <row r="147" spans="1:6" ht="15" customHeight="1">
      <c r="A147" s="1738">
        <f t="shared" si="5"/>
        <v>4</v>
      </c>
      <c r="B147" s="1707"/>
      <c r="C147" s="1710" t="s">
        <v>2882</v>
      </c>
      <c r="E147" s="1713" t="s">
        <v>2884</v>
      </c>
      <c r="F147" s="1718"/>
    </row>
    <row r="148" spans="1:6" ht="14.25" customHeight="1">
      <c r="A148" s="1738">
        <f t="shared" si="5"/>
        <v>5</v>
      </c>
      <c r="B148" s="1704"/>
      <c r="C148" s="1711" t="s">
        <v>2875</v>
      </c>
      <c r="D148" s="1737" t="s">
        <v>2934</v>
      </c>
      <c r="E148" s="1666" t="str">
        <f>"Enterprise Value in "&amp;currency.heading1</f>
        <v>Enterprise Value in USD 'Units</v>
      </c>
      <c r="F148" s="1719"/>
    </row>
    <row r="149" spans="1:6" ht="14.25" customHeight="1">
      <c r="A149" s="1738">
        <f t="shared" si="5"/>
        <v>6</v>
      </c>
      <c r="B149" s="1704"/>
      <c r="C149" s="372" t="str">
        <f>"Valify has been engaged by "&amp;Log!D9&amp;" ('Client') to run a valuation of "</f>
        <v xml:space="preserve">Valify has been engaged by Aerial Arts India XXXXXXXXXXXXXXXXX ('Client') to run a valuation of </v>
      </c>
      <c r="D149" s="1737" t="s">
        <v>2934</v>
      </c>
      <c r="F149" s="1717"/>
    </row>
    <row r="150" spans="1:6" ht="14.25" customHeight="1">
      <c r="A150" s="1738">
        <f t="shared" si="5"/>
        <v>7</v>
      </c>
      <c r="B150" s="1704"/>
      <c r="C150" s="372" t="e">
        <f>subject.name&amp;" ('Subject Company' or '"&amp;Inputs!G24&amp;"'), based on "</f>
        <v>#REF!</v>
      </c>
      <c r="D150" s="1737" t="s">
        <v>2934</v>
      </c>
      <c r="F150" s="1717"/>
    </row>
    <row r="151" spans="1:6" ht="14.25" customHeight="1">
      <c r="A151" s="1738">
        <f t="shared" si="5"/>
        <v>8</v>
      </c>
      <c r="B151" s="1704"/>
      <c r="C151" s="372" t="str">
        <f>"the provided Management forecasts, as at "&amp;TEXT(Log!D4,"mmmm dd, yyyy")&amp;" ('Valuation Date')."</f>
        <v>the provided Management forecasts, as at September 30, 2024 ('Valuation Date').</v>
      </c>
      <c r="D151" s="1737" t="s">
        <v>2934</v>
      </c>
      <c r="F151" s="1717"/>
    </row>
    <row r="152" spans="1:6" ht="14.25" customHeight="1">
      <c r="A152" s="1738">
        <f t="shared" si="5"/>
        <v>9</v>
      </c>
      <c r="B152" s="1704"/>
      <c r="D152" s="1737" t="s">
        <v>2934</v>
      </c>
      <c r="F152" s="1717"/>
    </row>
    <row r="153" spans="1:6" ht="14.25" customHeight="1">
      <c r="A153" s="1738">
        <f t="shared" si="5"/>
        <v>10</v>
      </c>
      <c r="B153" s="1704"/>
      <c r="C153" s="372" t="str">
        <f>"Our valuation exercise has been conducted in accordance with international valuation standards "</f>
        <v xml:space="preserve">Our valuation exercise has been conducted in accordance with international valuation standards </v>
      </c>
      <c r="D153" s="1737" t="s">
        <v>2934</v>
      </c>
      <c r="F153" s="1717"/>
    </row>
    <row r="154" spans="1:6" ht="14.25" customHeight="1">
      <c r="A154" s="1738">
        <f t="shared" si="5"/>
        <v>11</v>
      </c>
      <c r="B154" s="1704"/>
      <c r="C154" s="372" t="str">
        <f>"and best practices."</f>
        <v>and best practices.</v>
      </c>
      <c r="D154" s="1737" t="s">
        <v>2934</v>
      </c>
      <c r="F154" s="1717"/>
    </row>
    <row r="155" spans="1:6" ht="14.25" customHeight="1">
      <c r="A155" s="1738">
        <f t="shared" si="5"/>
        <v>12</v>
      </c>
      <c r="B155" s="1704"/>
      <c r="D155" s="1737" t="s">
        <v>2934</v>
      </c>
      <c r="F155" s="1717"/>
    </row>
    <row r="156" spans="1:6" ht="14.25" customHeight="1">
      <c r="A156" s="1738">
        <f t="shared" si="5"/>
        <v>13</v>
      </c>
      <c r="B156" s="1704"/>
      <c r="C156" s="1711" t="s">
        <v>2880</v>
      </c>
      <c r="D156" s="1737" t="s">
        <v>2934</v>
      </c>
      <c r="F156" s="1717"/>
    </row>
    <row r="157" spans="1:6" ht="14.25" customHeight="1">
      <c r="A157" s="1738">
        <f t="shared" si="5"/>
        <v>14</v>
      </c>
      <c r="B157" s="1704"/>
      <c r="D157" s="1737" t="s">
        <v>2934</v>
      </c>
      <c r="F157" s="1717"/>
    </row>
    <row r="158" spans="1:6" ht="14.25" customHeight="1">
      <c r="A158" s="1738">
        <f t="shared" si="5"/>
        <v>15</v>
      </c>
      <c r="B158" s="1704"/>
      <c r="D158" s="1737" t="s">
        <v>2934</v>
      </c>
      <c r="F158" s="1717"/>
    </row>
    <row r="159" spans="1:6" ht="14.25" customHeight="1">
      <c r="A159" s="1738">
        <f t="shared" si="5"/>
        <v>16</v>
      </c>
      <c r="B159" s="1704"/>
      <c r="C159" s="372" t="str">
        <f>"a.   historical financial statements &amp; management accounts"</f>
        <v>a.   historical financial statements &amp; management accounts</v>
      </c>
      <c r="D159" s="1737" t="s">
        <v>2934</v>
      </c>
      <c r="F159" s="1717"/>
    </row>
    <row r="160" spans="1:6" ht="14.25" customHeight="1">
      <c r="A160" s="1738">
        <f t="shared" si="5"/>
        <v>17</v>
      </c>
      <c r="B160" s="1704"/>
      <c r="C160" s="372" t="str">
        <f>"b.   Management forecasts provided by the Valuer."</f>
        <v>b.   Management forecasts provided by the Valuer.</v>
      </c>
      <c r="D160" s="1737" t="s">
        <v>2934</v>
      </c>
      <c r="F160" s="1717"/>
    </row>
    <row r="161" spans="1:6" ht="14.25" customHeight="1">
      <c r="A161" s="1738">
        <f t="shared" si="5"/>
        <v>18</v>
      </c>
      <c r="B161" s="1704"/>
      <c r="C161" s="372" t="str">
        <f>"c.   Market data relevant to the business from reputed &amp; verified data providers."</f>
        <v>c.   Market data relevant to the business from reputed &amp; verified data providers.</v>
      </c>
      <c r="D161" s="1737" t="s">
        <v>2934</v>
      </c>
      <c r="E161" s="1714" t="s">
        <v>2893</v>
      </c>
      <c r="F161" s="1720"/>
    </row>
    <row r="162" spans="1:6" ht="14.25" customHeight="1">
      <c r="A162" s="1738">
        <f t="shared" si="5"/>
        <v>19</v>
      </c>
      <c r="B162" s="1704"/>
      <c r="D162" s="1737" t="s">
        <v>2934</v>
      </c>
      <c r="F162" s="1717"/>
    </row>
    <row r="163" spans="1:6" ht="14.25" customHeight="1">
      <c r="A163" s="1738">
        <f t="shared" si="5"/>
        <v>20</v>
      </c>
      <c r="B163" s="1704"/>
      <c r="C163" s="1711" t="s">
        <v>2881</v>
      </c>
      <c r="D163" s="1737" t="s">
        <v>2934</v>
      </c>
      <c r="F163" s="1717"/>
    </row>
    <row r="164" spans="1:6" ht="14.25" customHeight="1">
      <c r="A164" s="1738">
        <f t="shared" si="5"/>
        <v>21</v>
      </c>
      <c r="B164" s="1704"/>
      <c r="D164" s="1737" t="s">
        <v>2934</v>
      </c>
      <c r="F164" s="1717"/>
    </row>
    <row r="165" spans="1:6" ht="14.25" customHeight="1">
      <c r="A165" s="1738">
        <f t="shared" si="5"/>
        <v>22</v>
      </c>
      <c r="B165" s="1704"/>
      <c r="D165" s="1737" t="s">
        <v>2934</v>
      </c>
      <c r="F165" s="1717"/>
    </row>
    <row r="166" spans="1:6" ht="14.25" customHeight="1">
      <c r="A166" s="1738">
        <f t="shared" si="5"/>
        <v>23</v>
      </c>
      <c r="B166" s="1704"/>
      <c r="D166" s="1737" t="s">
        <v>2934</v>
      </c>
      <c r="F166" s="1717"/>
    </row>
    <row r="167" spans="1:6" ht="14.25" customHeight="1">
      <c r="A167" s="1738">
        <f t="shared" si="5"/>
        <v>24</v>
      </c>
      <c r="B167" s="1704"/>
      <c r="D167" s="1737" t="s">
        <v>2934</v>
      </c>
      <c r="F167" s="1717"/>
    </row>
    <row r="168" spans="1:6" ht="14.25" customHeight="1">
      <c r="A168" s="1738">
        <f t="shared" si="5"/>
        <v>25</v>
      </c>
      <c r="B168" s="1704"/>
      <c r="D168" s="1737" t="s">
        <v>2934</v>
      </c>
      <c r="F168" s="1717"/>
    </row>
    <row r="169" spans="1:6" ht="14.25" customHeight="1">
      <c r="A169" s="1738">
        <f t="shared" si="5"/>
        <v>26</v>
      </c>
      <c r="B169" s="1704"/>
      <c r="D169" s="1737" t="s">
        <v>2934</v>
      </c>
      <c r="F169" s="1717"/>
    </row>
    <row r="170" spans="1:6" ht="14.25" customHeight="1">
      <c r="A170" s="1738">
        <f t="shared" si="5"/>
        <v>27</v>
      </c>
      <c r="B170" s="1704"/>
      <c r="C170" s="372" t="str">
        <f>" "</f>
        <v xml:space="preserve"> </v>
      </c>
      <c r="D170" s="1737" t="s">
        <v>2934</v>
      </c>
      <c r="F170" s="1717"/>
    </row>
    <row r="171" spans="1:6" ht="14.25" customHeight="1">
      <c r="A171" s="1738">
        <f t="shared" si="5"/>
        <v>28</v>
      </c>
      <c r="B171" s="1704"/>
      <c r="D171" s="1737" t="s">
        <v>2934</v>
      </c>
      <c r="F171" s="1717"/>
    </row>
    <row r="172" spans="1:6" ht="15" customHeight="1">
      <c r="A172" s="1738">
        <f t="shared" si="5"/>
        <v>29</v>
      </c>
      <c r="B172" s="1704"/>
      <c r="C172" s="1712" t="s">
        <v>2883</v>
      </c>
      <c r="D172" s="1737" t="s">
        <v>2934</v>
      </c>
      <c r="F172" s="1717"/>
    </row>
    <row r="173" spans="1:6" ht="14.25" customHeight="1">
      <c r="A173" s="1738">
        <f t="shared" si="5"/>
        <v>30</v>
      </c>
      <c r="B173" s="1704"/>
      <c r="D173" s="1737" t="s">
        <v>2934</v>
      </c>
      <c r="E173" s="372" t="str">
        <f>"Based on the above, we arrived at Enterprise Value (“EV”) as at the Valuation Date as follows:"</f>
        <v>Based on the above, we arrived at Enterprise Value (“EV”) as at the Valuation Date as follows:</v>
      </c>
      <c r="F173" s="1717"/>
    </row>
    <row r="174" spans="1:6" ht="14.25" customHeight="1">
      <c r="A174" s="1738">
        <f t="shared" si="5"/>
        <v>31</v>
      </c>
      <c r="B174" s="1704"/>
      <c r="D174" s="1737" t="s">
        <v>2934</v>
      </c>
      <c r="E174" s="372" t="e">
        <f ca="1">"a. Management Case – between "&amp;currency.type&amp;" "&amp;MROUND(ReportData!P20,1)&amp;" "&amp;Inputs!F45&amp;" and "&amp;currency.type&amp;" "&amp;MROUND(ReportData!R20,1)&amp;" "&amp;Inputs!F45&amp;";"</f>
        <v>#NAME?</v>
      </c>
      <c r="F174" s="1721"/>
    </row>
    <row r="175" spans="1:6" ht="14.25" customHeight="1">
      <c r="A175" s="1738">
        <f t="shared" si="5"/>
        <v>32</v>
      </c>
      <c r="B175" s="1704"/>
      <c r="D175" s="1737" t="s">
        <v>2934</v>
      </c>
      <c r="E175" s="372" t="str">
        <f>"a. Valify Case – between "&amp;currency.type&amp;" "&amp;MROUND(ReportData!P21,1)&amp;" "&amp;Inputs!F45&amp;" and "&amp;currency.type&amp;" "&amp;MROUND(ReportData!R21,1)&amp;" "&amp;Inputs!F45&amp;";"</f>
        <v>a. Valify Case – between USD 0  and USD 0 ;</v>
      </c>
      <c r="F175" s="1721"/>
    </row>
    <row r="176" spans="1:6" ht="14.25" customHeight="1">
      <c r="A176" s="1738">
        <f t="shared" si="5"/>
        <v>33</v>
      </c>
      <c r="B176" s="1704"/>
      <c r="D176" s="1737" t="s">
        <v>2934</v>
      </c>
      <c r="F176" s="1717"/>
    </row>
    <row r="177" spans="1:6" ht="14.25" customHeight="1">
      <c r="A177" s="1738">
        <f t="shared" si="5"/>
        <v>34</v>
      </c>
      <c r="B177" s="1704"/>
      <c r="C177" s="372" t="str">
        <f>"-&gt; "&amp;Inputs!G26&amp;"."</f>
        <v>-&gt; DCF Method, Transaction Multiples Method, &amp; Market Multiples Method.</v>
      </c>
      <c r="D177" s="1737" t="s">
        <v>2934</v>
      </c>
      <c r="F177" s="1717"/>
    </row>
    <row r="178" spans="1:6" ht="14.25" customHeight="1">
      <c r="A178" s="1738">
        <f t="shared" si="5"/>
        <v>35</v>
      </c>
      <c r="B178" s="1704"/>
      <c r="D178" s="1737" t="s">
        <v>2934</v>
      </c>
      <c r="E178" s="1715"/>
      <c r="F178" s="1721"/>
    </row>
    <row r="179" spans="1:6" ht="14.25" customHeight="1">
      <c r="A179" s="1738">
        <f t="shared" si="5"/>
        <v>36</v>
      </c>
      <c r="B179" s="1704"/>
      <c r="D179" s="1737" t="s">
        <v>2934</v>
      </c>
      <c r="F179" s="1717"/>
    </row>
    <row r="180" spans="1:6" ht="14.25" customHeight="1">
      <c r="A180" s="1738">
        <f t="shared" si="5"/>
        <v>37</v>
      </c>
      <c r="B180" s="1704"/>
      <c r="D180" s="1737" t="s">
        <v>2934</v>
      </c>
      <c r="E180" s="372" t="str">
        <f>"We have corroborated our implied EV/EBITDA with the market and we noted the implied "</f>
        <v xml:space="preserve">We have corroborated our implied EV/EBITDA with the market and we noted the implied </v>
      </c>
      <c r="F180" s="1721"/>
    </row>
    <row r="181" spans="1:6" ht="14.25" customHeight="1">
      <c r="A181" s="1738">
        <f t="shared" si="5"/>
        <v>38</v>
      </c>
      <c r="B181" s="1704"/>
      <c r="D181" s="1737" t="s">
        <v>2934</v>
      </c>
      <c r="E181" s="372" t="str">
        <f>"multiple ranges between "&amp;ValSum!D96&amp;"x to "&amp;ValSum!F96&amp;"x, which corroborates with market multiple of "&amp;ValSum!D87&amp;"x to "&amp;ValSum!G87&amp;"x"</f>
        <v>multiple ranges between x to x, which corroborates with market multiple of x to x</v>
      </c>
      <c r="F181" s="1717"/>
    </row>
    <row r="182" spans="1:6" ht="14.25" customHeight="1">
      <c r="A182" s="1738">
        <f t="shared" si="5"/>
        <v>39</v>
      </c>
      <c r="B182" s="1704"/>
      <c r="D182" s="1737" t="s">
        <v>2934</v>
      </c>
      <c r="E182" s="372" t="str">
        <f>"obtained from available data of comparable companies."</f>
        <v>obtained from available data of comparable companies.</v>
      </c>
      <c r="F182" s="1717"/>
    </row>
    <row r="183" spans="1:6" ht="14.25" customHeight="1">
      <c r="A183" s="1738">
        <f t="shared" si="5"/>
        <v>40</v>
      </c>
      <c r="B183" s="1704"/>
      <c r="D183" s="1737"/>
      <c r="F183" s="1717"/>
    </row>
    <row r="184" spans="1:6" ht="14.25" customHeight="1">
      <c r="A184" s="1738">
        <f t="shared" si="5"/>
        <v>41</v>
      </c>
      <c r="B184" s="1704"/>
      <c r="D184" s="1737"/>
      <c r="F184" s="1717"/>
    </row>
    <row r="185" spans="1:6" ht="14.25" customHeight="1">
      <c r="A185" s="1738">
        <f t="shared" si="5"/>
        <v>42</v>
      </c>
      <c r="B185" s="1704"/>
      <c r="D185" s="1737"/>
      <c r="F185" s="1717"/>
    </row>
    <row r="186" spans="1:6" ht="14.25" customHeight="1">
      <c r="A186" s="1738">
        <f t="shared" si="5"/>
        <v>43</v>
      </c>
      <c r="B186" s="1704"/>
      <c r="D186" s="1737"/>
      <c r="F186" s="1717"/>
    </row>
    <row r="187" spans="1:6" ht="14.25" customHeight="1">
      <c r="A187" s="1738">
        <f t="shared" si="5"/>
        <v>44</v>
      </c>
      <c r="B187" s="1705"/>
      <c r="C187" s="1706"/>
      <c r="D187" s="1706"/>
      <c r="E187" s="1706"/>
      <c r="F187" s="1722"/>
    </row>
    <row r="188" spans="1:6" ht="14.25" customHeight="1"/>
    <row r="189" spans="1:6" ht="14.25" customHeight="1">
      <c r="A189" s="1666" t="s">
        <v>2894</v>
      </c>
      <c r="B189" s="1666"/>
      <c r="E189" s="1762"/>
    </row>
    <row r="190" spans="1:6" ht="14.25" customHeight="1">
      <c r="A190" s="1666"/>
      <c r="B190" s="1666"/>
    </row>
    <row r="191" spans="1:6" ht="14.25" customHeight="1">
      <c r="A191" s="1739">
        <v>1</v>
      </c>
      <c r="B191" s="1702"/>
      <c r="C191" s="1703"/>
      <c r="D191" s="1703"/>
      <c r="E191" s="1703"/>
      <c r="F191" s="1716"/>
    </row>
    <row r="192" spans="1:6" ht="45">
      <c r="A192" s="1739">
        <v>2</v>
      </c>
      <c r="B192" s="1707"/>
      <c r="C192" s="1726" t="s">
        <v>2920</v>
      </c>
      <c r="F192" s="1717"/>
    </row>
    <row r="193" spans="1:6" ht="14.25" customHeight="1">
      <c r="A193" s="1739">
        <v>3</v>
      </c>
      <c r="B193" s="1707"/>
      <c r="F193" s="1717"/>
    </row>
    <row r="194" spans="1:6" ht="14.25" customHeight="1">
      <c r="A194" s="1739">
        <v>4</v>
      </c>
      <c r="B194" s="1704"/>
      <c r="F194" s="1718"/>
    </row>
    <row r="195" spans="1:6" ht="15" customHeight="1">
      <c r="A195" s="1739">
        <v>5</v>
      </c>
      <c r="B195" s="1704"/>
      <c r="C195" s="1710" t="s">
        <v>2895</v>
      </c>
      <c r="E195" s="1723" t="s">
        <v>2897</v>
      </c>
      <c r="F195" s="1717"/>
    </row>
    <row r="196" spans="1:6" ht="14.25" customHeight="1">
      <c r="A196" s="1739">
        <v>6</v>
      </c>
      <c r="B196" s="1704"/>
      <c r="D196" s="1737" t="s">
        <v>2934</v>
      </c>
      <c r="F196" s="1717"/>
    </row>
    <row r="197" spans="1:6" ht="14.25" customHeight="1">
      <c r="A197" s="1739">
        <f>A196+1</f>
        <v>7</v>
      </c>
      <c r="B197" s="1704"/>
      <c r="D197" s="1737" t="s">
        <v>2934</v>
      </c>
      <c r="F197" s="1717"/>
    </row>
    <row r="198" spans="1:6" ht="14.25" customHeight="1">
      <c r="A198" s="1739">
        <f t="shared" ref="A198:A234" si="6">A197+1</f>
        <v>8</v>
      </c>
      <c r="B198" s="1704"/>
      <c r="D198" s="1737" t="s">
        <v>2934</v>
      </c>
      <c r="F198" s="1717"/>
    </row>
    <row r="199" spans="1:6" ht="14.25" customHeight="1">
      <c r="A199" s="1739">
        <f t="shared" si="6"/>
        <v>9</v>
      </c>
      <c r="B199" s="1704"/>
      <c r="D199" s="1737" t="s">
        <v>2934</v>
      </c>
      <c r="F199" s="1717"/>
    </row>
    <row r="200" spans="1:6" ht="14.25" customHeight="1">
      <c r="A200" s="1739">
        <f t="shared" si="6"/>
        <v>10</v>
      </c>
      <c r="B200" s="1704"/>
      <c r="C200" s="1760" t="s">
        <v>2952</v>
      </c>
      <c r="D200" s="1737" t="s">
        <v>2934</v>
      </c>
      <c r="F200" s="1717"/>
    </row>
    <row r="201" spans="1:6" ht="14.25" customHeight="1">
      <c r="A201" s="1739">
        <f t="shared" si="6"/>
        <v>11</v>
      </c>
      <c r="B201" s="1704"/>
      <c r="D201" s="1737" t="s">
        <v>2934</v>
      </c>
      <c r="F201" s="1717"/>
    </row>
    <row r="202" spans="1:6" ht="14.25" customHeight="1">
      <c r="A202" s="1739">
        <f t="shared" si="6"/>
        <v>12</v>
      </c>
      <c r="B202" s="1704"/>
      <c r="D202" s="1737" t="s">
        <v>2934</v>
      </c>
      <c r="F202" s="1717"/>
    </row>
    <row r="203" spans="1:6" ht="14.25" customHeight="1">
      <c r="A203" s="1739">
        <f t="shared" si="6"/>
        <v>13</v>
      </c>
      <c r="B203" s="1704"/>
      <c r="D203" s="1737" t="s">
        <v>2934</v>
      </c>
      <c r="F203" s="1717"/>
    </row>
    <row r="204" spans="1:6" ht="14.25" customHeight="1">
      <c r="A204" s="1739">
        <f t="shared" si="6"/>
        <v>14</v>
      </c>
      <c r="B204" s="1704"/>
      <c r="D204" s="1737" t="s">
        <v>2934</v>
      </c>
      <c r="F204" s="1717"/>
    </row>
    <row r="205" spans="1:6" ht="14.25" customHeight="1">
      <c r="A205" s="1739">
        <f t="shared" si="6"/>
        <v>15</v>
      </c>
      <c r="B205" s="1704"/>
      <c r="D205" s="1737" t="s">
        <v>2934</v>
      </c>
      <c r="F205" s="1717"/>
    </row>
    <row r="206" spans="1:6" ht="14.25" customHeight="1">
      <c r="A206" s="1739">
        <f t="shared" si="6"/>
        <v>16</v>
      </c>
      <c r="B206" s="1704"/>
      <c r="D206" s="1737" t="s">
        <v>2934</v>
      </c>
      <c r="F206" s="1717"/>
    </row>
    <row r="207" spans="1:6" ht="14.25" customHeight="1">
      <c r="A207" s="1739">
        <f t="shared" si="6"/>
        <v>17</v>
      </c>
      <c r="B207" s="1704"/>
      <c r="D207" s="1737" t="s">
        <v>2934</v>
      </c>
      <c r="F207" s="1717"/>
    </row>
    <row r="208" spans="1:6" ht="14.25" customHeight="1">
      <c r="A208" s="1739">
        <f t="shared" si="6"/>
        <v>18</v>
      </c>
      <c r="B208" s="1704"/>
      <c r="D208" s="1737" t="s">
        <v>2934</v>
      </c>
      <c r="F208" s="1717"/>
    </row>
    <row r="209" spans="1:6" ht="14.25" customHeight="1">
      <c r="A209" s="1739">
        <f t="shared" si="6"/>
        <v>19</v>
      </c>
      <c r="B209" s="1704"/>
      <c r="D209" s="1737" t="s">
        <v>2934</v>
      </c>
      <c r="F209" s="1717"/>
    </row>
    <row r="210" spans="1:6" ht="14.25" customHeight="1">
      <c r="A210" s="1739">
        <f t="shared" si="6"/>
        <v>20</v>
      </c>
      <c r="B210" s="1704"/>
      <c r="D210" s="1737" t="s">
        <v>2934</v>
      </c>
      <c r="F210" s="1717"/>
    </row>
    <row r="211" spans="1:6" ht="14.25" customHeight="1">
      <c r="A211" s="1739">
        <f t="shared" si="6"/>
        <v>21</v>
      </c>
      <c r="B211" s="1704"/>
      <c r="D211" s="1737" t="s">
        <v>2934</v>
      </c>
      <c r="F211" s="1717"/>
    </row>
    <row r="212" spans="1:6" ht="12" customHeight="1">
      <c r="A212" s="1739">
        <f t="shared" si="6"/>
        <v>22</v>
      </c>
      <c r="B212" s="1704"/>
      <c r="F212" s="1718"/>
    </row>
    <row r="213" spans="1:6" ht="15" customHeight="1">
      <c r="A213" s="1739">
        <f t="shared" si="6"/>
        <v>23</v>
      </c>
      <c r="B213" s="1704"/>
      <c r="C213" s="1712" t="s">
        <v>2896</v>
      </c>
      <c r="D213" s="1737" t="s">
        <v>2934</v>
      </c>
      <c r="E213" s="1713" t="s">
        <v>2898</v>
      </c>
      <c r="F213" s="1725"/>
    </row>
    <row r="214" spans="1:6" ht="14.25" customHeight="1">
      <c r="A214" s="1739">
        <f t="shared" si="6"/>
        <v>24</v>
      </c>
      <c r="B214" s="1704"/>
      <c r="D214" s="1737" t="s">
        <v>2934</v>
      </c>
      <c r="E214" s="1724" t="s">
        <v>2899</v>
      </c>
      <c r="F214" s="1717"/>
    </row>
    <row r="215" spans="1:6" ht="14.25" customHeight="1">
      <c r="A215" s="1739">
        <f t="shared" si="6"/>
        <v>25</v>
      </c>
      <c r="B215" s="1704"/>
      <c r="C215" s="1760" t="s">
        <v>2956</v>
      </c>
      <c r="D215" s="1737" t="s">
        <v>2934</v>
      </c>
      <c r="F215" s="1717"/>
    </row>
    <row r="216" spans="1:6" ht="14.25" customHeight="1">
      <c r="A216" s="1739">
        <f t="shared" si="6"/>
        <v>26</v>
      </c>
      <c r="B216" s="1704"/>
      <c r="D216" s="1737" t="s">
        <v>2934</v>
      </c>
      <c r="F216" s="1717"/>
    </row>
    <row r="217" spans="1:6" ht="14.25" customHeight="1">
      <c r="A217" s="1739">
        <f t="shared" si="6"/>
        <v>27</v>
      </c>
      <c r="B217" s="1704"/>
      <c r="D217" s="1737" t="s">
        <v>2934</v>
      </c>
      <c r="F217" s="1717"/>
    </row>
    <row r="218" spans="1:6" ht="14.25" customHeight="1">
      <c r="A218" s="1739">
        <f t="shared" si="6"/>
        <v>28</v>
      </c>
      <c r="B218" s="1704"/>
      <c r="C218" s="1760" t="s">
        <v>2957</v>
      </c>
      <c r="D218" s="1737" t="s">
        <v>2934</v>
      </c>
      <c r="F218" s="1725"/>
    </row>
    <row r="219" spans="1:6" ht="14.25" customHeight="1">
      <c r="A219" s="1739">
        <f t="shared" si="6"/>
        <v>29</v>
      </c>
      <c r="B219" s="1704"/>
      <c r="D219" s="1737" t="s">
        <v>2934</v>
      </c>
      <c r="E219" s="1724" t="s">
        <v>2900</v>
      </c>
      <c r="F219" s="1717"/>
    </row>
    <row r="220" spans="1:6" ht="14.25" customHeight="1">
      <c r="A220" s="1739">
        <f t="shared" si="6"/>
        <v>30</v>
      </c>
      <c r="B220" s="1704"/>
      <c r="D220" s="1737" t="s">
        <v>2934</v>
      </c>
      <c r="F220" s="1717"/>
    </row>
    <row r="221" spans="1:6" ht="14.25" customHeight="1">
      <c r="A221" s="1739">
        <f t="shared" si="6"/>
        <v>31</v>
      </c>
      <c r="B221" s="1704"/>
      <c r="D221" s="1737" t="s">
        <v>2934</v>
      </c>
      <c r="F221" s="1717"/>
    </row>
    <row r="222" spans="1:6" ht="14.25" customHeight="1">
      <c r="A222" s="1739">
        <f t="shared" si="6"/>
        <v>32</v>
      </c>
      <c r="B222" s="1704"/>
      <c r="D222" s="1737" t="s">
        <v>2934</v>
      </c>
      <c r="F222" s="1717"/>
    </row>
    <row r="223" spans="1:6" ht="14.25" customHeight="1">
      <c r="A223" s="1739">
        <f t="shared" si="6"/>
        <v>33</v>
      </c>
      <c r="B223" s="1704"/>
      <c r="D223" s="1737" t="s">
        <v>2934</v>
      </c>
      <c r="F223" s="1717"/>
    </row>
    <row r="224" spans="1:6" ht="14.25" customHeight="1">
      <c r="A224" s="1739">
        <f t="shared" si="6"/>
        <v>34</v>
      </c>
      <c r="B224" s="1704"/>
      <c r="C224" s="1760" t="s">
        <v>2953</v>
      </c>
      <c r="D224" s="1737" t="s">
        <v>2934</v>
      </c>
      <c r="F224" s="1717"/>
    </row>
    <row r="225" spans="1:6" ht="14.25" customHeight="1">
      <c r="A225" s="1739">
        <f t="shared" si="6"/>
        <v>35</v>
      </c>
      <c r="B225" s="1704"/>
      <c r="C225" s="372" t="str">
        <f>Log!I18</f>
        <v xml:space="preserve">The Company primarily operates in United Arab Emirates and Saudi Arabia. </v>
      </c>
      <c r="D225" s="1737" t="s">
        <v>2934</v>
      </c>
      <c r="F225" s="1717"/>
    </row>
    <row r="226" spans="1:6" ht="14.25" customHeight="1">
      <c r="A226" s="1739">
        <f t="shared" si="6"/>
        <v>36</v>
      </c>
      <c r="B226" s="1704"/>
      <c r="C226" s="372" t="s">
        <v>2955</v>
      </c>
      <c r="D226" s="1737" t="s">
        <v>2934</v>
      </c>
      <c r="F226" s="1717"/>
    </row>
    <row r="227" spans="1:6" ht="14.25" customHeight="1">
      <c r="A227" s="1739">
        <f t="shared" si="6"/>
        <v>37</v>
      </c>
      <c r="B227" s="1704"/>
      <c r="D227" s="1737" t="s">
        <v>2934</v>
      </c>
      <c r="F227" s="1717"/>
    </row>
    <row r="228" spans="1:6" ht="14.25" customHeight="1">
      <c r="A228" s="1739">
        <f t="shared" si="6"/>
        <v>38</v>
      </c>
      <c r="B228" s="1704"/>
      <c r="C228" s="1760" t="s">
        <v>2960</v>
      </c>
      <c r="D228" s="1737" t="s">
        <v>2934</v>
      </c>
      <c r="F228" s="1717"/>
    </row>
    <row r="229" spans="1:6" ht="14.25" customHeight="1">
      <c r="A229" s="1739">
        <f t="shared" si="6"/>
        <v>39</v>
      </c>
      <c r="B229" s="1704"/>
      <c r="D229" s="1737" t="s">
        <v>2934</v>
      </c>
      <c r="F229" s="1717"/>
    </row>
    <row r="230" spans="1:6" ht="14.25" customHeight="1">
      <c r="A230" s="1739">
        <f t="shared" si="6"/>
        <v>40</v>
      </c>
      <c r="B230" s="1704"/>
      <c r="D230" s="1737"/>
      <c r="F230" s="1717"/>
    </row>
    <row r="231" spans="1:6" ht="14.25" customHeight="1">
      <c r="A231" s="1739">
        <f t="shared" si="6"/>
        <v>41</v>
      </c>
      <c r="B231" s="1704"/>
      <c r="D231" s="1737"/>
      <c r="F231" s="1717"/>
    </row>
    <row r="232" spans="1:6" ht="14.25" customHeight="1">
      <c r="A232" s="1739">
        <f t="shared" si="6"/>
        <v>42</v>
      </c>
      <c r="B232" s="1704"/>
      <c r="D232" s="1737"/>
      <c r="F232" s="1717"/>
    </row>
    <row r="233" spans="1:6" ht="14.25" customHeight="1">
      <c r="A233" s="1739">
        <f t="shared" si="6"/>
        <v>43</v>
      </c>
      <c r="B233" s="1704"/>
      <c r="D233" s="1737"/>
      <c r="F233" s="1717"/>
    </row>
    <row r="234" spans="1:6" ht="14.25" customHeight="1">
      <c r="A234" s="1739">
        <f t="shared" si="6"/>
        <v>44</v>
      </c>
      <c r="B234" s="1705"/>
      <c r="C234" s="1706"/>
      <c r="D234" s="1706"/>
      <c r="E234" s="1706"/>
      <c r="F234" s="1722"/>
    </row>
    <row r="235" spans="1:6" ht="14.25" customHeight="1"/>
    <row r="236" spans="1:6" ht="14.25" customHeight="1"/>
    <row r="237" spans="1:6" ht="14.25" customHeight="1">
      <c r="A237" s="1666" t="s">
        <v>2918</v>
      </c>
    </row>
    <row r="238" spans="1:6" ht="14.25" customHeight="1"/>
    <row r="239" spans="1:6" ht="14.25" customHeight="1">
      <c r="A239" s="1739">
        <v>1</v>
      </c>
      <c r="B239" s="1729"/>
      <c r="C239" s="1703"/>
      <c r="D239" s="1703"/>
      <c r="E239" s="1703"/>
      <c r="F239" s="1716"/>
    </row>
    <row r="240" spans="1:6" ht="45">
      <c r="A240" s="1739">
        <v>2</v>
      </c>
      <c r="B240" s="1704"/>
      <c r="C240" s="1726" t="s">
        <v>2921</v>
      </c>
      <c r="F240" s="1717"/>
    </row>
    <row r="241" spans="1:6" ht="14.25" customHeight="1">
      <c r="A241" s="1739">
        <v>3</v>
      </c>
      <c r="B241" s="1704"/>
      <c r="F241" s="1717"/>
    </row>
    <row r="242" spans="1:6" ht="14.25" customHeight="1">
      <c r="A242" s="1739">
        <v>4</v>
      </c>
      <c r="B242" s="1704"/>
      <c r="F242" s="1717"/>
    </row>
    <row r="243" spans="1:6" ht="14.25" customHeight="1">
      <c r="A243" s="1739">
        <v>5</v>
      </c>
      <c r="B243" s="1704"/>
      <c r="C243" s="1730"/>
      <c r="D243" s="1731" t="s">
        <v>2618</v>
      </c>
      <c r="E243" s="1730"/>
      <c r="F243" s="1717"/>
    </row>
    <row r="244" spans="1:6" ht="14.25" customHeight="1">
      <c r="A244" s="1739">
        <v>6</v>
      </c>
      <c r="B244" s="1704"/>
      <c r="F244" s="1717"/>
    </row>
    <row r="245" spans="1:6" ht="14.25" customHeight="1">
      <c r="A245" s="1739">
        <f>A244+1</f>
        <v>7</v>
      </c>
      <c r="B245" s="1704"/>
      <c r="F245" s="1717"/>
    </row>
    <row r="246" spans="1:6" ht="14.25" customHeight="1">
      <c r="A246" s="1739">
        <f t="shared" ref="A246:A282" si="7">A245+1</f>
        <v>8</v>
      </c>
      <c r="B246" s="1704"/>
      <c r="C246" s="1780"/>
      <c r="D246" s="1780"/>
      <c r="E246" s="1780"/>
      <c r="F246" s="1717"/>
    </row>
    <row r="247" spans="1:6" ht="14.25" customHeight="1">
      <c r="A247" s="1739">
        <f t="shared" si="7"/>
        <v>9</v>
      </c>
      <c r="B247" s="1704"/>
      <c r="F247" s="1717"/>
    </row>
    <row r="248" spans="1:6" ht="14.25" customHeight="1">
      <c r="A248" s="1739">
        <f t="shared" si="7"/>
        <v>10</v>
      </c>
      <c r="B248" s="1704"/>
      <c r="F248" s="1717"/>
    </row>
    <row r="249" spans="1:6" ht="14.25" customHeight="1">
      <c r="A249" s="1739">
        <f t="shared" si="7"/>
        <v>11</v>
      </c>
      <c r="B249" s="1704"/>
      <c r="F249" s="1717"/>
    </row>
    <row r="250" spans="1:6" ht="14.25" customHeight="1">
      <c r="A250" s="1739">
        <f t="shared" si="7"/>
        <v>12</v>
      </c>
      <c r="B250" s="1704"/>
      <c r="F250" s="1717"/>
    </row>
    <row r="251" spans="1:6" ht="14.25" customHeight="1">
      <c r="A251" s="1739">
        <f t="shared" si="7"/>
        <v>13</v>
      </c>
      <c r="B251" s="1704"/>
      <c r="F251" s="1717"/>
    </row>
    <row r="252" spans="1:6" ht="14.25" customHeight="1">
      <c r="A252" s="1739">
        <f t="shared" si="7"/>
        <v>14</v>
      </c>
      <c r="B252" s="1704"/>
      <c r="F252" s="1717"/>
    </row>
    <row r="253" spans="1:6" ht="14.25" customHeight="1">
      <c r="A253" s="1739">
        <f t="shared" si="7"/>
        <v>15</v>
      </c>
      <c r="B253" s="1704"/>
      <c r="F253" s="1717"/>
    </row>
    <row r="254" spans="1:6" ht="14.25" customHeight="1">
      <c r="A254" s="1739">
        <f t="shared" si="7"/>
        <v>16</v>
      </c>
      <c r="B254" s="1704"/>
      <c r="F254" s="1717"/>
    </row>
    <row r="255" spans="1:6" ht="14.25" customHeight="1">
      <c r="A255" s="1739">
        <f t="shared" si="7"/>
        <v>17</v>
      </c>
      <c r="B255" s="1704"/>
      <c r="F255" s="1717"/>
    </row>
    <row r="256" spans="1:6" ht="14.25" customHeight="1">
      <c r="A256" s="1739">
        <f t="shared" si="7"/>
        <v>18</v>
      </c>
      <c r="B256" s="1704"/>
      <c r="F256" s="1717"/>
    </row>
    <row r="257" spans="1:6" ht="14.25" customHeight="1">
      <c r="A257" s="1739">
        <f t="shared" si="7"/>
        <v>19</v>
      </c>
      <c r="B257" s="1704"/>
      <c r="F257" s="1717"/>
    </row>
    <row r="258" spans="1:6" ht="14.25" customHeight="1">
      <c r="A258" s="1739">
        <f t="shared" si="7"/>
        <v>20</v>
      </c>
      <c r="B258" s="1704"/>
      <c r="F258" s="1717"/>
    </row>
    <row r="259" spans="1:6" ht="14.25" customHeight="1">
      <c r="A259" s="1739">
        <f t="shared" si="7"/>
        <v>21</v>
      </c>
      <c r="B259" s="1704"/>
      <c r="F259" s="1717"/>
    </row>
    <row r="260" spans="1:6" ht="14.25" customHeight="1">
      <c r="A260" s="1739">
        <f t="shared" si="7"/>
        <v>22</v>
      </c>
      <c r="B260" s="1704"/>
      <c r="F260" s="1717"/>
    </row>
    <row r="261" spans="1:6" ht="14.25" customHeight="1">
      <c r="A261" s="1739">
        <f t="shared" si="7"/>
        <v>23</v>
      </c>
      <c r="B261" s="1704"/>
      <c r="F261" s="1717"/>
    </row>
    <row r="262" spans="1:6" ht="14.25" customHeight="1">
      <c r="A262" s="1739">
        <f t="shared" si="7"/>
        <v>24</v>
      </c>
      <c r="B262" s="1704"/>
      <c r="C262" s="372" t="s">
        <v>2922</v>
      </c>
      <c r="F262" s="1717"/>
    </row>
    <row r="263" spans="1:6" ht="14.25" customHeight="1">
      <c r="A263" s="1739">
        <f t="shared" si="7"/>
        <v>25</v>
      </c>
      <c r="B263" s="1704"/>
      <c r="F263" s="1717"/>
    </row>
    <row r="264" spans="1:6" ht="14.25" customHeight="1">
      <c r="A264" s="1739">
        <f t="shared" si="7"/>
        <v>26</v>
      </c>
      <c r="B264" s="1704"/>
      <c r="F264" s="1717"/>
    </row>
    <row r="265" spans="1:6" ht="14.25" customHeight="1">
      <c r="A265" s="1739">
        <f t="shared" si="7"/>
        <v>27</v>
      </c>
      <c r="B265" s="1704"/>
      <c r="F265" s="1717"/>
    </row>
    <row r="266" spans="1:6" ht="14.25" customHeight="1">
      <c r="A266" s="1739">
        <f t="shared" si="7"/>
        <v>28</v>
      </c>
      <c r="B266" s="1704"/>
      <c r="F266" s="1717"/>
    </row>
    <row r="267" spans="1:6" ht="14.25" customHeight="1">
      <c r="A267" s="1739">
        <f t="shared" si="7"/>
        <v>29</v>
      </c>
      <c r="B267" s="1704"/>
      <c r="F267" s="1717"/>
    </row>
    <row r="268" spans="1:6" ht="14.25" customHeight="1">
      <c r="A268" s="1739">
        <f t="shared" si="7"/>
        <v>30</v>
      </c>
      <c r="B268" s="1704"/>
      <c r="F268" s="1717"/>
    </row>
    <row r="269" spans="1:6" ht="14.25" customHeight="1">
      <c r="A269" s="1739">
        <f t="shared" si="7"/>
        <v>31</v>
      </c>
      <c r="B269" s="1704"/>
      <c r="F269" s="1717"/>
    </row>
    <row r="270" spans="1:6" ht="14.25" customHeight="1">
      <c r="A270" s="1739">
        <f t="shared" si="7"/>
        <v>32</v>
      </c>
      <c r="B270" s="1704"/>
      <c r="F270" s="1717"/>
    </row>
    <row r="271" spans="1:6" ht="14.25" customHeight="1">
      <c r="A271" s="1739">
        <f t="shared" si="7"/>
        <v>33</v>
      </c>
      <c r="B271" s="1704"/>
      <c r="F271" s="1717"/>
    </row>
    <row r="272" spans="1:6" ht="14.25" customHeight="1">
      <c r="A272" s="1739">
        <f t="shared" si="7"/>
        <v>34</v>
      </c>
      <c r="B272" s="1704"/>
      <c r="F272" s="1717"/>
    </row>
    <row r="273" spans="1:6" ht="14.25" customHeight="1">
      <c r="A273" s="1739">
        <f t="shared" si="7"/>
        <v>35</v>
      </c>
      <c r="B273" s="1704"/>
      <c r="F273" s="1717"/>
    </row>
    <row r="274" spans="1:6" ht="14.25" customHeight="1">
      <c r="A274" s="1739">
        <f t="shared" si="7"/>
        <v>36</v>
      </c>
      <c r="B274" s="1704"/>
      <c r="F274" s="1717"/>
    </row>
    <row r="275" spans="1:6" ht="14.25" customHeight="1">
      <c r="A275" s="1739">
        <f t="shared" si="7"/>
        <v>37</v>
      </c>
      <c r="B275" s="1704"/>
      <c r="F275" s="1717"/>
    </row>
    <row r="276" spans="1:6" ht="14.25" customHeight="1">
      <c r="A276" s="1739">
        <f t="shared" si="7"/>
        <v>38</v>
      </c>
      <c r="B276" s="1704"/>
      <c r="F276" s="1717"/>
    </row>
    <row r="277" spans="1:6" ht="14.25" customHeight="1">
      <c r="A277" s="1739">
        <f t="shared" si="7"/>
        <v>39</v>
      </c>
      <c r="B277" s="1704"/>
      <c r="F277" s="1717"/>
    </row>
    <row r="278" spans="1:6" ht="14.25" customHeight="1">
      <c r="A278" s="1739">
        <f t="shared" si="7"/>
        <v>40</v>
      </c>
      <c r="B278" s="1704"/>
      <c r="F278" s="1717"/>
    </row>
    <row r="279" spans="1:6" ht="14.25" customHeight="1">
      <c r="A279" s="1739">
        <f t="shared" si="7"/>
        <v>41</v>
      </c>
      <c r="B279" s="1704"/>
      <c r="F279" s="1717"/>
    </row>
    <row r="280" spans="1:6" ht="14.25" customHeight="1">
      <c r="A280" s="1739">
        <f t="shared" si="7"/>
        <v>42</v>
      </c>
      <c r="B280" s="1704"/>
      <c r="F280" s="1717"/>
    </row>
    <row r="281" spans="1:6" ht="14.25" customHeight="1">
      <c r="A281" s="1739">
        <f t="shared" si="7"/>
        <v>43</v>
      </c>
      <c r="B281" s="1704"/>
      <c r="F281" s="1717"/>
    </row>
    <row r="282" spans="1:6" ht="14.25" customHeight="1">
      <c r="A282" s="1739">
        <f t="shared" si="7"/>
        <v>44</v>
      </c>
      <c r="B282" s="1705"/>
      <c r="C282" s="1706"/>
      <c r="D282" s="1706"/>
      <c r="E282" s="1706"/>
      <c r="F282" s="1722"/>
    </row>
    <row r="283" spans="1:6" ht="14.25" customHeight="1"/>
    <row r="284" spans="1:6" ht="14.25" customHeight="1">
      <c r="A284" s="1666" t="s">
        <v>2923</v>
      </c>
    </row>
    <row r="285" spans="1:6" ht="14.25" customHeight="1"/>
    <row r="286" spans="1:6" ht="14.25" customHeight="1">
      <c r="A286" s="1739">
        <v>1</v>
      </c>
      <c r="B286" s="1729"/>
      <c r="C286" s="1703"/>
      <c r="D286" s="1703"/>
      <c r="E286" s="1703"/>
      <c r="F286" s="1716"/>
    </row>
    <row r="287" spans="1:6" ht="45">
      <c r="A287" s="1739">
        <v>2</v>
      </c>
      <c r="B287" s="1704"/>
      <c r="C287" s="1726" t="s">
        <v>2849</v>
      </c>
      <c r="F287" s="1717"/>
    </row>
    <row r="288" spans="1:6" ht="14.25" customHeight="1">
      <c r="A288" s="1739">
        <v>3</v>
      </c>
      <c r="B288" s="1704"/>
      <c r="D288" s="1737" t="s">
        <v>2934</v>
      </c>
      <c r="F288" s="1717"/>
    </row>
    <row r="289" spans="1:6" ht="14.25" customHeight="1">
      <c r="A289" s="1739">
        <v>4</v>
      </c>
      <c r="B289" s="1704"/>
      <c r="D289" s="1737" t="s">
        <v>2934</v>
      </c>
      <c r="F289" s="1717"/>
    </row>
    <row r="290" spans="1:6" ht="14.25" customHeight="1">
      <c r="A290" s="1739">
        <v>5</v>
      </c>
      <c r="B290" s="1704"/>
      <c r="C290" s="1733" t="s">
        <v>2393</v>
      </c>
      <c r="D290" s="1737" t="s">
        <v>2934</v>
      </c>
      <c r="E290" s="1734" t="s">
        <v>1931</v>
      </c>
      <c r="F290" s="1717"/>
    </row>
    <row r="291" spans="1:6" ht="14.25" customHeight="1">
      <c r="A291" s="1739">
        <v>6</v>
      </c>
      <c r="B291" s="1704"/>
      <c r="D291" s="1737" t="s">
        <v>2934</v>
      </c>
      <c r="F291" s="1717"/>
    </row>
    <row r="292" spans="1:6" ht="14.25" customHeight="1">
      <c r="A292" s="1739">
        <f>A291+1</f>
        <v>7</v>
      </c>
      <c r="B292" s="1704"/>
      <c r="D292" s="1737" t="s">
        <v>2934</v>
      </c>
      <c r="F292" s="1717"/>
    </row>
    <row r="293" spans="1:6" ht="14.25" customHeight="1">
      <c r="A293" s="1739">
        <f t="shared" ref="A293:A329" si="8">A292+1</f>
        <v>8</v>
      </c>
      <c r="B293" s="1704"/>
      <c r="D293" s="1737" t="s">
        <v>2934</v>
      </c>
      <c r="F293" s="1717"/>
    </row>
    <row r="294" spans="1:6" ht="14.25" customHeight="1">
      <c r="A294" s="1739">
        <f t="shared" si="8"/>
        <v>9</v>
      </c>
      <c r="B294" s="1704"/>
      <c r="D294" s="1737" t="s">
        <v>2934</v>
      </c>
      <c r="F294" s="1717"/>
    </row>
    <row r="295" spans="1:6" ht="14.25" customHeight="1">
      <c r="A295" s="1739">
        <f t="shared" si="8"/>
        <v>10</v>
      </c>
      <c r="B295" s="1704"/>
      <c r="D295" s="1737" t="s">
        <v>2934</v>
      </c>
      <c r="F295" s="1717"/>
    </row>
    <row r="296" spans="1:6" ht="14.25" customHeight="1">
      <c r="A296" s="1739">
        <f t="shared" si="8"/>
        <v>11</v>
      </c>
      <c r="B296" s="1704"/>
      <c r="D296" s="1737" t="s">
        <v>2934</v>
      </c>
      <c r="F296" s="1717"/>
    </row>
    <row r="297" spans="1:6" ht="14.25" customHeight="1">
      <c r="A297" s="1739">
        <f t="shared" si="8"/>
        <v>12</v>
      </c>
      <c r="B297" s="1704"/>
      <c r="D297" s="1737" t="s">
        <v>2934</v>
      </c>
      <c r="F297" s="1717"/>
    </row>
    <row r="298" spans="1:6" ht="14.25" customHeight="1">
      <c r="A298" s="1739">
        <f t="shared" si="8"/>
        <v>13</v>
      </c>
      <c r="B298" s="1704"/>
      <c r="D298" s="1737" t="s">
        <v>2934</v>
      </c>
      <c r="F298" s="1717"/>
    </row>
    <row r="299" spans="1:6" ht="14.25" customHeight="1">
      <c r="A299" s="1739">
        <f t="shared" si="8"/>
        <v>14</v>
      </c>
      <c r="B299" s="1704"/>
      <c r="D299" s="1737" t="s">
        <v>2934</v>
      </c>
      <c r="F299" s="1717"/>
    </row>
    <row r="300" spans="1:6" ht="14.25" customHeight="1">
      <c r="A300" s="1739">
        <f t="shared" si="8"/>
        <v>15</v>
      </c>
      <c r="B300" s="1704"/>
      <c r="D300" s="1737" t="s">
        <v>2934</v>
      </c>
      <c r="F300" s="1717"/>
    </row>
    <row r="301" spans="1:6" ht="14.25" customHeight="1">
      <c r="A301" s="1739">
        <f t="shared" si="8"/>
        <v>16</v>
      </c>
      <c r="B301" s="1704"/>
      <c r="D301" s="1737" t="s">
        <v>2934</v>
      </c>
      <c r="F301" s="1717"/>
    </row>
    <row r="302" spans="1:6" ht="14.25" customHeight="1">
      <c r="A302" s="1739">
        <f t="shared" si="8"/>
        <v>17</v>
      </c>
      <c r="B302" s="1704"/>
      <c r="D302" s="1737" t="s">
        <v>2934</v>
      </c>
      <c r="F302" s="1717"/>
    </row>
    <row r="303" spans="1:6" ht="14.25" customHeight="1">
      <c r="A303" s="1739">
        <f t="shared" si="8"/>
        <v>18</v>
      </c>
      <c r="B303" s="1704"/>
      <c r="D303" s="1737" t="s">
        <v>2934</v>
      </c>
      <c r="F303" s="1717"/>
    </row>
    <row r="304" spans="1:6" ht="14.25" customHeight="1">
      <c r="A304" s="1739">
        <f t="shared" si="8"/>
        <v>19</v>
      </c>
      <c r="B304" s="1704"/>
      <c r="D304" s="1737" t="s">
        <v>2934</v>
      </c>
      <c r="F304" s="1717"/>
    </row>
    <row r="305" spans="1:6" ht="14.25" customHeight="1">
      <c r="A305" s="1739">
        <f t="shared" si="8"/>
        <v>20</v>
      </c>
      <c r="B305" s="1704"/>
      <c r="D305" s="1737" t="s">
        <v>2934</v>
      </c>
      <c r="F305" s="1717"/>
    </row>
    <row r="306" spans="1:6" ht="14.25" customHeight="1">
      <c r="A306" s="1739">
        <f t="shared" si="8"/>
        <v>21</v>
      </c>
      <c r="B306" s="1704"/>
      <c r="D306" s="1737" t="s">
        <v>2934</v>
      </c>
      <c r="F306" s="1717"/>
    </row>
    <row r="307" spans="1:6" ht="14.25" customHeight="1">
      <c r="A307" s="1739">
        <f t="shared" si="8"/>
        <v>22</v>
      </c>
      <c r="B307" s="1704"/>
      <c r="D307" s="1737" t="s">
        <v>2934</v>
      </c>
      <c r="F307" s="1717"/>
    </row>
    <row r="308" spans="1:6" ht="14.25" customHeight="1">
      <c r="A308" s="1739">
        <f t="shared" si="8"/>
        <v>23</v>
      </c>
      <c r="B308" s="1704"/>
      <c r="D308" s="1737" t="s">
        <v>2934</v>
      </c>
      <c r="F308" s="1717"/>
    </row>
    <row r="309" spans="1:6" ht="14.25" customHeight="1">
      <c r="A309" s="1739">
        <f t="shared" si="8"/>
        <v>24</v>
      </c>
      <c r="B309" s="1704"/>
      <c r="D309" s="1737" t="s">
        <v>2934</v>
      </c>
      <c r="F309" s="1717"/>
    </row>
    <row r="310" spans="1:6" ht="14.25" customHeight="1">
      <c r="A310" s="1739">
        <f t="shared" si="8"/>
        <v>25</v>
      </c>
      <c r="B310" s="1704"/>
      <c r="D310" s="1737" t="s">
        <v>2934</v>
      </c>
      <c r="F310" s="1717"/>
    </row>
    <row r="311" spans="1:6" ht="14.25" customHeight="1">
      <c r="A311" s="1739">
        <f t="shared" si="8"/>
        <v>26</v>
      </c>
      <c r="B311" s="1704"/>
      <c r="C311" s="372" t="s">
        <v>2922</v>
      </c>
      <c r="D311" s="1737" t="s">
        <v>2934</v>
      </c>
      <c r="E311" s="372" t="s">
        <v>2922</v>
      </c>
      <c r="F311" s="1717"/>
    </row>
    <row r="312" spans="1:6" ht="14.25" customHeight="1">
      <c r="A312" s="1739">
        <f t="shared" si="8"/>
        <v>27</v>
      </c>
      <c r="B312" s="1704"/>
      <c r="D312" s="1737" t="s">
        <v>2934</v>
      </c>
      <c r="F312" s="1717"/>
    </row>
    <row r="313" spans="1:6" ht="14.25" customHeight="1">
      <c r="A313" s="1739">
        <f t="shared" si="8"/>
        <v>28</v>
      </c>
      <c r="B313" s="1704"/>
      <c r="D313" s="1737" t="s">
        <v>2934</v>
      </c>
      <c r="F313" s="1717"/>
    </row>
    <row r="314" spans="1:6" ht="14.25" customHeight="1">
      <c r="A314" s="1739">
        <f t="shared" si="8"/>
        <v>29</v>
      </c>
      <c r="B314" s="1704"/>
      <c r="D314" s="1737" t="s">
        <v>2934</v>
      </c>
      <c r="F314" s="1717"/>
    </row>
    <row r="315" spans="1:6" ht="14.25" customHeight="1">
      <c r="A315" s="1739">
        <f t="shared" si="8"/>
        <v>30</v>
      </c>
      <c r="B315" s="1704"/>
      <c r="D315" s="1737" t="s">
        <v>2934</v>
      </c>
      <c r="F315" s="1717"/>
    </row>
    <row r="316" spans="1:6" ht="14.25" customHeight="1">
      <c r="A316" s="1739">
        <f t="shared" si="8"/>
        <v>31</v>
      </c>
      <c r="B316" s="1704"/>
      <c r="D316" s="1737" t="s">
        <v>2934</v>
      </c>
      <c r="F316" s="1717"/>
    </row>
    <row r="317" spans="1:6" ht="14.25" customHeight="1">
      <c r="A317" s="1739">
        <f t="shared" si="8"/>
        <v>32</v>
      </c>
      <c r="B317" s="1704"/>
      <c r="D317" s="1737" t="s">
        <v>2934</v>
      </c>
      <c r="F317" s="1717"/>
    </row>
    <row r="318" spans="1:6" ht="14.25" customHeight="1">
      <c r="A318" s="1739">
        <f t="shared" si="8"/>
        <v>33</v>
      </c>
      <c r="B318" s="1704"/>
      <c r="D318" s="1737" t="s">
        <v>2934</v>
      </c>
      <c r="F318" s="1717"/>
    </row>
    <row r="319" spans="1:6" ht="14.25" customHeight="1">
      <c r="A319" s="1739">
        <f t="shared" si="8"/>
        <v>34</v>
      </c>
      <c r="B319" s="1704"/>
      <c r="D319" s="1737" t="s">
        <v>2934</v>
      </c>
      <c r="F319" s="1717"/>
    </row>
    <row r="320" spans="1:6" ht="14.25" customHeight="1">
      <c r="A320" s="1739">
        <f t="shared" si="8"/>
        <v>35</v>
      </c>
      <c r="B320" s="1704"/>
      <c r="D320" s="1737" t="s">
        <v>2934</v>
      </c>
      <c r="F320" s="1717"/>
    </row>
    <row r="321" spans="1:6" ht="14.25" customHeight="1">
      <c r="A321" s="1739">
        <f t="shared" si="8"/>
        <v>36</v>
      </c>
      <c r="B321" s="1704"/>
      <c r="D321" s="1737" t="s">
        <v>2934</v>
      </c>
      <c r="F321" s="1717"/>
    </row>
    <row r="322" spans="1:6" ht="14.25" customHeight="1">
      <c r="A322" s="1739">
        <f t="shared" si="8"/>
        <v>37</v>
      </c>
      <c r="B322" s="1704"/>
      <c r="D322" s="1737" t="s">
        <v>2934</v>
      </c>
      <c r="F322" s="1717"/>
    </row>
    <row r="323" spans="1:6" ht="14.25" customHeight="1">
      <c r="A323" s="1739">
        <f t="shared" si="8"/>
        <v>38</v>
      </c>
      <c r="B323" s="1704"/>
      <c r="F323" s="1717"/>
    </row>
    <row r="324" spans="1:6" ht="14.25" customHeight="1">
      <c r="A324" s="1739">
        <f t="shared" si="8"/>
        <v>39</v>
      </c>
      <c r="B324" s="1704"/>
      <c r="F324" s="1717"/>
    </row>
    <row r="325" spans="1:6" ht="14.25" customHeight="1">
      <c r="A325" s="1739">
        <f t="shared" si="8"/>
        <v>40</v>
      </c>
      <c r="B325" s="1704"/>
      <c r="F325" s="1717"/>
    </row>
    <row r="326" spans="1:6" ht="14.25" customHeight="1">
      <c r="A326" s="1739">
        <f t="shared" si="8"/>
        <v>41</v>
      </c>
      <c r="B326" s="1704"/>
      <c r="F326" s="1717"/>
    </row>
    <row r="327" spans="1:6" ht="14.25" customHeight="1">
      <c r="A327" s="1739">
        <f t="shared" si="8"/>
        <v>42</v>
      </c>
      <c r="B327" s="1704"/>
      <c r="F327" s="1717"/>
    </row>
    <row r="328" spans="1:6" ht="14.25" customHeight="1">
      <c r="A328" s="1739">
        <f t="shared" si="8"/>
        <v>43</v>
      </c>
      <c r="B328" s="1704"/>
      <c r="F328" s="1717"/>
    </row>
    <row r="329" spans="1:6" ht="13.75" customHeight="1">
      <c r="A329" s="1739">
        <f t="shared" si="8"/>
        <v>44</v>
      </c>
      <c r="B329" s="1705"/>
      <c r="C329" s="1706"/>
      <c r="D329" s="1706"/>
      <c r="E329" s="1706"/>
      <c r="F329" s="1722"/>
    </row>
    <row r="330" spans="1:6" ht="14.25" customHeight="1"/>
    <row r="331" spans="1:6" ht="14.25" customHeight="1">
      <c r="A331" s="1666" t="s">
        <v>2925</v>
      </c>
    </row>
    <row r="332" spans="1:6" ht="14.25" customHeight="1"/>
    <row r="333" spans="1:6" ht="14.25" customHeight="1">
      <c r="A333" s="1739">
        <v>1</v>
      </c>
      <c r="B333" s="1729"/>
      <c r="C333" s="1703"/>
      <c r="D333" s="1703"/>
      <c r="E333" s="1703"/>
      <c r="F333" s="1716"/>
    </row>
    <row r="334" spans="1:6" ht="45">
      <c r="A334" s="1739">
        <v>2</v>
      </c>
      <c r="B334" s="1704"/>
      <c r="C334" s="1726" t="s">
        <v>2924</v>
      </c>
      <c r="F334" s="1717"/>
    </row>
    <row r="335" spans="1:6" ht="14.25" customHeight="1">
      <c r="A335" s="1739">
        <v>3</v>
      </c>
      <c r="B335" s="1704"/>
      <c r="F335" s="1717"/>
    </row>
    <row r="336" spans="1:6" ht="14.25" customHeight="1">
      <c r="A336" s="1739">
        <v>4</v>
      </c>
      <c r="B336" s="1704"/>
      <c r="F336" s="1717"/>
    </row>
    <row r="337" spans="1:6" ht="14.25" customHeight="1">
      <c r="A337" s="1739">
        <v>5</v>
      </c>
      <c r="B337" s="1704"/>
      <c r="C337" s="1735" t="s">
        <v>2927</v>
      </c>
      <c r="D337" s="1732"/>
      <c r="E337" s="1736" t="s">
        <v>2926</v>
      </c>
      <c r="F337" s="1717"/>
    </row>
    <row r="338" spans="1:6" ht="14.25" customHeight="1">
      <c r="A338" s="1739">
        <v>6</v>
      </c>
      <c r="B338" s="1704"/>
      <c r="F338" s="1717"/>
    </row>
    <row r="339" spans="1:6" ht="14.25" customHeight="1">
      <c r="A339" s="1739">
        <f>A338+1</f>
        <v>7</v>
      </c>
      <c r="B339" s="1704"/>
      <c r="F339" s="1717"/>
    </row>
    <row r="340" spans="1:6" ht="14.25" customHeight="1">
      <c r="A340" s="1739">
        <f t="shared" ref="A340:A376" si="9">A339+1</f>
        <v>8</v>
      </c>
      <c r="B340" s="1704"/>
      <c r="F340" s="1717"/>
    </row>
    <row r="341" spans="1:6" ht="14.25" customHeight="1">
      <c r="A341" s="1739">
        <f t="shared" si="9"/>
        <v>9</v>
      </c>
      <c r="B341" s="1704"/>
      <c r="F341" s="1717"/>
    </row>
    <row r="342" spans="1:6" ht="14.25" customHeight="1">
      <c r="A342" s="1739">
        <f t="shared" si="9"/>
        <v>10</v>
      </c>
      <c r="B342" s="1704"/>
      <c r="F342" s="1717"/>
    </row>
    <row r="343" spans="1:6" ht="14.25" customHeight="1">
      <c r="A343" s="1739">
        <f t="shared" si="9"/>
        <v>11</v>
      </c>
      <c r="B343" s="1704"/>
      <c r="F343" s="1717"/>
    </row>
    <row r="344" spans="1:6" ht="14.25" customHeight="1">
      <c r="A344" s="1739">
        <f t="shared" si="9"/>
        <v>12</v>
      </c>
      <c r="B344" s="1704"/>
      <c r="F344" s="1717"/>
    </row>
    <row r="345" spans="1:6" ht="14.25" customHeight="1">
      <c r="A345" s="1739">
        <f t="shared" si="9"/>
        <v>13</v>
      </c>
      <c r="B345" s="1704"/>
      <c r="F345" s="1717"/>
    </row>
    <row r="346" spans="1:6" ht="14.25" customHeight="1">
      <c r="A346" s="1739">
        <f t="shared" si="9"/>
        <v>14</v>
      </c>
      <c r="B346" s="1704"/>
      <c r="F346" s="1717"/>
    </row>
    <row r="347" spans="1:6" ht="14.25" customHeight="1">
      <c r="A347" s="1739">
        <f t="shared" si="9"/>
        <v>15</v>
      </c>
      <c r="B347" s="1704"/>
      <c r="F347" s="1717"/>
    </row>
    <row r="348" spans="1:6" ht="14.25" customHeight="1">
      <c r="A348" s="1739">
        <f t="shared" si="9"/>
        <v>16</v>
      </c>
      <c r="B348" s="1704"/>
      <c r="F348" s="1717"/>
    </row>
    <row r="349" spans="1:6" ht="14.25" customHeight="1">
      <c r="A349" s="1739">
        <f t="shared" si="9"/>
        <v>17</v>
      </c>
      <c r="B349" s="1704"/>
      <c r="F349" s="1717"/>
    </row>
    <row r="350" spans="1:6" ht="14.25" customHeight="1">
      <c r="A350" s="1739">
        <f t="shared" si="9"/>
        <v>18</v>
      </c>
      <c r="B350" s="1704"/>
      <c r="F350" s="1717"/>
    </row>
    <row r="351" spans="1:6" ht="14.25" customHeight="1">
      <c r="A351" s="1739">
        <f t="shared" si="9"/>
        <v>19</v>
      </c>
      <c r="B351" s="1704"/>
      <c r="F351" s="1717"/>
    </row>
    <row r="352" spans="1:6" ht="14.25" customHeight="1">
      <c r="A352" s="1739">
        <f t="shared" si="9"/>
        <v>20</v>
      </c>
      <c r="B352" s="1704"/>
      <c r="F352" s="1717"/>
    </row>
    <row r="353" spans="1:6" ht="14.25" customHeight="1">
      <c r="A353" s="1739">
        <f t="shared" si="9"/>
        <v>21</v>
      </c>
      <c r="B353" s="1704"/>
      <c r="F353" s="1717"/>
    </row>
    <row r="354" spans="1:6" ht="14.25" customHeight="1">
      <c r="A354" s="1739">
        <f t="shared" si="9"/>
        <v>22</v>
      </c>
      <c r="B354" s="1704"/>
      <c r="F354" s="1717"/>
    </row>
    <row r="355" spans="1:6" ht="14.25" customHeight="1">
      <c r="A355" s="1739">
        <f t="shared" si="9"/>
        <v>23</v>
      </c>
      <c r="B355" s="1704"/>
      <c r="F355" s="1717"/>
    </row>
    <row r="356" spans="1:6" ht="14.25" customHeight="1">
      <c r="A356" s="1739">
        <f t="shared" si="9"/>
        <v>24</v>
      </c>
      <c r="B356" s="1704"/>
      <c r="F356" s="1717"/>
    </row>
    <row r="357" spans="1:6" ht="14.25" customHeight="1">
      <c r="A357" s="1739">
        <f t="shared" si="9"/>
        <v>25</v>
      </c>
      <c r="B357" s="1704"/>
      <c r="F357" s="1717"/>
    </row>
    <row r="358" spans="1:6" ht="14.25" customHeight="1">
      <c r="A358" s="1739">
        <f t="shared" si="9"/>
        <v>26</v>
      </c>
      <c r="B358" s="1704"/>
      <c r="C358" s="372" t="s">
        <v>2922</v>
      </c>
      <c r="E358" s="372" t="s">
        <v>2922</v>
      </c>
      <c r="F358" s="1717"/>
    </row>
    <row r="359" spans="1:6" ht="14.25" customHeight="1">
      <c r="A359" s="1739">
        <f t="shared" si="9"/>
        <v>27</v>
      </c>
      <c r="B359" s="1704"/>
      <c r="F359" s="1717"/>
    </row>
    <row r="360" spans="1:6" ht="14.25" customHeight="1">
      <c r="A360" s="1739">
        <f t="shared" si="9"/>
        <v>28</v>
      </c>
      <c r="B360" s="1704"/>
      <c r="F360" s="1717"/>
    </row>
    <row r="361" spans="1:6" ht="14.25" customHeight="1">
      <c r="A361" s="1739">
        <f t="shared" si="9"/>
        <v>29</v>
      </c>
      <c r="B361" s="1704"/>
      <c r="F361" s="1717"/>
    </row>
    <row r="362" spans="1:6" ht="14.25" customHeight="1">
      <c r="A362" s="1739">
        <f t="shared" si="9"/>
        <v>30</v>
      </c>
      <c r="B362" s="1704"/>
      <c r="F362" s="1717"/>
    </row>
    <row r="363" spans="1:6" ht="14.25" customHeight="1">
      <c r="A363" s="1739">
        <f t="shared" si="9"/>
        <v>31</v>
      </c>
      <c r="B363" s="1704"/>
      <c r="F363" s="1717"/>
    </row>
    <row r="364" spans="1:6" ht="14.25" customHeight="1">
      <c r="A364" s="1739">
        <f t="shared" si="9"/>
        <v>32</v>
      </c>
      <c r="B364" s="1704"/>
      <c r="F364" s="1717"/>
    </row>
    <row r="365" spans="1:6" ht="14.25" customHeight="1">
      <c r="A365" s="1739">
        <f t="shared" si="9"/>
        <v>33</v>
      </c>
      <c r="B365" s="1704"/>
      <c r="F365" s="1717"/>
    </row>
    <row r="366" spans="1:6" ht="14.25" customHeight="1">
      <c r="A366" s="1739">
        <f t="shared" si="9"/>
        <v>34</v>
      </c>
      <c r="B366" s="1704"/>
      <c r="F366" s="1717"/>
    </row>
    <row r="367" spans="1:6" ht="14.25" customHeight="1">
      <c r="A367" s="1739">
        <f t="shared" si="9"/>
        <v>35</v>
      </c>
      <c r="B367" s="1704"/>
      <c r="F367" s="1717"/>
    </row>
    <row r="368" spans="1:6" ht="14.25" customHeight="1">
      <c r="A368" s="1739">
        <f t="shared" si="9"/>
        <v>36</v>
      </c>
      <c r="B368" s="1704"/>
      <c r="F368" s="1717"/>
    </row>
    <row r="369" spans="1:6" ht="14.25" customHeight="1">
      <c r="A369" s="1739">
        <f t="shared" si="9"/>
        <v>37</v>
      </c>
      <c r="B369" s="1704"/>
      <c r="F369" s="1717"/>
    </row>
    <row r="370" spans="1:6" ht="14.25" customHeight="1">
      <c r="A370" s="1739">
        <f t="shared" si="9"/>
        <v>38</v>
      </c>
      <c r="B370" s="1704"/>
      <c r="F370" s="1717"/>
    </row>
    <row r="371" spans="1:6" ht="14.25" customHeight="1">
      <c r="A371" s="1739">
        <f t="shared" si="9"/>
        <v>39</v>
      </c>
      <c r="B371" s="1704"/>
      <c r="F371" s="1717"/>
    </row>
    <row r="372" spans="1:6" ht="14.25" customHeight="1">
      <c r="A372" s="1739">
        <f t="shared" si="9"/>
        <v>40</v>
      </c>
      <c r="B372" s="1704"/>
      <c r="F372" s="1717"/>
    </row>
    <row r="373" spans="1:6" ht="14.25" customHeight="1">
      <c r="A373" s="1739">
        <f t="shared" si="9"/>
        <v>41</v>
      </c>
      <c r="B373" s="1704"/>
      <c r="F373" s="1717"/>
    </row>
    <row r="374" spans="1:6" ht="14.25" customHeight="1">
      <c r="A374" s="1739">
        <f t="shared" si="9"/>
        <v>42</v>
      </c>
      <c r="B374" s="1704"/>
      <c r="F374" s="1717"/>
    </row>
    <row r="375" spans="1:6" ht="13.75" customHeight="1">
      <c r="A375" s="1739">
        <f t="shared" si="9"/>
        <v>43</v>
      </c>
      <c r="B375" s="1704"/>
      <c r="F375" s="1717"/>
    </row>
    <row r="376" spans="1:6" ht="14.25" customHeight="1">
      <c r="A376" s="1739">
        <f t="shared" si="9"/>
        <v>44</v>
      </c>
      <c r="B376" s="1705"/>
      <c r="C376" s="1706"/>
      <c r="D376" s="1706"/>
      <c r="E376" s="1706"/>
      <c r="F376" s="1722"/>
    </row>
    <row r="377" spans="1:6" ht="14.25" customHeight="1"/>
    <row r="378" spans="1:6" ht="14.25" customHeight="1">
      <c r="A378" s="1666" t="s">
        <v>2929</v>
      </c>
    </row>
    <row r="379" spans="1:6" ht="14.25" customHeight="1"/>
    <row r="380" spans="1:6" ht="14.25" customHeight="1">
      <c r="A380" s="1739">
        <v>1</v>
      </c>
      <c r="B380" s="1729"/>
      <c r="C380" s="1703"/>
      <c r="D380" s="1703"/>
      <c r="E380" s="1703"/>
      <c r="F380" s="1716"/>
    </row>
    <row r="381" spans="1:6" ht="45">
      <c r="A381" s="1739">
        <v>2</v>
      </c>
      <c r="B381" s="1704"/>
      <c r="C381" s="1726" t="s">
        <v>2930</v>
      </c>
      <c r="F381" s="1717"/>
    </row>
    <row r="382" spans="1:6" ht="14.25" customHeight="1">
      <c r="A382" s="1739">
        <v>3</v>
      </c>
      <c r="B382" s="1704"/>
      <c r="F382" s="1717"/>
    </row>
    <row r="383" spans="1:6" ht="14.25" customHeight="1">
      <c r="A383" s="1739">
        <v>4</v>
      </c>
      <c r="B383" s="1704"/>
      <c r="F383" s="1717"/>
    </row>
    <row r="384" spans="1:6" ht="14.25" customHeight="1">
      <c r="A384" s="1739">
        <v>5</v>
      </c>
      <c r="B384" s="1704"/>
      <c r="C384" s="1735" t="s">
        <v>2387</v>
      </c>
      <c r="D384" s="1732"/>
      <c r="E384" s="1736" t="s">
        <v>2386</v>
      </c>
      <c r="F384" s="1717"/>
    </row>
    <row r="385" spans="1:6" ht="14.25" customHeight="1">
      <c r="A385" s="1739">
        <v>6</v>
      </c>
      <c r="B385" s="1704"/>
      <c r="F385" s="1717"/>
    </row>
    <row r="386" spans="1:6" ht="14.25" customHeight="1">
      <c r="A386" s="1739">
        <f>A385+1</f>
        <v>7</v>
      </c>
      <c r="B386" s="1704"/>
      <c r="F386" s="1717"/>
    </row>
    <row r="387" spans="1:6" ht="14.25" customHeight="1">
      <c r="A387" s="1739">
        <f t="shared" ref="A387:A423" si="10">A386+1</f>
        <v>8</v>
      </c>
      <c r="B387" s="1704"/>
      <c r="F387" s="1717"/>
    </row>
    <row r="388" spans="1:6" ht="14.25" customHeight="1">
      <c r="A388" s="1739">
        <f t="shared" si="10"/>
        <v>9</v>
      </c>
      <c r="B388" s="1704"/>
      <c r="F388" s="1717"/>
    </row>
    <row r="389" spans="1:6" ht="14.25" customHeight="1">
      <c r="A389" s="1739">
        <f t="shared" si="10"/>
        <v>10</v>
      </c>
      <c r="B389" s="1704"/>
      <c r="F389" s="1717"/>
    </row>
    <row r="390" spans="1:6" ht="14.25" customHeight="1">
      <c r="A390" s="1739">
        <f t="shared" si="10"/>
        <v>11</v>
      </c>
      <c r="B390" s="1704"/>
      <c r="F390" s="1717"/>
    </row>
    <row r="391" spans="1:6" ht="14.25" customHeight="1">
      <c r="A391" s="1739">
        <f t="shared" si="10"/>
        <v>12</v>
      </c>
      <c r="B391" s="1704"/>
      <c r="F391" s="1717"/>
    </row>
    <row r="392" spans="1:6" ht="14.25" customHeight="1">
      <c r="A392" s="1739">
        <f t="shared" si="10"/>
        <v>13</v>
      </c>
      <c r="B392" s="1704"/>
      <c r="F392" s="1717"/>
    </row>
    <row r="393" spans="1:6" ht="14.25" customHeight="1">
      <c r="A393" s="1739">
        <f t="shared" si="10"/>
        <v>14</v>
      </c>
      <c r="B393" s="1704"/>
      <c r="F393" s="1717"/>
    </row>
    <row r="394" spans="1:6" ht="14.25" customHeight="1">
      <c r="A394" s="1739">
        <f t="shared" si="10"/>
        <v>15</v>
      </c>
      <c r="B394" s="1704"/>
      <c r="F394" s="1717"/>
    </row>
    <row r="395" spans="1:6" ht="14.25" customHeight="1">
      <c r="A395" s="1739">
        <f t="shared" si="10"/>
        <v>16</v>
      </c>
      <c r="B395" s="1704"/>
      <c r="F395" s="1717"/>
    </row>
    <row r="396" spans="1:6" ht="14.25" customHeight="1">
      <c r="A396" s="1739">
        <f t="shared" si="10"/>
        <v>17</v>
      </c>
      <c r="B396" s="1704"/>
      <c r="F396" s="1717"/>
    </row>
    <row r="397" spans="1:6" ht="14.25" customHeight="1">
      <c r="A397" s="1739">
        <f t="shared" si="10"/>
        <v>18</v>
      </c>
      <c r="B397" s="1704"/>
      <c r="F397" s="1717"/>
    </row>
    <row r="398" spans="1:6" ht="14.25" customHeight="1">
      <c r="A398" s="1739">
        <f t="shared" si="10"/>
        <v>19</v>
      </c>
      <c r="B398" s="1704"/>
      <c r="F398" s="1717"/>
    </row>
    <row r="399" spans="1:6" ht="14.25" customHeight="1">
      <c r="A399" s="1739">
        <f t="shared" si="10"/>
        <v>20</v>
      </c>
      <c r="B399" s="1704"/>
      <c r="F399" s="1717"/>
    </row>
    <row r="400" spans="1:6" ht="14.25" customHeight="1">
      <c r="A400" s="1739">
        <f t="shared" si="10"/>
        <v>21</v>
      </c>
      <c r="B400" s="1704"/>
      <c r="F400" s="1717"/>
    </row>
    <row r="401" spans="1:6" ht="14.25" customHeight="1">
      <c r="A401" s="1739">
        <f t="shared" si="10"/>
        <v>22</v>
      </c>
      <c r="B401" s="1704"/>
      <c r="F401" s="1717"/>
    </row>
    <row r="402" spans="1:6" ht="14.25" customHeight="1">
      <c r="A402" s="1739">
        <f t="shared" si="10"/>
        <v>23</v>
      </c>
      <c r="B402" s="1704"/>
      <c r="F402" s="1717"/>
    </row>
    <row r="403" spans="1:6" ht="14.25" customHeight="1">
      <c r="A403" s="1739">
        <f t="shared" si="10"/>
        <v>24</v>
      </c>
      <c r="B403" s="1704"/>
      <c r="F403" s="1717"/>
    </row>
    <row r="404" spans="1:6" ht="14.25" customHeight="1">
      <c r="A404" s="1739">
        <f t="shared" si="10"/>
        <v>25</v>
      </c>
      <c r="B404" s="1704"/>
      <c r="F404" s="1717"/>
    </row>
    <row r="405" spans="1:6" ht="14.25" customHeight="1">
      <c r="A405" s="1739">
        <f t="shared" si="10"/>
        <v>26</v>
      </c>
      <c r="B405" s="1704"/>
      <c r="C405" s="372" t="s">
        <v>2922</v>
      </c>
      <c r="E405" s="372" t="s">
        <v>2922</v>
      </c>
      <c r="F405" s="1717"/>
    </row>
    <row r="406" spans="1:6" ht="14.25" customHeight="1">
      <c r="A406" s="1739">
        <f t="shared" si="10"/>
        <v>27</v>
      </c>
      <c r="B406" s="1704"/>
      <c r="F406" s="1717"/>
    </row>
    <row r="407" spans="1:6" ht="14.25" customHeight="1">
      <c r="A407" s="1739">
        <f t="shared" si="10"/>
        <v>28</v>
      </c>
      <c r="B407" s="1704"/>
      <c r="F407" s="1717"/>
    </row>
    <row r="408" spans="1:6" ht="14.25" customHeight="1">
      <c r="A408" s="1739">
        <f t="shared" si="10"/>
        <v>29</v>
      </c>
      <c r="B408" s="1704"/>
      <c r="F408" s="1717"/>
    </row>
    <row r="409" spans="1:6" ht="14.25" customHeight="1">
      <c r="A409" s="1739">
        <f t="shared" si="10"/>
        <v>30</v>
      </c>
      <c r="B409" s="1704"/>
      <c r="F409" s="1717"/>
    </row>
    <row r="410" spans="1:6" ht="14.25" customHeight="1">
      <c r="A410" s="1739">
        <f t="shared" si="10"/>
        <v>31</v>
      </c>
      <c r="B410" s="1704"/>
      <c r="F410" s="1717"/>
    </row>
    <row r="411" spans="1:6" ht="14.25" customHeight="1">
      <c r="A411" s="1739">
        <f t="shared" si="10"/>
        <v>32</v>
      </c>
      <c r="B411" s="1704"/>
      <c r="F411" s="1717"/>
    </row>
    <row r="412" spans="1:6" ht="14.25" customHeight="1">
      <c r="A412" s="1739">
        <f t="shared" si="10"/>
        <v>33</v>
      </c>
      <c r="B412" s="1704"/>
      <c r="F412" s="1717"/>
    </row>
    <row r="413" spans="1:6" ht="14.25" customHeight="1">
      <c r="A413" s="1739">
        <f t="shared" si="10"/>
        <v>34</v>
      </c>
      <c r="B413" s="1704"/>
      <c r="F413" s="1717"/>
    </row>
    <row r="414" spans="1:6" ht="14.25" customHeight="1">
      <c r="A414" s="1739">
        <f t="shared" si="10"/>
        <v>35</v>
      </c>
      <c r="B414" s="1704"/>
      <c r="F414" s="1717"/>
    </row>
    <row r="415" spans="1:6" ht="14.25" customHeight="1">
      <c r="A415" s="1739">
        <f t="shared" si="10"/>
        <v>36</v>
      </c>
      <c r="B415" s="1704"/>
      <c r="F415" s="1717"/>
    </row>
    <row r="416" spans="1:6" ht="14.25" customHeight="1">
      <c r="A416" s="1739">
        <f t="shared" si="10"/>
        <v>37</v>
      </c>
      <c r="B416" s="1704"/>
      <c r="F416" s="1717"/>
    </row>
    <row r="417" spans="1:6" ht="14.25" customHeight="1">
      <c r="A417" s="1739">
        <f t="shared" si="10"/>
        <v>38</v>
      </c>
      <c r="B417" s="1704"/>
      <c r="F417" s="1717"/>
    </row>
    <row r="418" spans="1:6" ht="14.25" customHeight="1">
      <c r="A418" s="1739">
        <f t="shared" si="10"/>
        <v>39</v>
      </c>
      <c r="B418" s="1704"/>
      <c r="F418" s="1717"/>
    </row>
    <row r="419" spans="1:6" ht="14.25" customHeight="1">
      <c r="A419" s="1739">
        <f t="shared" si="10"/>
        <v>40</v>
      </c>
      <c r="B419" s="1704"/>
      <c r="F419" s="1717"/>
    </row>
    <row r="420" spans="1:6" ht="14.25" customHeight="1">
      <c r="A420" s="1739">
        <f t="shared" si="10"/>
        <v>41</v>
      </c>
      <c r="B420" s="1704"/>
      <c r="F420" s="1717"/>
    </row>
    <row r="421" spans="1:6" ht="14.25" customHeight="1">
      <c r="A421" s="1739">
        <f t="shared" si="10"/>
        <v>42</v>
      </c>
      <c r="B421" s="1704"/>
      <c r="F421" s="1717"/>
    </row>
    <row r="422" spans="1:6" ht="14.25" customHeight="1">
      <c r="A422" s="1739">
        <f t="shared" si="10"/>
        <v>43</v>
      </c>
      <c r="B422" s="1704"/>
      <c r="F422" s="1717"/>
    </row>
    <row r="423" spans="1:6" ht="14.25" customHeight="1">
      <c r="A423" s="1739">
        <f t="shared" si="10"/>
        <v>44</v>
      </c>
      <c r="B423" s="1705"/>
      <c r="C423" s="1706"/>
      <c r="D423" s="1706"/>
      <c r="E423" s="1706"/>
      <c r="F423" s="1722"/>
    </row>
    <row r="424" spans="1:6" ht="14.25" customHeight="1"/>
    <row r="425" spans="1:6" ht="14.25" customHeight="1">
      <c r="A425" s="1666" t="s">
        <v>2932</v>
      </c>
    </row>
    <row r="426" spans="1:6" ht="14.25" customHeight="1"/>
    <row r="427" spans="1:6" ht="14.25" customHeight="1">
      <c r="A427" s="1739">
        <v>1</v>
      </c>
      <c r="B427" s="1729"/>
      <c r="C427" s="1703"/>
      <c r="D427" s="1703"/>
      <c r="E427" s="1703"/>
      <c r="F427" s="1716"/>
    </row>
    <row r="428" spans="1:6" ht="45">
      <c r="A428" s="1739">
        <v>2</v>
      </c>
      <c r="B428" s="1704"/>
      <c r="C428" s="1726" t="s">
        <v>2931</v>
      </c>
      <c r="F428" s="1717"/>
    </row>
    <row r="429" spans="1:6" ht="14.25" customHeight="1">
      <c r="A429" s="1739">
        <v>3</v>
      </c>
      <c r="B429" s="1704"/>
      <c r="F429" s="1717"/>
    </row>
    <row r="430" spans="1:6" ht="14.25" customHeight="1">
      <c r="A430" s="1739">
        <v>4</v>
      </c>
      <c r="B430" s="1704"/>
      <c r="F430" s="1717"/>
    </row>
    <row r="431" spans="1:6" ht="14.25" customHeight="1">
      <c r="A431" s="1739">
        <v>5</v>
      </c>
      <c r="B431" s="1704"/>
      <c r="C431" s="1735" t="s">
        <v>2263</v>
      </c>
      <c r="D431" s="1732"/>
      <c r="E431" s="1736" t="s">
        <v>2334</v>
      </c>
      <c r="F431" s="1717"/>
    </row>
    <row r="432" spans="1:6" ht="14.25" customHeight="1">
      <c r="A432" s="1739">
        <v>6</v>
      </c>
      <c r="B432" s="1704"/>
      <c r="F432" s="1717"/>
    </row>
    <row r="433" spans="1:6" ht="14.25" customHeight="1">
      <c r="A433" s="1739">
        <f>A432+1</f>
        <v>7</v>
      </c>
      <c r="B433" s="1704"/>
      <c r="F433" s="1717"/>
    </row>
    <row r="434" spans="1:6" ht="14.25" customHeight="1">
      <c r="A434" s="1739">
        <f t="shared" ref="A434:A470" si="11">A433+1</f>
        <v>8</v>
      </c>
      <c r="B434" s="1704"/>
      <c r="F434" s="1717"/>
    </row>
    <row r="435" spans="1:6" ht="14.25" customHeight="1">
      <c r="A435" s="1739">
        <f t="shared" si="11"/>
        <v>9</v>
      </c>
      <c r="B435" s="1704"/>
      <c r="F435" s="1717"/>
    </row>
    <row r="436" spans="1:6" ht="14.25" customHeight="1">
      <c r="A436" s="1739">
        <f t="shared" si="11"/>
        <v>10</v>
      </c>
      <c r="B436" s="1704"/>
      <c r="F436" s="1717"/>
    </row>
    <row r="437" spans="1:6" ht="14.25" customHeight="1">
      <c r="A437" s="1739">
        <f t="shared" si="11"/>
        <v>11</v>
      </c>
      <c r="B437" s="1704"/>
      <c r="F437" s="1717"/>
    </row>
    <row r="438" spans="1:6" ht="14.25" customHeight="1">
      <c r="A438" s="1739">
        <f t="shared" si="11"/>
        <v>12</v>
      </c>
      <c r="B438" s="1704"/>
      <c r="F438" s="1717"/>
    </row>
    <row r="439" spans="1:6" ht="14.25" customHeight="1">
      <c r="A439" s="1739">
        <f t="shared" si="11"/>
        <v>13</v>
      </c>
      <c r="B439" s="1704"/>
      <c r="F439" s="1717"/>
    </row>
    <row r="440" spans="1:6" ht="14.25" customHeight="1">
      <c r="A440" s="1739">
        <f t="shared" si="11"/>
        <v>14</v>
      </c>
      <c r="B440" s="1704"/>
      <c r="F440" s="1717"/>
    </row>
    <row r="441" spans="1:6" ht="14.25" customHeight="1">
      <c r="A441" s="1739">
        <f t="shared" si="11"/>
        <v>15</v>
      </c>
      <c r="B441" s="1704"/>
      <c r="F441" s="1717"/>
    </row>
    <row r="442" spans="1:6" ht="14.25" customHeight="1">
      <c r="A442" s="1739">
        <f t="shared" si="11"/>
        <v>16</v>
      </c>
      <c r="B442" s="1704"/>
      <c r="F442" s="1717"/>
    </row>
    <row r="443" spans="1:6" ht="14.25" customHeight="1">
      <c r="A443" s="1739">
        <f t="shared" si="11"/>
        <v>17</v>
      </c>
      <c r="B443" s="1704"/>
      <c r="F443" s="1717"/>
    </row>
    <row r="444" spans="1:6" ht="14.25" customHeight="1">
      <c r="A444" s="1739">
        <f t="shared" si="11"/>
        <v>18</v>
      </c>
      <c r="B444" s="1704"/>
      <c r="F444" s="1717"/>
    </row>
    <row r="445" spans="1:6" ht="14.25" customHeight="1">
      <c r="A445" s="1739">
        <f t="shared" si="11"/>
        <v>19</v>
      </c>
      <c r="B445" s="1704"/>
      <c r="F445" s="1717"/>
    </row>
    <row r="446" spans="1:6" ht="14.25" customHeight="1">
      <c r="A446" s="1739">
        <f t="shared" si="11"/>
        <v>20</v>
      </c>
      <c r="B446" s="1704"/>
      <c r="F446" s="1717"/>
    </row>
    <row r="447" spans="1:6" ht="14.25" customHeight="1">
      <c r="A447" s="1739">
        <f t="shared" si="11"/>
        <v>21</v>
      </c>
      <c r="B447" s="1704"/>
      <c r="F447" s="1717"/>
    </row>
    <row r="448" spans="1:6" ht="14.25" customHeight="1">
      <c r="A448" s="1739">
        <f t="shared" si="11"/>
        <v>22</v>
      </c>
      <c r="B448" s="1704"/>
      <c r="F448" s="1717"/>
    </row>
    <row r="449" spans="1:6" ht="14.25" customHeight="1">
      <c r="A449" s="1739">
        <f t="shared" si="11"/>
        <v>23</v>
      </c>
      <c r="B449" s="1704"/>
      <c r="F449" s="1717"/>
    </row>
    <row r="450" spans="1:6" ht="14.25" customHeight="1">
      <c r="A450" s="1739">
        <f t="shared" si="11"/>
        <v>24</v>
      </c>
      <c r="B450" s="1704"/>
      <c r="F450" s="1717"/>
    </row>
    <row r="451" spans="1:6" ht="14.25" customHeight="1">
      <c r="A451" s="1739">
        <f t="shared" si="11"/>
        <v>25</v>
      </c>
      <c r="B451" s="1704"/>
      <c r="F451" s="1717"/>
    </row>
    <row r="452" spans="1:6" ht="14.25" customHeight="1">
      <c r="A452" s="1739">
        <f t="shared" si="11"/>
        <v>26</v>
      </c>
      <c r="B452" s="1704"/>
      <c r="C452" s="372" t="s">
        <v>2922</v>
      </c>
      <c r="E452" s="372" t="s">
        <v>2922</v>
      </c>
      <c r="F452" s="1717"/>
    </row>
    <row r="453" spans="1:6" ht="14.25" customHeight="1">
      <c r="A453" s="1739">
        <f t="shared" si="11"/>
        <v>27</v>
      </c>
      <c r="B453" s="1704"/>
      <c r="F453" s="1717"/>
    </row>
    <row r="454" spans="1:6" ht="14.25" customHeight="1">
      <c r="A454" s="1739">
        <f t="shared" si="11"/>
        <v>28</v>
      </c>
      <c r="B454" s="1704"/>
      <c r="F454" s="1717"/>
    </row>
    <row r="455" spans="1:6" ht="14.25" customHeight="1">
      <c r="A455" s="1739">
        <f t="shared" si="11"/>
        <v>29</v>
      </c>
      <c r="B455" s="1704"/>
      <c r="F455" s="1717"/>
    </row>
    <row r="456" spans="1:6" ht="14.25" customHeight="1">
      <c r="A456" s="1739">
        <f t="shared" si="11"/>
        <v>30</v>
      </c>
      <c r="B456" s="1704"/>
      <c r="F456" s="1717"/>
    </row>
    <row r="457" spans="1:6" ht="14.25" customHeight="1">
      <c r="A457" s="1739">
        <f t="shared" si="11"/>
        <v>31</v>
      </c>
      <c r="B457" s="1704"/>
      <c r="F457" s="1717"/>
    </row>
    <row r="458" spans="1:6" ht="14.25" customHeight="1">
      <c r="A458" s="1739">
        <f t="shared" si="11"/>
        <v>32</v>
      </c>
      <c r="B458" s="1704"/>
      <c r="F458" s="1717"/>
    </row>
    <row r="459" spans="1:6" ht="14.25" customHeight="1">
      <c r="A459" s="1739">
        <f t="shared" si="11"/>
        <v>33</v>
      </c>
      <c r="B459" s="1704"/>
      <c r="F459" s="1717"/>
    </row>
    <row r="460" spans="1:6" ht="14.25" customHeight="1">
      <c r="A460" s="1739">
        <f t="shared" si="11"/>
        <v>34</v>
      </c>
      <c r="B460" s="1704"/>
      <c r="F460" s="1717"/>
    </row>
    <row r="461" spans="1:6" ht="14.25" customHeight="1">
      <c r="A461" s="1739">
        <f t="shared" si="11"/>
        <v>35</v>
      </c>
      <c r="B461" s="1704"/>
      <c r="F461" s="1717"/>
    </row>
    <row r="462" spans="1:6" ht="14.25" customHeight="1">
      <c r="A462" s="1739">
        <f t="shared" si="11"/>
        <v>36</v>
      </c>
      <c r="B462" s="1704"/>
      <c r="F462" s="1717"/>
    </row>
    <row r="463" spans="1:6" ht="14.25" customHeight="1">
      <c r="A463" s="1739">
        <f t="shared" si="11"/>
        <v>37</v>
      </c>
      <c r="B463" s="1704"/>
      <c r="F463" s="1717"/>
    </row>
    <row r="464" spans="1:6" ht="14.25" customHeight="1">
      <c r="A464" s="1739">
        <f t="shared" si="11"/>
        <v>38</v>
      </c>
      <c r="B464" s="1704"/>
      <c r="F464" s="1717"/>
    </row>
    <row r="465" spans="1:6" ht="14.25" customHeight="1">
      <c r="A465" s="1739">
        <f t="shared" si="11"/>
        <v>39</v>
      </c>
      <c r="B465" s="1704"/>
      <c r="F465" s="1717"/>
    </row>
    <row r="466" spans="1:6" ht="14.25" customHeight="1">
      <c r="A466" s="1739">
        <f t="shared" si="11"/>
        <v>40</v>
      </c>
      <c r="B466" s="1704"/>
      <c r="F466" s="1717"/>
    </row>
    <row r="467" spans="1:6" ht="14.25" customHeight="1">
      <c r="A467" s="1739">
        <f t="shared" si="11"/>
        <v>41</v>
      </c>
      <c r="B467" s="1704"/>
      <c r="F467" s="1717"/>
    </row>
    <row r="468" spans="1:6" ht="14.25" customHeight="1">
      <c r="A468" s="1739">
        <f t="shared" si="11"/>
        <v>42</v>
      </c>
      <c r="B468" s="1704"/>
      <c r="F468" s="1717"/>
    </row>
    <row r="469" spans="1:6" ht="14.25" customHeight="1">
      <c r="A469" s="1739">
        <f t="shared" si="11"/>
        <v>43</v>
      </c>
      <c r="B469" s="1704"/>
      <c r="F469" s="1717"/>
    </row>
    <row r="470" spans="1:6" ht="14.25" customHeight="1">
      <c r="A470" s="1739">
        <f t="shared" si="11"/>
        <v>44</v>
      </c>
      <c r="B470" s="1705"/>
      <c r="C470" s="1706"/>
      <c r="D470" s="1706"/>
      <c r="E470" s="1706"/>
      <c r="F470" s="1722"/>
    </row>
    <row r="471" spans="1:6" ht="14.25" customHeight="1"/>
    <row r="472" spans="1:6" ht="14.25" customHeight="1">
      <c r="A472" s="1666" t="s">
        <v>2933</v>
      </c>
    </row>
    <row r="473" spans="1:6" ht="14.25" customHeight="1"/>
    <row r="474" spans="1:6" ht="14.25" customHeight="1">
      <c r="A474" s="1739">
        <v>1</v>
      </c>
      <c r="B474" s="1729"/>
      <c r="C474" s="1703"/>
      <c r="D474" s="1703"/>
      <c r="E474" s="1703"/>
      <c r="F474" s="1716"/>
    </row>
    <row r="475" spans="1:6" ht="45">
      <c r="A475" s="1739">
        <v>2</v>
      </c>
      <c r="B475" s="1704"/>
      <c r="C475" s="1726" t="s">
        <v>2884</v>
      </c>
      <c r="F475" s="1717"/>
    </row>
    <row r="476" spans="1:6" ht="14.25" customHeight="1">
      <c r="A476" s="1739">
        <v>3</v>
      </c>
      <c r="B476" s="1704"/>
      <c r="F476" s="1717"/>
    </row>
    <row r="477" spans="1:6" ht="14.25" customHeight="1">
      <c r="A477" s="1739">
        <v>4</v>
      </c>
      <c r="B477" s="1704"/>
      <c r="F477" s="1717"/>
    </row>
    <row r="478" spans="1:6" ht="14.25" customHeight="1">
      <c r="A478" s="1739">
        <v>5</v>
      </c>
      <c r="B478" s="1704"/>
      <c r="C478"/>
      <c r="D478"/>
      <c r="E478"/>
      <c r="F478" s="1717"/>
    </row>
    <row r="479" spans="1:6" ht="14.25" customHeight="1">
      <c r="A479" s="1739">
        <v>6</v>
      </c>
      <c r="B479" s="1704"/>
      <c r="F479" s="1717"/>
    </row>
    <row r="480" spans="1:6" ht="14.25" customHeight="1">
      <c r="A480" s="1739">
        <f>A479+1</f>
        <v>7</v>
      </c>
      <c r="B480" s="1704"/>
      <c r="F480" s="1717"/>
    </row>
    <row r="481" spans="1:6" ht="14.25" customHeight="1">
      <c r="A481" s="1739">
        <f t="shared" ref="A481:A517" si="12">A480+1</f>
        <v>8</v>
      </c>
      <c r="B481" s="1704"/>
      <c r="F481" s="1717"/>
    </row>
    <row r="482" spans="1:6" ht="14.25" customHeight="1">
      <c r="A482" s="1739">
        <f t="shared" si="12"/>
        <v>9</v>
      </c>
      <c r="B482" s="1704"/>
      <c r="F482" s="1717"/>
    </row>
    <row r="483" spans="1:6" ht="14.25" customHeight="1">
      <c r="A483" s="1739">
        <f t="shared" si="12"/>
        <v>10</v>
      </c>
      <c r="B483" s="1704"/>
      <c r="F483" s="1717"/>
    </row>
    <row r="484" spans="1:6" ht="14.25" customHeight="1">
      <c r="A484" s="1739">
        <f t="shared" si="12"/>
        <v>11</v>
      </c>
      <c r="B484" s="1704"/>
      <c r="F484" s="1717"/>
    </row>
    <row r="485" spans="1:6" ht="14.25" customHeight="1">
      <c r="A485" s="1739">
        <f t="shared" si="12"/>
        <v>12</v>
      </c>
      <c r="B485" s="1704"/>
      <c r="F485" s="1717"/>
    </row>
    <row r="486" spans="1:6" ht="14.25" customHeight="1">
      <c r="A486" s="1739">
        <f t="shared" si="12"/>
        <v>13</v>
      </c>
      <c r="B486" s="1704"/>
      <c r="F486" s="1717"/>
    </row>
    <row r="487" spans="1:6" ht="14.25" customHeight="1">
      <c r="A487" s="1739">
        <f t="shared" si="12"/>
        <v>14</v>
      </c>
      <c r="B487" s="1704"/>
      <c r="F487" s="1717"/>
    </row>
    <row r="488" spans="1:6" ht="14.25" customHeight="1">
      <c r="A488" s="1739">
        <f t="shared" si="12"/>
        <v>15</v>
      </c>
      <c r="B488" s="1704"/>
      <c r="F488" s="1717"/>
    </row>
    <row r="489" spans="1:6" ht="14.25" customHeight="1">
      <c r="A489" s="1739">
        <f t="shared" si="12"/>
        <v>16</v>
      </c>
      <c r="B489" s="1704"/>
      <c r="F489" s="1717"/>
    </row>
    <row r="490" spans="1:6" ht="14.25" customHeight="1">
      <c r="A490" s="1739">
        <f t="shared" si="12"/>
        <v>17</v>
      </c>
      <c r="B490" s="1704"/>
      <c r="C490" s="1740" t="s">
        <v>2884</v>
      </c>
      <c r="F490" s="1717"/>
    </row>
    <row r="491" spans="1:6" ht="14.25" customHeight="1">
      <c r="A491" s="1739">
        <f t="shared" si="12"/>
        <v>18</v>
      </c>
      <c r="B491" s="1704"/>
      <c r="C491" s="372" t="s">
        <v>2922</v>
      </c>
      <c r="F491" s="1717"/>
    </row>
    <row r="492" spans="1:6" ht="14.25" customHeight="1">
      <c r="A492" s="1739">
        <f t="shared" si="12"/>
        <v>19</v>
      </c>
      <c r="B492" s="1704"/>
      <c r="F492" s="1717"/>
    </row>
    <row r="493" spans="1:6" ht="14.25" customHeight="1">
      <c r="A493" s="1739">
        <f t="shared" si="12"/>
        <v>20</v>
      </c>
      <c r="B493" s="1704"/>
      <c r="F493" s="1717"/>
    </row>
    <row r="494" spans="1:6" ht="14.25" customHeight="1">
      <c r="A494" s="1739">
        <f t="shared" si="12"/>
        <v>21</v>
      </c>
      <c r="B494" s="1704"/>
      <c r="F494" s="1717"/>
    </row>
    <row r="495" spans="1:6" ht="14.25" customHeight="1">
      <c r="A495" s="1739">
        <f t="shared" si="12"/>
        <v>22</v>
      </c>
      <c r="B495" s="1704"/>
      <c r="F495" s="1717"/>
    </row>
    <row r="496" spans="1:6" ht="14.25" customHeight="1">
      <c r="A496" s="1739">
        <f t="shared" si="12"/>
        <v>23</v>
      </c>
      <c r="B496" s="1704"/>
      <c r="F496" s="1717"/>
    </row>
    <row r="497" spans="1:6" ht="14.25" customHeight="1">
      <c r="A497" s="1739">
        <f t="shared" si="12"/>
        <v>24</v>
      </c>
      <c r="B497" s="1704"/>
      <c r="F497" s="1717"/>
    </row>
    <row r="498" spans="1:6" ht="14.25" customHeight="1">
      <c r="A498" s="1739">
        <f t="shared" si="12"/>
        <v>25</v>
      </c>
      <c r="B498" s="1704"/>
      <c r="F498" s="1717"/>
    </row>
    <row r="499" spans="1:6" ht="14.25" customHeight="1">
      <c r="A499" s="1739">
        <f t="shared" si="12"/>
        <v>26</v>
      </c>
      <c r="B499" s="1704"/>
      <c r="F499" s="1717"/>
    </row>
    <row r="500" spans="1:6" ht="14.25" customHeight="1">
      <c r="A500" s="1739">
        <f t="shared" si="12"/>
        <v>27</v>
      </c>
      <c r="B500" s="1704"/>
      <c r="F500" s="1717"/>
    </row>
    <row r="501" spans="1:6" ht="14.25" customHeight="1">
      <c r="A501" s="1739">
        <f t="shared" si="12"/>
        <v>28</v>
      </c>
      <c r="B501" s="1704"/>
      <c r="F501" s="1717"/>
    </row>
    <row r="502" spans="1:6" ht="14.25" customHeight="1">
      <c r="A502" s="1739">
        <f t="shared" si="12"/>
        <v>29</v>
      </c>
      <c r="B502" s="1704"/>
      <c r="F502" s="1717"/>
    </row>
    <row r="503" spans="1:6" ht="14.25" customHeight="1">
      <c r="A503" s="1739">
        <f t="shared" si="12"/>
        <v>30</v>
      </c>
      <c r="B503" s="1704"/>
      <c r="F503" s="1717"/>
    </row>
    <row r="504" spans="1:6" ht="14.25" customHeight="1">
      <c r="A504" s="1739">
        <f t="shared" si="12"/>
        <v>31</v>
      </c>
      <c r="B504" s="1704"/>
      <c r="F504" s="1717"/>
    </row>
    <row r="505" spans="1:6" ht="14.25" customHeight="1">
      <c r="A505" s="1739">
        <f t="shared" si="12"/>
        <v>32</v>
      </c>
      <c r="B505" s="1704"/>
      <c r="F505" s="1717"/>
    </row>
    <row r="506" spans="1:6" ht="14.25" customHeight="1">
      <c r="A506" s="1739">
        <f t="shared" si="12"/>
        <v>33</v>
      </c>
      <c r="B506" s="1704"/>
      <c r="F506" s="1717"/>
    </row>
    <row r="507" spans="1:6" ht="14.25" customHeight="1">
      <c r="A507" s="1739">
        <f t="shared" si="12"/>
        <v>34</v>
      </c>
      <c r="B507" s="1704"/>
      <c r="F507" s="1717"/>
    </row>
    <row r="508" spans="1:6" ht="14.25" customHeight="1">
      <c r="A508" s="1739">
        <f t="shared" si="12"/>
        <v>35</v>
      </c>
      <c r="B508" s="1704"/>
      <c r="F508" s="1717"/>
    </row>
    <row r="509" spans="1:6" ht="14.25" customHeight="1">
      <c r="A509" s="1739">
        <f t="shared" si="12"/>
        <v>36</v>
      </c>
      <c r="B509" s="1704"/>
      <c r="F509" s="1717"/>
    </row>
    <row r="510" spans="1:6" ht="14.25" customHeight="1">
      <c r="A510" s="1739">
        <f t="shared" si="12"/>
        <v>37</v>
      </c>
      <c r="B510" s="1704"/>
      <c r="F510" s="1717"/>
    </row>
    <row r="511" spans="1:6" ht="14.25" customHeight="1">
      <c r="A511" s="1739">
        <f t="shared" si="12"/>
        <v>38</v>
      </c>
      <c r="B511" s="1704"/>
      <c r="F511" s="1717"/>
    </row>
    <row r="512" spans="1:6" ht="13.75" customHeight="1">
      <c r="A512" s="1739">
        <f t="shared" si="12"/>
        <v>39</v>
      </c>
      <c r="B512" s="1704"/>
      <c r="F512" s="1717"/>
    </row>
    <row r="513" spans="1:6" ht="13.75" customHeight="1">
      <c r="A513" s="1739">
        <f t="shared" si="12"/>
        <v>40</v>
      </c>
      <c r="B513" s="1704"/>
      <c r="F513" s="1717"/>
    </row>
    <row r="514" spans="1:6" ht="13.75" customHeight="1">
      <c r="A514" s="1739">
        <f t="shared" si="12"/>
        <v>41</v>
      </c>
      <c r="B514" s="1704"/>
      <c r="F514" s="1717"/>
    </row>
    <row r="515" spans="1:6" ht="13.75" customHeight="1">
      <c r="A515" s="1739">
        <f t="shared" si="12"/>
        <v>42</v>
      </c>
      <c r="B515" s="1704"/>
      <c r="F515" s="1717"/>
    </row>
    <row r="516" spans="1:6" ht="13.75" customHeight="1">
      <c r="A516" s="1739">
        <f t="shared" si="12"/>
        <v>43</v>
      </c>
      <c r="B516" s="1704"/>
      <c r="F516" s="1717"/>
    </row>
    <row r="517" spans="1:6" ht="14.25" customHeight="1">
      <c r="A517" s="1739">
        <f t="shared" si="12"/>
        <v>44</v>
      </c>
      <c r="B517" s="1705"/>
      <c r="C517" s="1706"/>
      <c r="D517" s="1706"/>
      <c r="E517" s="1706"/>
      <c r="F517" s="1722"/>
    </row>
  </sheetData>
  <mergeCells count="1">
    <mergeCell ref="C246:E246"/>
  </mergeCells>
  <pageMargins left="7.874015748031496E-2" right="3.937007874015748E-2" top="0.23622047244094491" bottom="0.11811023622047245" header="0.19685039370078741" footer="0.19685039370078741"/>
  <pageSetup paperSize="9" scale="88" orientation="landscape" r:id="rId1"/>
  <rowBreaks count="3" manualBreakCount="3">
    <brk id="47" max="16383" man="1"/>
    <brk id="94" max="16383" man="1"/>
    <brk id="141"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D625D-06A9-47DD-9565-BCA8792842D9}">
  <dimension ref="A3:T14"/>
  <sheetViews>
    <sheetView showGridLines="0" zoomScale="69" workbookViewId="0">
      <selection activeCell="F27" sqref="F27"/>
    </sheetView>
  </sheetViews>
  <sheetFormatPr defaultColWidth="0" defaultRowHeight="13"/>
  <cols>
    <col min="1" max="1" width="2.84375" style="372" customWidth="1"/>
    <col min="2" max="2" width="23.4609375" style="372" bestFit="1" customWidth="1"/>
    <col min="3" max="4" width="5.61328125" style="372" bestFit="1" customWidth="1"/>
    <col min="5" max="5" width="5.69140625" style="372" bestFit="1" customWidth="1"/>
    <col min="6" max="8" width="7.3828125" style="372" bestFit="1" customWidth="1"/>
    <col min="9" max="12" width="7.07421875" style="372" bestFit="1" customWidth="1"/>
    <col min="13" max="15" width="7.3828125" style="372" bestFit="1" customWidth="1"/>
    <col min="16" max="19" width="7.07421875" style="372" bestFit="1" customWidth="1"/>
    <col min="20" max="20" width="8.69140625" style="372" customWidth="1"/>
    <col min="21" max="16384" width="8.69140625" style="372" hidden="1"/>
  </cols>
  <sheetData>
    <row r="3" spans="2:19">
      <c r="B3" s="1635"/>
      <c r="C3" s="1781" t="s">
        <v>2818</v>
      </c>
      <c r="D3" s="1781"/>
      <c r="E3" s="1781"/>
      <c r="F3" s="1782" t="s">
        <v>2824</v>
      </c>
      <c r="G3" s="1782"/>
      <c r="H3" s="1782"/>
      <c r="I3" s="1782"/>
      <c r="J3" s="1782"/>
      <c r="K3" s="1782"/>
      <c r="L3" s="1782"/>
      <c r="M3" s="1783" t="s">
        <v>2825</v>
      </c>
      <c r="N3" s="1783"/>
      <c r="O3" s="1783"/>
      <c r="P3" s="1783"/>
      <c r="Q3" s="1783"/>
      <c r="R3" s="1783"/>
      <c r="S3" s="1784"/>
    </row>
    <row r="4" spans="2:19">
      <c r="B4" s="1636"/>
      <c r="C4" s="1637" t="str">
        <f>IS!I7</f>
        <v>FY22</v>
      </c>
      <c r="D4" s="1637" t="str">
        <f>IS!J7</f>
        <v>FY23</v>
      </c>
      <c r="E4" s="1637" t="str">
        <f>IS!K7</f>
        <v>YTD24</v>
      </c>
      <c r="F4" s="1638" t="str">
        <f>IS!L7</f>
        <v>YTG24</v>
      </c>
      <c r="G4" s="1638" t="str">
        <f>IS!M7</f>
        <v>FY24</v>
      </c>
      <c r="H4" s="1638" t="str">
        <f>IS!N7</f>
        <v>FY25</v>
      </c>
      <c r="I4" s="1638" t="str">
        <f>IS!O7</f>
        <v>FY26</v>
      </c>
      <c r="J4" s="1638" t="str">
        <f>IS!P7</f>
        <v>FY27</v>
      </c>
      <c r="K4" s="1638" t="str">
        <f>IS!Q7</f>
        <v>FY28</v>
      </c>
      <c r="L4" s="1638" t="str">
        <f>IS!R7</f>
        <v>FY29</v>
      </c>
      <c r="M4" s="1639" t="str">
        <f t="shared" ref="M4:S5" si="0">F4</f>
        <v>YTG24</v>
      </c>
      <c r="N4" s="1639" t="str">
        <f t="shared" si="0"/>
        <v>FY24</v>
      </c>
      <c r="O4" s="1639" t="str">
        <f t="shared" si="0"/>
        <v>FY25</v>
      </c>
      <c r="P4" s="1639" t="str">
        <f t="shared" si="0"/>
        <v>FY26</v>
      </c>
      <c r="Q4" s="1639" t="str">
        <f t="shared" si="0"/>
        <v>FY27</v>
      </c>
      <c r="R4" s="1639" t="str">
        <f t="shared" si="0"/>
        <v>FY28</v>
      </c>
      <c r="S4" s="1640" t="str">
        <f t="shared" si="0"/>
        <v>FY29</v>
      </c>
    </row>
    <row r="5" spans="2:19">
      <c r="B5" s="1636"/>
      <c r="C5" s="1632" t="str">
        <f>IS!I8</f>
        <v>Actual</v>
      </c>
      <c r="D5" s="1632" t="str">
        <f>IS!J8</f>
        <v>Actual</v>
      </c>
      <c r="E5" s="1632" t="str">
        <f>IS!K8</f>
        <v>Actual</v>
      </c>
      <c r="F5" s="1633" t="str">
        <f>IS!L8</f>
        <v>Estimate</v>
      </c>
      <c r="G5" s="1633" t="str">
        <f>IS!M8</f>
        <v>Estimate</v>
      </c>
      <c r="H5" s="1633" t="str">
        <f>IS!N8</f>
        <v>Estimate</v>
      </c>
      <c r="I5" s="1633" t="str">
        <f>IS!O8</f>
        <v>Forecast</v>
      </c>
      <c r="J5" s="1633" t="str">
        <f>IS!P8</f>
        <v>Forecast</v>
      </c>
      <c r="K5" s="1633" t="str">
        <f>IS!Q8</f>
        <v>Forecast</v>
      </c>
      <c r="L5" s="1633" t="str">
        <f>IS!R8</f>
        <v>Forecast</v>
      </c>
      <c r="M5" s="1634" t="str">
        <f t="shared" si="0"/>
        <v>Estimate</v>
      </c>
      <c r="N5" s="1634" t="str">
        <f t="shared" si="0"/>
        <v>Estimate</v>
      </c>
      <c r="O5" s="1634" t="str">
        <f t="shared" si="0"/>
        <v>Estimate</v>
      </c>
      <c r="P5" s="1634" t="str">
        <f t="shared" si="0"/>
        <v>Forecast</v>
      </c>
      <c r="Q5" s="1634" t="str">
        <f t="shared" si="0"/>
        <v>Forecast</v>
      </c>
      <c r="R5" s="1634" t="str">
        <f t="shared" si="0"/>
        <v>Forecast</v>
      </c>
      <c r="S5" s="1641" t="str">
        <f t="shared" si="0"/>
        <v>Forecast</v>
      </c>
    </row>
    <row r="6" spans="2:19">
      <c r="B6" s="1636" t="s">
        <v>1567</v>
      </c>
      <c r="F6" s="1642"/>
      <c r="G6" s="1642"/>
      <c r="H6" s="1642"/>
      <c r="I6" s="1642"/>
      <c r="J6" s="1642"/>
      <c r="K6" s="1642"/>
      <c r="L6" s="1642"/>
      <c r="M6" s="1643"/>
      <c r="N6" s="1643"/>
      <c r="O6" s="1643"/>
      <c r="P6" s="1643"/>
      <c r="Q6" s="1643"/>
      <c r="R6" s="1643"/>
      <c r="S6" s="1644"/>
    </row>
    <row r="7" spans="2:19">
      <c r="B7" s="1636" t="s">
        <v>1925</v>
      </c>
      <c r="F7" s="1642"/>
      <c r="G7" s="1642"/>
      <c r="H7" s="1642"/>
      <c r="I7" s="1642"/>
      <c r="J7" s="1642"/>
      <c r="K7" s="1642"/>
      <c r="L7" s="1642"/>
      <c r="M7" s="1643"/>
      <c r="N7" s="1643"/>
      <c r="O7" s="1643"/>
      <c r="P7" s="1643"/>
      <c r="Q7" s="1643"/>
      <c r="R7" s="1643"/>
      <c r="S7" s="1644"/>
    </row>
    <row r="8" spans="2:19">
      <c r="B8" s="1636" t="s">
        <v>2821</v>
      </c>
      <c r="F8" s="1642"/>
      <c r="G8" s="1642"/>
      <c r="H8" s="1642"/>
      <c r="I8" s="1642"/>
      <c r="J8" s="1642"/>
      <c r="K8" s="1642"/>
      <c r="L8" s="1642"/>
      <c r="M8" s="1643"/>
      <c r="N8" s="1643"/>
      <c r="O8" s="1643"/>
      <c r="P8" s="1643"/>
      <c r="Q8" s="1643"/>
      <c r="R8" s="1643"/>
      <c r="S8" s="1644"/>
    </row>
    <row r="9" spans="2:19">
      <c r="B9" s="1636" t="s">
        <v>2822</v>
      </c>
      <c r="F9" s="1642"/>
      <c r="G9" s="1642"/>
      <c r="H9" s="1642"/>
      <c r="I9" s="1642"/>
      <c r="J9" s="1642"/>
      <c r="K9" s="1642"/>
      <c r="L9" s="1642"/>
      <c r="M9" s="1643"/>
      <c r="N9" s="1643"/>
      <c r="O9" s="1643"/>
      <c r="P9" s="1643"/>
      <c r="Q9" s="1643"/>
      <c r="R9" s="1643"/>
      <c r="S9" s="1644"/>
    </row>
    <row r="10" spans="2:19">
      <c r="B10" s="1636" t="s">
        <v>2823</v>
      </c>
      <c r="F10" s="1642"/>
      <c r="G10" s="1642"/>
      <c r="H10" s="1642"/>
      <c r="I10" s="1642"/>
      <c r="J10" s="1642"/>
      <c r="K10" s="1642"/>
      <c r="L10" s="1642"/>
      <c r="M10" s="1643"/>
      <c r="N10" s="1643"/>
      <c r="O10" s="1643"/>
      <c r="P10" s="1643"/>
      <c r="Q10" s="1643"/>
      <c r="R10" s="1643"/>
      <c r="S10" s="1644"/>
    </row>
    <row r="11" spans="2:19">
      <c r="B11" s="1636" t="s">
        <v>1467</v>
      </c>
      <c r="F11" s="1642"/>
      <c r="G11" s="1642"/>
      <c r="H11" s="1642"/>
      <c r="I11" s="1642"/>
      <c r="J11" s="1642"/>
      <c r="K11" s="1642"/>
      <c r="L11" s="1642"/>
      <c r="M11" s="1643"/>
      <c r="N11" s="1643"/>
      <c r="O11" s="1643"/>
      <c r="P11" s="1643"/>
      <c r="Q11" s="1643"/>
      <c r="R11" s="1643"/>
      <c r="S11" s="1644"/>
    </row>
    <row r="12" spans="2:19">
      <c r="B12" s="1636" t="s">
        <v>2261</v>
      </c>
      <c r="F12" s="1642"/>
      <c r="G12" s="1642"/>
      <c r="H12" s="1642"/>
      <c r="I12" s="1642"/>
      <c r="J12" s="1642"/>
      <c r="K12" s="1642"/>
      <c r="L12" s="1642"/>
      <c r="M12" s="1643"/>
      <c r="N12" s="1643"/>
      <c r="O12" s="1643"/>
      <c r="P12" s="1643"/>
      <c r="Q12" s="1643"/>
      <c r="R12" s="1643"/>
      <c r="S12" s="1644"/>
    </row>
    <row r="13" spans="2:19">
      <c r="B13" s="1636" t="s">
        <v>2403</v>
      </c>
      <c r="F13" s="1642"/>
      <c r="G13" s="1642"/>
      <c r="H13" s="1642"/>
      <c r="I13" s="1642"/>
      <c r="J13" s="1642"/>
      <c r="K13" s="1642"/>
      <c r="L13" s="1642"/>
      <c r="M13" s="1643"/>
      <c r="N13" s="1643"/>
      <c r="O13" s="1643"/>
      <c r="P13" s="1643"/>
      <c r="Q13" s="1643"/>
      <c r="R13" s="1643"/>
      <c r="S13" s="1644"/>
    </row>
    <row r="14" spans="2:19">
      <c r="B14" s="1645"/>
      <c r="C14" s="1631"/>
      <c r="D14" s="1631"/>
      <c r="E14" s="1631"/>
      <c r="F14" s="1631"/>
      <c r="G14" s="1631"/>
      <c r="H14" s="1631"/>
      <c r="I14" s="1631"/>
      <c r="J14" s="1631"/>
      <c r="K14" s="1631"/>
      <c r="L14" s="1631"/>
      <c r="M14" s="1631"/>
      <c r="N14" s="1631"/>
      <c r="O14" s="1631"/>
      <c r="P14" s="1631"/>
      <c r="Q14" s="1631"/>
      <c r="R14" s="1631"/>
      <c r="S14" s="1646"/>
    </row>
  </sheetData>
  <mergeCells count="3">
    <mergeCell ref="C3:E3"/>
    <mergeCell ref="F3:L3"/>
    <mergeCell ref="M3:S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F6C3E-B8F7-4E3A-B4C0-D0CBA16E584B}">
  <dimension ref="A1:X33"/>
  <sheetViews>
    <sheetView showGridLines="0" workbookViewId="0">
      <selection activeCell="C6" sqref="C6"/>
    </sheetView>
  </sheetViews>
  <sheetFormatPr defaultColWidth="0" defaultRowHeight="12.5"/>
  <cols>
    <col min="1" max="1" width="3" style="28" customWidth="1"/>
    <col min="2" max="2" width="2.84375" style="28" customWidth="1"/>
    <col min="3" max="3" width="47.53515625" style="28" customWidth="1"/>
    <col min="4" max="5" width="10.15234375" style="28" customWidth="1"/>
    <col min="6" max="6" width="2.84375" style="28" customWidth="1"/>
    <col min="7" max="7" width="3.4609375" style="28" customWidth="1"/>
    <col min="8" max="9" width="5.84375" style="28" customWidth="1"/>
    <col min="10" max="14" width="8.84375" style="28" bestFit="1" customWidth="1"/>
    <col min="15" max="15" width="25.84375" style="28" hidden="1" customWidth="1"/>
    <col min="16" max="24" width="0" style="28" hidden="1" customWidth="1"/>
    <col min="25" max="16384" width="8.84375" style="28" hidden="1"/>
  </cols>
  <sheetData>
    <row r="1" spans="2:24" s="4" customFormat="1"/>
    <row r="2" spans="2:24" s="6" customFormat="1">
      <c r="B2" s="221" t="s">
        <v>92</v>
      </c>
      <c r="C2" s="36"/>
      <c r="D2" s="36"/>
      <c r="E2" s="36"/>
      <c r="F2" s="5" t="s">
        <v>212</v>
      </c>
    </row>
    <row r="3" spans="2:24" s="6" customFormat="1">
      <c r="B3" s="222" t="s">
        <v>2184</v>
      </c>
      <c r="C3" s="38"/>
      <c r="D3" s="38"/>
      <c r="E3" s="38"/>
      <c r="F3" s="7" t="s">
        <v>2061</v>
      </c>
    </row>
    <row r="4" spans="2:24" s="6" customFormat="1">
      <c r="B4" s="223" t="s">
        <v>213</v>
      </c>
      <c r="C4" s="37"/>
      <c r="D4" s="37"/>
      <c r="E4" s="37"/>
      <c r="F4" s="9" t="s">
        <v>2185</v>
      </c>
    </row>
    <row r="5" spans="2:24" s="6" customFormat="1" ht="15.5">
      <c r="B5" s="10"/>
      <c r="C5" s="10"/>
      <c r="D5" s="10"/>
      <c r="E5" s="10"/>
      <c r="F5" s="10"/>
    </row>
    <row r="6" spans="2:24" s="6" customFormat="1" ht="15.5">
      <c r="B6" s="10"/>
      <c r="C6" s="224" t="str">
        <f>client.name.long&amp;"- Indicative enterprise valuation range"</f>
        <v>Aerial Arts India XXXXXXXXXXXXXXXXX- Indicative enterprise valuation range</v>
      </c>
      <c r="D6" s="11"/>
      <c r="E6" s="12"/>
      <c r="F6" s="10"/>
      <c r="O6" s="13"/>
      <c r="P6" s="13"/>
      <c r="Q6" s="13"/>
      <c r="R6" s="13"/>
      <c r="S6" s="13"/>
      <c r="T6" s="13"/>
      <c r="U6" s="13"/>
      <c r="V6" s="14"/>
      <c r="W6" s="14"/>
      <c r="X6" s="14"/>
    </row>
    <row r="7" spans="2:24" s="6" customFormat="1" ht="15.5">
      <c r="B7" s="10"/>
      <c r="C7" s="225" t="s">
        <v>2190</v>
      </c>
      <c r="D7" s="226" t="s">
        <v>215</v>
      </c>
      <c r="E7" s="226" t="s">
        <v>216</v>
      </c>
      <c r="F7" s="10"/>
      <c r="O7" s="14"/>
      <c r="P7" s="15"/>
      <c r="Q7" s="15"/>
      <c r="R7" s="15"/>
      <c r="S7" s="15"/>
      <c r="T7" s="13"/>
      <c r="U7" s="13"/>
      <c r="V7" s="14"/>
      <c r="W7" s="14"/>
      <c r="X7" s="14"/>
    </row>
    <row r="8" spans="2:24" s="6" customFormat="1" ht="15.5">
      <c r="B8" s="10"/>
      <c r="C8" s="16" t="s">
        <v>217</v>
      </c>
      <c r="D8" s="17"/>
      <c r="E8" s="17"/>
      <c r="F8" s="10"/>
      <c r="I8" s="18"/>
      <c r="J8" s="18"/>
      <c r="O8" s="19"/>
      <c r="P8" s="19"/>
      <c r="Q8" s="19"/>
      <c r="R8" s="19"/>
      <c r="S8" s="19"/>
      <c r="T8" s="13"/>
      <c r="U8" s="13"/>
      <c r="V8" s="14"/>
      <c r="W8" s="14"/>
      <c r="X8" s="14"/>
    </row>
    <row r="9" spans="2:24" s="6" customFormat="1" ht="15.5">
      <c r="B9" s="10"/>
      <c r="C9" s="20" t="s">
        <v>218</v>
      </c>
      <c r="D9" s="230" t="e">
        <f ca="1">DCF!K33</f>
        <v>#NAME?</v>
      </c>
      <c r="E9" s="230" t="e">
        <f ca="1">DCF!L33</f>
        <v>#NAME?</v>
      </c>
      <c r="F9" s="22">
        <v>50</v>
      </c>
      <c r="I9" s="18"/>
      <c r="J9" s="18"/>
      <c r="O9" s="19"/>
      <c r="P9" s="19"/>
      <c r="Q9" s="19"/>
      <c r="R9" s="19"/>
      <c r="S9" s="19"/>
      <c r="T9" s="13"/>
      <c r="U9" s="13"/>
      <c r="V9" s="14"/>
      <c r="W9" s="14"/>
      <c r="X9" s="14"/>
    </row>
    <row r="10" spans="2:24" s="6" customFormat="1" ht="15.5">
      <c r="B10" s="10"/>
      <c r="C10" s="20" t="s">
        <v>219</v>
      </c>
      <c r="D10" s="230" t="e">
        <f>DCF!J46</f>
        <v>#DIV/0!</v>
      </c>
      <c r="E10" s="230" t="e">
        <f>DCF!K46</f>
        <v>#DIV/0!</v>
      </c>
      <c r="F10" s="22">
        <v>70</v>
      </c>
      <c r="O10" s="19"/>
      <c r="P10" s="19"/>
      <c r="Q10" s="19"/>
      <c r="R10" s="19"/>
      <c r="S10" s="19"/>
      <c r="T10" s="13"/>
      <c r="U10" s="13"/>
      <c r="V10" s="14"/>
      <c r="W10" s="14"/>
      <c r="X10" s="14"/>
    </row>
    <row r="11" spans="2:24" s="6" customFormat="1" ht="15.5">
      <c r="B11" s="10"/>
      <c r="C11" s="20" t="s">
        <v>220</v>
      </c>
      <c r="D11" s="230"/>
      <c r="E11" s="230"/>
      <c r="F11" s="22">
        <v>30</v>
      </c>
      <c r="O11" s="19"/>
      <c r="P11" s="19"/>
      <c r="Q11" s="19"/>
      <c r="R11" s="19"/>
      <c r="S11" s="19"/>
      <c r="T11" s="13"/>
      <c r="U11" s="13"/>
      <c r="V11" s="14"/>
      <c r="W11" s="14"/>
      <c r="X11" s="14"/>
    </row>
    <row r="12" spans="2:24" s="6" customFormat="1" ht="15.5">
      <c r="B12" s="10"/>
      <c r="C12" s="23" t="s">
        <v>221</v>
      </c>
      <c r="D12" s="231"/>
      <c r="E12" s="231"/>
      <c r="F12" s="22">
        <v>20</v>
      </c>
      <c r="O12" s="14"/>
      <c r="P12" s="14"/>
      <c r="Q12" s="14"/>
      <c r="R12" s="14"/>
      <c r="S12" s="13"/>
      <c r="T12" s="13"/>
      <c r="U12" s="13"/>
      <c r="V12" s="14"/>
      <c r="W12" s="14"/>
      <c r="X12" s="14"/>
    </row>
    <row r="13" spans="2:24" s="6" customFormat="1" ht="15.5">
      <c r="B13" s="10"/>
      <c r="C13" s="34" t="s">
        <v>222</v>
      </c>
      <c r="D13" s="35"/>
      <c r="E13" s="35"/>
      <c r="F13" s="10"/>
      <c r="O13" s="14"/>
      <c r="P13" s="14"/>
      <c r="Q13" s="14"/>
      <c r="R13" s="14"/>
      <c r="S13" s="13"/>
      <c r="T13" s="13"/>
      <c r="U13" s="13"/>
    </row>
    <row r="14" spans="2:24" s="6" customFormat="1" ht="15.5">
      <c r="B14" s="10"/>
      <c r="C14" s="20" t="s">
        <v>223</v>
      </c>
      <c r="D14" s="21"/>
      <c r="E14" s="21"/>
      <c r="F14" s="10"/>
      <c r="O14" s="14"/>
      <c r="P14" s="14"/>
      <c r="Q14" s="14"/>
      <c r="R14" s="14"/>
    </row>
    <row r="15" spans="2:24" s="6" customFormat="1" ht="15.5">
      <c r="B15" s="10"/>
      <c r="C15" s="24" t="s">
        <v>224</v>
      </c>
      <c r="D15" s="25"/>
      <c r="E15" s="25"/>
      <c r="F15" s="10"/>
      <c r="O15" s="14"/>
      <c r="P15" s="14"/>
      <c r="Q15" s="14"/>
      <c r="R15" s="14"/>
    </row>
    <row r="16" spans="2:24" s="6" customFormat="1" ht="15.5">
      <c r="B16" s="10"/>
      <c r="C16" s="20" t="s">
        <v>225</v>
      </c>
      <c r="D16" s="21"/>
      <c r="E16" s="21"/>
      <c r="F16" s="10"/>
      <c r="J16" s="1785"/>
      <c r="K16" s="1785"/>
      <c r="L16" s="1785"/>
    </row>
    <row r="17" spans="2:12" s="6" customFormat="1" ht="15.5">
      <c r="B17" s="10"/>
      <c r="C17" s="26" t="s">
        <v>226</v>
      </c>
      <c r="D17" s="27"/>
      <c r="E17" s="27"/>
      <c r="F17" s="10"/>
      <c r="J17" s="1785"/>
      <c r="K17" s="1785"/>
      <c r="L17" s="1785"/>
    </row>
    <row r="18" spans="2:12" s="6" customFormat="1" ht="15.5">
      <c r="B18" s="10"/>
      <c r="C18" s="10"/>
      <c r="D18" s="10"/>
      <c r="E18" s="10"/>
      <c r="F18" s="10"/>
      <c r="J18" s="1785"/>
      <c r="K18" s="1785"/>
      <c r="L18" s="1785"/>
    </row>
    <row r="19" spans="2:12" s="6" customFormat="1" ht="15.5">
      <c r="B19" s="10"/>
      <c r="C19" s="224" t="s">
        <v>2186</v>
      </c>
      <c r="D19" s="11"/>
      <c r="E19" s="12"/>
      <c r="F19" s="10"/>
    </row>
    <row r="20" spans="2:12" s="6" customFormat="1" ht="15.5">
      <c r="B20" s="10"/>
      <c r="C20" s="225" t="s">
        <v>214</v>
      </c>
      <c r="D20" s="226" t="s">
        <v>215</v>
      </c>
      <c r="E20" s="226" t="s">
        <v>216</v>
      </c>
      <c r="F20" s="10"/>
      <c r="H20" s="28"/>
      <c r="I20" s="28"/>
    </row>
    <row r="21" spans="2:12" s="6" customFormat="1" ht="15.5">
      <c r="B21" s="10"/>
      <c r="C21" s="20" t="s">
        <v>2187</v>
      </c>
      <c r="D21" s="227"/>
      <c r="E21" s="227"/>
      <c r="F21" s="10"/>
      <c r="H21" s="28"/>
      <c r="I21" s="28"/>
    </row>
    <row r="22" spans="2:12" s="6" customFormat="1" ht="15.5">
      <c r="B22" s="10"/>
      <c r="C22" s="20" t="s">
        <v>227</v>
      </c>
      <c r="D22" s="228">
        <v>5</v>
      </c>
      <c r="E22" s="228">
        <v>7</v>
      </c>
      <c r="F22" s="10"/>
      <c r="H22" s="28"/>
      <c r="I22" s="28"/>
    </row>
    <row r="23" spans="2:12" s="6" customFormat="1" ht="15.5">
      <c r="B23" s="10"/>
      <c r="C23" s="20" t="s">
        <v>228</v>
      </c>
      <c r="D23" s="229">
        <v>0</v>
      </c>
      <c r="E23" s="229">
        <v>0</v>
      </c>
      <c r="F23" s="10"/>
    </row>
    <row r="24" spans="2:12" s="6" customFormat="1" ht="15.5">
      <c r="B24" s="10"/>
      <c r="C24" s="32" t="s">
        <v>229</v>
      </c>
      <c r="D24" s="33">
        <v>5</v>
      </c>
      <c r="E24" s="33">
        <v>7</v>
      </c>
      <c r="F24" s="10"/>
    </row>
    <row r="25" spans="2:12" s="6" customFormat="1" ht="15.5">
      <c r="B25" s="10"/>
      <c r="C25" s="29" t="s">
        <v>2188</v>
      </c>
      <c r="D25" s="30" t="s">
        <v>1503</v>
      </c>
      <c r="E25" s="31" t="s">
        <v>1503</v>
      </c>
      <c r="F25" s="10"/>
    </row>
    <row r="27" spans="2:12" ht="15.5">
      <c r="C27" s="224" t="s">
        <v>2189</v>
      </c>
      <c r="D27" s="11"/>
      <c r="E27" s="12"/>
    </row>
    <row r="28" spans="2:12">
      <c r="C28" s="225" t="s">
        <v>214</v>
      </c>
      <c r="D28" s="226" t="s">
        <v>215</v>
      </c>
      <c r="E28" s="226" t="s">
        <v>216</v>
      </c>
    </row>
    <row r="29" spans="2:12">
      <c r="C29" s="20" t="s">
        <v>2187</v>
      </c>
      <c r="D29" s="227"/>
      <c r="E29" s="227"/>
    </row>
    <row r="30" spans="2:12">
      <c r="C30" s="20" t="s">
        <v>230</v>
      </c>
      <c r="D30" s="228">
        <v>6</v>
      </c>
      <c r="E30" s="228">
        <v>8</v>
      </c>
    </row>
    <row r="31" spans="2:12">
      <c r="C31" s="20" t="s">
        <v>228</v>
      </c>
      <c r="D31" s="229">
        <v>0</v>
      </c>
      <c r="E31" s="229">
        <v>0</v>
      </c>
    </row>
    <row r="32" spans="2:12">
      <c r="C32" s="32" t="s">
        <v>229</v>
      </c>
      <c r="D32" s="33">
        <v>6</v>
      </c>
      <c r="E32" s="33">
        <v>8</v>
      </c>
    </row>
    <row r="33" spans="3:5">
      <c r="C33" s="29" t="s">
        <v>2188</v>
      </c>
      <c r="D33" s="30" t="s">
        <v>1503</v>
      </c>
      <c r="E33" s="31" t="s">
        <v>1503</v>
      </c>
    </row>
  </sheetData>
  <mergeCells count="1">
    <mergeCell ref="J16:L18"/>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434D7-1A9B-44CF-AD36-8684A8247675}">
  <dimension ref="B2:O23"/>
  <sheetViews>
    <sheetView showGridLines="0" view="pageBreakPreview" zoomScale="115" zoomScaleNormal="100" zoomScaleSheetLayoutView="115" workbookViewId="0">
      <selection activeCell="D27" sqref="D27"/>
    </sheetView>
  </sheetViews>
  <sheetFormatPr defaultColWidth="8.69140625" defaultRowHeight="10"/>
  <cols>
    <col min="1" max="2" width="2.4609375" style="201" customWidth="1"/>
    <col min="3" max="3" width="35" style="201" customWidth="1"/>
    <col min="4" max="7" width="9.4609375" style="201" customWidth="1"/>
    <col min="8" max="8" width="2.4609375" style="201" customWidth="1"/>
    <col min="9" max="9" width="10.61328125" style="201" bestFit="1" customWidth="1"/>
    <col min="10" max="16384" width="8.69140625" style="201"/>
  </cols>
  <sheetData>
    <row r="2" spans="2:15" ht="10.5">
      <c r="B2" s="205" t="s">
        <v>92</v>
      </c>
      <c r="C2" s="206"/>
      <c r="D2" s="206"/>
      <c r="E2" s="206"/>
      <c r="F2" s="206"/>
      <c r="H2" s="207" t="s">
        <v>212</v>
      </c>
    </row>
    <row r="3" spans="2:15">
      <c r="B3" s="202" t="str">
        <f>Inputs!$B$3</f>
        <v>Aerial Arts India XXXXXXXXXXXXXXXXX - Self Valuation using DCF Method, Transaction Multiples Method, &amp; Market Multiples Method as at September 30, 2024</v>
      </c>
      <c r="C3" s="208"/>
      <c r="D3" s="208"/>
      <c r="E3" s="208"/>
      <c r="F3" s="208"/>
      <c r="G3" s="209"/>
      <c r="H3" s="209" t="s">
        <v>2061</v>
      </c>
    </row>
    <row r="4" spans="2:15" s="211" customFormat="1">
      <c r="B4" s="202" t="s">
        <v>213</v>
      </c>
      <c r="C4" s="210"/>
      <c r="D4" s="210"/>
      <c r="E4" s="210"/>
      <c r="F4" s="210"/>
      <c r="G4" s="209" t="s">
        <v>2146</v>
      </c>
      <c r="H4" s="209" t="s">
        <v>2146</v>
      </c>
    </row>
    <row r="5" spans="2:15" ht="5" customHeight="1" thickBot="1">
      <c r="B5" s="212"/>
      <c r="C5" s="212"/>
      <c r="D5" s="212"/>
      <c r="E5" s="212"/>
      <c r="F5" s="212"/>
      <c r="G5" s="212"/>
      <c r="H5" s="212"/>
    </row>
    <row r="6" spans="2:15" ht="11" thickTop="1">
      <c r="B6" s="155"/>
      <c r="C6" s="155"/>
      <c r="D6" s="155"/>
      <c r="E6" s="155"/>
      <c r="F6" s="155"/>
      <c r="G6" s="155"/>
      <c r="H6" s="155"/>
    </row>
    <row r="7" spans="2:15" ht="10.5">
      <c r="B7" s="114"/>
      <c r="C7" s="203" t="str">
        <f>target.name&amp;" - "&amp;"Indicative enterprise valuation range"</f>
        <v>Aerial Arts India XXXXXXXXXXXXXXXXX - Indicative enterprise valuation range</v>
      </c>
      <c r="D7" s="213"/>
      <c r="E7" s="214"/>
      <c r="F7" s="215"/>
      <c r="G7" s="215"/>
      <c r="H7" s="114"/>
    </row>
    <row r="8" spans="2:15" ht="10.5">
      <c r="B8" s="114"/>
      <c r="C8" s="216" t="str">
        <f>target.name&amp;" Case"</f>
        <v>Aerial Arts India XXXXXXXXXXXXXXXXX Case</v>
      </c>
      <c r="D8" s="215"/>
      <c r="E8" s="215"/>
      <c r="F8" s="215"/>
      <c r="G8" s="215"/>
      <c r="H8" s="114"/>
    </row>
    <row r="9" spans="2:15" ht="13.5">
      <c r="B9" s="114"/>
      <c r="C9" s="180"/>
      <c r="D9" s="1786" t="s">
        <v>1459</v>
      </c>
      <c r="E9" s="1786"/>
      <c r="F9" s="1786" t="s">
        <v>2015</v>
      </c>
      <c r="G9" s="1786"/>
      <c r="H9" s="114"/>
    </row>
    <row r="10" spans="2:15" ht="18" customHeight="1">
      <c r="B10" s="114"/>
      <c r="C10" s="181" t="e">
        <f>currency.heading</f>
        <v>#NAME?</v>
      </c>
      <c r="D10" s="182" t="s">
        <v>215</v>
      </c>
      <c r="E10" s="183" t="s">
        <v>216</v>
      </c>
      <c r="F10" s="182" t="s">
        <v>215</v>
      </c>
      <c r="G10" s="182" t="s">
        <v>216</v>
      </c>
      <c r="H10" s="114"/>
    </row>
    <row r="11" spans="2:15" ht="10.5">
      <c r="B11" s="114"/>
      <c r="C11" s="184" t="s">
        <v>2019</v>
      </c>
      <c r="D11" s="219" t="e">
        <f ca="1">DCF!K33</f>
        <v>#NAME?</v>
      </c>
      <c r="E11" s="219" t="e">
        <f ca="1">DCF!L33</f>
        <v>#NAME?</v>
      </c>
      <c r="F11" s="185">
        <f>D16</f>
        <v>0</v>
      </c>
      <c r="G11" s="186">
        <f>E16</f>
        <v>0</v>
      </c>
      <c r="H11" s="22"/>
      <c r="I11" s="187"/>
      <c r="J11" s="217"/>
      <c r="K11" s="217"/>
      <c r="M11" s="204"/>
      <c r="N11" s="204"/>
      <c r="O11" s="204"/>
    </row>
    <row r="12" spans="2:15" ht="10.5">
      <c r="B12" s="114"/>
      <c r="C12" s="114"/>
      <c r="D12" s="114"/>
      <c r="E12" s="114"/>
      <c r="F12" s="114"/>
      <c r="G12" s="114"/>
      <c r="H12" s="114"/>
    </row>
    <row r="13" spans="2:15" ht="25.4" customHeight="1">
      <c r="B13" s="114"/>
      <c r="C13" s="181" t="e">
        <f>currency.heading</f>
        <v>#NAME?</v>
      </c>
      <c r="D13" s="188" t="s">
        <v>215</v>
      </c>
      <c r="E13" s="188" t="s">
        <v>216</v>
      </c>
      <c r="F13" s="114"/>
      <c r="G13" s="114"/>
      <c r="H13" s="114"/>
    </row>
    <row r="14" spans="2:15" ht="10.5">
      <c r="B14" s="114"/>
      <c r="C14" s="189" t="str">
        <f>C11</f>
        <v>Discounted Cash Flow analysis - Management case</v>
      </c>
      <c r="D14" s="200"/>
      <c r="E14" s="200"/>
      <c r="F14" s="192"/>
      <c r="G14" s="192"/>
      <c r="H14" s="114"/>
    </row>
    <row r="15" spans="2:15" ht="10.5">
      <c r="B15" s="114"/>
      <c r="C15" s="191" t="s">
        <v>2057</v>
      </c>
      <c r="D15" s="218"/>
      <c r="E15" s="218"/>
      <c r="F15" s="192"/>
      <c r="G15" s="192"/>
      <c r="H15" s="114"/>
    </row>
    <row r="16" spans="2:15" ht="10.5">
      <c r="B16" s="114"/>
      <c r="C16" s="191" t="s">
        <v>2058</v>
      </c>
      <c r="D16" s="218"/>
      <c r="E16" s="218"/>
      <c r="F16" s="192"/>
      <c r="G16" s="192"/>
      <c r="H16" s="114"/>
    </row>
    <row r="17" spans="2:9" ht="10.5">
      <c r="B17" s="114"/>
      <c r="C17" s="20"/>
      <c r="D17" s="190"/>
      <c r="E17" s="190"/>
      <c r="F17" s="190"/>
      <c r="G17" s="190"/>
      <c r="H17" s="114"/>
    </row>
    <row r="18" spans="2:9" ht="10.5">
      <c r="C18" s="203" t="s">
        <v>219</v>
      </c>
      <c r="D18" s="213"/>
      <c r="E18" s="213"/>
      <c r="F18" s="214"/>
    </row>
    <row r="19" spans="2:9" ht="16.75" customHeight="1">
      <c r="C19" s="181" t="e">
        <f>currency.heading</f>
        <v>#NAME?</v>
      </c>
      <c r="D19" s="188" t="s">
        <v>215</v>
      </c>
      <c r="E19" s="188" t="s">
        <v>2016</v>
      </c>
      <c r="F19" s="188" t="s">
        <v>216</v>
      </c>
    </row>
    <row r="20" spans="2:9">
      <c r="C20" s="20" t="s">
        <v>1896</v>
      </c>
      <c r="D20" s="193">
        <v>9.3829999999999991</v>
      </c>
      <c r="E20" s="193">
        <v>9.3829999999999991</v>
      </c>
      <c r="F20" s="193">
        <v>9.3829999999999991</v>
      </c>
      <c r="I20" s="194" t="s">
        <v>2017</v>
      </c>
    </row>
    <row r="21" spans="2:9">
      <c r="C21" s="32" t="s">
        <v>227</v>
      </c>
      <c r="D21" s="195" t="e">
        <f>E21*(1-I21)</f>
        <v>#DIV/0!</v>
      </c>
      <c r="E21" s="220" t="e">
        <f>AVERAGE(DCF!J46:K46)</f>
        <v>#DIV/0!</v>
      </c>
      <c r="F21" s="195" t="e">
        <f>E21*(1+I21)</f>
        <v>#DIV/0!</v>
      </c>
      <c r="I21" s="196">
        <v>0.05</v>
      </c>
    </row>
    <row r="22" spans="2:9" ht="10.5">
      <c r="C22" s="29" t="s">
        <v>2147</v>
      </c>
      <c r="D22" s="197" t="e">
        <f>SUM(D20*D21)</f>
        <v>#DIV/0!</v>
      </c>
      <c r="E22" s="197" t="e">
        <f>SUM(E20*E21)</f>
        <v>#DIV/0!</v>
      </c>
      <c r="F22" s="197" t="e">
        <f>SUM(F20*F21)</f>
        <v>#DIV/0!</v>
      </c>
    </row>
    <row r="23" spans="2:9" ht="10.5">
      <c r="C23" s="198"/>
      <c r="D23" s="199"/>
      <c r="E23" s="199"/>
      <c r="F23" s="199"/>
    </row>
  </sheetData>
  <mergeCells count="2">
    <mergeCell ref="D9:E9"/>
    <mergeCell ref="F9:G9"/>
  </mergeCells>
  <pageMargins left="0.7" right="0.7" top="0.75" bottom="0.75" header="0.3" footer="0.3"/>
  <pageSetup scale="8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780F1-67F1-4D25-84EC-A98C2ABFBDA2}">
  <dimension ref="A1:U52"/>
  <sheetViews>
    <sheetView showGridLines="0" zoomScale="76" workbookViewId="0">
      <pane ySplit="6" topLeftCell="A7" activePane="bottomLeft" state="frozen"/>
      <selection pane="bottomLeft" activeCell="G24" sqref="G24"/>
    </sheetView>
  </sheetViews>
  <sheetFormatPr defaultColWidth="0" defaultRowHeight="14"/>
  <cols>
    <col min="1" max="2" width="2.23046875" style="973" customWidth="1"/>
    <col min="3" max="3" width="17.3828125" style="973" customWidth="1"/>
    <col min="4" max="4" width="26.921875" style="973" bestFit="1" customWidth="1"/>
    <col min="5" max="5" width="34.15234375" style="973" bestFit="1" customWidth="1"/>
    <col min="6" max="6" width="28.07421875" style="973" customWidth="1"/>
    <col min="7" max="7" width="16.3828125" style="1445" customWidth="1"/>
    <col min="8" max="8" width="14.921875" style="973" bestFit="1" customWidth="1"/>
    <col min="9" max="9" width="34" style="973" bestFit="1" customWidth="1"/>
    <col min="10" max="10" width="26.3828125" style="973" bestFit="1" customWidth="1"/>
    <col min="11" max="15" width="7.23046875" style="973" customWidth="1"/>
    <col min="16" max="21" width="0" style="973" hidden="1" customWidth="1"/>
    <col min="22" max="16384" width="7.23046875" style="973" hidden="1"/>
  </cols>
  <sheetData>
    <row r="1" spans="2:14">
      <c r="I1" s="974"/>
    </row>
    <row r="2" spans="2:14">
      <c r="I2" s="974"/>
    </row>
    <row r="3" spans="2:14">
      <c r="I3" s="974"/>
    </row>
    <row r="4" spans="2:14">
      <c r="B4" s="1443" t="s">
        <v>2335</v>
      </c>
      <c r="C4" s="1444"/>
      <c r="D4" s="1444"/>
      <c r="E4" s="1444"/>
      <c r="F4" s="1444"/>
      <c r="G4" s="1446"/>
      <c r="H4" s="1444"/>
      <c r="I4" s="1444"/>
      <c r="J4" s="1444"/>
      <c r="K4" s="1444"/>
      <c r="L4" s="1444"/>
      <c r="M4" s="1444"/>
      <c r="N4" s="1444"/>
    </row>
    <row r="5" spans="2:14" ht="15" customHeight="1">
      <c r="B5" s="975"/>
      <c r="C5" s="975"/>
      <c r="D5" s="976" t="s">
        <v>2336</v>
      </c>
      <c r="E5" s="976" t="s">
        <v>2337</v>
      </c>
      <c r="F5" s="1787" t="s">
        <v>2390</v>
      </c>
      <c r="G5" s="1787"/>
      <c r="H5" s="1787"/>
      <c r="I5" s="976" t="s">
        <v>2338</v>
      </c>
      <c r="J5" s="977" t="s">
        <v>2382</v>
      </c>
      <c r="K5" s="976" t="s">
        <v>2339</v>
      </c>
      <c r="L5" s="975"/>
      <c r="M5" s="975"/>
      <c r="N5" s="975"/>
    </row>
    <row r="6" spans="2:14">
      <c r="B6" s="975"/>
      <c r="C6" s="975"/>
      <c r="D6" s="976"/>
      <c r="E6" s="976"/>
      <c r="F6" s="1448" t="s">
        <v>2379</v>
      </c>
      <c r="G6" s="1449" t="s">
        <v>2391</v>
      </c>
      <c r="H6" s="1448" t="s">
        <v>2392</v>
      </c>
      <c r="I6" s="976"/>
      <c r="J6" s="977"/>
      <c r="K6" s="976"/>
      <c r="L6" s="975"/>
      <c r="M6" s="975"/>
      <c r="N6" s="975"/>
    </row>
    <row r="7" spans="2:14">
      <c r="B7" s="1441" t="s">
        <v>2340</v>
      </c>
      <c r="C7" s="1441"/>
      <c r="D7" s="1442"/>
      <c r="E7" s="1442"/>
      <c r="F7" s="1442"/>
      <c r="G7" s="1447"/>
      <c r="H7" s="1442"/>
      <c r="I7" s="1442"/>
      <c r="J7" s="1442"/>
      <c r="K7" s="1442"/>
      <c r="L7" s="1442"/>
      <c r="M7" s="1442"/>
      <c r="N7" s="1442"/>
    </row>
    <row r="8" spans="2:14">
      <c r="C8" s="973" t="s">
        <v>1927</v>
      </c>
      <c r="D8" s="973" t="s">
        <v>2341</v>
      </c>
      <c r="E8" s="973" t="s">
        <v>2342</v>
      </c>
      <c r="F8" s="973" t="s">
        <v>2380</v>
      </c>
      <c r="G8" s="1474">
        <v>0.05</v>
      </c>
      <c r="H8" s="978">
        <f>MEDIAN(IS!M72:Q72)</f>
        <v>0</v>
      </c>
      <c r="I8" s="979" t="str">
        <f>IF(H8&gt;G8,"Forecasted revenue growth is too aggressive","OK")</f>
        <v>OK</v>
      </c>
      <c r="K8" s="973" t="s">
        <v>2343</v>
      </c>
    </row>
    <row r="9" spans="2:14">
      <c r="D9" s="973" t="s">
        <v>2344</v>
      </c>
      <c r="E9" s="973" t="s">
        <v>2345</v>
      </c>
      <c r="F9" s="973" t="s">
        <v>2381</v>
      </c>
      <c r="G9" s="1474">
        <v>0</v>
      </c>
      <c r="H9" s="973">
        <f>COUNTIF(IS!M82:Q82,1)</f>
        <v>0</v>
      </c>
      <c r="J9" s="973" t="s">
        <v>2351</v>
      </c>
    </row>
    <row r="10" spans="2:14">
      <c r="D10" s="973" t="s">
        <v>2346</v>
      </c>
      <c r="E10" s="973" t="s">
        <v>2347</v>
      </c>
      <c r="J10" s="979"/>
      <c r="K10" s="973" t="s">
        <v>2348</v>
      </c>
    </row>
    <row r="11" spans="2:14">
      <c r="J11" s="979"/>
    </row>
    <row r="12" spans="2:14">
      <c r="C12" s="973" t="s">
        <v>2349</v>
      </c>
      <c r="D12" s="973" t="s">
        <v>2394</v>
      </c>
      <c r="E12" s="973" t="s">
        <v>2350</v>
      </c>
      <c r="F12" s="973" t="s">
        <v>2393</v>
      </c>
      <c r="G12" s="1474">
        <v>0.7</v>
      </c>
      <c r="H12" s="978" t="e">
        <f>AVERAGE(IS_Calcs!N72:R72)</f>
        <v>#DIV/0!</v>
      </c>
      <c r="I12" s="973" t="e">
        <f>IF(H12&gt;G12,D12,"-")</f>
        <v>#DIV/0!</v>
      </c>
      <c r="J12" s="973" t="s">
        <v>2351</v>
      </c>
    </row>
    <row r="13" spans="2:14">
      <c r="D13" s="973" t="s">
        <v>2395</v>
      </c>
      <c r="E13" s="973" t="s">
        <v>2352</v>
      </c>
      <c r="F13" s="973" t="s">
        <v>2393</v>
      </c>
      <c r="G13" s="1474">
        <v>0.7</v>
      </c>
      <c r="H13" s="978" t="e">
        <f>AVERAGE(IS_Calcs!N73:R73)</f>
        <v>#DIV/0!</v>
      </c>
      <c r="I13" s="973" t="e">
        <f>IF(H13&gt;G13,D13,"-")</f>
        <v>#DIV/0!</v>
      </c>
      <c r="J13" s="973" t="s">
        <v>2351</v>
      </c>
    </row>
    <row r="14" spans="2:14">
      <c r="D14" s="973" t="s">
        <v>2396</v>
      </c>
      <c r="E14" s="973" t="s">
        <v>2353</v>
      </c>
      <c r="F14" s="973" t="s">
        <v>2393</v>
      </c>
      <c r="G14" s="1474">
        <v>0.7</v>
      </c>
      <c r="H14" s="978" t="e">
        <f>AVERAGE(IS_Calcs!N74:R74)</f>
        <v>#DIV/0!</v>
      </c>
      <c r="I14" s="973" t="e">
        <f>IF(H14&gt;G14,D14,"-")</f>
        <v>#DIV/0!</v>
      </c>
      <c r="J14" s="973" t="s">
        <v>2351</v>
      </c>
    </row>
    <row r="15" spans="2:14">
      <c r="J15" s="979"/>
    </row>
    <row r="16" spans="2:14">
      <c r="B16" s="1441" t="s">
        <v>2354</v>
      </c>
      <c r="C16" s="1441"/>
      <c r="D16" s="1442"/>
      <c r="E16" s="1442"/>
      <c r="F16" s="1442"/>
      <c r="G16" s="1447"/>
      <c r="H16" s="1442"/>
      <c r="I16" s="1442"/>
      <c r="J16" s="1442"/>
      <c r="K16" s="1442"/>
      <c r="L16" s="1442"/>
      <c r="M16" s="1442"/>
      <c r="N16" s="1442"/>
    </row>
    <row r="17" spans="2:14">
      <c r="C17" s="973" t="s">
        <v>1900</v>
      </c>
      <c r="D17" s="973" t="s">
        <v>2355</v>
      </c>
      <c r="E17" s="973" t="s">
        <v>2356</v>
      </c>
      <c r="F17" s="973" t="s">
        <v>2398</v>
      </c>
      <c r="G17" s="1474">
        <v>0.05</v>
      </c>
      <c r="H17" s="980">
        <f>IS!R73-IS!M73</f>
        <v>0</v>
      </c>
      <c r="I17" s="973" t="str">
        <f>IF(H17&gt;G17,"Aggressive decline in COGS as a % of Revenue","-")</f>
        <v>-</v>
      </c>
      <c r="J17" s="979" t="s">
        <v>2357</v>
      </c>
      <c r="K17" s="973" t="s">
        <v>2358</v>
      </c>
    </row>
    <row r="18" spans="2:14">
      <c r="D18" s="973" t="s">
        <v>2400</v>
      </c>
      <c r="F18" s="973" t="s">
        <v>2398</v>
      </c>
      <c r="G18" s="1474">
        <v>-0.03</v>
      </c>
      <c r="H18" s="980">
        <f>IS!M73-IS!J73</f>
        <v>0</v>
      </c>
      <c r="I18" s="973" t="str">
        <f>IF(H18&lt;=G18,"Forecasted COGS levels are distinctly lower than last historical year","-")</f>
        <v>-</v>
      </c>
      <c r="J18" s="979" t="s">
        <v>2357</v>
      </c>
      <c r="K18" s="973" t="s">
        <v>2358</v>
      </c>
    </row>
    <row r="19" spans="2:14">
      <c r="D19" s="973" t="s">
        <v>2359</v>
      </c>
      <c r="E19" s="973" t="s">
        <v>2347</v>
      </c>
      <c r="G19" s="1474" t="s">
        <v>2397</v>
      </c>
      <c r="J19" s="979"/>
      <c r="K19" s="973" t="s">
        <v>2348</v>
      </c>
    </row>
    <row r="20" spans="2:14">
      <c r="D20" s="973" t="s">
        <v>2360</v>
      </c>
      <c r="E20" s="973" t="s">
        <v>2361</v>
      </c>
      <c r="F20" s="973" t="s">
        <v>2398</v>
      </c>
      <c r="G20" s="1474">
        <v>0.05</v>
      </c>
      <c r="H20" s="978">
        <f>IS!R73-IS!M73</f>
        <v>0</v>
      </c>
      <c r="I20" s="973" t="str">
        <f>IF(H20&gt;G20,"Forecasted COGS levels are rising more than reasonable levels","-")</f>
        <v>-</v>
      </c>
      <c r="J20" s="973" t="s">
        <v>2351</v>
      </c>
    </row>
    <row r="21" spans="2:14">
      <c r="J21" s="979"/>
    </row>
    <row r="22" spans="2:14">
      <c r="B22" s="1441" t="s">
        <v>2362</v>
      </c>
      <c r="C22" s="1441"/>
      <c r="D22" s="1442"/>
      <c r="E22" s="1442"/>
      <c r="F22" s="1442"/>
      <c r="G22" s="1447"/>
      <c r="H22" s="1442"/>
      <c r="I22" s="1442"/>
      <c r="J22" s="1442"/>
      <c r="K22" s="1442"/>
      <c r="L22" s="1442"/>
      <c r="M22" s="1442"/>
      <c r="N22" s="1442"/>
    </row>
    <row r="23" spans="2:14">
      <c r="C23" s="973" t="s">
        <v>2363</v>
      </c>
      <c r="D23" s="973" t="s">
        <v>2364</v>
      </c>
      <c r="E23" s="973" t="s">
        <v>2365</v>
      </c>
      <c r="G23" s="1475"/>
      <c r="H23" s="1476"/>
      <c r="I23" s="1476"/>
      <c r="J23" s="979"/>
    </row>
    <row r="24" spans="2:14">
      <c r="D24" s="973" t="s">
        <v>2366</v>
      </c>
      <c r="F24" s="973" t="s">
        <v>2406</v>
      </c>
      <c r="G24" s="1474">
        <v>0.05</v>
      </c>
      <c r="I24" s="973" t="str">
        <f>IF(H24&lt;G24,"It is likely that the business is underestimating salary inflation over forecast period","-")</f>
        <v>It is likely that the business is underestimating salary inflation over forecast period</v>
      </c>
      <c r="J24" s="979" t="s">
        <v>2357</v>
      </c>
      <c r="K24" s="973" t="s">
        <v>2348</v>
      </c>
    </row>
    <row r="25" spans="2:14">
      <c r="J25" s="979"/>
    </row>
    <row r="26" spans="2:14">
      <c r="C26" s="973" t="s">
        <v>235</v>
      </c>
      <c r="D26" s="973" t="s">
        <v>2367</v>
      </c>
      <c r="E26" s="973" t="s">
        <v>2368</v>
      </c>
      <c r="F26" s="973" t="s">
        <v>2404</v>
      </c>
      <c r="G26" s="1474">
        <v>0.2</v>
      </c>
      <c r="H26" s="978" t="e">
        <f ca="1">-SUM(IS!M61:R61)/SUM(IS!M23:R23)</f>
        <v>#DIV/0!</v>
      </c>
      <c r="I26" s="973" t="e">
        <f ca="1">IF(H26&gt;G26,"The business is writing off significant depreciation over forecast period","-")</f>
        <v>#DIV/0!</v>
      </c>
      <c r="J26" s="979" t="s">
        <v>2357</v>
      </c>
    </row>
    <row r="27" spans="2:14">
      <c r="J27" s="979"/>
    </row>
    <row r="28" spans="2:14">
      <c r="C28" s="973" t="s">
        <v>2369</v>
      </c>
      <c r="D28" s="973" t="s">
        <v>2370</v>
      </c>
      <c r="E28" s="973" t="s">
        <v>2368</v>
      </c>
      <c r="F28" s="973" t="s">
        <v>2405</v>
      </c>
      <c r="G28" s="1474">
        <v>0.2</v>
      </c>
      <c r="H28" s="978" t="e">
        <f>-SUM(IS!M64:R64)/SUM(IS!M23:R23)</f>
        <v>#DIV/0!</v>
      </c>
      <c r="I28" s="973" t="e">
        <f>IF(H28&gt;G28,"The business is is expected to bear significant finance costs over forecast period","-")</f>
        <v>#DIV/0!</v>
      </c>
      <c r="J28" s="979" t="s">
        <v>2357</v>
      </c>
    </row>
    <row r="29" spans="2:14">
      <c r="J29" s="979"/>
    </row>
    <row r="30" spans="2:14">
      <c r="C30" s="973" t="s">
        <v>1462</v>
      </c>
      <c r="D30" s="973" t="s">
        <v>2371</v>
      </c>
      <c r="E30" s="973" t="s">
        <v>2372</v>
      </c>
      <c r="F30" s="973" t="s">
        <v>2401</v>
      </c>
      <c r="G30" s="1474">
        <v>0.05</v>
      </c>
      <c r="H30" s="978">
        <f>MEDIAN(IS!M76:R76)</f>
        <v>0</v>
      </c>
      <c r="I30" s="1476"/>
      <c r="J30" s="979" t="s">
        <v>2357</v>
      </c>
      <c r="K30" s="973" t="s">
        <v>2373</v>
      </c>
    </row>
    <row r="31" spans="2:14">
      <c r="H31" s="978"/>
      <c r="J31" s="979"/>
    </row>
    <row r="32" spans="2:14">
      <c r="C32" s="973" t="s">
        <v>2237</v>
      </c>
      <c r="D32" s="973" t="s">
        <v>2374</v>
      </c>
      <c r="E32" s="973" t="s">
        <v>2372</v>
      </c>
      <c r="F32" s="973" t="s">
        <v>2402</v>
      </c>
      <c r="G32" s="1474">
        <v>0.05</v>
      </c>
      <c r="H32" s="980" t="e">
        <f ca="1">AVERAGE(BS_Calc!M34:R34)</f>
        <v>#DIV/0!</v>
      </c>
      <c r="I32" s="1476"/>
      <c r="J32" s="979" t="s">
        <v>2357</v>
      </c>
      <c r="K32" s="973" t="s">
        <v>2373</v>
      </c>
    </row>
    <row r="33" spans="3:10">
      <c r="J33" s="979"/>
    </row>
    <row r="34" spans="3:10">
      <c r="C34" s="973" t="s">
        <v>1903</v>
      </c>
      <c r="D34" s="973" t="s">
        <v>2375</v>
      </c>
      <c r="E34" s="973" t="s">
        <v>2376</v>
      </c>
      <c r="F34" s="973" t="s">
        <v>2403</v>
      </c>
      <c r="G34" s="1474">
        <v>0.2</v>
      </c>
      <c r="H34" s="978" t="e">
        <f>SUM(BS_Calc!M61:R61)/SUM(IS!M23:R23)</f>
        <v>#DIV/0!</v>
      </c>
      <c r="I34" s="973" t="e">
        <f>IF(H34&gt;G34,"The business is is expected to heavily invest in capital expenditure over forecast period","-")</f>
        <v>#DIV/0!</v>
      </c>
      <c r="J34" s="973" t="s">
        <v>2351</v>
      </c>
    </row>
    <row r="35" spans="3:10">
      <c r="D35" s="973" t="s">
        <v>2377</v>
      </c>
      <c r="E35" s="973" t="s">
        <v>2378</v>
      </c>
      <c r="F35" s="973" t="s">
        <v>1586</v>
      </c>
      <c r="G35" s="1474">
        <v>0.05</v>
      </c>
      <c r="I35" s="1476"/>
      <c r="J35" s="973" t="s">
        <v>2351</v>
      </c>
    </row>
    <row r="36" spans="3:10">
      <c r="J36" s="979"/>
    </row>
    <row r="37" spans="3:10">
      <c r="J37" s="979"/>
    </row>
    <row r="38" spans="3:10">
      <c r="J38" s="979"/>
    </row>
    <row r="39" spans="3:10">
      <c r="J39" s="979"/>
    </row>
    <row r="40" spans="3:10">
      <c r="J40" s="979"/>
    </row>
    <row r="41" spans="3:10">
      <c r="J41" s="979"/>
    </row>
    <row r="42" spans="3:10">
      <c r="J42" s="979"/>
    </row>
    <row r="43" spans="3:10">
      <c r="J43" s="979"/>
    </row>
    <row r="44" spans="3:10">
      <c r="J44" s="979"/>
    </row>
    <row r="45" spans="3:10">
      <c r="J45" s="979"/>
    </row>
    <row r="46" spans="3:10">
      <c r="J46" s="979"/>
    </row>
    <row r="47" spans="3:10">
      <c r="J47" s="979"/>
    </row>
    <row r="48" spans="3:10">
      <c r="J48" s="979"/>
    </row>
    <row r="49" spans="10:10">
      <c r="J49" s="979"/>
    </row>
    <row r="50" spans="10:10">
      <c r="J50" s="979"/>
    </row>
    <row r="51" spans="10:10">
      <c r="J51" s="979"/>
    </row>
    <row r="52" spans="10:10">
      <c r="J52" s="979"/>
    </row>
  </sheetData>
  <mergeCells count="1">
    <mergeCell ref="F5:H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3DEB8-3DF7-40AB-9B51-C9765DBD062E}">
  <sheetPr>
    <tabColor rgb="FF009B76"/>
  </sheetPr>
  <dimension ref="A1:H30"/>
  <sheetViews>
    <sheetView showGridLines="0" workbookViewId="0">
      <selection sqref="A1:XFD1048576"/>
    </sheetView>
  </sheetViews>
  <sheetFormatPr defaultColWidth="0" defaultRowHeight="0" customHeight="1" zeroHeight="1"/>
  <cols>
    <col min="1" max="1" width="1.61328125" style="246" customWidth="1"/>
    <col min="2" max="8" width="8.69140625" style="246" customWidth="1"/>
    <col min="9" max="16384" width="8.69140625" style="246" hidden="1"/>
  </cols>
  <sheetData>
    <row r="1" spans="2:8" ht="10.5"/>
    <row r="2" spans="2:8" ht="10.5">
      <c r="B2" s="282" t="s">
        <v>2328</v>
      </c>
    </row>
    <row r="3" spans="2:8" ht="10.5">
      <c r="B3" s="429" t="str">
        <f>Inputs!$B$3</f>
        <v>Aerial Arts India XXXXXXXXXXXXXXXXX - Self Valuation using DCF Method, Transaction Multiples Method, &amp; Market Multiples Method as at September 30, 2024</v>
      </c>
    </row>
    <row r="4" spans="2:8" ht="10.5">
      <c r="B4" s="282" t="s">
        <v>2090</v>
      </c>
    </row>
    <row r="5" spans="2:8" ht="5" customHeight="1" thickBot="1">
      <c r="B5" s="430"/>
      <c r="C5" s="431"/>
      <c r="D5" s="431"/>
      <c r="E5" s="431"/>
      <c r="F5" s="431"/>
      <c r="G5" s="431"/>
      <c r="H5" s="431"/>
    </row>
    <row r="6" spans="2:8" ht="11" thickTop="1"/>
    <row r="7" spans="2:8" ht="10.5">
      <c r="B7" s="282" t="s">
        <v>2089</v>
      </c>
    </row>
    <row r="8" spans="2:8" ht="10.5"/>
    <row r="9" spans="2:8" ht="10.5"/>
    <row r="10" spans="2:8" ht="10.5"/>
    <row r="11" spans="2:8" ht="10.5"/>
    <row r="12" spans="2:8" ht="10.5"/>
    <row r="13" spans="2:8" ht="10.5"/>
    <row r="14" spans="2:8" ht="10.5"/>
    <row r="15" spans="2:8" ht="10.5"/>
    <row r="16" spans="2:8" ht="10.5" hidden="1"/>
    <row r="17" ht="10.5" hidden="1"/>
    <row r="18" ht="10.5" hidden="1"/>
    <row r="19" ht="10.5" hidden="1"/>
    <row r="20" ht="10.5" hidden="1"/>
    <row r="21" ht="10.5" hidden="1"/>
    <row r="22" ht="10.5" hidden="1"/>
    <row r="23" ht="10.5" hidden="1"/>
    <row r="24" ht="10.5" hidden="1"/>
    <row r="25" ht="10.5" hidden="1"/>
    <row r="26" ht="10.5" hidden="1"/>
    <row r="27" ht="10.5" hidden="1"/>
    <row r="28" ht="10.5" hidden="1"/>
    <row r="29" ht="10.5" hidden="1"/>
    <row r="30" ht="10.5" hidden="1"/>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A7EE4-AAB6-441F-B424-0414509ABE2D}">
  <sheetPr>
    <tabColor rgb="FFD7EEF1"/>
  </sheetPr>
  <dimension ref="B2:H130"/>
  <sheetViews>
    <sheetView showGridLines="0" workbookViewId="0">
      <selection activeCell="D92" sqref="D92"/>
    </sheetView>
  </sheetViews>
  <sheetFormatPr defaultColWidth="0" defaultRowHeight="10.5"/>
  <cols>
    <col min="1" max="1" width="2.69140625" style="246" customWidth="1"/>
    <col min="2" max="2" width="35.921875" style="246" customWidth="1"/>
    <col min="3" max="3" width="4.69140625" style="246" bestFit="1" customWidth="1"/>
    <col min="4" max="6" width="8.69140625" style="246" customWidth="1"/>
    <col min="7" max="7" width="2.61328125" style="246" customWidth="1"/>
    <col min="8" max="8" width="2.61328125" style="246" hidden="1" customWidth="1"/>
    <col min="9" max="16384" width="0" style="246" hidden="1"/>
  </cols>
  <sheetData>
    <row r="2" spans="2:7">
      <c r="B2" s="245" t="str">
        <f>Inputs!B2</f>
        <v>Valify - UAE Valuation Services</v>
      </c>
      <c r="G2" s="315"/>
    </row>
    <row r="3" spans="2:7">
      <c r="B3" s="247" t="str">
        <f>Inputs!$B$3</f>
        <v>Aerial Arts India XXXXXXXXXXXXXXXXX - Self Valuation using DCF Method, Transaction Multiples Method, &amp; Market Multiples Method as at September 30, 2024</v>
      </c>
      <c r="G3" s="315"/>
    </row>
    <row r="4" spans="2:7">
      <c r="B4" s="316" t="s">
        <v>213</v>
      </c>
      <c r="G4" s="315" t="str">
        <f>valuation.date.header</f>
        <v>Valuation Date:  September 30, 2024</v>
      </c>
    </row>
    <row r="5" spans="2:7" ht="5" customHeight="1" thickBot="1">
      <c r="B5" s="249"/>
      <c r="C5" s="249"/>
      <c r="D5" s="249"/>
      <c r="E5" s="249"/>
      <c r="F5" s="249"/>
      <c r="G5" s="249"/>
    </row>
    <row r="6" spans="2:7" ht="11" thickTop="1"/>
    <row r="17" spans="2:6">
      <c r="B17" s="1484" t="str">
        <f>target.name&amp;" - Concluded Enterprise Valuation Range"</f>
        <v>Aerial Arts India XXXXXXXXXXXXXXXXX - Concluded Enterprise Valuation Range</v>
      </c>
      <c r="C17" s="1485"/>
      <c r="D17" s="1485"/>
      <c r="E17" s="1485"/>
      <c r="F17" s="1485"/>
    </row>
    <row r="18" spans="2:6">
      <c r="B18" s="367" t="str">
        <f>currency.heading1</f>
        <v>USD 'Units</v>
      </c>
      <c r="C18" s="358" t="s">
        <v>1533</v>
      </c>
      <c r="D18" s="359" t="s">
        <v>215</v>
      </c>
      <c r="E18" s="359" t="s">
        <v>2016</v>
      </c>
      <c r="F18" s="360" t="s">
        <v>216</v>
      </c>
    </row>
    <row r="19" spans="2:6">
      <c r="B19" s="317" t="s">
        <v>217</v>
      </c>
      <c r="C19" s="318"/>
      <c r="D19" s="319"/>
      <c r="E19" s="319"/>
      <c r="F19" s="320"/>
    </row>
    <row r="20" spans="2:6">
      <c r="B20" s="321" t="s">
        <v>218</v>
      </c>
      <c r="C20" s="1660"/>
      <c r="D20" s="323" t="e">
        <f ca="1">D56</f>
        <v>#NAME?</v>
      </c>
      <c r="E20" s="323" t="e">
        <f ca="1">E56</f>
        <v>#NAME?</v>
      </c>
      <c r="F20" s="324" t="e">
        <f ca="1">F56</f>
        <v>#NAME?</v>
      </c>
    </row>
    <row r="21" spans="2:6">
      <c r="B21" s="321" t="s">
        <v>219</v>
      </c>
      <c r="C21" s="1660"/>
      <c r="D21" s="323">
        <f>D65</f>
        <v>0</v>
      </c>
      <c r="E21" s="323">
        <f>E65</f>
        <v>0</v>
      </c>
      <c r="F21" s="324">
        <f>F65</f>
        <v>0</v>
      </c>
    </row>
    <row r="22" spans="2:6">
      <c r="B22" s="321" t="s">
        <v>220</v>
      </c>
      <c r="C22" s="1660"/>
      <c r="D22" s="323">
        <f>D74</f>
        <v>0</v>
      </c>
      <c r="E22" s="323">
        <f>E74</f>
        <v>0</v>
      </c>
      <c r="F22" s="324">
        <f>F74</f>
        <v>0</v>
      </c>
    </row>
    <row r="23" spans="2:6">
      <c r="B23" s="1656" t="s">
        <v>221</v>
      </c>
      <c r="C23" s="1657"/>
      <c r="D23" s="1658" t="e">
        <f ca="1">MEDIAN(D20:D22)</f>
        <v>#NAME?</v>
      </c>
      <c r="E23" s="1658" t="e">
        <f ca="1">MEDIAN(E20:E22)</f>
        <v>#NAME?</v>
      </c>
      <c r="F23" s="1659" t="e">
        <f ca="1">MEDIAN(F20:F22)</f>
        <v>#NAME?</v>
      </c>
    </row>
    <row r="24" spans="2:6">
      <c r="B24" s="1655" t="s">
        <v>2258</v>
      </c>
      <c r="C24" s="322"/>
      <c r="D24" s="325">
        <f>Inputs!E253</f>
        <v>45</v>
      </c>
      <c r="E24" s="323">
        <f>D24</f>
        <v>45</v>
      </c>
      <c r="F24" s="324">
        <f>E24</f>
        <v>45</v>
      </c>
    </row>
    <row r="25" spans="2:6">
      <c r="B25" s="321" t="s">
        <v>2259</v>
      </c>
      <c r="C25" s="322"/>
      <c r="D25" s="325">
        <f>-Inputs!E254</f>
        <v>-65</v>
      </c>
      <c r="E25" s="323">
        <f>D25</f>
        <v>-65</v>
      </c>
      <c r="F25" s="324">
        <f>E25</f>
        <v>-65</v>
      </c>
    </row>
    <row r="26" spans="2:6">
      <c r="B26" s="326" t="s">
        <v>224</v>
      </c>
      <c r="C26" s="327"/>
      <c r="D26" s="328" t="e">
        <f ca="1">SUM(D23:D25)</f>
        <v>#NAME?</v>
      </c>
      <c r="E26" s="328" t="e">
        <f ca="1">SUM(E23:E25)</f>
        <v>#NAME?</v>
      </c>
      <c r="F26" s="329" t="e">
        <f ca="1">SUM(F23:F25)</f>
        <v>#NAME?</v>
      </c>
    </row>
    <row r="27" spans="2:6">
      <c r="B27" s="321" t="s">
        <v>225</v>
      </c>
      <c r="C27" s="322"/>
      <c r="D27" s="323"/>
      <c r="E27" s="323"/>
      <c r="F27" s="324"/>
    </row>
    <row r="28" spans="2:6">
      <c r="B28" s="330" t="s">
        <v>226</v>
      </c>
      <c r="C28" s="331"/>
      <c r="D28" s="332" t="e">
        <f ca="1">SUM(D26:D27)</f>
        <v>#NAME?</v>
      </c>
      <c r="E28" s="332" t="e">
        <f ca="1">SUM(E26:E27)</f>
        <v>#NAME?</v>
      </c>
      <c r="F28" s="333" t="e">
        <f ca="1">SUM(F26:F27)</f>
        <v>#NAME?</v>
      </c>
    </row>
    <row r="29" spans="2:6">
      <c r="D29" s="289"/>
      <c r="E29" s="289"/>
      <c r="F29" s="289"/>
    </row>
    <row r="30" spans="2:6">
      <c r="D30" s="289"/>
      <c r="E30" s="289"/>
      <c r="F30" s="289"/>
    </row>
    <row r="31" spans="2:6">
      <c r="B31" s="1486" t="str">
        <f>target.name&amp;" - Enterprise Value with Adjusted NBV Method"</f>
        <v>Aerial Arts India XXXXXXXXXXXXXXXXX - Enterprise Value with Adjusted NBV Method</v>
      </c>
      <c r="C31" s="1487"/>
      <c r="D31" s="1488"/>
      <c r="E31" s="1488"/>
      <c r="F31" s="1489"/>
    </row>
    <row r="32" spans="2:6">
      <c r="B32" s="367" t="str">
        <f>currency.heading1</f>
        <v>USD 'Units</v>
      </c>
      <c r="C32" s="358"/>
      <c r="D32" s="359" t="s">
        <v>215</v>
      </c>
      <c r="E32" s="359" t="s">
        <v>2016</v>
      </c>
      <c r="F32" s="360" t="s">
        <v>216</v>
      </c>
    </row>
    <row r="33" spans="2:6">
      <c r="B33" s="334" t="s">
        <v>1476</v>
      </c>
      <c r="C33" s="335"/>
      <c r="D33" s="1482"/>
      <c r="E33" s="1482"/>
      <c r="F33" s="1483"/>
    </row>
    <row r="34" spans="2:6">
      <c r="B34" s="349" t="str">
        <f>"Equity Value of "&amp;target.name</f>
        <v>Equity Value of Aerial Arts India XXXXXXXXXXXXXXXXX</v>
      </c>
      <c r="C34" s="350"/>
      <c r="D34" s="351">
        <f>SUM(D33,D$24:D$25)</f>
        <v>-20</v>
      </c>
      <c r="E34" s="351">
        <f>SUM(E33,E$24:E$25)</f>
        <v>-20</v>
      </c>
      <c r="F34" s="352">
        <f>SUM(F33,F$24:F$25)</f>
        <v>-20</v>
      </c>
    </row>
    <row r="35" spans="2:6">
      <c r="D35" s="289"/>
      <c r="E35" s="289"/>
      <c r="F35" s="289"/>
    </row>
    <row r="36" spans="2:6">
      <c r="B36" s="1486" t="str">
        <f>target.name&amp;" - Enterprise Value with CCF Method"</f>
        <v>Aerial Arts India XXXXXXXXXXXXXXXXX - Enterprise Value with CCF Method</v>
      </c>
      <c r="C36" s="1487"/>
      <c r="D36" s="1488"/>
      <c r="E36" s="1488"/>
      <c r="F36" s="1489"/>
    </row>
    <row r="37" spans="2:6">
      <c r="B37" s="367" t="str">
        <f>currency.heading1</f>
        <v>USD 'Units</v>
      </c>
      <c r="C37" s="358"/>
      <c r="D37" s="359" t="s">
        <v>215</v>
      </c>
      <c r="E37" s="359" t="s">
        <v>2016</v>
      </c>
      <c r="F37" s="360" t="s">
        <v>216</v>
      </c>
    </row>
    <row r="38" spans="2:6">
      <c r="B38" s="1506" t="s">
        <v>2631</v>
      </c>
      <c r="C38" s="927"/>
      <c r="D38" s="1753" t="e">
        <f ca="1">E38</f>
        <v>#NAME?</v>
      </c>
      <c r="E38" s="1753" t="e">
        <f ca="1">DCF!K16</f>
        <v>#NAME?</v>
      </c>
      <c r="F38" s="1754" t="e">
        <f ca="1">E38</f>
        <v>#NAME?</v>
      </c>
    </row>
    <row r="39" spans="2:6">
      <c r="B39" s="812" t="s">
        <v>2630</v>
      </c>
      <c r="D39" s="1493"/>
      <c r="E39" s="1493"/>
      <c r="F39" s="1500"/>
    </row>
    <row r="40" spans="2:6">
      <c r="B40" s="812" t="s">
        <v>2632</v>
      </c>
      <c r="D40" s="340" t="e">
        <f ca="1">D38+D39</f>
        <v>#NAME?</v>
      </c>
      <c r="E40" s="340" t="e">
        <f ca="1">E38+E39</f>
        <v>#NAME?</v>
      </c>
      <c r="F40" s="1505" t="e">
        <f ca="1">F38+F39</f>
        <v>#NAME?</v>
      </c>
    </row>
    <row r="41" spans="2:6">
      <c r="B41" s="812" t="s">
        <v>2633</v>
      </c>
      <c r="D41" s="340" t="e">
        <f ca="1">D40*(1+long.term.growth)</f>
        <v>#NAME?</v>
      </c>
      <c r="E41" s="340" t="e">
        <f ca="1">E40*(1+long.term.growth)</f>
        <v>#NAME?</v>
      </c>
      <c r="F41" s="1505" t="e">
        <f ca="1">F40*(1+long.term.growth)</f>
        <v>#NAME?</v>
      </c>
    </row>
    <row r="42" spans="2:6">
      <c r="B42" s="812" t="s">
        <v>2634</v>
      </c>
      <c r="D42" s="778">
        <f>DCF!J21</f>
        <v>0</v>
      </c>
      <c r="E42" s="778">
        <f>AVERAGE(F42,D42)</f>
        <v>0</v>
      </c>
      <c r="F42" s="1755">
        <f>DCF!J20</f>
        <v>0</v>
      </c>
    </row>
    <row r="43" spans="2:6">
      <c r="B43" s="812" t="s">
        <v>2635</v>
      </c>
      <c r="D43" s="1493"/>
      <c r="E43" s="1493"/>
      <c r="F43" s="1500"/>
    </row>
    <row r="44" spans="2:6">
      <c r="B44" s="1507" t="s">
        <v>1476</v>
      </c>
      <c r="C44" s="565"/>
      <c r="D44" s="1510" t="e">
        <f ca="1">D41/D42*D43</f>
        <v>#NAME?</v>
      </c>
      <c r="E44" s="1508" t="e">
        <f ca="1">E41/E42*E43</f>
        <v>#NAME?</v>
      </c>
      <c r="F44" s="1509" t="e">
        <f ca="1">F41/F42*F43</f>
        <v>#NAME?</v>
      </c>
    </row>
    <row r="45" spans="2:6">
      <c r="B45" s="1501" t="str">
        <f>"Equity Value of "&amp;target.name</f>
        <v>Equity Value of Aerial Arts India XXXXXXXXXXXXXXXXX</v>
      </c>
      <c r="C45" s="1502"/>
      <c r="D45" s="1503" t="e">
        <f ca="1">SUM(D44,D$24:D$25)</f>
        <v>#NAME?</v>
      </c>
      <c r="E45" s="1503" t="e">
        <f ca="1">SUM(E44,E$24:E$25)</f>
        <v>#NAME?</v>
      </c>
      <c r="F45" s="1504" t="e">
        <f ca="1">SUM(F44,F$24:F$25)</f>
        <v>#NAME?</v>
      </c>
    </row>
    <row r="46" spans="2:6">
      <c r="D46" s="289"/>
      <c r="E46" s="289"/>
      <c r="F46" s="289"/>
    </row>
    <row r="47" spans="2:6">
      <c r="B47" s="1494" t="str">
        <f>target.name&amp;" - Enterprise Value with VC Method"</f>
        <v>Aerial Arts India XXXXXXXXXXXXXXXXX - Enterprise Value with VC Method</v>
      </c>
      <c r="C47" s="1495"/>
      <c r="D47" s="1496"/>
      <c r="E47" s="1496"/>
      <c r="F47" s="1497"/>
    </row>
    <row r="48" spans="2:6">
      <c r="B48" s="1498" t="str">
        <f>currency.heading1</f>
        <v>USD 'Units</v>
      </c>
      <c r="C48" s="358"/>
      <c r="D48" s="359" t="s">
        <v>215</v>
      </c>
      <c r="E48" s="359" t="s">
        <v>2016</v>
      </c>
      <c r="F48" s="1499" t="s">
        <v>216</v>
      </c>
    </row>
    <row r="49" spans="2:6">
      <c r="B49" s="812" t="s">
        <v>2629</v>
      </c>
      <c r="D49" s="340">
        <f>IS!R59</f>
        <v>-45000</v>
      </c>
      <c r="E49" s="340">
        <f>D49</f>
        <v>-45000</v>
      </c>
      <c r="F49" s="1505">
        <f>E49</f>
        <v>-45000</v>
      </c>
    </row>
    <row r="50" spans="2:6">
      <c r="B50" s="812" t="s">
        <v>2940</v>
      </c>
      <c r="D50" s="1756">
        <f>E50</f>
        <v>0</v>
      </c>
      <c r="E50" s="1756">
        <f>Multiples!AA31</f>
        <v>0</v>
      </c>
      <c r="F50" s="1757">
        <f>E50</f>
        <v>0</v>
      </c>
    </row>
    <row r="51" spans="2:6">
      <c r="B51" s="812" t="s">
        <v>1476</v>
      </c>
      <c r="D51" s="340">
        <f>D50*D49</f>
        <v>0</v>
      </c>
      <c r="E51" s="340">
        <f>E50*E49</f>
        <v>0</v>
      </c>
      <c r="F51" s="1505">
        <f>F50*F49</f>
        <v>0</v>
      </c>
    </row>
    <row r="52" spans="2:6">
      <c r="B52" s="1501" t="str">
        <f>"Equity Value of "&amp;target.name</f>
        <v>Equity Value of Aerial Arts India XXXXXXXXXXXXXXXXX</v>
      </c>
      <c r="C52" s="1502"/>
      <c r="D52" s="1503">
        <f>SUM(D51,D$24:D$25)</f>
        <v>-20</v>
      </c>
      <c r="E52" s="1503">
        <f>SUM(E51,E$24:E$25)</f>
        <v>-20</v>
      </c>
      <c r="F52" s="1504">
        <f>SUM(F51,F$24:F$25)</f>
        <v>-20</v>
      </c>
    </row>
    <row r="53" spans="2:6">
      <c r="D53" s="289"/>
      <c r="E53" s="289"/>
      <c r="F53" s="289"/>
    </row>
    <row r="54" spans="2:6">
      <c r="B54" s="1490" t="str">
        <f>target.name&amp;" - Enterprise Value with Discounted Cash Flow Method"</f>
        <v>Aerial Arts India XXXXXXXXXXXXXXXXX - Enterprise Value with Discounted Cash Flow Method</v>
      </c>
      <c r="C54" s="1491"/>
      <c r="D54" s="1492"/>
      <c r="E54" s="1492"/>
      <c r="F54" s="1492"/>
    </row>
    <row r="55" spans="2:6">
      <c r="B55" s="367" t="str">
        <f>currency.heading1</f>
        <v>USD 'Units</v>
      </c>
      <c r="C55" s="358"/>
      <c r="D55" s="359" t="s">
        <v>215</v>
      </c>
      <c r="E55" s="359" t="s">
        <v>2016</v>
      </c>
      <c r="F55" s="360" t="s">
        <v>216</v>
      </c>
    </row>
    <row r="56" spans="2:6">
      <c r="B56" s="334" t="s">
        <v>1476</v>
      </c>
      <c r="C56" s="335"/>
      <c r="D56" s="336" t="e">
        <f ca="1">DCF!K33</f>
        <v>#NAME?</v>
      </c>
      <c r="E56" s="336" t="e">
        <f ca="1">AVERAGE(F56,D56)</f>
        <v>#NAME?</v>
      </c>
      <c r="F56" s="337" t="e">
        <f ca="1">DCF!L33</f>
        <v>#NAME?</v>
      </c>
    </row>
    <row r="57" spans="2:6">
      <c r="B57" s="349" t="str">
        <f>"Equity Value of "&amp;target.name</f>
        <v>Equity Value of Aerial Arts India XXXXXXXXXXXXXXXXX</v>
      </c>
      <c r="C57" s="350"/>
      <c r="D57" s="351" t="e">
        <f ca="1">SUM(D56,D$24:D$25)</f>
        <v>#NAME?</v>
      </c>
      <c r="E57" s="351" t="e">
        <f ca="1">SUM(E56,E$24:E$25)</f>
        <v>#NAME?</v>
      </c>
      <c r="F57" s="352" t="e">
        <f ca="1">SUM(F56,F$24:F$25)</f>
        <v>#NAME?</v>
      </c>
    </row>
    <row r="58" spans="2:6">
      <c r="D58" s="289"/>
      <c r="E58" s="289"/>
      <c r="F58" s="289"/>
    </row>
    <row r="59" spans="2:6">
      <c r="B59" s="1490" t="str">
        <f>target.name&amp;" - Enterprise Value with Market Multiples Method"</f>
        <v>Aerial Arts India XXXXXXXXXXXXXXXXX - Enterprise Value with Market Multiples Method</v>
      </c>
      <c r="C59" s="1491"/>
      <c r="D59" s="1492"/>
      <c r="E59" s="1492"/>
      <c r="F59" s="1492"/>
    </row>
    <row r="60" spans="2:6">
      <c r="B60" s="367" t="str">
        <f>currency.heading1</f>
        <v>USD 'Units</v>
      </c>
      <c r="C60" s="358"/>
      <c r="D60" s="359" t="s">
        <v>215</v>
      </c>
      <c r="E60" s="359" t="s">
        <v>2016</v>
      </c>
      <c r="F60" s="360" t="s">
        <v>216</v>
      </c>
    </row>
    <row r="61" spans="2:6">
      <c r="B61" s="338" t="s">
        <v>2191</v>
      </c>
      <c r="D61" s="339">
        <f>IS!N59</f>
        <v>-45000</v>
      </c>
      <c r="E61" s="340">
        <f t="shared" ref="E61:F63" si="0">D61</f>
        <v>-45000</v>
      </c>
      <c r="F61" s="341">
        <f t="shared" si="0"/>
        <v>-45000</v>
      </c>
    </row>
    <row r="62" spans="2:6">
      <c r="B62" s="321" t="s">
        <v>227</v>
      </c>
      <c r="C62" s="322"/>
      <c r="D62" s="1511">
        <f>MROUND(Multiples!Z31,0.1)</f>
        <v>0</v>
      </c>
      <c r="E62" s="1512">
        <f>MROUND(Multiples!AA31,0.1)</f>
        <v>0</v>
      </c>
      <c r="F62" s="1513">
        <f>MROUND(Multiples!AB31,0.1)</f>
        <v>0</v>
      </c>
    </row>
    <row r="63" spans="2:6">
      <c r="B63" s="321" t="s">
        <v>228</v>
      </c>
      <c r="C63" s="322"/>
      <c r="D63" s="342">
        <f>Inputs!$E$256</f>
        <v>0.05</v>
      </c>
      <c r="E63" s="343">
        <f t="shared" si="0"/>
        <v>0.05</v>
      </c>
      <c r="F63" s="344">
        <f t="shared" si="0"/>
        <v>0.05</v>
      </c>
    </row>
    <row r="64" spans="2:6">
      <c r="B64" s="345" t="s">
        <v>229</v>
      </c>
      <c r="C64" s="346"/>
      <c r="D64" s="347">
        <f>IFERROR(D62*(1-D63),"")</f>
        <v>0</v>
      </c>
      <c r="E64" s="347">
        <f>IFERROR(E62*(1-E63),"")</f>
        <v>0</v>
      </c>
      <c r="F64" s="348">
        <f>IFERROR(F62*(1-F63),"")</f>
        <v>0</v>
      </c>
    </row>
    <row r="65" spans="2:6">
      <c r="B65" s="349" t="str">
        <f>"Enterprise Value of "&amp;target.name</f>
        <v>Enterprise Value of Aerial Arts India XXXXXXXXXXXXXXXXX</v>
      </c>
      <c r="C65" s="350"/>
      <c r="D65" s="351">
        <f>D64*D61</f>
        <v>0</v>
      </c>
      <c r="E65" s="351">
        <f>E64*E61</f>
        <v>0</v>
      </c>
      <c r="F65" s="352">
        <f>F64*F61</f>
        <v>0</v>
      </c>
    </row>
    <row r="66" spans="2:6">
      <c r="B66" s="349" t="str">
        <f>"Equity Value of "&amp;target.name</f>
        <v>Equity Value of Aerial Arts India XXXXXXXXXXXXXXXXX</v>
      </c>
      <c r="C66" s="350"/>
      <c r="D66" s="351">
        <f>SUM(D65,D$24:D$25)</f>
        <v>-20</v>
      </c>
      <c r="E66" s="351">
        <f>SUM(E65,E$24:E$25)</f>
        <v>-20</v>
      </c>
      <c r="F66" s="352">
        <f>SUM(F65,F$24:F$25)</f>
        <v>-20</v>
      </c>
    </row>
    <row r="67" spans="2:6">
      <c r="D67" s="289"/>
      <c r="E67" s="289"/>
      <c r="F67" s="289"/>
    </row>
    <row r="68" spans="2:6">
      <c r="B68" s="1490" t="str">
        <f>target.name&amp;" - Enterprise Valuation with Transaction Method"</f>
        <v>Aerial Arts India XXXXXXXXXXXXXXXXX - Enterprise Valuation with Transaction Method</v>
      </c>
      <c r="C68" s="1491"/>
      <c r="D68" s="1492"/>
      <c r="E68" s="1492"/>
      <c r="F68" s="1492"/>
    </row>
    <row r="69" spans="2:6">
      <c r="B69" s="367" t="str">
        <f>currency.heading1</f>
        <v>USD 'Units</v>
      </c>
      <c r="C69" s="358"/>
      <c r="D69" s="359" t="s">
        <v>215</v>
      </c>
      <c r="E69" s="359" t="s">
        <v>2016</v>
      </c>
      <c r="F69" s="360" t="s">
        <v>216</v>
      </c>
    </row>
    <row r="70" spans="2:6">
      <c r="B70" s="338" t="s">
        <v>2191</v>
      </c>
      <c r="D70" s="291">
        <f>D61</f>
        <v>-45000</v>
      </c>
      <c r="E70" s="291">
        <f>$D$70</f>
        <v>-45000</v>
      </c>
      <c r="F70" s="353">
        <f>$D$70</f>
        <v>-45000</v>
      </c>
    </row>
    <row r="71" spans="2:6">
      <c r="B71" s="321" t="s">
        <v>2941</v>
      </c>
      <c r="C71" s="322"/>
      <c r="D71" s="1758">
        <f>E71</f>
        <v>0</v>
      </c>
      <c r="E71" s="354">
        <f>Multiples!AA31</f>
        <v>0</v>
      </c>
      <c r="F71" s="355">
        <f>E71</f>
        <v>0</v>
      </c>
    </row>
    <row r="72" spans="2:6">
      <c r="B72" s="321" t="s">
        <v>228</v>
      </c>
      <c r="C72" s="322"/>
      <c r="D72" s="342">
        <f>D63</f>
        <v>0.05</v>
      </c>
      <c r="E72" s="356">
        <f>E63</f>
        <v>0.05</v>
      </c>
      <c r="F72" s="357">
        <f>F63</f>
        <v>0.05</v>
      </c>
    </row>
    <row r="73" spans="2:6">
      <c r="B73" s="345" t="s">
        <v>229</v>
      </c>
      <c r="C73" s="346"/>
      <c r="D73" s="347">
        <f>IFERROR(D71*(1-D72),"")</f>
        <v>0</v>
      </c>
      <c r="E73" s="347">
        <f>IFERROR(E71*(1-E72),"")</f>
        <v>0</v>
      </c>
      <c r="F73" s="348">
        <f>IFERROR(F71*(1-F72),"")</f>
        <v>0</v>
      </c>
    </row>
    <row r="74" spans="2:6">
      <c r="B74" s="349" t="str">
        <f>"Enterprise Value of "&amp;target.name</f>
        <v>Enterprise Value of Aerial Arts India XXXXXXXXXXXXXXXXX</v>
      </c>
      <c r="C74" s="350"/>
      <c r="D74" s="351">
        <f>D73*D70</f>
        <v>0</v>
      </c>
      <c r="E74" s="351">
        <f>E73*E70</f>
        <v>0</v>
      </c>
      <c r="F74" s="352">
        <f>F73*F70</f>
        <v>0</v>
      </c>
    </row>
    <row r="75" spans="2:6">
      <c r="B75" s="349" t="str">
        <f>"Equity Value of "&amp;target.name</f>
        <v>Equity Value of Aerial Arts India XXXXXXXXXXXXXXXXX</v>
      </c>
      <c r="C75" s="350"/>
      <c r="D75" s="351">
        <f>SUM(D74,D$24:D$25)</f>
        <v>-20</v>
      </c>
      <c r="E75" s="351">
        <f>SUM(E74,E$24:E$25)</f>
        <v>-20</v>
      </c>
      <c r="F75" s="352">
        <f>SUM(F74,F$24:F$25)</f>
        <v>-20</v>
      </c>
    </row>
    <row r="76" spans="2:6">
      <c r="D76" s="289"/>
      <c r="E76" s="289"/>
      <c r="F76" s="289"/>
    </row>
    <row r="77" spans="2:6">
      <c r="B77" s="368" t="s">
        <v>213</v>
      </c>
      <c r="C77" s="364"/>
      <c r="D77" s="365" t="s">
        <v>215</v>
      </c>
      <c r="E77" s="365" t="s">
        <v>2245</v>
      </c>
      <c r="F77" s="366" t="s">
        <v>216</v>
      </c>
    </row>
    <row r="78" spans="2:6">
      <c r="B78" s="361" t="str">
        <f>B20</f>
        <v>Discounted Cash Flow analysis</v>
      </c>
      <c r="D78" s="362" t="e">
        <f ca="1">D20</f>
        <v>#NAME?</v>
      </c>
      <c r="E78" s="362" t="e">
        <f ca="1">F78-D78</f>
        <v>#NAME?</v>
      </c>
      <c r="F78" s="363" t="e">
        <f ca="1">F20</f>
        <v>#NAME?</v>
      </c>
    </row>
    <row r="79" spans="2:6">
      <c r="B79" s="361" t="str">
        <f>B21</f>
        <v>Guideline Public Company Method</v>
      </c>
      <c r="D79" s="362">
        <f>D21</f>
        <v>0</v>
      </c>
      <c r="E79" s="362">
        <f>F79-D79</f>
        <v>0</v>
      </c>
      <c r="F79" s="363">
        <f>F21</f>
        <v>0</v>
      </c>
    </row>
    <row r="80" spans="2:6">
      <c r="B80" s="361" t="str">
        <f>B22</f>
        <v>Guideline Transaction Method</v>
      </c>
      <c r="D80" s="362">
        <f>D22</f>
        <v>0</v>
      </c>
      <c r="E80" s="362">
        <f>F80-D80</f>
        <v>0</v>
      </c>
      <c r="F80" s="363">
        <f>F22</f>
        <v>0</v>
      </c>
    </row>
    <row r="81" spans="2:6">
      <c r="B81" s="1765" t="s">
        <v>2621</v>
      </c>
      <c r="C81" s="1573"/>
      <c r="D81" s="1763" t="s">
        <v>1450</v>
      </c>
      <c r="E81" s="1763" t="s">
        <v>1450</v>
      </c>
      <c r="F81" s="1764" t="s">
        <v>1450</v>
      </c>
    </row>
    <row r="82" spans="2:6">
      <c r="B82" s="1765" t="s">
        <v>2620</v>
      </c>
      <c r="C82" s="1573"/>
      <c r="D82" s="1763" t="s">
        <v>1450</v>
      </c>
      <c r="E82" s="1763" t="s">
        <v>1450</v>
      </c>
      <c r="F82" s="1764" t="s">
        <v>1450</v>
      </c>
    </row>
    <row r="83" spans="2:6">
      <c r="B83" s="1765" t="s">
        <v>2949</v>
      </c>
      <c r="C83" s="1573"/>
      <c r="D83" s="1763" t="s">
        <v>1450</v>
      </c>
      <c r="E83" s="1763" t="s">
        <v>1450</v>
      </c>
      <c r="F83" s="1764" t="s">
        <v>1450</v>
      </c>
    </row>
    <row r="84" spans="2:6">
      <c r="B84" s="1766" t="str">
        <f>B23</f>
        <v>Concluded value range</v>
      </c>
      <c r="C84" s="1767"/>
      <c r="D84" s="1768" t="e">
        <f ca="1">MIN(D78:D83)</f>
        <v>#NAME?</v>
      </c>
      <c r="E84" s="1768" t="e">
        <f ca="1">F84-D84</f>
        <v>#NAME?</v>
      </c>
      <c r="F84" s="1769" t="e">
        <f ca="1">MAX(F78:F83)</f>
        <v>#NAME?</v>
      </c>
    </row>
    <row r="85" spans="2:6">
      <c r="D85" s="289"/>
      <c r="E85" s="289"/>
      <c r="F85" s="289"/>
    </row>
    <row r="86" spans="2:6">
      <c r="B86" s="1668" t="s">
        <v>2893</v>
      </c>
      <c r="C86" s="1669"/>
      <c r="D86" s="1670" t="s">
        <v>215</v>
      </c>
      <c r="E86" s="1670" t="s">
        <v>2016</v>
      </c>
      <c r="F86" s="1671" t="s">
        <v>216</v>
      </c>
    </row>
    <row r="87" spans="2:6">
      <c r="B87" s="246" t="str">
        <f>"Market EV/EBITDA Multiple ("&amp;IS!J7&amp;")"</f>
        <v>Market EV/EBITDA Multiple (FY23)</v>
      </c>
      <c r="D87" s="289"/>
      <c r="E87" s="289"/>
      <c r="F87" s="289"/>
    </row>
    <row r="88" spans="2:6">
      <c r="B88" s="246" t="s">
        <v>2885</v>
      </c>
      <c r="D88" s="289"/>
      <c r="E88" s="289"/>
      <c r="F88" s="289"/>
    </row>
    <row r="89" spans="2:6">
      <c r="B89" s="873" t="s">
        <v>2263</v>
      </c>
      <c r="C89" s="873"/>
      <c r="D89" s="874"/>
      <c r="E89" s="874"/>
      <c r="F89" s="874"/>
    </row>
    <row r="90" spans="2:6">
      <c r="B90" s="246" t="s">
        <v>2887</v>
      </c>
      <c r="D90" s="289"/>
      <c r="E90" s="289"/>
      <c r="F90" s="289"/>
    </row>
    <row r="91" spans="2:6">
      <c r="B91" s="246" t="s">
        <v>2888</v>
      </c>
      <c r="D91" s="289"/>
      <c r="E91" s="289"/>
      <c r="F91" s="289"/>
    </row>
    <row r="92" spans="2:6">
      <c r="B92" s="246" t="s">
        <v>2886</v>
      </c>
      <c r="D92" s="289"/>
      <c r="E92" s="289"/>
      <c r="F92" s="289"/>
    </row>
    <row r="93" spans="2:6">
      <c r="B93" s="873" t="s">
        <v>2892</v>
      </c>
      <c r="C93" s="873"/>
      <c r="D93" s="874"/>
      <c r="E93" s="874"/>
      <c r="F93" s="874"/>
    </row>
    <row r="94" spans="2:6">
      <c r="B94" s="246" t="s">
        <v>2889</v>
      </c>
      <c r="D94" s="289"/>
      <c r="E94" s="289"/>
      <c r="F94" s="289"/>
    </row>
    <row r="95" spans="2:6">
      <c r="B95" s="246" t="s">
        <v>2890</v>
      </c>
      <c r="D95" s="289"/>
      <c r="E95" s="289"/>
      <c r="F95" s="289"/>
    </row>
    <row r="96" spans="2:6">
      <c r="B96" s="246" t="s">
        <v>2891</v>
      </c>
      <c r="D96" s="289"/>
      <c r="E96" s="289"/>
      <c r="F96" s="289"/>
    </row>
    <row r="97" spans="4:6">
      <c r="D97" s="289"/>
      <c r="E97" s="289"/>
      <c r="F97" s="289"/>
    </row>
    <row r="98" spans="4:6">
      <c r="D98" s="289"/>
      <c r="E98" s="289"/>
      <c r="F98" s="289"/>
    </row>
    <row r="99" spans="4:6">
      <c r="D99" s="289"/>
      <c r="E99" s="289"/>
      <c r="F99" s="289"/>
    </row>
    <row r="100" spans="4:6">
      <c r="D100" s="289"/>
      <c r="E100" s="289"/>
      <c r="F100" s="289"/>
    </row>
    <row r="101" spans="4:6">
      <c r="D101" s="289"/>
      <c r="E101" s="289"/>
      <c r="F101" s="289"/>
    </row>
    <row r="102" spans="4:6">
      <c r="D102" s="289"/>
      <c r="E102" s="289"/>
      <c r="F102" s="289"/>
    </row>
    <row r="103" spans="4:6">
      <c r="D103" s="289"/>
      <c r="E103" s="289"/>
      <c r="F103" s="289"/>
    </row>
    <row r="104" spans="4:6">
      <c r="D104" s="289"/>
      <c r="E104" s="289"/>
      <c r="F104" s="289"/>
    </row>
    <row r="105" spans="4:6">
      <c r="D105" s="289"/>
      <c r="E105" s="289"/>
      <c r="F105" s="289"/>
    </row>
    <row r="106" spans="4:6">
      <c r="D106" s="289"/>
      <c r="E106" s="289"/>
      <c r="F106" s="289"/>
    </row>
    <row r="107" spans="4:6">
      <c r="D107" s="289"/>
      <c r="E107" s="289"/>
      <c r="F107" s="289"/>
    </row>
    <row r="108" spans="4:6">
      <c r="D108" s="289"/>
      <c r="E108" s="289"/>
      <c r="F108" s="289"/>
    </row>
    <row r="109" spans="4:6">
      <c r="D109" s="289"/>
      <c r="E109" s="289"/>
      <c r="F109" s="289"/>
    </row>
    <row r="110" spans="4:6">
      <c r="D110" s="289"/>
      <c r="E110" s="289"/>
      <c r="F110" s="289"/>
    </row>
    <row r="111" spans="4:6">
      <c r="D111" s="289"/>
      <c r="E111" s="289"/>
      <c r="F111" s="289"/>
    </row>
    <row r="112" spans="4:6">
      <c r="D112" s="289"/>
      <c r="E112" s="289"/>
      <c r="F112" s="289"/>
    </row>
    <row r="113" spans="4:6">
      <c r="D113" s="289"/>
      <c r="E113" s="289"/>
      <c r="F113" s="289"/>
    </row>
    <row r="114" spans="4:6">
      <c r="D114" s="289"/>
      <c r="E114" s="289"/>
      <c r="F114" s="289"/>
    </row>
    <row r="115" spans="4:6">
      <c r="D115" s="289"/>
      <c r="E115" s="289"/>
      <c r="F115" s="289"/>
    </row>
    <row r="116" spans="4:6">
      <c r="D116" s="289"/>
      <c r="E116" s="289"/>
      <c r="F116" s="289"/>
    </row>
    <row r="117" spans="4:6">
      <c r="D117" s="289"/>
      <c r="E117" s="289"/>
      <c r="F117" s="289"/>
    </row>
    <row r="118" spans="4:6">
      <c r="D118" s="289"/>
      <c r="E118" s="289"/>
      <c r="F118" s="289"/>
    </row>
    <row r="119" spans="4:6">
      <c r="D119" s="289"/>
      <c r="E119" s="289"/>
      <c r="F119" s="289"/>
    </row>
    <row r="120" spans="4:6">
      <c r="D120" s="289"/>
      <c r="E120" s="289"/>
      <c r="F120" s="289"/>
    </row>
    <row r="121" spans="4:6">
      <c r="D121" s="289"/>
      <c r="E121" s="289"/>
      <c r="F121" s="289"/>
    </row>
    <row r="122" spans="4:6">
      <c r="D122" s="289"/>
      <c r="E122" s="289"/>
      <c r="F122" s="289"/>
    </row>
    <row r="123" spans="4:6">
      <c r="D123" s="289"/>
      <c r="E123" s="289"/>
      <c r="F123" s="289"/>
    </row>
    <row r="124" spans="4:6">
      <c r="D124" s="289"/>
      <c r="E124" s="289"/>
      <c r="F124" s="289"/>
    </row>
    <row r="125" spans="4:6">
      <c r="D125" s="289"/>
      <c r="E125" s="289"/>
      <c r="F125" s="289"/>
    </row>
    <row r="126" spans="4:6">
      <c r="D126" s="289"/>
      <c r="E126" s="289"/>
      <c r="F126" s="289"/>
    </row>
    <row r="127" spans="4:6">
      <c r="D127" s="289"/>
      <c r="E127" s="289"/>
      <c r="F127" s="289"/>
    </row>
    <row r="128" spans="4:6">
      <c r="D128" s="289"/>
      <c r="E128" s="289"/>
      <c r="F128" s="289"/>
    </row>
    <row r="129" spans="4:6">
      <c r="D129" s="289"/>
      <c r="E129" s="289"/>
      <c r="F129" s="289"/>
    </row>
    <row r="130" spans="4:6">
      <c r="D130" s="289"/>
      <c r="E130" s="289"/>
      <c r="F130" s="289"/>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ransitionEvaluation="1" codeName="Sheet2">
    <tabColor rgb="FFA8E0B8"/>
    <pageSetUpPr fitToPage="1"/>
  </sheetPr>
  <dimension ref="A2:X82"/>
  <sheetViews>
    <sheetView showGridLines="0" zoomScale="81" zoomScaleNormal="79" zoomScaleSheetLayoutView="80" workbookViewId="0">
      <pane xSplit="7" ySplit="8" topLeftCell="H40" activePane="bottomRight" state="frozen"/>
      <selection activeCell="K26" sqref="K26"/>
      <selection pane="topRight" activeCell="K26" sqref="K26"/>
      <selection pane="bottomLeft" activeCell="K26" sqref="K26"/>
      <selection pane="bottomRight" activeCell="F67" sqref="F67"/>
    </sheetView>
  </sheetViews>
  <sheetFormatPr defaultColWidth="0" defaultRowHeight="10.5" outlineLevelRow="1"/>
  <cols>
    <col min="1" max="1" width="1.61328125" style="433" customWidth="1"/>
    <col min="2" max="2" width="1.921875" style="433" customWidth="1"/>
    <col min="3" max="4" width="2.84375" style="433" customWidth="1"/>
    <col min="5" max="5" width="27.84375" style="433" customWidth="1"/>
    <col min="6" max="6" width="7.84375" style="433" customWidth="1"/>
    <col min="7" max="19" width="9.84375" style="433" customWidth="1"/>
    <col min="20" max="20" width="5.61328125" style="438" bestFit="1" customWidth="1"/>
    <col min="21" max="21" width="9.15234375" style="438" bestFit="1" customWidth="1"/>
    <col min="22" max="22" width="12.84375" style="433" bestFit="1" customWidth="1"/>
    <col min="23" max="23" width="9.84375" style="433" customWidth="1"/>
    <col min="24" max="24" width="0" style="433" hidden="1" customWidth="1"/>
    <col min="25" max="16384" width="9.84375" style="433" hidden="1"/>
  </cols>
  <sheetData>
    <row r="2" spans="2:22">
      <c r="B2" s="245" t="str">
        <f>Inputs!B2</f>
        <v>Valify - UAE Valuation Services</v>
      </c>
      <c r="C2" s="246"/>
      <c r="D2" s="246"/>
      <c r="E2" s="246"/>
      <c r="F2" s="246"/>
      <c r="G2" s="246"/>
      <c r="H2" s="246"/>
      <c r="I2" s="246"/>
      <c r="J2" s="246"/>
      <c r="K2" s="246"/>
      <c r="L2" s="246"/>
      <c r="M2" s="246"/>
      <c r="N2" s="246"/>
      <c r="O2" s="246"/>
      <c r="P2" s="246"/>
      <c r="Q2" s="246"/>
      <c r="R2" s="246"/>
      <c r="S2" s="246"/>
      <c r="T2" s="432"/>
      <c r="U2" s="432"/>
    </row>
    <row r="3" spans="2:22" ht="12" customHeight="1">
      <c r="B3" s="247" t="str">
        <f>Inputs!$B$3</f>
        <v>Aerial Arts India XXXXXXXXXXXXXXXXX - Self Valuation using DCF Method, Transaction Multiples Method, &amp; Market Multiples Method as at September 30, 2024</v>
      </c>
      <c r="C3" s="246"/>
      <c r="D3" s="246"/>
      <c r="E3" s="246"/>
      <c r="F3" s="246"/>
      <c r="G3" s="246"/>
      <c r="H3" s="246"/>
      <c r="I3" s="246"/>
      <c r="J3" s="246"/>
      <c r="K3" s="246"/>
      <c r="L3" s="246"/>
      <c r="M3" s="246"/>
      <c r="N3" s="246"/>
      <c r="O3" s="246"/>
      <c r="P3" s="246"/>
      <c r="Q3" s="246"/>
      <c r="R3" s="246"/>
      <c r="S3" s="246"/>
      <c r="T3" s="432"/>
      <c r="U3" s="432"/>
    </row>
    <row r="4" spans="2:22" ht="12" customHeight="1">
      <c r="B4" s="248" t="s">
        <v>1972</v>
      </c>
      <c r="C4" s="246"/>
      <c r="D4" s="246"/>
      <c r="E4" s="246"/>
      <c r="F4" s="246"/>
      <c r="G4" s="246"/>
      <c r="H4" s="246"/>
      <c r="I4" s="246"/>
      <c r="J4" s="246"/>
      <c r="K4" s="246"/>
      <c r="L4" s="246"/>
      <c r="M4" s="246"/>
      <c r="N4" s="246"/>
      <c r="O4" s="246"/>
      <c r="P4" s="246"/>
      <c r="Q4" s="246"/>
      <c r="R4" s="246"/>
      <c r="S4" s="246"/>
      <c r="T4" s="432"/>
      <c r="U4" s="432"/>
    </row>
    <row r="5" spans="2:22" s="435" customFormat="1" ht="11" thickBot="1">
      <c r="B5" s="249"/>
      <c r="C5" s="249"/>
      <c r="D5" s="249"/>
      <c r="E5" s="249"/>
      <c r="F5" s="249"/>
      <c r="G5" s="249"/>
      <c r="H5" s="249"/>
      <c r="I5" s="249"/>
      <c r="J5" s="249"/>
      <c r="K5" s="249"/>
      <c r="L5" s="249"/>
      <c r="M5" s="249"/>
      <c r="N5" s="249"/>
      <c r="O5" s="249"/>
      <c r="P5" s="249"/>
      <c r="Q5" s="249"/>
      <c r="R5" s="249"/>
      <c r="S5" s="249"/>
      <c r="T5" s="434"/>
      <c r="U5" s="432"/>
    </row>
    <row r="6" spans="2:22" ht="11" thickTop="1">
      <c r="C6" s="436"/>
      <c r="M6" s="437">
        <v>1</v>
      </c>
      <c r="N6" s="437">
        <v>1</v>
      </c>
      <c r="O6" s="437">
        <v>1</v>
      </c>
      <c r="P6" s="437">
        <v>1</v>
      </c>
      <c r="Q6" s="437">
        <v>1</v>
      </c>
      <c r="R6" s="437">
        <v>1</v>
      </c>
    </row>
    <row r="7" spans="2:22">
      <c r="C7" s="464" t="str">
        <f>IS_Calcs!C7</f>
        <v>All amounts in USD 'Units</v>
      </c>
      <c r="D7" s="465"/>
      <c r="E7" s="465"/>
      <c r="F7" s="465"/>
      <c r="G7" s="299" t="s">
        <v>1955</v>
      </c>
      <c r="H7" s="299" t="str">
        <f>IS_Calcs!H7</f>
        <v>FY21</v>
      </c>
      <c r="I7" s="299" t="str">
        <f>IS_Calcs!I7</f>
        <v>FY22</v>
      </c>
      <c r="J7" s="299" t="str">
        <f>IS_Calcs!J7</f>
        <v>FY23</v>
      </c>
      <c r="K7" s="299" t="str">
        <f>IS_Calcs!K7</f>
        <v>YTD24</v>
      </c>
      <c r="L7" s="299" t="str">
        <f>IS_Calcs!L7</f>
        <v>YTG24</v>
      </c>
      <c r="M7" s="299" t="str">
        <f>IS_Calcs!M7</f>
        <v>FY24</v>
      </c>
      <c r="N7" s="299" t="str">
        <f>IS_Calcs!N7</f>
        <v>FY25</v>
      </c>
      <c r="O7" s="299" t="str">
        <f>IS_Calcs!O7</f>
        <v>FY26</v>
      </c>
      <c r="P7" s="299" t="str">
        <f>IS_Calcs!P7</f>
        <v>FY27</v>
      </c>
      <c r="Q7" s="299" t="str">
        <f>IS_Calcs!Q7</f>
        <v>FY28</v>
      </c>
      <c r="R7" s="485" t="str">
        <f>IS_Calcs!R7</f>
        <v>FY29</v>
      </c>
    </row>
    <row r="8" spans="2:22">
      <c r="C8" s="468"/>
      <c r="D8" s="251"/>
      <c r="E8" s="251"/>
      <c r="F8" s="251"/>
      <c r="G8" s="251"/>
      <c r="H8" s="252" t="str">
        <f>IS_Calcs!H8</f>
        <v>Actual</v>
      </c>
      <c r="I8" s="252" t="str">
        <f>IS_Calcs!I8</f>
        <v>Actual</v>
      </c>
      <c r="J8" s="252" t="str">
        <f>IS_Calcs!J8</f>
        <v>Actual</v>
      </c>
      <c r="K8" s="252" t="str">
        <f>IS_Calcs!K8</f>
        <v>Actual</v>
      </c>
      <c r="L8" s="252" t="str">
        <f>IS_Calcs!L8</f>
        <v>Estimate</v>
      </c>
      <c r="M8" s="252" t="str">
        <f>IS_Calcs!M8</f>
        <v>Estimate</v>
      </c>
      <c r="N8" s="252" t="str">
        <f>IS_Calcs!N8</f>
        <v>Estimate</v>
      </c>
      <c r="O8" s="252" t="str">
        <f>IS_Calcs!O8</f>
        <v>Forecast</v>
      </c>
      <c r="P8" s="252" t="str">
        <f>IS_Calcs!P8</f>
        <v>Forecast</v>
      </c>
      <c r="Q8" s="252" t="str">
        <f>IS_Calcs!Q8</f>
        <v>Forecast</v>
      </c>
      <c r="R8" s="486" t="str">
        <f>IS_Calcs!R8</f>
        <v>Forecast</v>
      </c>
      <c r="T8" s="458" t="s">
        <v>2012</v>
      </c>
      <c r="U8" s="439" t="s">
        <v>2283</v>
      </c>
      <c r="V8" s="440" t="s">
        <v>2282</v>
      </c>
    </row>
    <row r="9" spans="2:22">
      <c r="C9" s="1459"/>
      <c r="D9" s="455"/>
      <c r="E9" s="455"/>
      <c r="F9" s="455"/>
      <c r="G9" s="455"/>
      <c r="H9" s="455"/>
      <c r="I9" s="455"/>
      <c r="J9" s="455"/>
      <c r="K9" s="455"/>
      <c r="L9" s="455"/>
      <c r="M9" s="455"/>
      <c r="N9" s="455"/>
      <c r="O9" s="455"/>
      <c r="P9" s="455"/>
      <c r="Q9" s="455"/>
      <c r="R9" s="1460"/>
      <c r="T9" s="459"/>
      <c r="U9" s="441"/>
      <c r="V9" s="442"/>
    </row>
    <row r="10" spans="2:22" outlineLevel="1">
      <c r="C10" s="1459" t="s">
        <v>1650</v>
      </c>
      <c r="D10" s="455"/>
      <c r="E10" s="455"/>
      <c r="F10" s="455"/>
      <c r="G10" s="455"/>
      <c r="H10" s="455"/>
      <c r="I10" s="455"/>
      <c r="J10" s="455"/>
      <c r="K10" s="455"/>
      <c r="L10" s="455"/>
      <c r="M10" s="455"/>
      <c r="N10" s="455"/>
      <c r="O10" s="455"/>
      <c r="P10" s="455"/>
      <c r="Q10" s="455"/>
      <c r="R10" s="1460"/>
      <c r="T10" s="459"/>
      <c r="U10" s="441"/>
      <c r="V10" s="442"/>
    </row>
    <row r="11" spans="2:22" outlineLevel="1">
      <c r="C11" s="1455"/>
      <c r="D11" s="455" t="str">
        <f>IS_Calcs!D18</f>
        <v>Existing Aerial Arts</v>
      </c>
      <c r="E11" s="455"/>
      <c r="F11" s="455"/>
      <c r="G11" s="455"/>
      <c r="H11" s="932">
        <f>IS_Calcs!H46</f>
        <v>0</v>
      </c>
      <c r="I11" s="932">
        <f>IS_Calcs!I46</f>
        <v>0</v>
      </c>
      <c r="J11" s="932">
        <f>IS_Calcs!J46</f>
        <v>0</v>
      </c>
      <c r="K11" s="932">
        <f>IS_Calcs!K46</f>
        <v>0</v>
      </c>
      <c r="L11" s="932">
        <f>IS_Calcs!L46</f>
        <v>0</v>
      </c>
      <c r="M11" s="932">
        <f>IS_Calcs!M46</f>
        <v>0</v>
      </c>
      <c r="N11" s="932">
        <f>IS_Calcs!N46</f>
        <v>0</v>
      </c>
      <c r="O11" s="932">
        <f>IS_Calcs!O46</f>
        <v>0</v>
      </c>
      <c r="P11" s="932">
        <f>IS_Calcs!P46</f>
        <v>0</v>
      </c>
      <c r="Q11" s="932">
        <f>IS_Calcs!Q46</f>
        <v>0</v>
      </c>
      <c r="R11" s="933">
        <f>IS_Calcs!R46</f>
        <v>0</v>
      </c>
      <c r="T11" s="459" t="str">
        <f>IFERROR((R11/M11)^(1/5)-1,"-")</f>
        <v>-</v>
      </c>
      <c r="U11" s="441" t="str">
        <f t="shared" ref="U11:U40" si="0">IFERROR(IF(K11+L11=M11,"OK","VARIANCE"),"")</f>
        <v>OK</v>
      </c>
      <c r="V11" s="442">
        <f t="shared" ref="V11:V42" si="1">(K11/ytd.months)*12</f>
        <v>0</v>
      </c>
    </row>
    <row r="12" spans="2:22" outlineLevel="1">
      <c r="C12" s="1455"/>
      <c r="D12" s="455" t="str">
        <f>IS_Calcs!D19</f>
        <v>Existing Pole Dance</v>
      </c>
      <c r="E12" s="455"/>
      <c r="F12" s="455"/>
      <c r="G12" s="455"/>
      <c r="H12" s="932">
        <f>IS_Calcs!H47</f>
        <v>0</v>
      </c>
      <c r="I12" s="932">
        <f>IS_Calcs!I47</f>
        <v>0</v>
      </c>
      <c r="J12" s="932">
        <f>IS_Calcs!J47</f>
        <v>0</v>
      </c>
      <c r="K12" s="932">
        <f>IS_Calcs!K47</f>
        <v>0</v>
      </c>
      <c r="L12" s="932">
        <f>IS_Calcs!L47</f>
        <v>0</v>
      </c>
      <c r="M12" s="932">
        <f>IS_Calcs!M47</f>
        <v>0</v>
      </c>
      <c r="N12" s="932">
        <f>IS_Calcs!N47</f>
        <v>0</v>
      </c>
      <c r="O12" s="932">
        <f>IS_Calcs!O47</f>
        <v>0</v>
      </c>
      <c r="P12" s="932">
        <f>IS_Calcs!P47</f>
        <v>0</v>
      </c>
      <c r="Q12" s="932">
        <f>IS_Calcs!Q47</f>
        <v>0</v>
      </c>
      <c r="R12" s="933">
        <f>IS_Calcs!R47</f>
        <v>0</v>
      </c>
      <c r="T12" s="459" t="str">
        <f>IFERROR((R12/M12)^(1/5)-1,"-")</f>
        <v>-</v>
      </c>
      <c r="U12" s="441" t="str">
        <f t="shared" si="0"/>
        <v>OK</v>
      </c>
      <c r="V12" s="442">
        <f t="shared" si="1"/>
        <v>0</v>
      </c>
    </row>
    <row r="13" spans="2:22" outlineLevel="1">
      <c r="C13" s="1455"/>
      <c r="D13" s="455" t="str">
        <f>IS_Calcs!D20</f>
        <v>Existing Stretching</v>
      </c>
      <c r="E13" s="455"/>
      <c r="F13" s="455"/>
      <c r="G13" s="455"/>
      <c r="H13" s="932">
        <f>IS_Calcs!H48</f>
        <v>0</v>
      </c>
      <c r="I13" s="932">
        <f>IS_Calcs!I48</f>
        <v>0</v>
      </c>
      <c r="J13" s="932">
        <f>IS_Calcs!J48</f>
        <v>0</v>
      </c>
      <c r="K13" s="932">
        <f>IS_Calcs!K48</f>
        <v>0</v>
      </c>
      <c r="L13" s="932">
        <f>IS_Calcs!L48</f>
        <v>0</v>
      </c>
      <c r="M13" s="932">
        <f>IS_Calcs!M48</f>
        <v>0</v>
      </c>
      <c r="N13" s="932">
        <f>IS_Calcs!N48</f>
        <v>0</v>
      </c>
      <c r="O13" s="932">
        <f>IS_Calcs!O48</f>
        <v>0</v>
      </c>
      <c r="P13" s="932">
        <f>IS_Calcs!P48</f>
        <v>0</v>
      </c>
      <c r="Q13" s="932">
        <f>IS_Calcs!Q48</f>
        <v>0</v>
      </c>
      <c r="R13" s="933">
        <f>IS_Calcs!R48</f>
        <v>0</v>
      </c>
      <c r="T13" s="459" t="str">
        <f t="shared" ref="T13:T68" si="2">IFERROR((R13/M13)^(1/5)-1,"-")</f>
        <v>-</v>
      </c>
      <c r="U13" s="441" t="str">
        <f t="shared" si="0"/>
        <v>OK</v>
      </c>
      <c r="V13" s="442">
        <f t="shared" si="1"/>
        <v>0</v>
      </c>
    </row>
    <row r="14" spans="2:22" outlineLevel="1">
      <c r="C14" s="1455"/>
      <c r="D14" s="455" t="str">
        <f>IS_Calcs!D21</f>
        <v>Existing NA</v>
      </c>
      <c r="E14" s="455"/>
      <c r="F14" s="455"/>
      <c r="G14" s="455"/>
      <c r="H14" s="932">
        <f>IS_Calcs!H49</f>
        <v>0</v>
      </c>
      <c r="I14" s="932">
        <f>IS_Calcs!I49</f>
        <v>0</v>
      </c>
      <c r="J14" s="932">
        <f>IS_Calcs!J49</f>
        <v>0</v>
      </c>
      <c r="K14" s="932">
        <f>IS_Calcs!K49</f>
        <v>0</v>
      </c>
      <c r="L14" s="932">
        <f>IS_Calcs!L49</f>
        <v>0</v>
      </c>
      <c r="M14" s="932">
        <f>IS_Calcs!M49</f>
        <v>0</v>
      </c>
      <c r="N14" s="932">
        <f>IS_Calcs!N49</f>
        <v>0</v>
      </c>
      <c r="O14" s="932">
        <f>IS_Calcs!O49</f>
        <v>0</v>
      </c>
      <c r="P14" s="932">
        <f>IS_Calcs!P49</f>
        <v>0</v>
      </c>
      <c r="Q14" s="932">
        <f>IS_Calcs!Q49</f>
        <v>0</v>
      </c>
      <c r="R14" s="933">
        <f>IS_Calcs!R49</f>
        <v>0</v>
      </c>
      <c r="T14" s="459" t="str">
        <f t="shared" si="2"/>
        <v>-</v>
      </c>
      <c r="U14" s="441" t="str">
        <f t="shared" si="0"/>
        <v>OK</v>
      </c>
      <c r="V14" s="442">
        <f t="shared" si="1"/>
        <v>0</v>
      </c>
    </row>
    <row r="15" spans="2:22" outlineLevel="1">
      <c r="C15" s="1455"/>
      <c r="D15" s="455" t="str">
        <f>IS_Calcs!D22</f>
        <v>Pipeline Corporate Clients</v>
      </c>
      <c r="E15" s="455"/>
      <c r="F15" s="455"/>
      <c r="G15" s="455"/>
      <c r="H15" s="932">
        <f>IS_Calcs!H54</f>
        <v>0</v>
      </c>
      <c r="I15" s="932">
        <f>IS_Calcs!I54</f>
        <v>0</v>
      </c>
      <c r="J15" s="932">
        <f>IS_Calcs!J54</f>
        <v>0</v>
      </c>
      <c r="K15" s="932">
        <f>IS_Calcs!K54</f>
        <v>0</v>
      </c>
      <c r="L15" s="932">
        <f>IS_Calcs!L54</f>
        <v>0</v>
      </c>
      <c r="M15" s="932">
        <f>IS_Calcs!M54</f>
        <v>0</v>
      </c>
      <c r="N15" s="932">
        <f>IS_Calcs!N54</f>
        <v>0</v>
      </c>
      <c r="O15" s="932">
        <f>IS_Calcs!O54</f>
        <v>0</v>
      </c>
      <c r="P15" s="932">
        <f>IS_Calcs!P54</f>
        <v>0</v>
      </c>
      <c r="Q15" s="932">
        <f>IS_Calcs!Q54</f>
        <v>0</v>
      </c>
      <c r="R15" s="933">
        <f>IS_Calcs!R54</f>
        <v>0</v>
      </c>
      <c r="T15" s="459" t="str">
        <f t="shared" si="2"/>
        <v>-</v>
      </c>
      <c r="U15" s="441" t="str">
        <f t="shared" si="0"/>
        <v>OK</v>
      </c>
      <c r="V15" s="442">
        <f t="shared" si="1"/>
        <v>0</v>
      </c>
    </row>
    <row r="16" spans="2:22" outlineLevel="1">
      <c r="C16" s="1455"/>
      <c r="D16" s="455" t="str">
        <f>IS_Calcs!D23</f>
        <v>Pipeline NA</v>
      </c>
      <c r="E16" s="455"/>
      <c r="F16" s="455"/>
      <c r="G16" s="455"/>
      <c r="H16" s="932">
        <f>IS_Calcs!H55</f>
        <v>0</v>
      </c>
      <c r="I16" s="932">
        <f>IS_Calcs!I55</f>
        <v>0</v>
      </c>
      <c r="J16" s="932">
        <f>IS_Calcs!J55</f>
        <v>0</v>
      </c>
      <c r="K16" s="932">
        <f>IS_Calcs!K55</f>
        <v>0</v>
      </c>
      <c r="L16" s="932">
        <f>IS_Calcs!L55</f>
        <v>0</v>
      </c>
      <c r="M16" s="932">
        <f>IS_Calcs!M55</f>
        <v>0</v>
      </c>
      <c r="N16" s="932">
        <f>IS_Calcs!N55</f>
        <v>0</v>
      </c>
      <c r="O16" s="932">
        <f>IS_Calcs!O55</f>
        <v>0</v>
      </c>
      <c r="P16" s="932">
        <f>IS_Calcs!P55</f>
        <v>0</v>
      </c>
      <c r="Q16" s="932">
        <f>IS_Calcs!Q55</f>
        <v>0</v>
      </c>
      <c r="R16" s="933">
        <f>IS_Calcs!R55</f>
        <v>0</v>
      </c>
      <c r="T16" s="459" t="str">
        <f t="shared" si="2"/>
        <v>-</v>
      </c>
      <c r="U16" s="441" t="str">
        <f t="shared" si="0"/>
        <v>OK</v>
      </c>
      <c r="V16" s="442">
        <f t="shared" si="1"/>
        <v>0</v>
      </c>
    </row>
    <row r="17" spans="3:22" outlineLevel="1">
      <c r="C17" s="1455"/>
      <c r="D17" s="455" t="str">
        <f>IS_Calcs!D24</f>
        <v>Pipeline NA</v>
      </c>
      <c r="E17" s="455"/>
      <c r="F17" s="455"/>
      <c r="G17" s="455"/>
      <c r="H17" s="932">
        <f>IS_Calcs!H56</f>
        <v>0</v>
      </c>
      <c r="I17" s="932">
        <f>IS_Calcs!I56</f>
        <v>0</v>
      </c>
      <c r="J17" s="932">
        <f>IS_Calcs!J56</f>
        <v>0</v>
      </c>
      <c r="K17" s="932">
        <f>IS_Calcs!K56</f>
        <v>0</v>
      </c>
      <c r="L17" s="932">
        <f>IS_Calcs!L56</f>
        <v>0</v>
      </c>
      <c r="M17" s="932">
        <f>IS_Calcs!M56</f>
        <v>0</v>
      </c>
      <c r="N17" s="932">
        <f>IS_Calcs!N56</f>
        <v>0</v>
      </c>
      <c r="O17" s="932">
        <f>IS_Calcs!O56</f>
        <v>0</v>
      </c>
      <c r="P17" s="932">
        <f>IS_Calcs!P56</f>
        <v>0</v>
      </c>
      <c r="Q17" s="932">
        <f>IS_Calcs!Q56</f>
        <v>0</v>
      </c>
      <c r="R17" s="933">
        <f>IS_Calcs!R56</f>
        <v>0</v>
      </c>
      <c r="T17" s="459" t="str">
        <f t="shared" si="2"/>
        <v>-</v>
      </c>
      <c r="U17" s="441" t="str">
        <f t="shared" si="0"/>
        <v>OK</v>
      </c>
      <c r="V17" s="442">
        <f t="shared" si="1"/>
        <v>0</v>
      </c>
    </row>
    <row r="18" spans="3:22" outlineLevel="1">
      <c r="C18" s="1455"/>
      <c r="D18" s="455" t="str">
        <f>IS_Calcs!D25</f>
        <v>Pipeline NA</v>
      </c>
      <c r="E18" s="455"/>
      <c r="F18" s="455"/>
      <c r="G18" s="455"/>
      <c r="H18" s="932">
        <f>IS_Calcs!H57</f>
        <v>0</v>
      </c>
      <c r="I18" s="932">
        <f>IS_Calcs!I57</f>
        <v>0</v>
      </c>
      <c r="J18" s="932">
        <f>IS_Calcs!J57</f>
        <v>0</v>
      </c>
      <c r="K18" s="932">
        <f>IS_Calcs!K57</f>
        <v>0</v>
      </c>
      <c r="L18" s="932">
        <f>IS_Calcs!L57</f>
        <v>0</v>
      </c>
      <c r="M18" s="932">
        <f>IS_Calcs!M57</f>
        <v>0</v>
      </c>
      <c r="N18" s="932">
        <f>IS_Calcs!N57</f>
        <v>0</v>
      </c>
      <c r="O18" s="932">
        <f>IS_Calcs!O57</f>
        <v>0</v>
      </c>
      <c r="P18" s="932">
        <f>IS_Calcs!P57</f>
        <v>0</v>
      </c>
      <c r="Q18" s="932">
        <f>IS_Calcs!Q57</f>
        <v>0</v>
      </c>
      <c r="R18" s="933">
        <f>IS_Calcs!R57</f>
        <v>0</v>
      </c>
      <c r="T18" s="459" t="str">
        <f t="shared" si="2"/>
        <v>-</v>
      </c>
      <c r="U18" s="441" t="str">
        <f t="shared" si="0"/>
        <v>OK</v>
      </c>
      <c r="V18" s="442">
        <f t="shared" si="1"/>
        <v>0</v>
      </c>
    </row>
    <row r="19" spans="3:22" outlineLevel="1">
      <c r="C19" s="1455"/>
      <c r="D19" s="455" t="str">
        <f>IS_Calcs!D26</f>
        <v>Potential Business Events</v>
      </c>
      <c r="E19" s="455"/>
      <c r="F19" s="455"/>
      <c r="G19" s="455"/>
      <c r="H19" s="932">
        <f>IS_Calcs!H62</f>
        <v>0</v>
      </c>
      <c r="I19" s="932">
        <f>IS_Calcs!I62</f>
        <v>0</v>
      </c>
      <c r="J19" s="932">
        <f>IS_Calcs!J62</f>
        <v>0</v>
      </c>
      <c r="K19" s="932">
        <f>IS_Calcs!K62</f>
        <v>0</v>
      </c>
      <c r="L19" s="932">
        <f>IS_Calcs!L62</f>
        <v>0</v>
      </c>
      <c r="M19" s="932">
        <f>IS_Calcs!M62</f>
        <v>0</v>
      </c>
      <c r="N19" s="932">
        <f>IS_Calcs!N62</f>
        <v>0</v>
      </c>
      <c r="O19" s="932">
        <f>IS_Calcs!O62</f>
        <v>0</v>
      </c>
      <c r="P19" s="932">
        <f>IS_Calcs!P62</f>
        <v>0</v>
      </c>
      <c r="Q19" s="932">
        <f>IS_Calcs!Q62</f>
        <v>0</v>
      </c>
      <c r="R19" s="933">
        <f>IS_Calcs!R62</f>
        <v>0</v>
      </c>
      <c r="T19" s="459" t="str">
        <f t="shared" si="2"/>
        <v>-</v>
      </c>
      <c r="U19" s="441" t="str">
        <f t="shared" si="0"/>
        <v>OK</v>
      </c>
      <c r="V19" s="442">
        <f t="shared" si="1"/>
        <v>0</v>
      </c>
    </row>
    <row r="20" spans="3:22" outlineLevel="1">
      <c r="C20" s="1455"/>
      <c r="D20" s="455" t="str">
        <f>IS_Calcs!D27</f>
        <v>Potential NA</v>
      </c>
      <c r="E20" s="455"/>
      <c r="F20" s="455"/>
      <c r="G20" s="455"/>
      <c r="H20" s="932">
        <f>IS_Calcs!H63</f>
        <v>0</v>
      </c>
      <c r="I20" s="932">
        <f>IS_Calcs!I63</f>
        <v>0</v>
      </c>
      <c r="J20" s="932">
        <f>IS_Calcs!J63</f>
        <v>0</v>
      </c>
      <c r="K20" s="932">
        <f>IS_Calcs!K63</f>
        <v>0</v>
      </c>
      <c r="L20" s="932">
        <f>IS_Calcs!L63</f>
        <v>0</v>
      </c>
      <c r="M20" s="932">
        <f>IS_Calcs!M63</f>
        <v>0</v>
      </c>
      <c r="N20" s="932">
        <f>IS_Calcs!N63</f>
        <v>0</v>
      </c>
      <c r="O20" s="932">
        <f>IS_Calcs!O63</f>
        <v>0</v>
      </c>
      <c r="P20" s="932">
        <f>IS_Calcs!P63</f>
        <v>0</v>
      </c>
      <c r="Q20" s="932">
        <f>IS_Calcs!Q63</f>
        <v>0</v>
      </c>
      <c r="R20" s="933">
        <f>IS_Calcs!R63</f>
        <v>0</v>
      </c>
      <c r="T20" s="459" t="str">
        <f t="shared" si="2"/>
        <v>-</v>
      </c>
      <c r="U20" s="441" t="str">
        <f t="shared" si="0"/>
        <v>OK</v>
      </c>
      <c r="V20" s="442">
        <f t="shared" si="1"/>
        <v>0</v>
      </c>
    </row>
    <row r="21" spans="3:22" outlineLevel="1">
      <c r="C21" s="1455"/>
      <c r="D21" s="455" t="str">
        <f>IS_Calcs!D28</f>
        <v>Potential NA</v>
      </c>
      <c r="E21" s="455"/>
      <c r="F21" s="455"/>
      <c r="G21" s="455"/>
      <c r="H21" s="932">
        <f>IS_Calcs!H64</f>
        <v>0</v>
      </c>
      <c r="I21" s="932">
        <f>IS_Calcs!I64</f>
        <v>0</v>
      </c>
      <c r="J21" s="932">
        <f>IS_Calcs!J64</f>
        <v>0</v>
      </c>
      <c r="K21" s="932">
        <f>IS_Calcs!K64</f>
        <v>0</v>
      </c>
      <c r="L21" s="932">
        <f>IS_Calcs!L64</f>
        <v>0</v>
      </c>
      <c r="M21" s="932">
        <f>IS_Calcs!M64</f>
        <v>0</v>
      </c>
      <c r="N21" s="932">
        <f>IS_Calcs!N64</f>
        <v>0</v>
      </c>
      <c r="O21" s="932">
        <f>IS_Calcs!O64</f>
        <v>0</v>
      </c>
      <c r="P21" s="932">
        <f>IS_Calcs!P64</f>
        <v>0</v>
      </c>
      <c r="Q21" s="932">
        <f>IS_Calcs!Q64</f>
        <v>0</v>
      </c>
      <c r="R21" s="933">
        <f>IS_Calcs!R64</f>
        <v>0</v>
      </c>
      <c r="T21" s="459" t="str">
        <f t="shared" si="2"/>
        <v>-</v>
      </c>
      <c r="U21" s="441" t="str">
        <f t="shared" si="0"/>
        <v>OK</v>
      </c>
      <c r="V21" s="442">
        <f t="shared" si="1"/>
        <v>0</v>
      </c>
    </row>
    <row r="22" spans="3:22" outlineLevel="1">
      <c r="C22" s="1455"/>
      <c r="D22" s="455" t="str">
        <f>IS_Calcs!D29</f>
        <v>Potential NA</v>
      </c>
      <c r="E22" s="455"/>
      <c r="F22" s="455"/>
      <c r="G22" s="455"/>
      <c r="H22" s="932">
        <f>IS_Calcs!H65</f>
        <v>0</v>
      </c>
      <c r="I22" s="932">
        <f>IS_Calcs!I65</f>
        <v>0</v>
      </c>
      <c r="J22" s="932">
        <f>IS_Calcs!J65</f>
        <v>0</v>
      </c>
      <c r="K22" s="932">
        <f>IS_Calcs!K65</f>
        <v>0</v>
      </c>
      <c r="L22" s="932">
        <f>IS_Calcs!L65</f>
        <v>0</v>
      </c>
      <c r="M22" s="932">
        <f>IS_Calcs!M65</f>
        <v>0</v>
      </c>
      <c r="N22" s="932">
        <f>IS_Calcs!N65</f>
        <v>0</v>
      </c>
      <c r="O22" s="932">
        <f>IS_Calcs!O65</f>
        <v>0</v>
      </c>
      <c r="P22" s="932">
        <f>IS_Calcs!P65</f>
        <v>0</v>
      </c>
      <c r="Q22" s="932">
        <f>IS_Calcs!Q65</f>
        <v>0</v>
      </c>
      <c r="R22" s="933">
        <f>IS_Calcs!R65</f>
        <v>0</v>
      </c>
      <c r="T22" s="459" t="str">
        <f t="shared" si="2"/>
        <v>-</v>
      </c>
      <c r="U22" s="441" t="str">
        <f t="shared" si="0"/>
        <v>OK</v>
      </c>
      <c r="V22" s="442">
        <f t="shared" si="1"/>
        <v>0</v>
      </c>
    </row>
    <row r="23" spans="3:22">
      <c r="C23" s="1461" t="s">
        <v>2145</v>
      </c>
      <c r="D23" s="443"/>
      <c r="E23" s="443"/>
      <c r="F23" s="443"/>
      <c r="G23" s="443"/>
      <c r="H23" s="444">
        <f t="shared" ref="H23" si="3">SUM(H11:H22)</f>
        <v>0</v>
      </c>
      <c r="I23" s="444">
        <f t="shared" ref="I23:R23" si="4">SUM(I11:I22)</f>
        <v>0</v>
      </c>
      <c r="J23" s="444">
        <f t="shared" si="4"/>
        <v>0</v>
      </c>
      <c r="K23" s="444">
        <f>SUM(K11:K22)</f>
        <v>0</v>
      </c>
      <c r="L23" s="444">
        <f>SUM(L11:L22)</f>
        <v>0</v>
      </c>
      <c r="M23" s="444">
        <f t="shared" si="4"/>
        <v>0</v>
      </c>
      <c r="N23" s="444">
        <f t="shared" si="4"/>
        <v>0</v>
      </c>
      <c r="O23" s="444">
        <f t="shared" si="4"/>
        <v>0</v>
      </c>
      <c r="P23" s="444">
        <f t="shared" si="4"/>
        <v>0</v>
      </c>
      <c r="Q23" s="444">
        <f t="shared" si="4"/>
        <v>0</v>
      </c>
      <c r="R23" s="1462">
        <f t="shared" si="4"/>
        <v>0</v>
      </c>
      <c r="T23" s="459" t="str">
        <f t="shared" si="2"/>
        <v>-</v>
      </c>
      <c r="U23" s="441" t="str">
        <f t="shared" si="0"/>
        <v>OK</v>
      </c>
      <c r="V23" s="442">
        <f t="shared" si="1"/>
        <v>0</v>
      </c>
    </row>
    <row r="24" spans="3:22" outlineLevel="1">
      <c r="C24" s="1455"/>
      <c r="D24" s="455"/>
      <c r="E24" s="455"/>
      <c r="F24" s="455"/>
      <c r="G24" s="455"/>
      <c r="H24" s="455"/>
      <c r="I24" s="455"/>
      <c r="J24" s="455"/>
      <c r="K24" s="455"/>
      <c r="L24" s="455"/>
      <c r="M24" s="455"/>
      <c r="N24" s="455"/>
      <c r="O24" s="455"/>
      <c r="P24" s="455"/>
      <c r="Q24" s="455"/>
      <c r="R24" s="1460"/>
      <c r="T24" s="459" t="str">
        <f t="shared" si="2"/>
        <v>-</v>
      </c>
      <c r="U24" s="441" t="str">
        <f t="shared" si="0"/>
        <v>OK</v>
      </c>
      <c r="V24" s="442">
        <f t="shared" si="1"/>
        <v>0</v>
      </c>
    </row>
    <row r="25" spans="3:22" outlineLevel="1">
      <c r="C25" s="1459" t="s">
        <v>1651</v>
      </c>
      <c r="D25" s="455"/>
      <c r="E25" s="455"/>
      <c r="F25" s="455"/>
      <c r="G25" s="455"/>
      <c r="H25" s="455"/>
      <c r="I25" s="455"/>
      <c r="J25" s="455"/>
      <c r="K25" s="455"/>
      <c r="L25" s="455"/>
      <c r="M25" s="455"/>
      <c r="N25" s="455"/>
      <c r="O25" s="455"/>
      <c r="P25" s="455"/>
      <c r="Q25" s="455"/>
      <c r="R25" s="1460"/>
      <c r="T25" s="459" t="str">
        <f t="shared" si="2"/>
        <v>-</v>
      </c>
      <c r="U25" s="441" t="str">
        <f t="shared" si="0"/>
        <v>OK</v>
      </c>
      <c r="V25" s="442">
        <f t="shared" si="1"/>
        <v>0</v>
      </c>
    </row>
    <row r="26" spans="3:22" outlineLevel="1">
      <c r="C26" s="1455"/>
      <c r="D26" s="455" t="str">
        <f>D11</f>
        <v>Existing Aerial Arts</v>
      </c>
      <c r="E26" s="455"/>
      <c r="F26" s="455"/>
      <c r="G26" s="455"/>
      <c r="H26" s="932">
        <f>IS_Calcs!H96</f>
        <v>0</v>
      </c>
      <c r="I26" s="932">
        <f>IS_Calcs!I96</f>
        <v>0</v>
      </c>
      <c r="J26" s="932">
        <f>IS_Calcs!J96</f>
        <v>0</v>
      </c>
      <c r="K26" s="932">
        <f>IS_Calcs!K96</f>
        <v>0</v>
      </c>
      <c r="L26" s="932">
        <f>IS_Calcs!L96</f>
        <v>0</v>
      </c>
      <c r="M26" s="932">
        <f>IS_Calcs!M96</f>
        <v>0</v>
      </c>
      <c r="N26" s="932">
        <f>IS_Calcs!N96</f>
        <v>0</v>
      </c>
      <c r="O26" s="932">
        <f>IS_Calcs!O96</f>
        <v>0</v>
      </c>
      <c r="P26" s="932">
        <f>IS_Calcs!P96</f>
        <v>0</v>
      </c>
      <c r="Q26" s="932">
        <f>IS_Calcs!Q96</f>
        <v>0</v>
      </c>
      <c r="R26" s="933">
        <f>IS_Calcs!R96</f>
        <v>0</v>
      </c>
      <c r="T26" s="459" t="str">
        <f t="shared" si="2"/>
        <v>-</v>
      </c>
      <c r="U26" s="441" t="str">
        <f t="shared" si="0"/>
        <v>OK</v>
      </c>
      <c r="V26" s="442">
        <f t="shared" si="1"/>
        <v>0</v>
      </c>
    </row>
    <row r="27" spans="3:22" outlineLevel="1">
      <c r="C27" s="1455"/>
      <c r="D27" s="455" t="str">
        <f>D12</f>
        <v>Existing Pole Dance</v>
      </c>
      <c r="E27" s="455"/>
      <c r="F27" s="455"/>
      <c r="G27" s="455"/>
      <c r="H27" s="932">
        <f>IS_Calcs!H97</f>
        <v>0</v>
      </c>
      <c r="I27" s="932">
        <f>IS_Calcs!I97</f>
        <v>0</v>
      </c>
      <c r="J27" s="932">
        <f>IS_Calcs!J97</f>
        <v>0</v>
      </c>
      <c r="K27" s="932">
        <f>IS_Calcs!K97</f>
        <v>0</v>
      </c>
      <c r="L27" s="932">
        <f>IS_Calcs!L97</f>
        <v>0</v>
      </c>
      <c r="M27" s="932">
        <f>IS_Calcs!M97</f>
        <v>0</v>
      </c>
      <c r="N27" s="932">
        <f>IS_Calcs!N97</f>
        <v>0</v>
      </c>
      <c r="O27" s="932">
        <f>IS_Calcs!O97</f>
        <v>0</v>
      </c>
      <c r="P27" s="932">
        <f>IS_Calcs!P97</f>
        <v>0</v>
      </c>
      <c r="Q27" s="932">
        <f>IS_Calcs!Q97</f>
        <v>0</v>
      </c>
      <c r="R27" s="933">
        <f>IS_Calcs!R97</f>
        <v>0</v>
      </c>
      <c r="T27" s="459" t="str">
        <f t="shared" si="2"/>
        <v>-</v>
      </c>
      <c r="U27" s="441" t="str">
        <f t="shared" si="0"/>
        <v>OK</v>
      </c>
      <c r="V27" s="442">
        <f t="shared" si="1"/>
        <v>0</v>
      </c>
    </row>
    <row r="28" spans="3:22" outlineLevel="1">
      <c r="C28" s="1455"/>
      <c r="D28" s="455" t="str">
        <f>D13</f>
        <v>Existing Stretching</v>
      </c>
      <c r="E28" s="455"/>
      <c r="F28" s="455"/>
      <c r="G28" s="455"/>
      <c r="H28" s="932">
        <f>IS_Calcs!H98</f>
        <v>0</v>
      </c>
      <c r="I28" s="932">
        <f>IS_Calcs!I98</f>
        <v>0</v>
      </c>
      <c r="J28" s="932">
        <f>IS_Calcs!J98</f>
        <v>0</v>
      </c>
      <c r="K28" s="932">
        <f>IS_Calcs!K98</f>
        <v>0</v>
      </c>
      <c r="L28" s="932">
        <f>IS_Calcs!L98</f>
        <v>0</v>
      </c>
      <c r="M28" s="932">
        <f>IS_Calcs!M98</f>
        <v>0</v>
      </c>
      <c r="N28" s="932">
        <f>IS_Calcs!N98</f>
        <v>0</v>
      </c>
      <c r="O28" s="932">
        <f>IS_Calcs!O98</f>
        <v>0</v>
      </c>
      <c r="P28" s="932">
        <f>IS_Calcs!P98</f>
        <v>0</v>
      </c>
      <c r="Q28" s="932">
        <f>IS_Calcs!Q98</f>
        <v>0</v>
      </c>
      <c r="R28" s="933">
        <f>IS_Calcs!R98</f>
        <v>0</v>
      </c>
      <c r="T28" s="459" t="str">
        <f t="shared" si="2"/>
        <v>-</v>
      </c>
      <c r="U28" s="441" t="str">
        <f t="shared" si="0"/>
        <v>OK</v>
      </c>
      <c r="V28" s="442">
        <f t="shared" si="1"/>
        <v>0</v>
      </c>
    </row>
    <row r="29" spans="3:22" outlineLevel="1">
      <c r="C29" s="1455"/>
      <c r="D29" s="455" t="str">
        <f>D14</f>
        <v>Existing NA</v>
      </c>
      <c r="E29" s="455"/>
      <c r="F29" s="455"/>
      <c r="G29" s="455"/>
      <c r="H29" s="932">
        <f>IS_Calcs!H99</f>
        <v>0</v>
      </c>
      <c r="I29" s="932">
        <f>IS_Calcs!I99</f>
        <v>0</v>
      </c>
      <c r="J29" s="932">
        <f>IS_Calcs!J99</f>
        <v>0</v>
      </c>
      <c r="K29" s="932">
        <f>IS_Calcs!K99</f>
        <v>0</v>
      </c>
      <c r="L29" s="932">
        <f>IS_Calcs!L99</f>
        <v>0</v>
      </c>
      <c r="M29" s="932">
        <f>IS_Calcs!M99</f>
        <v>0</v>
      </c>
      <c r="N29" s="932">
        <f>IS_Calcs!N99</f>
        <v>0</v>
      </c>
      <c r="O29" s="932">
        <f>IS_Calcs!O99</f>
        <v>0</v>
      </c>
      <c r="P29" s="932">
        <f>IS_Calcs!P99</f>
        <v>0</v>
      </c>
      <c r="Q29" s="932">
        <f>IS_Calcs!Q99</f>
        <v>0</v>
      </c>
      <c r="R29" s="933">
        <f>IS_Calcs!R99</f>
        <v>0</v>
      </c>
      <c r="T29" s="459" t="str">
        <f t="shared" si="2"/>
        <v>-</v>
      </c>
      <c r="U29" s="441" t="str">
        <f>IFERROR(IF(K29+L29=M29,"OK","VARIANCE"),"")</f>
        <v>OK</v>
      </c>
      <c r="V29" s="442">
        <f t="shared" si="1"/>
        <v>0</v>
      </c>
    </row>
    <row r="30" spans="3:22" outlineLevel="1">
      <c r="C30" s="1455"/>
      <c r="D30" s="455" t="str">
        <f t="shared" ref="D30:D37" si="5">D15</f>
        <v>Pipeline Corporate Clients</v>
      </c>
      <c r="E30" s="455"/>
      <c r="F30" s="455"/>
      <c r="G30" s="455"/>
      <c r="H30" s="932">
        <f>IS_Calcs!H103</f>
        <v>0</v>
      </c>
      <c r="I30" s="932">
        <f>IS_Calcs!I103</f>
        <v>0</v>
      </c>
      <c r="J30" s="932">
        <f>IS_Calcs!J103</f>
        <v>0</v>
      </c>
      <c r="K30" s="932">
        <f>IS_Calcs!K103</f>
        <v>0</v>
      </c>
      <c r="L30" s="932">
        <f>IS_Calcs!L103</f>
        <v>0</v>
      </c>
      <c r="M30" s="932">
        <f>IS_Calcs!M103</f>
        <v>0</v>
      </c>
      <c r="N30" s="932">
        <f>IS_Calcs!N103</f>
        <v>0</v>
      </c>
      <c r="O30" s="932">
        <f>IS_Calcs!O103</f>
        <v>0</v>
      </c>
      <c r="P30" s="932">
        <f>IS_Calcs!P103</f>
        <v>0</v>
      </c>
      <c r="Q30" s="932">
        <f>IS_Calcs!Q103</f>
        <v>0</v>
      </c>
      <c r="R30" s="933">
        <f>IS_Calcs!R103</f>
        <v>0</v>
      </c>
      <c r="T30" s="459" t="str">
        <f t="shared" si="2"/>
        <v>-</v>
      </c>
      <c r="U30" s="441" t="str">
        <f t="shared" si="0"/>
        <v>OK</v>
      </c>
      <c r="V30" s="442">
        <f t="shared" si="1"/>
        <v>0</v>
      </c>
    </row>
    <row r="31" spans="3:22" outlineLevel="1">
      <c r="C31" s="1455"/>
      <c r="D31" s="455" t="str">
        <f t="shared" si="5"/>
        <v>Pipeline NA</v>
      </c>
      <c r="E31" s="455"/>
      <c r="F31" s="455"/>
      <c r="G31" s="455"/>
      <c r="H31" s="932">
        <f>IS_Calcs!H104</f>
        <v>0</v>
      </c>
      <c r="I31" s="932">
        <f>IS_Calcs!I104</f>
        <v>0</v>
      </c>
      <c r="J31" s="932">
        <f>IS_Calcs!J104</f>
        <v>0</v>
      </c>
      <c r="K31" s="932">
        <f>IS_Calcs!K104</f>
        <v>0</v>
      </c>
      <c r="L31" s="932">
        <f>IS_Calcs!L104</f>
        <v>0</v>
      </c>
      <c r="M31" s="932">
        <f>IS_Calcs!M104</f>
        <v>0</v>
      </c>
      <c r="N31" s="932">
        <f>IS_Calcs!N104</f>
        <v>0</v>
      </c>
      <c r="O31" s="932">
        <f>IS_Calcs!O104</f>
        <v>0</v>
      </c>
      <c r="P31" s="932">
        <f>IS_Calcs!P104</f>
        <v>0</v>
      </c>
      <c r="Q31" s="932">
        <f>IS_Calcs!Q104</f>
        <v>0</v>
      </c>
      <c r="R31" s="933">
        <f>IS_Calcs!R104</f>
        <v>0</v>
      </c>
      <c r="T31" s="459" t="str">
        <f t="shared" si="2"/>
        <v>-</v>
      </c>
      <c r="U31" s="441" t="str">
        <f t="shared" si="0"/>
        <v>OK</v>
      </c>
      <c r="V31" s="442">
        <f t="shared" si="1"/>
        <v>0</v>
      </c>
    </row>
    <row r="32" spans="3:22" outlineLevel="1">
      <c r="C32" s="1455"/>
      <c r="D32" s="455" t="str">
        <f t="shared" si="5"/>
        <v>Pipeline NA</v>
      </c>
      <c r="E32" s="455"/>
      <c r="F32" s="455"/>
      <c r="G32" s="455"/>
      <c r="H32" s="932">
        <f>IS_Calcs!H105</f>
        <v>0</v>
      </c>
      <c r="I32" s="932">
        <f>IS_Calcs!I105</f>
        <v>0</v>
      </c>
      <c r="J32" s="932">
        <f>IS_Calcs!J105</f>
        <v>0</v>
      </c>
      <c r="K32" s="932">
        <f>IS_Calcs!K105</f>
        <v>0</v>
      </c>
      <c r="L32" s="932">
        <f>IS_Calcs!L105</f>
        <v>0</v>
      </c>
      <c r="M32" s="932">
        <f>IS_Calcs!M105</f>
        <v>0</v>
      </c>
      <c r="N32" s="932">
        <f>IS_Calcs!N105</f>
        <v>0</v>
      </c>
      <c r="O32" s="932">
        <f>IS_Calcs!O105</f>
        <v>0</v>
      </c>
      <c r="P32" s="932">
        <f>IS_Calcs!P105</f>
        <v>0</v>
      </c>
      <c r="Q32" s="932">
        <f>IS_Calcs!Q105</f>
        <v>0</v>
      </c>
      <c r="R32" s="933">
        <f>IS_Calcs!R105</f>
        <v>0</v>
      </c>
      <c r="T32" s="459" t="str">
        <f t="shared" si="2"/>
        <v>-</v>
      </c>
      <c r="U32" s="441" t="str">
        <f t="shared" si="0"/>
        <v>OK</v>
      </c>
      <c r="V32" s="442">
        <f t="shared" si="1"/>
        <v>0</v>
      </c>
    </row>
    <row r="33" spans="3:22" outlineLevel="1">
      <c r="C33" s="1455"/>
      <c r="D33" s="455" t="str">
        <f t="shared" si="5"/>
        <v>Pipeline NA</v>
      </c>
      <c r="E33" s="455"/>
      <c r="F33" s="455"/>
      <c r="G33" s="455"/>
      <c r="H33" s="932">
        <f>IS_Calcs!H106</f>
        <v>0</v>
      </c>
      <c r="I33" s="932">
        <f>IS_Calcs!I106</f>
        <v>0</v>
      </c>
      <c r="J33" s="932">
        <f>IS_Calcs!J106</f>
        <v>0</v>
      </c>
      <c r="K33" s="932">
        <f>IS_Calcs!K106</f>
        <v>0</v>
      </c>
      <c r="L33" s="932">
        <f>IS_Calcs!L106</f>
        <v>0</v>
      </c>
      <c r="M33" s="932">
        <f>IS_Calcs!M106</f>
        <v>0</v>
      </c>
      <c r="N33" s="932">
        <f>IS_Calcs!N106</f>
        <v>0</v>
      </c>
      <c r="O33" s="932">
        <f>IS_Calcs!O106</f>
        <v>0</v>
      </c>
      <c r="P33" s="932">
        <f>IS_Calcs!P106</f>
        <v>0</v>
      </c>
      <c r="Q33" s="932">
        <f>IS_Calcs!Q106</f>
        <v>0</v>
      </c>
      <c r="R33" s="933">
        <f>IS_Calcs!R106</f>
        <v>0</v>
      </c>
      <c r="T33" s="459" t="str">
        <f t="shared" si="2"/>
        <v>-</v>
      </c>
      <c r="U33" s="441" t="str">
        <f t="shared" si="0"/>
        <v>OK</v>
      </c>
      <c r="V33" s="442">
        <f t="shared" si="1"/>
        <v>0</v>
      </c>
    </row>
    <row r="34" spans="3:22" outlineLevel="1">
      <c r="C34" s="1455"/>
      <c r="D34" s="455" t="str">
        <f t="shared" si="5"/>
        <v>Potential Business Events</v>
      </c>
      <c r="E34" s="455"/>
      <c r="F34" s="455"/>
      <c r="G34" s="455"/>
      <c r="H34" s="932">
        <f>IS_Calcs!H110</f>
        <v>0</v>
      </c>
      <c r="I34" s="932">
        <f>IS_Calcs!I110</f>
        <v>0</v>
      </c>
      <c r="J34" s="932">
        <f>IS_Calcs!J110</f>
        <v>0</v>
      </c>
      <c r="K34" s="932">
        <f>IS_Calcs!K110</f>
        <v>0</v>
      </c>
      <c r="L34" s="932">
        <f>IS_Calcs!L110</f>
        <v>0</v>
      </c>
      <c r="M34" s="932">
        <f>IS_Calcs!M110</f>
        <v>0</v>
      </c>
      <c r="N34" s="932">
        <f>IS_Calcs!N110</f>
        <v>0</v>
      </c>
      <c r="O34" s="932">
        <f>IS_Calcs!O110</f>
        <v>0</v>
      </c>
      <c r="P34" s="932">
        <f>IS_Calcs!P110</f>
        <v>0</v>
      </c>
      <c r="Q34" s="932">
        <f>IS_Calcs!Q110</f>
        <v>0</v>
      </c>
      <c r="R34" s="933">
        <f>IS_Calcs!R110</f>
        <v>0</v>
      </c>
      <c r="T34" s="459" t="str">
        <f t="shared" si="2"/>
        <v>-</v>
      </c>
      <c r="U34" s="441" t="str">
        <f t="shared" si="0"/>
        <v>OK</v>
      </c>
      <c r="V34" s="442">
        <f t="shared" si="1"/>
        <v>0</v>
      </c>
    </row>
    <row r="35" spans="3:22" outlineLevel="1">
      <c r="C35" s="1455"/>
      <c r="D35" s="455" t="str">
        <f t="shared" si="5"/>
        <v>Potential NA</v>
      </c>
      <c r="E35" s="455"/>
      <c r="F35" s="455"/>
      <c r="G35" s="455"/>
      <c r="H35" s="932">
        <f>IS_Calcs!H111</f>
        <v>0</v>
      </c>
      <c r="I35" s="932">
        <f>IS_Calcs!I111</f>
        <v>0</v>
      </c>
      <c r="J35" s="932">
        <f>IS_Calcs!J111</f>
        <v>0</v>
      </c>
      <c r="K35" s="932">
        <f>IS_Calcs!K111</f>
        <v>0</v>
      </c>
      <c r="L35" s="932">
        <f>IS_Calcs!L111</f>
        <v>0</v>
      </c>
      <c r="M35" s="932">
        <f>IS_Calcs!M111</f>
        <v>0</v>
      </c>
      <c r="N35" s="932">
        <f>IS_Calcs!N111</f>
        <v>0</v>
      </c>
      <c r="O35" s="932">
        <f>IS_Calcs!O111</f>
        <v>0</v>
      </c>
      <c r="P35" s="932">
        <f>IS_Calcs!P111</f>
        <v>0</v>
      </c>
      <c r="Q35" s="932">
        <f>IS_Calcs!Q111</f>
        <v>0</v>
      </c>
      <c r="R35" s="933">
        <f>IS_Calcs!R111</f>
        <v>0</v>
      </c>
      <c r="T35" s="459" t="str">
        <f t="shared" si="2"/>
        <v>-</v>
      </c>
      <c r="U35" s="441" t="str">
        <f t="shared" si="0"/>
        <v>OK</v>
      </c>
      <c r="V35" s="442">
        <f t="shared" si="1"/>
        <v>0</v>
      </c>
    </row>
    <row r="36" spans="3:22" outlineLevel="1">
      <c r="C36" s="1455"/>
      <c r="D36" s="455" t="str">
        <f t="shared" si="5"/>
        <v>Potential NA</v>
      </c>
      <c r="E36" s="455"/>
      <c r="F36" s="455"/>
      <c r="G36" s="455"/>
      <c r="H36" s="932">
        <f>IS_Calcs!H112</f>
        <v>0</v>
      </c>
      <c r="I36" s="932">
        <f>IS_Calcs!I112</f>
        <v>0</v>
      </c>
      <c r="J36" s="932">
        <f>IS_Calcs!J112</f>
        <v>0</v>
      </c>
      <c r="K36" s="932">
        <f>IS_Calcs!K112</f>
        <v>0</v>
      </c>
      <c r="L36" s="932">
        <f>IS_Calcs!L112</f>
        <v>0</v>
      </c>
      <c r="M36" s="932">
        <f>IS_Calcs!M112</f>
        <v>0</v>
      </c>
      <c r="N36" s="932">
        <f>IS_Calcs!N112</f>
        <v>0</v>
      </c>
      <c r="O36" s="932">
        <f>IS_Calcs!O112</f>
        <v>0</v>
      </c>
      <c r="P36" s="932">
        <f>IS_Calcs!P112</f>
        <v>0</v>
      </c>
      <c r="Q36" s="932">
        <f>IS_Calcs!Q112</f>
        <v>0</v>
      </c>
      <c r="R36" s="933">
        <f>IS_Calcs!R112</f>
        <v>0</v>
      </c>
      <c r="T36" s="459" t="str">
        <f t="shared" si="2"/>
        <v>-</v>
      </c>
      <c r="U36" s="441" t="str">
        <f t="shared" si="0"/>
        <v>OK</v>
      </c>
      <c r="V36" s="442">
        <f t="shared" si="1"/>
        <v>0</v>
      </c>
    </row>
    <row r="37" spans="3:22" outlineLevel="1">
      <c r="C37" s="1455"/>
      <c r="D37" s="455" t="str">
        <f t="shared" si="5"/>
        <v>Potential NA</v>
      </c>
      <c r="E37" s="455"/>
      <c r="F37" s="455"/>
      <c r="G37" s="455"/>
      <c r="H37" s="932">
        <f>IS_Calcs!H113</f>
        <v>0</v>
      </c>
      <c r="I37" s="932">
        <f>IS_Calcs!I113</f>
        <v>0</v>
      </c>
      <c r="J37" s="932">
        <f>IS_Calcs!J113</f>
        <v>0</v>
      </c>
      <c r="K37" s="932">
        <f>IS_Calcs!K113</f>
        <v>0</v>
      </c>
      <c r="L37" s="932">
        <f>IS_Calcs!L113</f>
        <v>0</v>
      </c>
      <c r="M37" s="932">
        <f>IS_Calcs!M113</f>
        <v>0</v>
      </c>
      <c r="N37" s="932">
        <f>IS_Calcs!N113</f>
        <v>0</v>
      </c>
      <c r="O37" s="932">
        <f>IS_Calcs!O113</f>
        <v>0</v>
      </c>
      <c r="P37" s="932">
        <f>IS_Calcs!P113</f>
        <v>0</v>
      </c>
      <c r="Q37" s="932">
        <f>IS_Calcs!Q113</f>
        <v>0</v>
      </c>
      <c r="R37" s="933">
        <f>IS_Calcs!R113</f>
        <v>0</v>
      </c>
      <c r="T37" s="459" t="str">
        <f t="shared" si="2"/>
        <v>-</v>
      </c>
      <c r="U37" s="441" t="str">
        <f t="shared" si="0"/>
        <v>OK</v>
      </c>
      <c r="V37" s="442">
        <f t="shared" si="1"/>
        <v>0</v>
      </c>
    </row>
    <row r="38" spans="3:22">
      <c r="C38" s="1463" t="s">
        <v>2148</v>
      </c>
      <c r="D38" s="445"/>
      <c r="E38" s="445"/>
      <c r="F38" s="445"/>
      <c r="G38" s="445"/>
      <c r="H38" s="446">
        <f>-SUM(H26:H37)</f>
        <v>0</v>
      </c>
      <c r="I38" s="446">
        <f>-SUM(I26:I37)</f>
        <v>0</v>
      </c>
      <c r="J38" s="446">
        <f t="shared" ref="J38:R38" si="6">-SUM(J26:J37)</f>
        <v>0</v>
      </c>
      <c r="K38" s="446">
        <f>-SUM(K26:K37)</f>
        <v>0</v>
      </c>
      <c r="L38" s="446">
        <f>-SUM(L26:L37)</f>
        <v>0</v>
      </c>
      <c r="M38" s="446">
        <f t="shared" si="6"/>
        <v>0</v>
      </c>
      <c r="N38" s="446">
        <f t="shared" si="6"/>
        <v>0</v>
      </c>
      <c r="O38" s="446">
        <f t="shared" si="6"/>
        <v>0</v>
      </c>
      <c r="P38" s="446">
        <f t="shared" si="6"/>
        <v>0</v>
      </c>
      <c r="Q38" s="446">
        <f t="shared" si="6"/>
        <v>0</v>
      </c>
      <c r="R38" s="1464">
        <f t="shared" si="6"/>
        <v>0</v>
      </c>
      <c r="T38" s="459" t="str">
        <f t="shared" si="2"/>
        <v>-</v>
      </c>
      <c r="U38" s="441" t="str">
        <f t="shared" si="0"/>
        <v>OK</v>
      </c>
      <c r="V38" s="442">
        <f t="shared" si="1"/>
        <v>0</v>
      </c>
    </row>
    <row r="39" spans="3:22" hidden="1">
      <c r="C39" s="1455"/>
      <c r="D39" s="455"/>
      <c r="E39" s="455"/>
      <c r="F39" s="455"/>
      <c r="G39" s="455"/>
      <c r="H39" s="455"/>
      <c r="I39" s="455"/>
      <c r="J39" s="455"/>
      <c r="K39" s="455"/>
      <c r="L39" s="455"/>
      <c r="M39" s="455"/>
      <c r="N39" s="455"/>
      <c r="O39" s="455"/>
      <c r="P39" s="455"/>
      <c r="Q39" s="455"/>
      <c r="R39" s="1460"/>
      <c r="T39" s="459" t="str">
        <f t="shared" si="2"/>
        <v>-</v>
      </c>
      <c r="U39" s="441" t="str">
        <f t="shared" si="0"/>
        <v>OK</v>
      </c>
      <c r="V39" s="442">
        <f t="shared" si="1"/>
        <v>0</v>
      </c>
    </row>
    <row r="40" spans="3:22">
      <c r="C40" s="1459" t="s">
        <v>234</v>
      </c>
      <c r="D40" s="665"/>
      <c r="E40" s="665"/>
      <c r="F40" s="665"/>
      <c r="G40" s="665"/>
      <c r="H40" s="1465">
        <f>H23+H38</f>
        <v>0</v>
      </c>
      <c r="I40" s="1465">
        <f>I23+I38</f>
        <v>0</v>
      </c>
      <c r="J40" s="1465">
        <f t="shared" ref="J40:R40" si="7">J23+J38</f>
        <v>0</v>
      </c>
      <c r="K40" s="1465">
        <f>K23+K38</f>
        <v>0</v>
      </c>
      <c r="L40" s="1465">
        <f>L23+L38</f>
        <v>0</v>
      </c>
      <c r="M40" s="1465">
        <f t="shared" si="7"/>
        <v>0</v>
      </c>
      <c r="N40" s="1465">
        <f t="shared" si="7"/>
        <v>0</v>
      </c>
      <c r="O40" s="1465">
        <f t="shared" si="7"/>
        <v>0</v>
      </c>
      <c r="P40" s="1465">
        <f t="shared" si="7"/>
        <v>0</v>
      </c>
      <c r="Q40" s="1465">
        <f t="shared" si="7"/>
        <v>0</v>
      </c>
      <c r="R40" s="1466">
        <f t="shared" si="7"/>
        <v>0</v>
      </c>
      <c r="T40" s="459" t="str">
        <f t="shared" si="2"/>
        <v>-</v>
      </c>
      <c r="U40" s="441" t="str">
        <f t="shared" si="0"/>
        <v>OK</v>
      </c>
      <c r="V40" s="442">
        <f t="shared" si="1"/>
        <v>0</v>
      </c>
    </row>
    <row r="41" spans="3:22" ht="7" customHeight="1">
      <c r="C41" s="1455"/>
      <c r="D41" s="455"/>
      <c r="E41" s="455"/>
      <c r="F41" s="455"/>
      <c r="G41" s="455"/>
      <c r="H41" s="455"/>
      <c r="I41" s="455"/>
      <c r="J41" s="455"/>
      <c r="K41" s="455"/>
      <c r="L41" s="455"/>
      <c r="M41" s="455"/>
      <c r="N41" s="455"/>
      <c r="O41" s="455"/>
      <c r="P41" s="455"/>
      <c r="Q41" s="455"/>
      <c r="R41" s="1460"/>
      <c r="T41" s="459" t="str">
        <f t="shared" si="2"/>
        <v>-</v>
      </c>
      <c r="U41" s="441" t="str">
        <f t="shared" ref="U41:U68" si="8">IFERROR(IF(K41+L41=M41,"OK","VARIANCE"),"")</f>
        <v>OK</v>
      </c>
      <c r="V41" s="442">
        <f t="shared" si="1"/>
        <v>0</v>
      </c>
    </row>
    <row r="42" spans="3:22">
      <c r="C42" s="1459" t="s">
        <v>1652</v>
      </c>
      <c r="D42" s="455"/>
      <c r="E42" s="455"/>
      <c r="F42" s="455"/>
      <c r="G42" s="455"/>
      <c r="H42" s="455"/>
      <c r="I42" s="455"/>
      <c r="J42" s="455"/>
      <c r="K42" s="455"/>
      <c r="L42" s="455"/>
      <c r="M42" s="455"/>
      <c r="N42" s="455"/>
      <c r="O42" s="455"/>
      <c r="P42" s="455"/>
      <c r="Q42" s="455"/>
      <c r="R42" s="1460"/>
      <c r="T42" s="459" t="str">
        <f t="shared" si="2"/>
        <v>-</v>
      </c>
      <c r="U42" s="441" t="str">
        <f t="shared" si="8"/>
        <v>OK</v>
      </c>
      <c r="V42" s="442">
        <f t="shared" si="1"/>
        <v>0</v>
      </c>
    </row>
    <row r="43" spans="3:22">
      <c r="C43" s="1459"/>
      <c r="D43" s="455" t="str">
        <f>IS_Calcs!C147</f>
        <v xml:space="preserve">Staff salaries </v>
      </c>
      <c r="E43" s="455"/>
      <c r="F43" s="455"/>
      <c r="G43" s="455"/>
      <c r="H43" s="932">
        <f>-IS_Calcs!H147</f>
        <v>0</v>
      </c>
      <c r="I43" s="932">
        <f>-IS_Calcs!I147</f>
        <v>0</v>
      </c>
      <c r="J43" s="932">
        <f>-IS_Calcs!J147</f>
        <v>0</v>
      </c>
      <c r="K43" s="932">
        <f>-IS_Calcs!K147</f>
        <v>0</v>
      </c>
      <c r="L43" s="932">
        <f>-IS_Calcs!L147</f>
        <v>-5000</v>
      </c>
      <c r="M43" s="932">
        <f>-IS_Calcs!M147</f>
        <v>-5000</v>
      </c>
      <c r="N43" s="932">
        <f>-IS_Calcs!N147</f>
        <v>-5000</v>
      </c>
      <c r="O43" s="932">
        <f>-IS_Calcs!O147</f>
        <v>-5000</v>
      </c>
      <c r="P43" s="932">
        <f>-IS_Calcs!P147</f>
        <v>-5000</v>
      </c>
      <c r="Q43" s="932">
        <f>-IS_Calcs!Q147</f>
        <v>-5000</v>
      </c>
      <c r="R43" s="933">
        <f>-IS_Calcs!R147</f>
        <v>-5000</v>
      </c>
      <c r="T43" s="459">
        <f t="shared" si="2"/>
        <v>0</v>
      </c>
      <c r="U43" s="441" t="str">
        <f t="shared" si="8"/>
        <v>OK</v>
      </c>
      <c r="V43" s="442">
        <f t="shared" ref="V43:V68" si="9">(K43/ytd.months)*12</f>
        <v>0</v>
      </c>
    </row>
    <row r="44" spans="3:22">
      <c r="C44" s="1459"/>
      <c r="D44" s="455" t="str">
        <f>IS_Calcs!C148</f>
        <v>Commission</v>
      </c>
      <c r="E44" s="455"/>
      <c r="F44" s="455"/>
      <c r="G44" s="455"/>
      <c r="H44" s="932">
        <f>-IS_Calcs!H148</f>
        <v>0</v>
      </c>
      <c r="I44" s="932">
        <f>-IS_Calcs!I148</f>
        <v>0</v>
      </c>
      <c r="J44" s="932">
        <f>-IS_Calcs!J148</f>
        <v>0</v>
      </c>
      <c r="K44" s="932">
        <f>-IS_Calcs!K148</f>
        <v>0</v>
      </c>
      <c r="L44" s="932">
        <f>-IS_Calcs!L148</f>
        <v>-5000</v>
      </c>
      <c r="M44" s="932">
        <f>-IS_Calcs!M148</f>
        <v>-5000</v>
      </c>
      <c r="N44" s="932">
        <f>-IS_Calcs!N148</f>
        <v>-5000</v>
      </c>
      <c r="O44" s="932">
        <f>-IS_Calcs!O148</f>
        <v>-5000</v>
      </c>
      <c r="P44" s="932">
        <f>-IS_Calcs!P148</f>
        <v>-5000</v>
      </c>
      <c r="Q44" s="932">
        <f>-IS_Calcs!Q148</f>
        <v>-5000</v>
      </c>
      <c r="R44" s="933">
        <f>-IS_Calcs!R148</f>
        <v>-5000</v>
      </c>
      <c r="T44" s="459">
        <f t="shared" si="2"/>
        <v>0</v>
      </c>
      <c r="U44" s="441" t="str">
        <f t="shared" si="8"/>
        <v>OK</v>
      </c>
      <c r="V44" s="442">
        <f t="shared" si="9"/>
        <v>0</v>
      </c>
    </row>
    <row r="45" spans="3:22">
      <c r="C45" s="1459"/>
      <c r="D45" s="455" t="str">
        <f>IS_Calcs!C149</f>
        <v>Rent</v>
      </c>
      <c r="E45" s="455"/>
      <c r="F45" s="455"/>
      <c r="G45" s="455"/>
      <c r="H45" s="932">
        <f>-IS_Calcs!H149</f>
        <v>0</v>
      </c>
      <c r="I45" s="932">
        <f>-IS_Calcs!I149</f>
        <v>0</v>
      </c>
      <c r="J45" s="932">
        <f>-IS_Calcs!J149</f>
        <v>0</v>
      </c>
      <c r="K45" s="932">
        <f>-IS_Calcs!K149</f>
        <v>0</v>
      </c>
      <c r="L45" s="932">
        <f>-IS_Calcs!L149</f>
        <v>-5000</v>
      </c>
      <c r="M45" s="932">
        <f>-IS_Calcs!M149</f>
        <v>-5000</v>
      </c>
      <c r="N45" s="932">
        <f>-IS_Calcs!N149</f>
        <v>-5000</v>
      </c>
      <c r="O45" s="932">
        <f>-IS_Calcs!O149</f>
        <v>-5000</v>
      </c>
      <c r="P45" s="932">
        <f>-IS_Calcs!P149</f>
        <v>-5000</v>
      </c>
      <c r="Q45" s="932">
        <f>-IS_Calcs!Q149</f>
        <v>-5000</v>
      </c>
      <c r="R45" s="933">
        <f>-IS_Calcs!R149</f>
        <v>-5000</v>
      </c>
      <c r="T45" s="459">
        <f t="shared" si="2"/>
        <v>0</v>
      </c>
      <c r="U45" s="441" t="str">
        <f t="shared" si="8"/>
        <v>OK</v>
      </c>
      <c r="V45" s="442">
        <f t="shared" si="9"/>
        <v>0</v>
      </c>
    </row>
    <row r="46" spans="3:22">
      <c r="C46" s="1459"/>
      <c r="D46" s="455" t="str">
        <f>IS_Calcs!C150</f>
        <v>Legal and professional fee</v>
      </c>
      <c r="E46" s="455"/>
      <c r="F46" s="455"/>
      <c r="G46" s="455"/>
      <c r="H46" s="932">
        <f>-IS_Calcs!H150</f>
        <v>0</v>
      </c>
      <c r="I46" s="932">
        <f>-IS_Calcs!I150</f>
        <v>0</v>
      </c>
      <c r="J46" s="932">
        <f>-IS_Calcs!J150</f>
        <v>0</v>
      </c>
      <c r="K46" s="932">
        <f>-IS_Calcs!K150</f>
        <v>0</v>
      </c>
      <c r="L46" s="932">
        <f>-IS_Calcs!L150</f>
        <v>-5000</v>
      </c>
      <c r="M46" s="932">
        <f>-IS_Calcs!M150</f>
        <v>-5000</v>
      </c>
      <c r="N46" s="932">
        <f>-IS_Calcs!N150</f>
        <v>-5000</v>
      </c>
      <c r="O46" s="932">
        <f>-IS_Calcs!O150</f>
        <v>-5000</v>
      </c>
      <c r="P46" s="932">
        <f>-IS_Calcs!P150</f>
        <v>-5000</v>
      </c>
      <c r="Q46" s="932">
        <f>-IS_Calcs!Q150</f>
        <v>-5000</v>
      </c>
      <c r="R46" s="933">
        <f>-IS_Calcs!R150</f>
        <v>-5000</v>
      </c>
      <c r="T46" s="459">
        <f t="shared" si="2"/>
        <v>0</v>
      </c>
      <c r="U46" s="441" t="str">
        <f t="shared" si="8"/>
        <v>OK</v>
      </c>
      <c r="V46" s="442">
        <f t="shared" si="9"/>
        <v>0</v>
      </c>
    </row>
    <row r="47" spans="3:22">
      <c r="C47" s="1455"/>
      <c r="D47" s="455" t="str">
        <f>IS_Calcs!C151</f>
        <v>Travelling &amp; communication</v>
      </c>
      <c r="E47" s="455"/>
      <c r="F47" s="455"/>
      <c r="G47" s="455"/>
      <c r="H47" s="932">
        <f>-IS_Calcs!H151</f>
        <v>0</v>
      </c>
      <c r="I47" s="932">
        <f>-IS_Calcs!I151</f>
        <v>0</v>
      </c>
      <c r="J47" s="932">
        <f>-IS_Calcs!J151</f>
        <v>0</v>
      </c>
      <c r="K47" s="932">
        <f>-IS_Calcs!K151</f>
        <v>0</v>
      </c>
      <c r="L47" s="932">
        <f>-IS_Calcs!L151</f>
        <v>-5000</v>
      </c>
      <c r="M47" s="932">
        <f>-IS_Calcs!M151</f>
        <v>-5000</v>
      </c>
      <c r="N47" s="932">
        <f>-IS_Calcs!N151</f>
        <v>-5000</v>
      </c>
      <c r="O47" s="932">
        <f>-IS_Calcs!O151</f>
        <v>-5000</v>
      </c>
      <c r="P47" s="932">
        <f>-IS_Calcs!P151</f>
        <v>-5000</v>
      </c>
      <c r="Q47" s="932">
        <f>-IS_Calcs!Q151</f>
        <v>-5000</v>
      </c>
      <c r="R47" s="933">
        <f>-IS_Calcs!R151</f>
        <v>-5000</v>
      </c>
      <c r="T47" s="459">
        <f t="shared" si="2"/>
        <v>0</v>
      </c>
      <c r="U47" s="441" t="str">
        <f t="shared" si="8"/>
        <v>OK</v>
      </c>
      <c r="V47" s="442">
        <f t="shared" si="9"/>
        <v>0</v>
      </c>
    </row>
    <row r="48" spans="3:22">
      <c r="C48" s="1455"/>
      <c r="D48" s="455" t="str">
        <f>IS_Calcs!C152</f>
        <v>Printing &amp; Stationary</v>
      </c>
      <c r="E48" s="455"/>
      <c r="F48" s="455"/>
      <c r="G48" s="455"/>
      <c r="H48" s="932">
        <f>-IS_Calcs!H152</f>
        <v>0</v>
      </c>
      <c r="I48" s="932">
        <f>-IS_Calcs!I152</f>
        <v>0</v>
      </c>
      <c r="J48" s="932">
        <f>-IS_Calcs!J152</f>
        <v>0</v>
      </c>
      <c r="K48" s="932">
        <f>-IS_Calcs!K152</f>
        <v>0</v>
      </c>
      <c r="L48" s="932">
        <f>-IS_Calcs!L152</f>
        <v>-5000</v>
      </c>
      <c r="M48" s="932">
        <f>-IS_Calcs!M152</f>
        <v>-5000</v>
      </c>
      <c r="N48" s="932">
        <f>-IS_Calcs!N152</f>
        <v>-5000</v>
      </c>
      <c r="O48" s="932">
        <f>-IS_Calcs!O152</f>
        <v>-5000</v>
      </c>
      <c r="P48" s="932">
        <f>-IS_Calcs!P152</f>
        <v>-5000</v>
      </c>
      <c r="Q48" s="932">
        <f>-IS_Calcs!Q152</f>
        <v>-5000</v>
      </c>
      <c r="R48" s="933">
        <f>-IS_Calcs!R152</f>
        <v>-5000</v>
      </c>
      <c r="T48" s="459">
        <f t="shared" si="2"/>
        <v>0</v>
      </c>
      <c r="U48" s="441" t="str">
        <f t="shared" si="8"/>
        <v>OK</v>
      </c>
      <c r="V48" s="442">
        <f t="shared" si="9"/>
        <v>0</v>
      </c>
    </row>
    <row r="49" spans="3:22">
      <c r="C49" s="1455"/>
      <c r="D49" s="455" t="str">
        <f>IS_Calcs!C153</f>
        <v>Utilities</v>
      </c>
      <c r="E49" s="455"/>
      <c r="F49" s="455"/>
      <c r="G49" s="455"/>
      <c r="H49" s="932">
        <f>-IS_Calcs!H153</f>
        <v>0</v>
      </c>
      <c r="I49" s="932">
        <f>-IS_Calcs!I153</f>
        <v>0</v>
      </c>
      <c r="J49" s="932">
        <f>-IS_Calcs!J153</f>
        <v>0</v>
      </c>
      <c r="K49" s="932">
        <f>-IS_Calcs!K153</f>
        <v>0</v>
      </c>
      <c r="L49" s="932">
        <f>-IS_Calcs!L153</f>
        <v>-5000</v>
      </c>
      <c r="M49" s="932">
        <f>-IS_Calcs!M153</f>
        <v>-5000</v>
      </c>
      <c r="N49" s="932">
        <f>-IS_Calcs!N153</f>
        <v>-5000</v>
      </c>
      <c r="O49" s="932">
        <f>-IS_Calcs!O153</f>
        <v>-5000</v>
      </c>
      <c r="P49" s="932">
        <f>-IS_Calcs!P153</f>
        <v>-5000</v>
      </c>
      <c r="Q49" s="932">
        <f>-IS_Calcs!Q153</f>
        <v>-5000</v>
      </c>
      <c r="R49" s="933">
        <f>-IS_Calcs!R153</f>
        <v>-5000</v>
      </c>
      <c r="T49" s="459">
        <f t="shared" si="2"/>
        <v>0</v>
      </c>
      <c r="U49" s="441" t="str">
        <f t="shared" si="8"/>
        <v>OK</v>
      </c>
      <c r="V49" s="442">
        <f t="shared" si="9"/>
        <v>0</v>
      </c>
    </row>
    <row r="50" spans="3:22">
      <c r="C50" s="1467" t="s">
        <v>1653</v>
      </c>
      <c r="D50" s="448"/>
      <c r="E50" s="448"/>
      <c r="F50" s="448"/>
      <c r="G50" s="448"/>
      <c r="H50" s="449">
        <f t="shared" ref="H50" si="10">SUM(H43:H49)</f>
        <v>0</v>
      </c>
      <c r="I50" s="449">
        <f t="shared" ref="I50:R50" si="11">SUM(I43:I49)</f>
        <v>0</v>
      </c>
      <c r="J50" s="449">
        <f t="shared" si="11"/>
        <v>0</v>
      </c>
      <c r="K50" s="449">
        <f>SUM(K43:K49)</f>
        <v>0</v>
      </c>
      <c r="L50" s="449">
        <f>SUM(L43:L49)</f>
        <v>-35000</v>
      </c>
      <c r="M50" s="449">
        <f t="shared" si="11"/>
        <v>-35000</v>
      </c>
      <c r="N50" s="449">
        <f t="shared" si="11"/>
        <v>-35000</v>
      </c>
      <c r="O50" s="449">
        <f t="shared" si="11"/>
        <v>-35000</v>
      </c>
      <c r="P50" s="449">
        <f t="shared" si="11"/>
        <v>-35000</v>
      </c>
      <c r="Q50" s="449">
        <f t="shared" si="11"/>
        <v>-35000</v>
      </c>
      <c r="R50" s="1468">
        <f t="shared" si="11"/>
        <v>-35000</v>
      </c>
      <c r="T50" s="459">
        <f t="shared" si="2"/>
        <v>0</v>
      </c>
      <c r="U50" s="441" t="str">
        <f t="shared" si="8"/>
        <v>OK</v>
      </c>
      <c r="V50" s="442">
        <f t="shared" si="9"/>
        <v>0</v>
      </c>
    </row>
    <row r="51" spans="3:22" ht="7" customHeight="1">
      <c r="C51" s="1455"/>
      <c r="D51" s="455"/>
      <c r="E51" s="455"/>
      <c r="F51" s="455"/>
      <c r="G51" s="455"/>
      <c r="H51" s="455"/>
      <c r="I51" s="455"/>
      <c r="J51" s="455"/>
      <c r="K51" s="455"/>
      <c r="L51" s="455"/>
      <c r="M51" s="455"/>
      <c r="N51" s="455"/>
      <c r="O51" s="455"/>
      <c r="P51" s="455"/>
      <c r="Q51" s="455"/>
      <c r="R51" s="1460"/>
      <c r="T51" s="459" t="str">
        <f t="shared" si="2"/>
        <v>-</v>
      </c>
      <c r="U51" s="441" t="str">
        <f t="shared" si="8"/>
        <v>OK</v>
      </c>
      <c r="V51" s="442">
        <f t="shared" si="9"/>
        <v>0</v>
      </c>
    </row>
    <row r="52" spans="3:22" s="436" customFormat="1">
      <c r="C52" s="1459" t="s">
        <v>2150</v>
      </c>
      <c r="D52" s="665"/>
      <c r="E52" s="665"/>
      <c r="F52" s="665"/>
      <c r="G52" s="665"/>
      <c r="H52" s="1465">
        <f>H40+H50</f>
        <v>0</v>
      </c>
      <c r="I52" s="1465">
        <f>I40+I50</f>
        <v>0</v>
      </c>
      <c r="J52" s="1465">
        <f t="shared" ref="J52:R52" si="12">J40+J50</f>
        <v>0</v>
      </c>
      <c r="K52" s="1465">
        <f>K40+K50</f>
        <v>0</v>
      </c>
      <c r="L52" s="1465">
        <f>L40+L50</f>
        <v>-35000</v>
      </c>
      <c r="M52" s="1465">
        <f t="shared" si="12"/>
        <v>-35000</v>
      </c>
      <c r="N52" s="1465">
        <f t="shared" si="12"/>
        <v>-35000</v>
      </c>
      <c r="O52" s="1465">
        <f t="shared" si="12"/>
        <v>-35000</v>
      </c>
      <c r="P52" s="1465">
        <f t="shared" si="12"/>
        <v>-35000</v>
      </c>
      <c r="Q52" s="1465">
        <f t="shared" si="12"/>
        <v>-35000</v>
      </c>
      <c r="R52" s="1466">
        <f t="shared" si="12"/>
        <v>-35000</v>
      </c>
      <c r="T52" s="459">
        <f t="shared" si="2"/>
        <v>0</v>
      </c>
      <c r="U52" s="441" t="str">
        <f t="shared" si="8"/>
        <v>OK</v>
      </c>
      <c r="V52" s="442">
        <f t="shared" si="9"/>
        <v>0</v>
      </c>
    </row>
    <row r="53" spans="3:22" ht="7" customHeight="1">
      <c r="C53" s="1455"/>
      <c r="D53" s="455" t="s">
        <v>97</v>
      </c>
      <c r="E53" s="455"/>
      <c r="F53" s="455"/>
      <c r="G53" s="455"/>
      <c r="H53" s="455"/>
      <c r="I53" s="455"/>
      <c r="J53" s="455"/>
      <c r="K53" s="455"/>
      <c r="L53" s="455"/>
      <c r="M53" s="455"/>
      <c r="N53" s="455"/>
      <c r="O53" s="455"/>
      <c r="P53" s="455"/>
      <c r="Q53" s="455"/>
      <c r="R53" s="1460"/>
      <c r="T53" s="459" t="str">
        <f t="shared" si="2"/>
        <v>-</v>
      </c>
      <c r="U53" s="441" t="str">
        <f t="shared" si="8"/>
        <v>OK</v>
      </c>
      <c r="V53" s="442">
        <f t="shared" si="9"/>
        <v>0</v>
      </c>
    </row>
    <row r="54" spans="3:22">
      <c r="C54" s="1459" t="s">
        <v>2152</v>
      </c>
      <c r="D54" s="455"/>
      <c r="E54" s="455"/>
      <c r="F54" s="455"/>
      <c r="G54" s="455"/>
      <c r="H54" s="455"/>
      <c r="I54" s="455"/>
      <c r="J54" s="455"/>
      <c r="K54" s="455"/>
      <c r="L54" s="455"/>
      <c r="M54" s="455"/>
      <c r="N54" s="455"/>
      <c r="O54" s="455"/>
      <c r="P54" s="455"/>
      <c r="Q54" s="455"/>
      <c r="R54" s="1460"/>
      <c r="T54" s="459" t="str">
        <f t="shared" si="2"/>
        <v>-</v>
      </c>
      <c r="U54" s="441" t="str">
        <f t="shared" si="8"/>
        <v>OK</v>
      </c>
      <c r="V54" s="442">
        <f t="shared" si="9"/>
        <v>0</v>
      </c>
    </row>
    <row r="55" spans="3:22">
      <c r="C55" s="1455"/>
      <c r="D55" s="455" t="s">
        <v>1656</v>
      </c>
      <c r="E55" s="455"/>
      <c r="F55" s="455"/>
      <c r="G55" s="455"/>
      <c r="H55" s="443"/>
      <c r="I55" s="443"/>
      <c r="J55" s="443"/>
      <c r="K55" s="443"/>
      <c r="L55" s="443"/>
      <c r="M55" s="443"/>
      <c r="N55" s="443"/>
      <c r="O55" s="443"/>
      <c r="P55" s="443"/>
      <c r="Q55" s="443"/>
      <c r="R55" s="1469"/>
      <c r="T55" s="459" t="str">
        <f t="shared" si="2"/>
        <v>-</v>
      </c>
      <c r="U55" s="441" t="str">
        <f t="shared" si="8"/>
        <v>OK</v>
      </c>
      <c r="V55" s="442">
        <f t="shared" si="9"/>
        <v>0</v>
      </c>
    </row>
    <row r="56" spans="3:22">
      <c r="C56" s="1455"/>
      <c r="D56" s="455" t="s">
        <v>1657</v>
      </c>
      <c r="E56" s="455"/>
      <c r="F56" s="455"/>
      <c r="G56" s="455"/>
      <c r="H56" s="443"/>
      <c r="I56" s="443"/>
      <c r="J56" s="443"/>
      <c r="K56" s="443"/>
      <c r="L56" s="443"/>
      <c r="M56" s="443"/>
      <c r="N56" s="443"/>
      <c r="O56" s="443"/>
      <c r="P56" s="443"/>
      <c r="Q56" s="443"/>
      <c r="R56" s="1469"/>
      <c r="T56" s="459" t="str">
        <f t="shared" si="2"/>
        <v>-</v>
      </c>
      <c r="U56" s="441" t="str">
        <f t="shared" si="8"/>
        <v>OK</v>
      </c>
      <c r="V56" s="442">
        <f t="shared" si="9"/>
        <v>0</v>
      </c>
    </row>
    <row r="57" spans="3:22">
      <c r="C57" s="1470" t="s">
        <v>1658</v>
      </c>
      <c r="D57" s="451"/>
      <c r="E57" s="451"/>
      <c r="F57" s="451"/>
      <c r="G57" s="451"/>
      <c r="H57" s="452">
        <f t="shared" ref="H57" si="13">SUM(H55:H56)</f>
        <v>0</v>
      </c>
      <c r="I57" s="452">
        <f t="shared" ref="I57:R57" si="14">SUM(I55:I56)</f>
        <v>0</v>
      </c>
      <c r="J57" s="452">
        <f t="shared" si="14"/>
        <v>0</v>
      </c>
      <c r="K57" s="452">
        <f t="shared" si="14"/>
        <v>0</v>
      </c>
      <c r="L57" s="452">
        <f t="shared" si="14"/>
        <v>0</v>
      </c>
      <c r="M57" s="452">
        <f t="shared" si="14"/>
        <v>0</v>
      </c>
      <c r="N57" s="452">
        <f t="shared" si="14"/>
        <v>0</v>
      </c>
      <c r="O57" s="452">
        <f t="shared" si="14"/>
        <v>0</v>
      </c>
      <c r="P57" s="452">
        <f t="shared" si="14"/>
        <v>0</v>
      </c>
      <c r="Q57" s="452">
        <f t="shared" si="14"/>
        <v>0</v>
      </c>
      <c r="R57" s="1471">
        <f t="shared" si="14"/>
        <v>0</v>
      </c>
      <c r="T57" s="459" t="str">
        <f t="shared" si="2"/>
        <v>-</v>
      </c>
      <c r="U57" s="441" t="str">
        <f t="shared" si="8"/>
        <v>OK</v>
      </c>
      <c r="V57" s="442">
        <f t="shared" si="9"/>
        <v>0</v>
      </c>
    </row>
    <row r="58" spans="3:22" ht="7" customHeight="1">
      <c r="C58" s="1455"/>
      <c r="D58" s="455"/>
      <c r="E58" s="455"/>
      <c r="F58" s="455"/>
      <c r="G58" s="455"/>
      <c r="H58" s="455"/>
      <c r="I58" s="455"/>
      <c r="J58" s="455"/>
      <c r="K58" s="455"/>
      <c r="L58" s="455"/>
      <c r="M58" s="455"/>
      <c r="N58" s="455"/>
      <c r="O58" s="455"/>
      <c r="P58" s="455"/>
      <c r="Q58" s="455"/>
      <c r="R58" s="1460"/>
      <c r="T58" s="459" t="str">
        <f t="shared" si="2"/>
        <v>-</v>
      </c>
      <c r="U58" s="441" t="str">
        <f t="shared" si="8"/>
        <v>OK</v>
      </c>
      <c r="V58" s="442">
        <f t="shared" si="9"/>
        <v>0</v>
      </c>
    </row>
    <row r="59" spans="3:22" s="436" customFormat="1">
      <c r="C59" s="1459" t="s">
        <v>1461</v>
      </c>
      <c r="D59" s="665"/>
      <c r="E59" s="665"/>
      <c r="F59" s="665"/>
      <c r="G59" s="665"/>
      <c r="H59" s="1465">
        <f t="shared" ref="H59" si="15">H52+H64</f>
        <v>0</v>
      </c>
      <c r="I59" s="1465">
        <f t="shared" ref="I59:R59" si="16">I52+I64</f>
        <v>0</v>
      </c>
      <c r="J59" s="1465">
        <f t="shared" si="16"/>
        <v>0</v>
      </c>
      <c r="K59" s="1465">
        <f t="shared" si="16"/>
        <v>0</v>
      </c>
      <c r="L59" s="1465">
        <f t="shared" si="16"/>
        <v>-45000</v>
      </c>
      <c r="M59" s="1465">
        <f t="shared" si="16"/>
        <v>-45000</v>
      </c>
      <c r="N59" s="1465">
        <f t="shared" si="16"/>
        <v>-45000</v>
      </c>
      <c r="O59" s="1465">
        <f t="shared" si="16"/>
        <v>-45000</v>
      </c>
      <c r="P59" s="1465">
        <f t="shared" si="16"/>
        <v>-45000</v>
      </c>
      <c r="Q59" s="1465">
        <f t="shared" si="16"/>
        <v>-45000</v>
      </c>
      <c r="R59" s="1466">
        <f t="shared" si="16"/>
        <v>-45000</v>
      </c>
      <c r="T59" s="459">
        <f t="shared" si="2"/>
        <v>0</v>
      </c>
      <c r="U59" s="441" t="str">
        <f t="shared" si="8"/>
        <v>OK</v>
      </c>
      <c r="V59" s="442">
        <f t="shared" si="9"/>
        <v>0</v>
      </c>
    </row>
    <row r="60" spans="3:22" ht="7" customHeight="1">
      <c r="C60" s="1455"/>
      <c r="D60" s="455"/>
      <c r="E60" s="455"/>
      <c r="F60" s="455"/>
      <c r="G60" s="455"/>
      <c r="H60" s="455"/>
      <c r="I60" s="455"/>
      <c r="J60" s="455"/>
      <c r="K60" s="455"/>
      <c r="L60" s="455"/>
      <c r="M60" s="455"/>
      <c r="N60" s="455"/>
      <c r="O60" s="455"/>
      <c r="P60" s="455"/>
      <c r="Q60" s="455"/>
      <c r="R60" s="1460"/>
      <c r="T60" s="459" t="str">
        <f t="shared" si="2"/>
        <v>-</v>
      </c>
      <c r="U60" s="441" t="str">
        <f t="shared" si="8"/>
        <v>OK</v>
      </c>
      <c r="V60" s="442">
        <f t="shared" si="9"/>
        <v>0</v>
      </c>
    </row>
    <row r="61" spans="3:22">
      <c r="C61" s="1455"/>
      <c r="D61" s="455" t="s">
        <v>2151</v>
      </c>
      <c r="E61" s="455"/>
      <c r="F61" s="455"/>
      <c r="G61" s="455"/>
      <c r="H61" s="1547"/>
      <c r="I61" s="1547"/>
      <c r="J61" s="1547"/>
      <c r="K61" s="1548"/>
      <c r="L61" s="932">
        <f>-BS_Calc!L62</f>
        <v>0</v>
      </c>
      <c r="M61" s="932">
        <f ca="1">-BS_Calc!M62</f>
        <v>0</v>
      </c>
      <c r="N61" s="932">
        <f ca="1">-BS_Calc!N62</f>
        <v>0</v>
      </c>
      <c r="O61" s="932">
        <f ca="1">-BS_Calc!O62</f>
        <v>0</v>
      </c>
      <c r="P61" s="932">
        <f ca="1">-BS_Calc!P62</f>
        <v>0</v>
      </c>
      <c r="Q61" s="932">
        <f ca="1">-BS_Calc!Q62</f>
        <v>0</v>
      </c>
      <c r="R61" s="933">
        <f ca="1">-BS_Calc!R62</f>
        <v>0</v>
      </c>
      <c r="T61" s="459" t="str">
        <f t="shared" ca="1" si="2"/>
        <v>-</v>
      </c>
      <c r="U61" s="441" t="str">
        <f t="shared" ca="1" si="8"/>
        <v>OK</v>
      </c>
      <c r="V61" s="442">
        <f t="shared" si="9"/>
        <v>0</v>
      </c>
    </row>
    <row r="62" spans="3:22">
      <c r="C62" s="1470" t="s">
        <v>2153</v>
      </c>
      <c r="D62" s="451"/>
      <c r="E62" s="451"/>
      <c r="F62" s="451"/>
      <c r="G62" s="451"/>
      <c r="H62" s="452">
        <f>SUM(H59,H61)</f>
        <v>0</v>
      </c>
      <c r="I62" s="452">
        <f>SUM(I59,I61)</f>
        <v>0</v>
      </c>
      <c r="J62" s="452">
        <f t="shared" ref="J62:R62" si="17">SUM(J59,J61)</f>
        <v>0</v>
      </c>
      <c r="K62" s="452">
        <f>SUM(K59,K61)</f>
        <v>0</v>
      </c>
      <c r="L62" s="452">
        <f>SUM(L59,L61)</f>
        <v>-45000</v>
      </c>
      <c r="M62" s="452">
        <f t="shared" ca="1" si="17"/>
        <v>-45000</v>
      </c>
      <c r="N62" s="452">
        <f t="shared" ca="1" si="17"/>
        <v>-45000</v>
      </c>
      <c r="O62" s="452">
        <f t="shared" ca="1" si="17"/>
        <v>-45000</v>
      </c>
      <c r="P62" s="452">
        <f t="shared" ca="1" si="17"/>
        <v>-45000</v>
      </c>
      <c r="Q62" s="452">
        <f t="shared" ca="1" si="17"/>
        <v>-45000</v>
      </c>
      <c r="R62" s="1471">
        <f t="shared" ca="1" si="17"/>
        <v>-45000</v>
      </c>
      <c r="T62" s="459">
        <f t="shared" ca="1" si="2"/>
        <v>0</v>
      </c>
      <c r="U62" s="441" t="str">
        <f t="shared" ca="1" si="8"/>
        <v>OK</v>
      </c>
      <c r="V62" s="442">
        <f t="shared" si="9"/>
        <v>0</v>
      </c>
    </row>
    <row r="63" spans="3:22" ht="7" customHeight="1">
      <c r="C63" s="1455"/>
      <c r="D63" s="455"/>
      <c r="E63" s="455"/>
      <c r="F63" s="455"/>
      <c r="G63" s="455"/>
      <c r="H63" s="455"/>
      <c r="I63" s="455"/>
      <c r="J63" s="455"/>
      <c r="K63" s="455"/>
      <c r="L63" s="455"/>
      <c r="M63" s="455"/>
      <c r="N63" s="455"/>
      <c r="O63" s="455"/>
      <c r="P63" s="455"/>
      <c r="Q63" s="455"/>
      <c r="R63" s="1460"/>
      <c r="T63" s="459" t="str">
        <f t="shared" si="2"/>
        <v>-</v>
      </c>
      <c r="U63" s="441" t="str">
        <f t="shared" si="8"/>
        <v>OK</v>
      </c>
      <c r="V63" s="442">
        <f t="shared" si="9"/>
        <v>0</v>
      </c>
    </row>
    <row r="64" spans="3:22">
      <c r="C64" s="1455"/>
      <c r="D64" s="455" t="s">
        <v>2149</v>
      </c>
      <c r="E64" s="455"/>
      <c r="F64" s="455"/>
      <c r="G64" s="455"/>
      <c r="H64" s="932">
        <f>-IS_Calcs!H171</f>
        <v>0</v>
      </c>
      <c r="I64" s="932">
        <f>-IS_Calcs!I171</f>
        <v>0</v>
      </c>
      <c r="J64" s="932">
        <f>-IS_Calcs!J171</f>
        <v>0</v>
      </c>
      <c r="K64" s="932">
        <f>-IS_Calcs!K171</f>
        <v>0</v>
      </c>
      <c r="L64" s="932">
        <f>-IS_Calcs!L171</f>
        <v>-10000</v>
      </c>
      <c r="M64" s="932">
        <f>-IS_Calcs!M171</f>
        <v>-10000</v>
      </c>
      <c r="N64" s="932">
        <f>-IS_Calcs!N171</f>
        <v>-10000</v>
      </c>
      <c r="O64" s="932">
        <f>-IS_Calcs!O171</f>
        <v>-10000</v>
      </c>
      <c r="P64" s="932">
        <f>-IS_Calcs!P171</f>
        <v>-10000</v>
      </c>
      <c r="Q64" s="932">
        <f>-IS_Calcs!Q171</f>
        <v>-10000</v>
      </c>
      <c r="R64" s="933">
        <f>-IS_Calcs!R171</f>
        <v>-10000</v>
      </c>
      <c r="T64" s="459">
        <f t="shared" si="2"/>
        <v>0</v>
      </c>
      <c r="U64" s="441" t="str">
        <f t="shared" si="8"/>
        <v>OK</v>
      </c>
      <c r="V64" s="442">
        <f t="shared" si="9"/>
        <v>0</v>
      </c>
    </row>
    <row r="65" spans="3:22">
      <c r="C65" s="1470" t="s">
        <v>2154</v>
      </c>
      <c r="D65" s="451"/>
      <c r="E65" s="451"/>
      <c r="F65" s="451"/>
      <c r="G65" s="451"/>
      <c r="H65" s="452">
        <f t="shared" ref="H65" si="18">SUM(H62,H64)</f>
        <v>0</v>
      </c>
      <c r="I65" s="452">
        <f t="shared" ref="I65:R65" si="19">SUM(I62,I64)</f>
        <v>0</v>
      </c>
      <c r="J65" s="452">
        <f t="shared" si="19"/>
        <v>0</v>
      </c>
      <c r="K65" s="452">
        <f t="shared" si="19"/>
        <v>0</v>
      </c>
      <c r="L65" s="452">
        <f t="shared" si="19"/>
        <v>-55000</v>
      </c>
      <c r="M65" s="452">
        <f t="shared" ca="1" si="19"/>
        <v>-55000</v>
      </c>
      <c r="N65" s="452">
        <f t="shared" ca="1" si="19"/>
        <v>-55000</v>
      </c>
      <c r="O65" s="452">
        <f t="shared" ca="1" si="19"/>
        <v>-55000</v>
      </c>
      <c r="P65" s="452">
        <f t="shared" ca="1" si="19"/>
        <v>-55000</v>
      </c>
      <c r="Q65" s="452">
        <f t="shared" ca="1" si="19"/>
        <v>-55000</v>
      </c>
      <c r="R65" s="1471">
        <f t="shared" ca="1" si="19"/>
        <v>-55000</v>
      </c>
      <c r="T65" s="459">
        <f t="shared" ca="1" si="2"/>
        <v>0</v>
      </c>
      <c r="U65" s="441" t="str">
        <f t="shared" ca="1" si="8"/>
        <v>OK</v>
      </c>
      <c r="V65" s="442">
        <f t="shared" si="9"/>
        <v>0</v>
      </c>
    </row>
    <row r="66" spans="3:22" ht="7" customHeight="1">
      <c r="C66" s="1455"/>
      <c r="D66" s="455"/>
      <c r="E66" s="455"/>
      <c r="F66" s="455"/>
      <c r="G66" s="455"/>
      <c r="H66" s="455"/>
      <c r="I66" s="455"/>
      <c r="J66" s="455"/>
      <c r="K66" s="455"/>
      <c r="L66" s="455"/>
      <c r="M66" s="455"/>
      <c r="N66" s="455"/>
      <c r="O66" s="455"/>
      <c r="P66" s="455"/>
      <c r="Q66" s="455"/>
      <c r="R66" s="1460"/>
      <c r="T66" s="459" t="str">
        <f t="shared" si="2"/>
        <v>-</v>
      </c>
      <c r="U66" s="441" t="str">
        <f t="shared" si="8"/>
        <v>OK</v>
      </c>
      <c r="V66" s="442">
        <f t="shared" si="9"/>
        <v>0</v>
      </c>
    </row>
    <row r="67" spans="3:22">
      <c r="C67" s="1455"/>
      <c r="D67" s="455" t="s">
        <v>2657</v>
      </c>
      <c r="E67" s="455"/>
      <c r="F67" s="1546" t="e">
        <f ca="1">IS_Calcs!F181</f>
        <v>#NAME?</v>
      </c>
      <c r="G67" s="455"/>
      <c r="H67" s="462">
        <f>-IS_Calcs!H185</f>
        <v>0</v>
      </c>
      <c r="I67" s="462">
        <f>-IS_Calcs!I185</f>
        <v>0</v>
      </c>
      <c r="J67" s="339">
        <f>-IS_Calcs!J185</f>
        <v>0</v>
      </c>
      <c r="K67" s="339">
        <f>-IS_Calcs!K185</f>
        <v>0</v>
      </c>
      <c r="L67" s="339">
        <f>-IS_Calcs!L185</f>
        <v>0</v>
      </c>
      <c r="M67" s="339">
        <f ca="1">-IS_Calcs!M185</f>
        <v>0</v>
      </c>
      <c r="N67" s="339">
        <f ca="1">-IS_Calcs!N185</f>
        <v>0</v>
      </c>
      <c r="O67" s="339">
        <f ca="1">-IS_Calcs!O185</f>
        <v>0</v>
      </c>
      <c r="P67" s="339">
        <f ca="1">-IS_Calcs!P185</f>
        <v>0</v>
      </c>
      <c r="Q67" s="339">
        <f ca="1">-IS_Calcs!Q185</f>
        <v>0</v>
      </c>
      <c r="R67" s="1545">
        <f ca="1">-IS_Calcs!R185</f>
        <v>0</v>
      </c>
      <c r="T67" s="459" t="str">
        <f t="shared" ca="1" si="2"/>
        <v>-</v>
      </c>
      <c r="U67" s="441" t="str">
        <f t="shared" ca="1" si="8"/>
        <v>OK</v>
      </c>
      <c r="V67" s="442">
        <f t="shared" si="9"/>
        <v>0</v>
      </c>
    </row>
    <row r="68" spans="3:22" s="436" customFormat="1">
      <c r="C68" s="1470" t="s">
        <v>2774</v>
      </c>
      <c r="D68" s="451"/>
      <c r="E68" s="451"/>
      <c r="F68" s="451"/>
      <c r="G68" s="451"/>
      <c r="H68" s="453">
        <f t="shared" ref="H68" si="20">SUM(H65,H67:H67)</f>
        <v>0</v>
      </c>
      <c r="I68" s="453">
        <f t="shared" ref="I68:R68" si="21">SUM(I65,I67:I67)</f>
        <v>0</v>
      </c>
      <c r="J68" s="453">
        <f t="shared" si="21"/>
        <v>0</v>
      </c>
      <c r="K68" s="453">
        <f t="shared" si="21"/>
        <v>0</v>
      </c>
      <c r="L68" s="453">
        <f t="shared" si="21"/>
        <v>-55000</v>
      </c>
      <c r="M68" s="453">
        <f t="shared" ca="1" si="21"/>
        <v>-55000</v>
      </c>
      <c r="N68" s="453">
        <f t="shared" ca="1" si="21"/>
        <v>-55000</v>
      </c>
      <c r="O68" s="453">
        <f t="shared" ca="1" si="21"/>
        <v>-55000</v>
      </c>
      <c r="P68" s="453">
        <f t="shared" ca="1" si="21"/>
        <v>-55000</v>
      </c>
      <c r="Q68" s="453">
        <f t="shared" ca="1" si="21"/>
        <v>-55000</v>
      </c>
      <c r="R68" s="1472">
        <f t="shared" ca="1" si="21"/>
        <v>-55000</v>
      </c>
      <c r="T68" s="459">
        <f t="shared" ca="1" si="2"/>
        <v>0</v>
      </c>
      <c r="U68" s="441" t="str">
        <f t="shared" ca="1" si="8"/>
        <v>OK</v>
      </c>
      <c r="V68" s="442">
        <f t="shared" si="9"/>
        <v>0</v>
      </c>
    </row>
    <row r="69" spans="3:22">
      <c r="C69" s="1456"/>
      <c r="D69" s="627"/>
      <c r="E69" s="627"/>
      <c r="F69" s="627"/>
      <c r="G69" s="627"/>
      <c r="H69" s="627"/>
      <c r="I69" s="627"/>
      <c r="J69" s="627"/>
      <c r="K69" s="627"/>
      <c r="L69" s="627"/>
      <c r="M69" s="627"/>
      <c r="N69" s="627"/>
      <c r="O69" s="627"/>
      <c r="P69" s="627"/>
      <c r="Q69" s="627"/>
      <c r="R69" s="1473"/>
      <c r="T69" s="433"/>
      <c r="U69" s="433"/>
    </row>
    <row r="70" spans="3:22">
      <c r="C70" s="455"/>
      <c r="D70" s="455"/>
      <c r="E70" s="455"/>
      <c r="F70" s="455"/>
      <c r="T70" s="433"/>
      <c r="U70" s="433"/>
    </row>
    <row r="71" spans="3:22">
      <c r="C71" s="1450" t="s">
        <v>2229</v>
      </c>
      <c r="D71" s="1451"/>
      <c r="E71" s="1451"/>
      <c r="F71" s="1451"/>
      <c r="G71" s="1451"/>
      <c r="H71" s="1451"/>
      <c r="I71" s="1451"/>
      <c r="J71" s="1451"/>
      <c r="K71" s="1451"/>
      <c r="L71" s="1451"/>
      <c r="M71" s="1451"/>
      <c r="N71" s="1451"/>
      <c r="O71" s="1451"/>
      <c r="P71" s="1451"/>
      <c r="Q71" s="1451"/>
      <c r="R71" s="1452"/>
      <c r="T71" s="433"/>
      <c r="U71" s="433"/>
    </row>
    <row r="72" spans="3:22">
      <c r="C72" s="1453" t="s">
        <v>1927</v>
      </c>
      <c r="D72" s="455"/>
      <c r="E72" s="455"/>
      <c r="F72" s="455"/>
      <c r="G72" s="455"/>
      <c r="H72" s="1209">
        <f>IFERROR(H23/F23-1,0)</f>
        <v>0</v>
      </c>
      <c r="I72" s="1209">
        <f>IFERROR(I23/G23-1,0)</f>
        <v>0</v>
      </c>
      <c r="J72" s="1209">
        <f t="shared" ref="J72:R72" si="22">IFERROR(J23/I23-1,0)</f>
        <v>0</v>
      </c>
      <c r="K72" s="1209">
        <f t="shared" si="22"/>
        <v>0</v>
      </c>
      <c r="L72" s="1209">
        <f t="shared" si="22"/>
        <v>0</v>
      </c>
      <c r="M72" s="1209">
        <f t="shared" si="22"/>
        <v>0</v>
      </c>
      <c r="N72" s="1209">
        <f t="shared" si="22"/>
        <v>0</v>
      </c>
      <c r="O72" s="1209">
        <f t="shared" si="22"/>
        <v>0</v>
      </c>
      <c r="P72" s="1209">
        <f t="shared" si="22"/>
        <v>0</v>
      </c>
      <c r="Q72" s="1209">
        <f t="shared" si="22"/>
        <v>0</v>
      </c>
      <c r="R72" s="1454">
        <f t="shared" si="22"/>
        <v>0</v>
      </c>
      <c r="T72" s="433"/>
      <c r="U72" s="433"/>
    </row>
    <row r="73" spans="3:22">
      <c r="C73" s="1453" t="s">
        <v>2399</v>
      </c>
      <c r="D73" s="455"/>
      <c r="E73" s="455"/>
      <c r="F73" s="455"/>
      <c r="G73" s="455"/>
      <c r="H73" s="1209">
        <f>IFERROR((-H38)/H23,0)</f>
        <v>0</v>
      </c>
      <c r="I73" s="1209">
        <f>IFERROR((-I38)/I23,0)</f>
        <v>0</v>
      </c>
      <c r="J73" s="1209">
        <f t="shared" ref="J73:R73" si="23">IFERROR((-J38)/J23,0)</f>
        <v>0</v>
      </c>
      <c r="K73" s="1209">
        <f t="shared" si="23"/>
        <v>0</v>
      </c>
      <c r="L73" s="1209">
        <f t="shared" si="23"/>
        <v>0</v>
      </c>
      <c r="M73" s="1209">
        <f t="shared" si="23"/>
        <v>0</v>
      </c>
      <c r="N73" s="1209">
        <f t="shared" si="23"/>
        <v>0</v>
      </c>
      <c r="O73" s="1209">
        <f t="shared" si="23"/>
        <v>0</v>
      </c>
      <c r="P73" s="1209">
        <f t="shared" si="23"/>
        <v>0</v>
      </c>
      <c r="Q73" s="1209">
        <f t="shared" si="23"/>
        <v>0</v>
      </c>
      <c r="R73" s="1454">
        <f t="shared" si="23"/>
        <v>0</v>
      </c>
      <c r="T73" s="433"/>
      <c r="U73" s="433"/>
    </row>
    <row r="74" spans="3:22">
      <c r="C74" s="1455" t="s">
        <v>2230</v>
      </c>
      <c r="D74" s="455"/>
      <c r="E74" s="455"/>
      <c r="F74" s="455"/>
      <c r="G74" s="455"/>
      <c r="H74" s="1209">
        <f>IFERROR(H40/H23,0)</f>
        <v>0</v>
      </c>
      <c r="I74" s="1209">
        <f>IFERROR(I40/I23,0)</f>
        <v>0</v>
      </c>
      <c r="J74" s="1209">
        <f t="shared" ref="J74:R74" si="24">IFERROR(J40/J23,0)</f>
        <v>0</v>
      </c>
      <c r="K74" s="1209">
        <f t="shared" si="24"/>
        <v>0</v>
      </c>
      <c r="L74" s="1209">
        <f t="shared" si="24"/>
        <v>0</v>
      </c>
      <c r="M74" s="1209">
        <f t="shared" si="24"/>
        <v>0</v>
      </c>
      <c r="N74" s="1209">
        <f t="shared" si="24"/>
        <v>0</v>
      </c>
      <c r="O74" s="1209">
        <f t="shared" si="24"/>
        <v>0</v>
      </c>
      <c r="P74" s="1209">
        <f t="shared" si="24"/>
        <v>0</v>
      </c>
      <c r="Q74" s="1209">
        <f t="shared" si="24"/>
        <v>0</v>
      </c>
      <c r="R74" s="1454">
        <f t="shared" si="24"/>
        <v>0</v>
      </c>
      <c r="T74" s="433"/>
      <c r="U74" s="433"/>
    </row>
    <row r="75" spans="3:22">
      <c r="C75" s="1455" t="s">
        <v>2231</v>
      </c>
      <c r="D75" s="455"/>
      <c r="E75" s="455"/>
      <c r="F75" s="455"/>
      <c r="G75" s="455"/>
      <c r="H75" s="1209">
        <f>IFERROR(-H50/H23,0)</f>
        <v>0</v>
      </c>
      <c r="I75" s="1209">
        <f>IFERROR(-I50/I23,0)</f>
        <v>0</v>
      </c>
      <c r="J75" s="1209">
        <f t="shared" ref="J75:R75" si="25">IFERROR(-J50/J23,0)</f>
        <v>0</v>
      </c>
      <c r="K75" s="1209">
        <f t="shared" si="25"/>
        <v>0</v>
      </c>
      <c r="L75" s="1209">
        <f t="shared" si="25"/>
        <v>0</v>
      </c>
      <c r="M75" s="1209">
        <f t="shared" si="25"/>
        <v>0</v>
      </c>
      <c r="N75" s="1209">
        <f t="shared" si="25"/>
        <v>0</v>
      </c>
      <c r="O75" s="1209">
        <f t="shared" si="25"/>
        <v>0</v>
      </c>
      <c r="P75" s="1209">
        <f t="shared" si="25"/>
        <v>0</v>
      </c>
      <c r="Q75" s="1209">
        <f t="shared" si="25"/>
        <v>0</v>
      </c>
      <c r="R75" s="1454">
        <f t="shared" si="25"/>
        <v>0</v>
      </c>
      <c r="T75" s="433"/>
      <c r="U75" s="433"/>
    </row>
    <row r="76" spans="3:22">
      <c r="C76" s="1455" t="s">
        <v>1462</v>
      </c>
      <c r="D76" s="455"/>
      <c r="E76" s="455"/>
      <c r="F76" s="455"/>
      <c r="G76" s="455"/>
      <c r="H76" s="1209">
        <f>IFERROR(H59/H23,0)</f>
        <v>0</v>
      </c>
      <c r="I76" s="1209">
        <f>IFERROR(I59/I23,0)</f>
        <v>0</v>
      </c>
      <c r="J76" s="1209">
        <f t="shared" ref="J76:R76" si="26">IFERROR(J59/J23,0)</f>
        <v>0</v>
      </c>
      <c r="K76" s="1209">
        <f t="shared" si="26"/>
        <v>0</v>
      </c>
      <c r="L76" s="1209">
        <f t="shared" si="26"/>
        <v>0</v>
      </c>
      <c r="M76" s="1209">
        <f t="shared" si="26"/>
        <v>0</v>
      </c>
      <c r="N76" s="1209">
        <f t="shared" si="26"/>
        <v>0</v>
      </c>
      <c r="O76" s="1209">
        <f t="shared" si="26"/>
        <v>0</v>
      </c>
      <c r="P76" s="1209">
        <f t="shared" si="26"/>
        <v>0</v>
      </c>
      <c r="Q76" s="1209">
        <f t="shared" si="26"/>
        <v>0</v>
      </c>
      <c r="R76" s="1454">
        <f t="shared" si="26"/>
        <v>0</v>
      </c>
      <c r="T76" s="433"/>
      <c r="U76" s="433"/>
    </row>
    <row r="77" spans="3:22">
      <c r="C77" s="1455" t="s">
        <v>2232</v>
      </c>
      <c r="D77" s="455"/>
      <c r="E77" s="455"/>
      <c r="F77" s="455"/>
      <c r="G77" s="455"/>
      <c r="H77" s="1209">
        <f>IFERROR(-H61/H23,0)</f>
        <v>0</v>
      </c>
      <c r="I77" s="1209">
        <f>IFERROR(-I61/I23,0)</f>
        <v>0</v>
      </c>
      <c r="J77" s="1209">
        <f t="shared" ref="J77:R77" si="27">IFERROR(-J61/J23,0)</f>
        <v>0</v>
      </c>
      <c r="K77" s="1209">
        <f t="shared" si="27"/>
        <v>0</v>
      </c>
      <c r="L77" s="1209">
        <f t="shared" si="27"/>
        <v>0</v>
      </c>
      <c r="M77" s="1209">
        <f t="shared" ca="1" si="27"/>
        <v>0</v>
      </c>
      <c r="N77" s="1209">
        <f t="shared" ca="1" si="27"/>
        <v>0</v>
      </c>
      <c r="O77" s="1209">
        <f t="shared" ca="1" si="27"/>
        <v>0</v>
      </c>
      <c r="P77" s="1209">
        <f t="shared" ca="1" si="27"/>
        <v>0</v>
      </c>
      <c r="Q77" s="1209">
        <f t="shared" ca="1" si="27"/>
        <v>0</v>
      </c>
      <c r="R77" s="1454">
        <f t="shared" ca="1" si="27"/>
        <v>0</v>
      </c>
      <c r="T77" s="433"/>
      <c r="U77" s="433"/>
    </row>
    <row r="78" spans="3:22">
      <c r="C78" s="1456" t="s">
        <v>1928</v>
      </c>
      <c r="D78" s="627"/>
      <c r="E78" s="627"/>
      <c r="F78" s="627"/>
      <c r="G78" s="627"/>
      <c r="H78" s="1457">
        <f>IFERROR(H68/H23,0)</f>
        <v>0</v>
      </c>
      <c r="I78" s="1457">
        <f>IFERROR(I68/I23,0)</f>
        <v>0</v>
      </c>
      <c r="J78" s="1457">
        <f t="shared" ref="J78:R78" si="28">IFERROR(J68/J23,0)</f>
        <v>0</v>
      </c>
      <c r="K78" s="1457">
        <f t="shared" si="28"/>
        <v>0</v>
      </c>
      <c r="L78" s="1457">
        <f t="shared" si="28"/>
        <v>0</v>
      </c>
      <c r="M78" s="1457">
        <f t="shared" ca="1" si="28"/>
        <v>0</v>
      </c>
      <c r="N78" s="1457">
        <f t="shared" ca="1" si="28"/>
        <v>0</v>
      </c>
      <c r="O78" s="1457">
        <f t="shared" ca="1" si="28"/>
        <v>0</v>
      </c>
      <c r="P78" s="1457">
        <f t="shared" ca="1" si="28"/>
        <v>0</v>
      </c>
      <c r="Q78" s="1457">
        <f t="shared" ca="1" si="28"/>
        <v>0</v>
      </c>
      <c r="R78" s="1458">
        <f t="shared" ca="1" si="28"/>
        <v>0</v>
      </c>
      <c r="T78" s="433"/>
      <c r="U78" s="433"/>
    </row>
    <row r="82" spans="3:18">
      <c r="C82" s="433" t="s">
        <v>2383</v>
      </c>
      <c r="H82" s="433">
        <f t="shared" ref="H82" si="29">IF(H72&lt;0,1,0)</f>
        <v>0</v>
      </c>
      <c r="I82" s="433">
        <f t="shared" ref="I82:R82" si="30">IF(I72&lt;0,1,0)</f>
        <v>0</v>
      </c>
      <c r="J82" s="433">
        <f t="shared" si="30"/>
        <v>0</v>
      </c>
      <c r="K82" s="433">
        <f t="shared" si="30"/>
        <v>0</v>
      </c>
      <c r="L82" s="433">
        <f t="shared" si="30"/>
        <v>0</v>
      </c>
      <c r="M82" s="433">
        <f t="shared" si="30"/>
        <v>0</v>
      </c>
      <c r="N82" s="433">
        <f t="shared" si="30"/>
        <v>0</v>
      </c>
      <c r="O82" s="433">
        <f t="shared" si="30"/>
        <v>0</v>
      </c>
      <c r="P82" s="433">
        <f t="shared" si="30"/>
        <v>0</v>
      </c>
      <c r="Q82" s="433">
        <f t="shared" si="30"/>
        <v>0</v>
      </c>
      <c r="R82" s="433">
        <f t="shared" si="30"/>
        <v>0</v>
      </c>
    </row>
  </sheetData>
  <phoneticPr fontId="19" type="noConversion"/>
  <printOptions horizontalCentered="1"/>
  <pageMargins left="0.25" right="0.25" top="0.75" bottom="0.25" header="0.25" footer="0.25"/>
  <pageSetup scale="56" orientation="landscape" horizontalDpi="300" verticalDpi="300" r:id="rId1"/>
  <headerFooter alignWithMargins="0">
    <oddHeader>&amp;R&amp;"Arial"&amp;8&amp;K000000Confidential&amp;1#</oddHeader>
  </headerFooter>
  <rowBreaks count="1" manualBreakCount="1">
    <brk id="73" min="2"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tabColor rgb="FFA8E0B8"/>
    <pageSetUpPr fitToPage="1"/>
  </sheetPr>
  <dimension ref="A2:T85"/>
  <sheetViews>
    <sheetView showGridLines="0" zoomScale="112" zoomScaleNormal="90" zoomScaleSheetLayoutView="80" workbookViewId="0">
      <pane ySplit="8" topLeftCell="A12" activePane="bottomLeft" state="frozen"/>
      <selection activeCell="K26" sqref="K26"/>
      <selection pane="bottomLeft" activeCell="H17" sqref="H17"/>
    </sheetView>
  </sheetViews>
  <sheetFormatPr defaultColWidth="0" defaultRowHeight="10.5"/>
  <cols>
    <col min="1" max="1" width="1.84375" style="433" customWidth="1"/>
    <col min="2" max="2" width="2.3828125" style="433" customWidth="1"/>
    <col min="3" max="4" width="2.84375" style="433" customWidth="1"/>
    <col min="5" max="5" width="27.84375" style="433" customWidth="1"/>
    <col min="6" max="6" width="11.84375" style="433" customWidth="1"/>
    <col min="7" max="14" width="8.84375" style="433" customWidth="1"/>
    <col min="15" max="20" width="0" style="433" hidden="1" customWidth="1"/>
    <col min="21" max="16384" width="8.84375" style="433" hidden="1"/>
  </cols>
  <sheetData>
    <row r="2" spans="2:14">
      <c r="B2" s="245" t="str">
        <f>Inputs!B2</f>
        <v>Valify - UAE Valuation Services</v>
      </c>
      <c r="C2" s="246"/>
      <c r="D2" s="246"/>
      <c r="E2" s="246"/>
      <c r="F2" s="246"/>
      <c r="G2" s="246"/>
      <c r="H2" s="246"/>
      <c r="I2" s="246"/>
      <c r="J2" s="246"/>
      <c r="K2" s="246"/>
      <c r="L2" s="246"/>
      <c r="M2" s="246"/>
      <c r="N2" s="246"/>
    </row>
    <row r="3" spans="2:14" ht="12" customHeight="1">
      <c r="B3" s="247" t="str">
        <f>Inputs!$B$3</f>
        <v>Aerial Arts India XXXXXXXXXXXXXXXXX - Self Valuation using DCF Method, Transaction Multiples Method, &amp; Market Multiples Method as at September 30, 2024</v>
      </c>
      <c r="C3" s="246"/>
      <c r="D3" s="246"/>
      <c r="E3" s="246"/>
      <c r="F3" s="246"/>
      <c r="G3" s="246"/>
      <c r="H3" s="246"/>
      <c r="I3" s="246"/>
      <c r="J3" s="246"/>
      <c r="K3" s="246"/>
      <c r="L3" s="246"/>
      <c r="M3" s="246"/>
      <c r="N3" s="246"/>
    </row>
    <row r="4" spans="2:14" ht="12" customHeight="1">
      <c r="B4" s="248" t="s">
        <v>1974</v>
      </c>
      <c r="C4" s="246"/>
      <c r="D4" s="246"/>
      <c r="E4" s="246"/>
      <c r="F4" s="246"/>
      <c r="G4" s="246"/>
      <c r="H4" s="246"/>
      <c r="I4" s="246"/>
      <c r="J4" s="246"/>
      <c r="K4" s="246"/>
      <c r="L4" s="246"/>
      <c r="M4" s="246"/>
      <c r="N4" s="246"/>
    </row>
    <row r="5" spans="2:14" s="435" customFormat="1" ht="11" thickBot="1">
      <c r="B5" s="249"/>
      <c r="C5" s="249"/>
      <c r="D5" s="249"/>
      <c r="E5" s="249"/>
      <c r="F5" s="249"/>
      <c r="G5" s="249"/>
      <c r="H5" s="249"/>
      <c r="I5" s="249"/>
      <c r="J5" s="249"/>
      <c r="K5" s="249"/>
      <c r="L5" s="249"/>
      <c r="M5" s="249"/>
      <c r="N5" s="246"/>
    </row>
    <row r="6" spans="2:14" ht="12" customHeight="1" thickTop="1">
      <c r="C6" s="461"/>
      <c r="D6" s="462"/>
      <c r="E6" s="462"/>
      <c r="F6" s="462"/>
      <c r="G6" s="463"/>
      <c r="H6" s="463"/>
      <c r="I6" s="463"/>
      <c r="J6" s="463"/>
      <c r="K6" s="463"/>
      <c r="L6" s="463"/>
    </row>
    <row r="7" spans="2:14">
      <c r="C7" s="464" t="str">
        <f>IS_Calcs!C7</f>
        <v>All amounts in USD 'Units</v>
      </c>
      <c r="D7" s="465"/>
      <c r="E7" s="465"/>
      <c r="F7" s="465"/>
      <c r="G7" s="466"/>
      <c r="H7" s="467" t="str">
        <f>IS_Calcs!H7</f>
        <v>FY21</v>
      </c>
      <c r="I7" s="467" t="str">
        <f>IS_Calcs!I7</f>
        <v>FY22</v>
      </c>
      <c r="J7" s="299" t="str">
        <f>IS_Calcs!J7</f>
        <v>FY23</v>
      </c>
      <c r="K7" s="299" t="str">
        <f>IS_Calcs!K7</f>
        <v>YTD24</v>
      </c>
      <c r="L7" s="299" t="str">
        <f>IS_Calcs!L7</f>
        <v>YTG24</v>
      </c>
      <c r="M7" s="299" t="str">
        <f>IS_Calcs!M7</f>
        <v>FY24</v>
      </c>
    </row>
    <row r="8" spans="2:14">
      <c r="C8" s="468"/>
      <c r="D8" s="251"/>
      <c r="E8" s="251"/>
      <c r="F8" s="251"/>
      <c r="G8" s="469"/>
      <c r="H8" s="470" t="str">
        <f>IS_Calcs!H8</f>
        <v>Actual</v>
      </c>
      <c r="I8" s="470" t="str">
        <f>IS_Calcs!I8</f>
        <v>Actual</v>
      </c>
      <c r="J8" s="252" t="str">
        <f>IS_Calcs!J8</f>
        <v>Actual</v>
      </c>
      <c r="K8" s="252" t="str">
        <f>IS_Calcs!K8</f>
        <v>Actual</v>
      </c>
      <c r="L8" s="252" t="str">
        <f>IS_Calcs!L8</f>
        <v>Estimate</v>
      </c>
      <c r="M8" s="252" t="str">
        <f>IS_Calcs!M8</f>
        <v>Estimate</v>
      </c>
    </row>
    <row r="9" spans="2:14">
      <c r="C9" s="436" t="s">
        <v>1595</v>
      </c>
      <c r="H9" s="471">
        <f>FS!G88</f>
        <v>0</v>
      </c>
      <c r="I9" s="471">
        <f>FS!H88</f>
        <v>0</v>
      </c>
      <c r="J9" s="471">
        <f>FS!I88</f>
        <v>0</v>
      </c>
      <c r="K9" s="471">
        <f>FS!J88</f>
        <v>0</v>
      </c>
      <c r="L9" s="472">
        <v>0</v>
      </c>
      <c r="M9" s="472">
        <v>0</v>
      </c>
    </row>
    <row r="10" spans="2:14">
      <c r="D10" s="433" t="s">
        <v>1596</v>
      </c>
      <c r="H10" s="471">
        <f>FS!G89</f>
        <v>0</v>
      </c>
      <c r="I10" s="471">
        <f>FS!H89</f>
        <v>0</v>
      </c>
      <c r="J10" s="471">
        <f>FS!I89</f>
        <v>0</v>
      </c>
      <c r="K10" s="471">
        <f>FS!J89</f>
        <v>0</v>
      </c>
      <c r="L10" s="472">
        <v>0</v>
      </c>
      <c r="M10" s="472">
        <v>0</v>
      </c>
    </row>
    <row r="11" spans="2:14">
      <c r="D11" s="433" t="s">
        <v>1597</v>
      </c>
      <c r="H11" s="471">
        <f>FS!G90</f>
        <v>0</v>
      </c>
      <c r="I11" s="471">
        <f>FS!H90</f>
        <v>0</v>
      </c>
      <c r="J11" s="471">
        <f>FS!I90</f>
        <v>0</v>
      </c>
      <c r="K11" s="471">
        <f>FS!J90</f>
        <v>0</v>
      </c>
      <c r="L11" s="472">
        <v>0</v>
      </c>
      <c r="M11" s="472">
        <v>0</v>
      </c>
    </row>
    <row r="12" spans="2:14">
      <c r="D12" s="433" t="s">
        <v>1598</v>
      </c>
      <c r="H12" s="471">
        <f>FS!G91</f>
        <v>0</v>
      </c>
      <c r="I12" s="471">
        <f>FS!H91</f>
        <v>0</v>
      </c>
      <c r="J12" s="471">
        <f>FS!I91</f>
        <v>0</v>
      </c>
      <c r="K12" s="471">
        <f>FS!J91</f>
        <v>0</v>
      </c>
      <c r="L12" s="472">
        <v>0</v>
      </c>
      <c r="M12" s="472">
        <v>0</v>
      </c>
    </row>
    <row r="13" spans="2:14">
      <c r="D13" s="433" t="s">
        <v>1599</v>
      </c>
      <c r="H13" s="471">
        <f>FS!G92</f>
        <v>0</v>
      </c>
      <c r="I13" s="471">
        <f>FS!H92</f>
        <v>0</v>
      </c>
      <c r="J13" s="471">
        <f>FS!I92</f>
        <v>0</v>
      </c>
      <c r="K13" s="471">
        <f>FS!J92</f>
        <v>0</v>
      </c>
      <c r="L13" s="472">
        <v>0</v>
      </c>
      <c r="M13" s="472">
        <v>0</v>
      </c>
    </row>
    <row r="14" spans="2:14">
      <c r="D14" s="433" t="s">
        <v>1600</v>
      </c>
      <c r="H14" s="471">
        <f>FS!G93</f>
        <v>0</v>
      </c>
      <c r="I14" s="471">
        <f>FS!H93</f>
        <v>0</v>
      </c>
      <c r="J14" s="471">
        <f>FS!I93</f>
        <v>0</v>
      </c>
      <c r="K14" s="471">
        <f>FS!J93</f>
        <v>0</v>
      </c>
      <c r="L14" s="472">
        <v>0</v>
      </c>
      <c r="M14" s="472">
        <v>0</v>
      </c>
    </row>
    <row r="15" spans="2:14">
      <c r="D15" s="433" t="s">
        <v>1601</v>
      </c>
      <c r="H15" s="471">
        <f>FS!G94</f>
        <v>0</v>
      </c>
      <c r="I15" s="471">
        <f>FS!H94</f>
        <v>0</v>
      </c>
      <c r="J15" s="471">
        <f>FS!I94</f>
        <v>0</v>
      </c>
      <c r="K15" s="471">
        <f>FS!J94</f>
        <v>0</v>
      </c>
      <c r="L15" s="472">
        <v>0</v>
      </c>
      <c r="M15" s="472">
        <v>0</v>
      </c>
    </row>
    <row r="16" spans="2:14">
      <c r="D16" s="433" t="s">
        <v>1602</v>
      </c>
      <c r="H16" s="471">
        <f>FS!G95</f>
        <v>0</v>
      </c>
      <c r="I16" s="471">
        <f>FS!H95</f>
        <v>0</v>
      </c>
      <c r="J16" s="471">
        <f>FS!I95</f>
        <v>0</v>
      </c>
      <c r="K16" s="471">
        <f>FS!J95</f>
        <v>0</v>
      </c>
      <c r="L16" s="472">
        <v>0</v>
      </c>
      <c r="M16" s="472">
        <v>0</v>
      </c>
    </row>
    <row r="17" spans="3:13">
      <c r="D17" s="433" t="s">
        <v>1603</v>
      </c>
      <c r="H17" s="471">
        <f>FS!G96</f>
        <v>0</v>
      </c>
      <c r="I17" s="471">
        <f>FS!H96</f>
        <v>0</v>
      </c>
      <c r="J17" s="471">
        <f>FS!I96</f>
        <v>0</v>
      </c>
      <c r="K17" s="471">
        <f>FS!J96</f>
        <v>0</v>
      </c>
      <c r="L17" s="472">
        <v>0</v>
      </c>
      <c r="M17" s="472">
        <v>0</v>
      </c>
    </row>
    <row r="18" spans="3:13">
      <c r="D18" s="433" t="s">
        <v>1604</v>
      </c>
      <c r="H18" s="471">
        <f>FS!G97</f>
        <v>0</v>
      </c>
      <c r="I18" s="471">
        <f>FS!H97</f>
        <v>0</v>
      </c>
      <c r="J18" s="471">
        <f>FS!I97</f>
        <v>0</v>
      </c>
      <c r="K18" s="471">
        <f>FS!J97</f>
        <v>0</v>
      </c>
      <c r="L18" s="472">
        <v>0</v>
      </c>
      <c r="M18" s="472">
        <v>0</v>
      </c>
    </row>
    <row r="19" spans="3:13">
      <c r="D19" s="433" t="s">
        <v>1605</v>
      </c>
      <c r="H19" s="471">
        <f>FS!G98</f>
        <v>0</v>
      </c>
      <c r="I19" s="471">
        <f>FS!H98</f>
        <v>0</v>
      </c>
      <c r="J19" s="471">
        <f>FS!I98</f>
        <v>0</v>
      </c>
      <c r="K19" s="471">
        <f>FS!J98</f>
        <v>0</v>
      </c>
      <c r="L19" s="472">
        <v>0</v>
      </c>
      <c r="M19" s="472">
        <v>0</v>
      </c>
    </row>
    <row r="20" spans="3:13">
      <c r="C20" s="451" t="s">
        <v>1606</v>
      </c>
      <c r="D20" s="451"/>
      <c r="E20" s="451"/>
      <c r="F20" s="451"/>
      <c r="G20" s="451"/>
      <c r="H20" s="473">
        <f>FS!G99</f>
        <v>0</v>
      </c>
      <c r="I20" s="473">
        <f>FS!H99</f>
        <v>0</v>
      </c>
      <c r="J20" s="473">
        <f>FS!I99</f>
        <v>0</v>
      </c>
      <c r="K20" s="473">
        <f>FS!J99</f>
        <v>0</v>
      </c>
      <c r="L20" s="474">
        <f>SUM(L9:L19)</f>
        <v>0</v>
      </c>
      <c r="M20" s="474">
        <f>SUM(M9:M19)</f>
        <v>0</v>
      </c>
    </row>
    <row r="21" spans="3:13" ht="7" customHeight="1">
      <c r="H21" s="475">
        <f>FS!G100</f>
        <v>0</v>
      </c>
      <c r="I21" s="475">
        <f>FS!H100</f>
        <v>0</v>
      </c>
      <c r="J21" s="475">
        <f>FS!I100</f>
        <v>0</v>
      </c>
      <c r="K21" s="475">
        <f>FS!J100</f>
        <v>0</v>
      </c>
      <c r="L21" s="476"/>
      <c r="M21" s="476"/>
    </row>
    <row r="22" spans="3:13">
      <c r="C22" s="436" t="s">
        <v>1607</v>
      </c>
      <c r="H22" s="475">
        <f>FS!G101</f>
        <v>0</v>
      </c>
      <c r="I22" s="475">
        <f>FS!H101</f>
        <v>0</v>
      </c>
      <c r="J22" s="475">
        <f>FS!I101</f>
        <v>0</v>
      </c>
      <c r="K22" s="475">
        <f>FS!J101</f>
        <v>0</v>
      </c>
      <c r="L22" s="476"/>
      <c r="M22" s="476"/>
    </row>
    <row r="23" spans="3:13" hidden="1">
      <c r="E23" s="433" t="s">
        <v>1608</v>
      </c>
      <c r="H23" s="475">
        <f>FS!G102</f>
        <v>0</v>
      </c>
      <c r="I23" s="475">
        <f>FS!H102</f>
        <v>0</v>
      </c>
      <c r="J23" s="475">
        <f>FS!I102</f>
        <v>0</v>
      </c>
      <c r="K23" s="475">
        <f>FS!J102</f>
        <v>0</v>
      </c>
      <c r="L23" s="476"/>
      <c r="M23" s="476"/>
    </row>
    <row r="24" spans="3:13" hidden="1">
      <c r="E24" s="433" t="s">
        <v>1609</v>
      </c>
      <c r="H24" s="475">
        <f>FS!G103</f>
        <v>0</v>
      </c>
      <c r="I24" s="475">
        <f>FS!H103</f>
        <v>0</v>
      </c>
      <c r="J24" s="475">
        <f>FS!I103</f>
        <v>0</v>
      </c>
      <c r="K24" s="475">
        <f>FS!J103</f>
        <v>0</v>
      </c>
      <c r="L24" s="476"/>
      <c r="M24" s="476"/>
    </row>
    <row r="25" spans="3:13" hidden="1">
      <c r="E25" s="433" t="s">
        <v>1610</v>
      </c>
      <c r="H25" s="475">
        <f>FS!G104</f>
        <v>0</v>
      </c>
      <c r="I25" s="475">
        <f>FS!H104</f>
        <v>0</v>
      </c>
      <c r="J25" s="475">
        <f>FS!I104</f>
        <v>0</v>
      </c>
      <c r="K25" s="475">
        <f>FS!J104</f>
        <v>0</v>
      </c>
      <c r="L25" s="476"/>
      <c r="M25" s="476"/>
    </row>
    <row r="26" spans="3:13" hidden="1">
      <c r="E26" s="433" t="s">
        <v>1611</v>
      </c>
      <c r="H26" s="475">
        <f>FS!G105</f>
        <v>0</v>
      </c>
      <c r="I26" s="475">
        <f>FS!H105</f>
        <v>0</v>
      </c>
      <c r="J26" s="475">
        <f>FS!I105</f>
        <v>0</v>
      </c>
      <c r="K26" s="475">
        <f>FS!J105</f>
        <v>0</v>
      </c>
      <c r="L26" s="476"/>
      <c r="M26" s="476"/>
    </row>
    <row r="27" spans="3:13" collapsed="1">
      <c r="D27" s="433" t="s">
        <v>1612</v>
      </c>
      <c r="H27" s="471">
        <f>FS!G106</f>
        <v>0</v>
      </c>
      <c r="I27" s="471">
        <f>FS!H106</f>
        <v>0</v>
      </c>
      <c r="J27" s="471">
        <f>FS!I106</f>
        <v>0</v>
      </c>
      <c r="K27" s="471">
        <f>FS!J106</f>
        <v>0</v>
      </c>
      <c r="L27" s="472">
        <v>0</v>
      </c>
      <c r="M27" s="472">
        <v>0</v>
      </c>
    </row>
    <row r="28" spans="3:13">
      <c r="D28" s="433" t="s">
        <v>1613</v>
      </c>
      <c r="H28" s="471">
        <f>FS!G107</f>
        <v>0</v>
      </c>
      <c r="I28" s="471">
        <f>FS!H107</f>
        <v>0</v>
      </c>
      <c r="J28" s="471">
        <f>FS!I107</f>
        <v>0</v>
      </c>
      <c r="K28" s="471">
        <f>FS!J107</f>
        <v>0</v>
      </c>
      <c r="L28" s="472">
        <v>0</v>
      </c>
      <c r="M28" s="472">
        <v>0</v>
      </c>
    </row>
    <row r="29" spans="3:13">
      <c r="C29" s="451" t="s">
        <v>1614</v>
      </c>
      <c r="D29" s="451"/>
      <c r="E29" s="451"/>
      <c r="F29" s="451"/>
      <c r="G29" s="451"/>
      <c r="H29" s="473">
        <f>FS!G108</f>
        <v>0</v>
      </c>
      <c r="I29" s="473">
        <f>FS!H108</f>
        <v>0</v>
      </c>
      <c r="J29" s="473">
        <f>FS!I108</f>
        <v>0</v>
      </c>
      <c r="K29" s="473">
        <f>FS!J108</f>
        <v>0</v>
      </c>
      <c r="L29" s="474">
        <v>0</v>
      </c>
      <c r="M29" s="474">
        <v>0</v>
      </c>
    </row>
    <row r="30" spans="3:13" ht="7" customHeight="1">
      <c r="H30" s="475">
        <f>FS!G109</f>
        <v>0</v>
      </c>
      <c r="I30" s="475">
        <f>FS!H109</f>
        <v>0</v>
      </c>
      <c r="J30" s="475">
        <f>FS!I109</f>
        <v>0</v>
      </c>
      <c r="K30" s="475">
        <f>FS!J109</f>
        <v>0</v>
      </c>
      <c r="L30" s="476"/>
      <c r="M30" s="476"/>
    </row>
    <row r="31" spans="3:13">
      <c r="C31" s="436" t="s">
        <v>1615</v>
      </c>
      <c r="H31" s="475">
        <f>FS!G110</f>
        <v>0</v>
      </c>
      <c r="I31" s="475">
        <f>FS!H110</f>
        <v>0</v>
      </c>
      <c r="J31" s="475">
        <f>FS!I110</f>
        <v>0</v>
      </c>
      <c r="K31" s="475">
        <f>FS!J110</f>
        <v>0</v>
      </c>
      <c r="L31" s="476"/>
      <c r="M31" s="476"/>
    </row>
    <row r="32" spans="3:13">
      <c r="D32" s="433" t="s">
        <v>1616</v>
      </c>
      <c r="H32" s="471">
        <f>FS!G111</f>
        <v>0</v>
      </c>
      <c r="I32" s="471">
        <f>FS!H111</f>
        <v>0</v>
      </c>
      <c r="J32" s="471">
        <f>FS!I111</f>
        <v>0</v>
      </c>
      <c r="K32" s="471">
        <f>FS!J111</f>
        <v>0</v>
      </c>
      <c r="L32" s="472">
        <v>0</v>
      </c>
      <c r="M32" s="472">
        <v>0</v>
      </c>
    </row>
    <row r="33" spans="3:13">
      <c r="D33" s="433" t="s">
        <v>1617</v>
      </c>
      <c r="H33" s="471">
        <f>FS!G112</f>
        <v>0</v>
      </c>
      <c r="I33" s="471">
        <f>FS!H112</f>
        <v>0</v>
      </c>
      <c r="J33" s="471">
        <f>FS!I112</f>
        <v>0</v>
      </c>
      <c r="K33" s="471">
        <f>FS!J112</f>
        <v>0</v>
      </c>
      <c r="L33" s="472">
        <v>0</v>
      </c>
      <c r="M33" s="472">
        <v>0</v>
      </c>
    </row>
    <row r="34" spans="3:13">
      <c r="E34" s="433" t="s">
        <v>1618</v>
      </c>
      <c r="H34" s="471">
        <f>FS!G113</f>
        <v>0</v>
      </c>
      <c r="I34" s="471">
        <f>FS!H113</f>
        <v>0</v>
      </c>
      <c r="J34" s="471">
        <f>FS!I113</f>
        <v>0</v>
      </c>
      <c r="K34" s="471">
        <f>FS!J113</f>
        <v>0</v>
      </c>
      <c r="L34" s="472">
        <v>0</v>
      </c>
      <c r="M34" s="472">
        <v>0</v>
      </c>
    </row>
    <row r="35" spans="3:13">
      <c r="E35" s="433" t="s">
        <v>1619</v>
      </c>
      <c r="H35" s="471">
        <f>FS!G114</f>
        <v>0</v>
      </c>
      <c r="I35" s="471">
        <f>FS!H114</f>
        <v>0</v>
      </c>
      <c r="J35" s="471">
        <f>FS!I114</f>
        <v>0</v>
      </c>
      <c r="K35" s="471">
        <f>FS!J114</f>
        <v>0</v>
      </c>
      <c r="L35" s="472">
        <v>0</v>
      </c>
      <c r="M35" s="472">
        <v>0</v>
      </c>
    </row>
    <row r="36" spans="3:13">
      <c r="D36" s="433" t="s">
        <v>1620</v>
      </c>
      <c r="H36" s="471">
        <f>FS!G115</f>
        <v>0</v>
      </c>
      <c r="I36" s="471">
        <f>FS!H115</f>
        <v>0</v>
      </c>
      <c r="J36" s="471">
        <f>FS!I115</f>
        <v>0</v>
      </c>
      <c r="K36" s="471">
        <f>FS!J115</f>
        <v>0</v>
      </c>
      <c r="L36" s="472">
        <v>0</v>
      </c>
      <c r="M36" s="472">
        <v>0</v>
      </c>
    </row>
    <row r="37" spans="3:13">
      <c r="E37" s="433" t="s">
        <v>1605</v>
      </c>
      <c r="H37" s="471">
        <f>FS!G116</f>
        <v>0</v>
      </c>
      <c r="I37" s="471">
        <f>FS!H116</f>
        <v>0</v>
      </c>
      <c r="J37" s="471">
        <f>FS!I116</f>
        <v>0</v>
      </c>
      <c r="K37" s="471">
        <f>FS!J116</f>
        <v>0</v>
      </c>
      <c r="L37" s="472">
        <v>0</v>
      </c>
      <c r="M37" s="472">
        <v>0</v>
      </c>
    </row>
    <row r="38" spans="3:13">
      <c r="E38" s="433" t="s">
        <v>1619</v>
      </c>
      <c r="H38" s="471">
        <f>FS!G117</f>
        <v>0</v>
      </c>
      <c r="I38" s="471">
        <f>FS!H117</f>
        <v>0</v>
      </c>
      <c r="J38" s="471">
        <f>FS!I117</f>
        <v>0</v>
      </c>
      <c r="K38" s="471">
        <f>FS!J117</f>
        <v>0</v>
      </c>
      <c r="L38" s="472">
        <v>0</v>
      </c>
      <c r="M38" s="472">
        <v>0</v>
      </c>
    </row>
    <row r="39" spans="3:13">
      <c r="D39" s="433" t="s">
        <v>1621</v>
      </c>
      <c r="H39" s="471">
        <f>FS!G118</f>
        <v>0</v>
      </c>
      <c r="I39" s="471">
        <f>FS!H118</f>
        <v>0</v>
      </c>
      <c r="J39" s="471">
        <f>FS!I118</f>
        <v>0</v>
      </c>
      <c r="K39" s="471">
        <f>FS!J118</f>
        <v>0</v>
      </c>
      <c r="L39" s="472">
        <v>0</v>
      </c>
      <c r="M39" s="472">
        <v>0</v>
      </c>
    </row>
    <row r="40" spans="3:13">
      <c r="D40" s="433" t="s">
        <v>1622</v>
      </c>
      <c r="H40" s="471">
        <f>FS!G119</f>
        <v>0</v>
      </c>
      <c r="I40" s="471">
        <f>FS!H119</f>
        <v>0</v>
      </c>
      <c r="J40" s="471">
        <f>FS!I119</f>
        <v>0</v>
      </c>
      <c r="K40" s="471">
        <f>FS!J119</f>
        <v>0</v>
      </c>
      <c r="L40" s="472">
        <v>0</v>
      </c>
      <c r="M40" s="472">
        <v>0</v>
      </c>
    </row>
    <row r="41" spans="3:13">
      <c r="D41" s="433" t="s">
        <v>1623</v>
      </c>
      <c r="H41" s="471">
        <f>FS!G120</f>
        <v>0</v>
      </c>
      <c r="I41" s="471">
        <f>FS!H120</f>
        <v>0</v>
      </c>
      <c r="J41" s="471">
        <f>FS!I120</f>
        <v>0</v>
      </c>
      <c r="K41" s="471">
        <f>FS!J120</f>
        <v>0</v>
      </c>
      <c r="L41" s="472">
        <v>0</v>
      </c>
      <c r="M41" s="472">
        <v>0</v>
      </c>
    </row>
    <row r="42" spans="3:13">
      <c r="D42" s="433" t="s">
        <v>1603</v>
      </c>
      <c r="H42" s="471">
        <f>FS!G121</f>
        <v>0</v>
      </c>
      <c r="I42" s="471">
        <f>FS!H121</f>
        <v>0</v>
      </c>
      <c r="J42" s="471">
        <f>FS!I121</f>
        <v>0</v>
      </c>
      <c r="K42" s="471">
        <f>FS!J121</f>
        <v>0</v>
      </c>
      <c r="L42" s="472">
        <v>0</v>
      </c>
      <c r="M42" s="472">
        <v>0</v>
      </c>
    </row>
    <row r="43" spans="3:13">
      <c r="C43" s="451" t="s">
        <v>1624</v>
      </c>
      <c r="D43" s="451"/>
      <c r="E43" s="451"/>
      <c r="F43" s="451"/>
      <c r="G43" s="451"/>
      <c r="H43" s="473">
        <f>FS!G122</f>
        <v>0</v>
      </c>
      <c r="I43" s="473">
        <f>FS!H122</f>
        <v>0</v>
      </c>
      <c r="J43" s="473">
        <f>FS!I122</f>
        <v>0</v>
      </c>
      <c r="K43" s="473">
        <f>FS!J122</f>
        <v>0</v>
      </c>
      <c r="L43" s="474">
        <f>SUM(L32:L42)</f>
        <v>0</v>
      </c>
      <c r="M43" s="474">
        <f>SUM(M32:M42)</f>
        <v>0</v>
      </c>
    </row>
    <row r="44" spans="3:13" ht="7" customHeight="1">
      <c r="H44" s="475">
        <f>FS!G123</f>
        <v>0</v>
      </c>
      <c r="I44" s="475">
        <f>FS!H123</f>
        <v>0</v>
      </c>
      <c r="J44" s="475">
        <f>FS!I123</f>
        <v>0</v>
      </c>
      <c r="K44" s="475">
        <f>FS!J123</f>
        <v>0</v>
      </c>
      <c r="L44" s="476"/>
      <c r="M44" s="476"/>
    </row>
    <row r="45" spans="3:13">
      <c r="C45" s="436" t="s">
        <v>1625</v>
      </c>
      <c r="D45" s="436"/>
      <c r="E45" s="436"/>
      <c r="F45" s="436"/>
      <c r="H45" s="477">
        <f>FS!G124</f>
        <v>0</v>
      </c>
      <c r="I45" s="477">
        <f>FS!H124</f>
        <v>0</v>
      </c>
      <c r="J45" s="478">
        <f>FS!I124</f>
        <v>0</v>
      </c>
      <c r="K45" s="478">
        <f>FS!J124</f>
        <v>0</v>
      </c>
      <c r="L45" s="479">
        <f>L43+L29+L20</f>
        <v>0</v>
      </c>
      <c r="M45" s="479">
        <f>M43+M29+M20</f>
        <v>0</v>
      </c>
    </row>
    <row r="46" spans="3:13" ht="7" customHeight="1">
      <c r="H46" s="475">
        <f>FS!G125</f>
        <v>0</v>
      </c>
      <c r="I46" s="475">
        <f>FS!H125</f>
        <v>0</v>
      </c>
      <c r="J46" s="475">
        <f>FS!I125</f>
        <v>0</v>
      </c>
      <c r="K46" s="475">
        <f>FS!J125</f>
        <v>0</v>
      </c>
      <c r="L46" s="476"/>
      <c r="M46" s="476"/>
    </row>
    <row r="47" spans="3:13">
      <c r="C47" s="436" t="s">
        <v>1626</v>
      </c>
      <c r="H47" s="475">
        <f>FS!G126</f>
        <v>0</v>
      </c>
      <c r="I47" s="475">
        <f>FS!H126</f>
        <v>0</v>
      </c>
      <c r="J47" s="475">
        <f>FS!I126</f>
        <v>0</v>
      </c>
      <c r="K47" s="475">
        <f>FS!J126</f>
        <v>0</v>
      </c>
      <c r="L47" s="476"/>
      <c r="M47" s="476"/>
    </row>
    <row r="48" spans="3:13">
      <c r="D48" s="433" t="s">
        <v>1627</v>
      </c>
      <c r="H48" s="471">
        <f>FS!G127</f>
        <v>0</v>
      </c>
      <c r="I48" s="471">
        <f>FS!H127</f>
        <v>0</v>
      </c>
      <c r="J48" s="471">
        <f>FS!I127</f>
        <v>0</v>
      </c>
      <c r="K48" s="471">
        <f>FS!J127</f>
        <v>0</v>
      </c>
      <c r="L48" s="472">
        <v>0</v>
      </c>
      <c r="M48" s="472">
        <v>0</v>
      </c>
    </row>
    <row r="49" spans="3:13">
      <c r="D49" s="433" t="s">
        <v>1628</v>
      </c>
      <c r="H49" s="471">
        <f>FS!G128</f>
        <v>0</v>
      </c>
      <c r="I49" s="471">
        <f>FS!H128</f>
        <v>0</v>
      </c>
      <c r="J49" s="471">
        <f>FS!I128</f>
        <v>0</v>
      </c>
      <c r="K49" s="471">
        <f>FS!J128</f>
        <v>0</v>
      </c>
      <c r="L49" s="472">
        <v>0</v>
      </c>
      <c r="M49" s="472">
        <v>0</v>
      </c>
    </row>
    <row r="50" spans="3:13">
      <c r="D50" s="433" t="s">
        <v>1629</v>
      </c>
      <c r="H50" s="471">
        <f>FS!G129</f>
        <v>0</v>
      </c>
      <c r="I50" s="471">
        <f>FS!H129</f>
        <v>0</v>
      </c>
      <c r="J50" s="471">
        <f>FS!I129</f>
        <v>0</v>
      </c>
      <c r="K50" s="471">
        <f>FS!J129</f>
        <v>0</v>
      </c>
      <c r="L50" s="472">
        <v>0</v>
      </c>
      <c r="M50" s="472">
        <v>0</v>
      </c>
    </row>
    <row r="51" spans="3:13">
      <c r="D51" s="433" t="s">
        <v>1630</v>
      </c>
      <c r="H51" s="471">
        <f>FS!G130</f>
        <v>0</v>
      </c>
      <c r="I51" s="471">
        <f>FS!H130</f>
        <v>0</v>
      </c>
      <c r="J51" s="471">
        <f>FS!I130</f>
        <v>0</v>
      </c>
      <c r="K51" s="471">
        <f>FS!J130</f>
        <v>0</v>
      </c>
      <c r="L51" s="472">
        <v>0</v>
      </c>
      <c r="M51" s="472">
        <v>0</v>
      </c>
    </row>
    <row r="52" spans="3:13">
      <c r="D52" s="433" t="s">
        <v>1443</v>
      </c>
      <c r="H52" s="471">
        <f>FS!G131</f>
        <v>0</v>
      </c>
      <c r="I52" s="471">
        <f>FS!H131</f>
        <v>0</v>
      </c>
      <c r="J52" s="471">
        <f>FS!I131</f>
        <v>0</v>
      </c>
      <c r="K52" s="471">
        <f>FS!J131</f>
        <v>0</v>
      </c>
      <c r="L52" s="472">
        <v>0</v>
      </c>
      <c r="M52" s="472">
        <v>0</v>
      </c>
    </row>
    <row r="53" spans="3:13">
      <c r="D53" s="433" t="s">
        <v>1631</v>
      </c>
      <c r="H53" s="471">
        <f>FS!G132</f>
        <v>0</v>
      </c>
      <c r="I53" s="471">
        <f>FS!H132</f>
        <v>0</v>
      </c>
      <c r="J53" s="471">
        <f>FS!I132</f>
        <v>0</v>
      </c>
      <c r="K53" s="471">
        <f>FS!J132</f>
        <v>0</v>
      </c>
      <c r="L53" s="472">
        <v>0</v>
      </c>
      <c r="M53" s="472">
        <v>0</v>
      </c>
    </row>
    <row r="54" spans="3:13">
      <c r="D54" s="433" t="s">
        <v>1632</v>
      </c>
      <c r="H54" s="471">
        <f>FS!G133</f>
        <v>0</v>
      </c>
      <c r="I54" s="471">
        <f>FS!H133</f>
        <v>0</v>
      </c>
      <c r="J54" s="471">
        <f>FS!I133</f>
        <v>0</v>
      </c>
      <c r="K54" s="471">
        <f>FS!J133</f>
        <v>0</v>
      </c>
      <c r="L54" s="472">
        <v>0</v>
      </c>
      <c r="M54" s="472">
        <v>0</v>
      </c>
    </row>
    <row r="55" spans="3:13">
      <c r="D55" s="433" t="s">
        <v>1633</v>
      </c>
      <c r="H55" s="471">
        <f>FS!G134</f>
        <v>0</v>
      </c>
      <c r="I55" s="471">
        <f>FS!H134</f>
        <v>0</v>
      </c>
      <c r="J55" s="471">
        <f>FS!I134</f>
        <v>0</v>
      </c>
      <c r="K55" s="471">
        <f>FS!J134</f>
        <v>0</v>
      </c>
      <c r="L55" s="472">
        <v>0</v>
      </c>
      <c r="M55" s="472">
        <v>0</v>
      </c>
    </row>
    <row r="56" spans="3:13">
      <c r="D56" s="433" t="s">
        <v>1634</v>
      </c>
      <c r="H56" s="471">
        <f>FS!G135</f>
        <v>0</v>
      </c>
      <c r="I56" s="471">
        <f>FS!H135</f>
        <v>0</v>
      </c>
      <c r="J56" s="471">
        <f>FS!I135</f>
        <v>0</v>
      </c>
      <c r="K56" s="471">
        <f>FS!J135</f>
        <v>0</v>
      </c>
      <c r="L56" s="472">
        <v>0</v>
      </c>
      <c r="M56" s="472">
        <v>0</v>
      </c>
    </row>
    <row r="57" spans="3:13">
      <c r="C57" s="480" t="s">
        <v>1445</v>
      </c>
      <c r="D57" s="480"/>
      <c r="E57" s="480"/>
      <c r="F57" s="480"/>
      <c r="G57" s="480"/>
      <c r="H57" s="481">
        <f>FS!G136</f>
        <v>0</v>
      </c>
      <c r="I57" s="481">
        <f>FS!H136</f>
        <v>0</v>
      </c>
      <c r="J57" s="481">
        <f>FS!I136</f>
        <v>0</v>
      </c>
      <c r="K57" s="481">
        <f>FS!J136</f>
        <v>0</v>
      </c>
      <c r="L57" s="482">
        <f>SUM(L47:L56)</f>
        <v>0</v>
      </c>
      <c r="M57" s="482">
        <f>SUM(M47:M56)</f>
        <v>0</v>
      </c>
    </row>
    <row r="58" spans="3:13" ht="7" customHeight="1">
      <c r="H58" s="475">
        <f>FS!G137</f>
        <v>0</v>
      </c>
      <c r="I58" s="475">
        <f>FS!H137</f>
        <v>0</v>
      </c>
      <c r="J58" s="475">
        <f>FS!I137</f>
        <v>0</v>
      </c>
      <c r="K58" s="475">
        <f>FS!J137</f>
        <v>0</v>
      </c>
      <c r="L58" s="476"/>
      <c r="M58" s="476"/>
    </row>
    <row r="59" spans="3:13">
      <c r="C59" s="436" t="s">
        <v>1635</v>
      </c>
      <c r="H59" s="475">
        <f>FS!G138</f>
        <v>0</v>
      </c>
      <c r="I59" s="475">
        <f>FS!H138</f>
        <v>0</v>
      </c>
      <c r="J59" s="475">
        <f>FS!I138</f>
        <v>0</v>
      </c>
      <c r="K59" s="475">
        <f>FS!J138</f>
        <v>0</v>
      </c>
      <c r="L59" s="476"/>
      <c r="M59" s="476"/>
    </row>
    <row r="60" spans="3:13">
      <c r="D60" s="433" t="s">
        <v>1636</v>
      </c>
      <c r="H60" s="471">
        <f>FS!G139</f>
        <v>0</v>
      </c>
      <c r="I60" s="471">
        <f>FS!H139</f>
        <v>0</v>
      </c>
      <c r="J60" s="471">
        <f>FS!I139</f>
        <v>0</v>
      </c>
      <c r="K60" s="471">
        <f>FS!J139</f>
        <v>0</v>
      </c>
      <c r="L60" s="472">
        <v>0</v>
      </c>
      <c r="M60" s="472">
        <v>0</v>
      </c>
    </row>
    <row r="61" spans="3:13">
      <c r="D61" s="433" t="s">
        <v>1603</v>
      </c>
      <c r="H61" s="471">
        <f>FS!G140</f>
        <v>0</v>
      </c>
      <c r="I61" s="471">
        <f>FS!H140</f>
        <v>0</v>
      </c>
      <c r="J61" s="471">
        <f>FS!I140</f>
        <v>0</v>
      </c>
      <c r="K61" s="471">
        <f>FS!J140</f>
        <v>0</v>
      </c>
      <c r="L61" s="472">
        <v>0</v>
      </c>
      <c r="M61" s="472">
        <v>0</v>
      </c>
    </row>
    <row r="62" spans="3:13">
      <c r="D62" s="433" t="s">
        <v>1637</v>
      </c>
      <c r="H62" s="471">
        <f>FS!G141</f>
        <v>0</v>
      </c>
      <c r="I62" s="471">
        <f>FS!H141</f>
        <v>0</v>
      </c>
      <c r="J62" s="471">
        <f>FS!I141</f>
        <v>0</v>
      </c>
      <c r="K62" s="471">
        <f>FS!J141</f>
        <v>0</v>
      </c>
      <c r="L62" s="472">
        <v>0</v>
      </c>
      <c r="M62" s="472">
        <v>0</v>
      </c>
    </row>
    <row r="63" spans="3:13">
      <c r="D63" s="433" t="s">
        <v>1491</v>
      </c>
      <c r="H63" s="471">
        <f>FS!G142</f>
        <v>0</v>
      </c>
      <c r="I63" s="471">
        <f>FS!H142</f>
        <v>0</v>
      </c>
      <c r="J63" s="471">
        <f>FS!I142</f>
        <v>0</v>
      </c>
      <c r="K63" s="471">
        <f>FS!J142</f>
        <v>0</v>
      </c>
      <c r="L63" s="472">
        <v>0</v>
      </c>
      <c r="M63" s="472">
        <v>0</v>
      </c>
    </row>
    <row r="64" spans="3:13">
      <c r="D64" s="433" t="s">
        <v>1638</v>
      </c>
      <c r="H64" s="471">
        <f>FS!G143</f>
        <v>0</v>
      </c>
      <c r="I64" s="471">
        <f>FS!H143</f>
        <v>0</v>
      </c>
      <c r="J64" s="471">
        <f>FS!I143</f>
        <v>0</v>
      </c>
      <c r="K64" s="471">
        <f>FS!J143</f>
        <v>0</v>
      </c>
      <c r="L64" s="472">
        <v>0</v>
      </c>
      <c r="M64" s="472">
        <v>0</v>
      </c>
    </row>
    <row r="65" spans="3:13">
      <c r="C65" s="480" t="s">
        <v>1639</v>
      </c>
      <c r="D65" s="480"/>
      <c r="E65" s="480"/>
      <c r="F65" s="480"/>
      <c r="G65" s="480"/>
      <c r="H65" s="481">
        <f>FS!G144</f>
        <v>0</v>
      </c>
      <c r="I65" s="481">
        <f>FS!H144</f>
        <v>0</v>
      </c>
      <c r="J65" s="481">
        <f>FS!I144</f>
        <v>0</v>
      </c>
      <c r="K65" s="481">
        <f>FS!J144</f>
        <v>0</v>
      </c>
      <c r="L65" s="482">
        <f>SUM(L60:L64)</f>
        <v>0</v>
      </c>
      <c r="M65" s="482">
        <f>SUM(M60:M64)</f>
        <v>0</v>
      </c>
    </row>
    <row r="66" spans="3:13" ht="7" customHeight="1">
      <c r="H66" s="475">
        <f>FS!G145</f>
        <v>0</v>
      </c>
      <c r="I66" s="475">
        <f>FS!H145</f>
        <v>0</v>
      </c>
      <c r="J66" s="475">
        <f>FS!I145</f>
        <v>0</v>
      </c>
      <c r="K66" s="475">
        <f>FS!J145</f>
        <v>0</v>
      </c>
      <c r="L66" s="476"/>
      <c r="M66" s="476"/>
    </row>
    <row r="67" spans="3:13">
      <c r="C67" s="436" t="s">
        <v>1640</v>
      </c>
      <c r="D67" s="436"/>
      <c r="E67" s="436"/>
      <c r="F67" s="436"/>
      <c r="H67" s="483">
        <f>FS!G146</f>
        <v>0</v>
      </c>
      <c r="I67" s="483">
        <f>FS!H146</f>
        <v>0</v>
      </c>
      <c r="J67" s="478">
        <f>FS!I146</f>
        <v>0</v>
      </c>
      <c r="K67" s="478">
        <f>FS!J146</f>
        <v>0</v>
      </c>
      <c r="L67" s="479">
        <f>L65+L57</f>
        <v>0</v>
      </c>
      <c r="M67" s="479">
        <f>M65+M57</f>
        <v>0</v>
      </c>
    </row>
    <row r="68" spans="3:13" ht="7" customHeight="1">
      <c r="H68" s="475">
        <f>FS!G147</f>
        <v>0</v>
      </c>
      <c r="I68" s="475">
        <f>FS!H147</f>
        <v>0</v>
      </c>
      <c r="J68" s="475">
        <f>FS!I147</f>
        <v>0</v>
      </c>
      <c r="K68" s="475">
        <f>FS!J147</f>
        <v>0</v>
      </c>
      <c r="L68" s="476"/>
      <c r="M68" s="476"/>
    </row>
    <row r="69" spans="3:13">
      <c r="C69" s="436" t="s">
        <v>1641</v>
      </c>
      <c r="H69" s="475">
        <f>FS!G148</f>
        <v>0</v>
      </c>
      <c r="I69" s="475">
        <f>FS!H148</f>
        <v>0</v>
      </c>
      <c r="J69" s="475">
        <f>FS!I148</f>
        <v>0</v>
      </c>
      <c r="K69" s="475">
        <f>FS!J148</f>
        <v>0</v>
      </c>
      <c r="L69" s="476"/>
      <c r="M69" s="476"/>
    </row>
    <row r="70" spans="3:13">
      <c r="D70" s="433" t="s">
        <v>1489</v>
      </c>
      <c r="H70" s="471">
        <f>FS!G149</f>
        <v>0</v>
      </c>
      <c r="I70" s="471">
        <f>FS!H149</f>
        <v>0</v>
      </c>
      <c r="J70" s="471">
        <f>FS!I149</f>
        <v>0</v>
      </c>
      <c r="K70" s="471">
        <f>FS!J149</f>
        <v>0</v>
      </c>
      <c r="L70" s="472">
        <v>0</v>
      </c>
      <c r="M70" s="472">
        <v>0</v>
      </c>
    </row>
    <row r="71" spans="3:13">
      <c r="D71" s="433" t="s">
        <v>1642</v>
      </c>
      <c r="H71" s="471">
        <f>FS!G150</f>
        <v>0</v>
      </c>
      <c r="I71" s="471">
        <f>FS!H150</f>
        <v>0</v>
      </c>
      <c r="J71" s="471">
        <f>FS!I150</f>
        <v>0</v>
      </c>
      <c r="K71" s="471">
        <f>FS!J150</f>
        <v>0</v>
      </c>
      <c r="L71" s="472">
        <v>0</v>
      </c>
      <c r="M71" s="472">
        <v>0</v>
      </c>
    </row>
    <row r="72" spans="3:13">
      <c r="D72" s="433" t="s">
        <v>1643</v>
      </c>
      <c r="H72" s="471">
        <f>FS!G151</f>
        <v>0</v>
      </c>
      <c r="I72" s="471">
        <f>FS!H151</f>
        <v>0</v>
      </c>
      <c r="J72" s="471">
        <f>FS!I151</f>
        <v>0</v>
      </c>
      <c r="K72" s="471">
        <f>FS!J151</f>
        <v>0</v>
      </c>
      <c r="L72" s="472">
        <v>0</v>
      </c>
      <c r="M72" s="472">
        <v>0</v>
      </c>
    </row>
    <row r="73" spans="3:13">
      <c r="D73" s="433" t="s">
        <v>1644</v>
      </c>
      <c r="H73" s="471">
        <f>FS!G152</f>
        <v>0</v>
      </c>
      <c r="I73" s="471">
        <f>FS!H152</f>
        <v>0</v>
      </c>
      <c r="J73" s="471">
        <f>FS!I152</f>
        <v>0</v>
      </c>
      <c r="K73" s="471">
        <f>FS!J152</f>
        <v>0</v>
      </c>
      <c r="L73" s="472">
        <v>0</v>
      </c>
      <c r="M73" s="472">
        <v>0</v>
      </c>
    </row>
    <row r="74" spans="3:13">
      <c r="D74" s="433" t="s">
        <v>1645</v>
      </c>
      <c r="H74" s="471">
        <f>FS!G153</f>
        <v>0</v>
      </c>
      <c r="I74" s="471">
        <f>FS!H153</f>
        <v>0</v>
      </c>
      <c r="J74" s="471">
        <f>FS!I153</f>
        <v>0</v>
      </c>
      <c r="K74" s="471">
        <f>FS!J153</f>
        <v>0</v>
      </c>
      <c r="L74" s="472">
        <v>0</v>
      </c>
      <c r="M74" s="472">
        <v>0</v>
      </c>
    </row>
    <row r="75" spans="3:13">
      <c r="D75" s="433" t="s">
        <v>1646</v>
      </c>
      <c r="H75" s="471">
        <f>FS!G154</f>
        <v>0</v>
      </c>
      <c r="I75" s="471">
        <f>FS!H154</f>
        <v>0</v>
      </c>
      <c r="J75" s="471">
        <f>FS!I154</f>
        <v>0</v>
      </c>
      <c r="K75" s="471">
        <f>FS!J154</f>
        <v>0</v>
      </c>
      <c r="L75" s="472">
        <v>0</v>
      </c>
      <c r="M75" s="472">
        <v>0</v>
      </c>
    </row>
    <row r="76" spans="3:13">
      <c r="D76" s="433" t="s">
        <v>1647</v>
      </c>
      <c r="H76" s="471">
        <f>FS!G155</f>
        <v>0</v>
      </c>
      <c r="I76" s="471">
        <f>FS!H155</f>
        <v>0</v>
      </c>
      <c r="J76" s="471">
        <f>FS!I155</f>
        <v>0</v>
      </c>
      <c r="K76" s="471">
        <f>FS!J155</f>
        <v>0</v>
      </c>
      <c r="L76" s="472">
        <v>0</v>
      </c>
      <c r="M76" s="472">
        <v>0</v>
      </c>
    </row>
    <row r="77" spans="3:13">
      <c r="C77" s="480" t="s">
        <v>1648</v>
      </c>
      <c r="D77" s="480"/>
      <c r="E77" s="480"/>
      <c r="F77" s="480"/>
      <c r="G77" s="480"/>
      <c r="H77" s="481">
        <f>FS!G156</f>
        <v>0</v>
      </c>
      <c r="I77" s="481">
        <f>FS!H156</f>
        <v>0</v>
      </c>
      <c r="J77" s="481">
        <f>FS!I156</f>
        <v>0</v>
      </c>
      <c r="K77" s="481">
        <f>FS!J156</f>
        <v>0</v>
      </c>
      <c r="L77" s="482">
        <f>SUM(L70:L76)</f>
        <v>0</v>
      </c>
      <c r="M77" s="482">
        <f>SUM(M70:M76)</f>
        <v>0</v>
      </c>
    </row>
    <row r="78" spans="3:13" ht="7" customHeight="1">
      <c r="H78" s="475">
        <f>FS!G157</f>
        <v>0</v>
      </c>
      <c r="I78" s="475">
        <f>FS!H157</f>
        <v>0</v>
      </c>
      <c r="J78" s="475">
        <f>FS!I157</f>
        <v>0</v>
      </c>
      <c r="K78" s="475">
        <f>FS!J157</f>
        <v>0</v>
      </c>
      <c r="L78" s="476"/>
      <c r="M78" s="476"/>
    </row>
    <row r="79" spans="3:13">
      <c r="C79" s="436" t="s">
        <v>1649</v>
      </c>
      <c r="D79" s="436"/>
      <c r="E79" s="436"/>
      <c r="F79" s="436"/>
      <c r="H79" s="483">
        <f>FS!G158</f>
        <v>0</v>
      </c>
      <c r="I79" s="483">
        <f>FS!H158</f>
        <v>0</v>
      </c>
      <c r="J79" s="478">
        <f>FS!I158</f>
        <v>0</v>
      </c>
      <c r="K79" s="478">
        <f>FS!J158</f>
        <v>0</v>
      </c>
      <c r="L79" s="479">
        <f>L77+L67</f>
        <v>0</v>
      </c>
      <c r="M79" s="479">
        <f>M77+M67</f>
        <v>0</v>
      </c>
    </row>
    <row r="81" spans="3:6">
      <c r="C81" s="455"/>
      <c r="D81" s="455"/>
      <c r="E81" s="455"/>
      <c r="F81" s="455"/>
    </row>
    <row r="83" spans="3:6">
      <c r="C83" s="455"/>
      <c r="D83" s="455"/>
      <c r="E83" s="455"/>
      <c r="F83" s="455"/>
    </row>
    <row r="84" spans="3:6">
      <c r="C84" s="455"/>
      <c r="D84" s="455"/>
      <c r="E84" s="455"/>
      <c r="F84" s="455"/>
    </row>
    <row r="85" spans="3:6">
      <c r="C85" s="455"/>
      <c r="D85" s="455"/>
      <c r="E85" s="455"/>
      <c r="F85" s="455"/>
    </row>
  </sheetData>
  <printOptions horizontalCentered="1"/>
  <pageMargins left="0.25" right="0.25" top="0.75" bottom="0.25" header="0.25" footer="0.25"/>
  <pageSetup scale="63" orientation="landscape" r:id="rId1"/>
  <headerFooter alignWithMargins="0">
    <oddHeader>&amp;R&amp;"Arial"&amp;8&amp;K000000Confidential&amp;1#</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34C1C-CBE2-4A29-AA46-963630D1953A}">
  <sheetPr codeName="Sheet57">
    <tabColor rgb="FFA8E0B8"/>
    <pageSetUpPr fitToPage="1"/>
  </sheetPr>
  <dimension ref="A2:U88"/>
  <sheetViews>
    <sheetView showGridLines="0" zoomScale="87" zoomScaleNormal="90" zoomScaleSheetLayoutView="80" workbookViewId="0">
      <pane ySplit="8" topLeftCell="A9" activePane="bottomLeft" state="frozen"/>
      <selection activeCell="K26" sqref="K26"/>
      <selection pane="bottomLeft" activeCell="H21" sqref="H21"/>
    </sheetView>
  </sheetViews>
  <sheetFormatPr defaultColWidth="0" defaultRowHeight="10.5"/>
  <cols>
    <col min="1" max="1" width="1.84375" style="433" customWidth="1"/>
    <col min="2" max="2" width="2.3828125" style="433" customWidth="1"/>
    <col min="3" max="4" width="2.84375" style="433" customWidth="1"/>
    <col min="5" max="5" width="27.84375" style="433" customWidth="1"/>
    <col min="6" max="6" width="0.53515625" style="433" customWidth="1"/>
    <col min="7" max="7" width="1.23046875" style="433" customWidth="1"/>
    <col min="8" max="16" width="5.15234375" style="433" customWidth="1"/>
    <col min="17" max="18" width="6.07421875" style="433" customWidth="1"/>
    <col min="19" max="21" width="8.84375" style="433" customWidth="1"/>
    <col min="22" max="16384" width="8.84375" style="433" hidden="1"/>
  </cols>
  <sheetData>
    <row r="2" spans="2:20" ht="10.75" customHeight="1">
      <c r="B2" s="245" t="str">
        <f>Inputs!B2</f>
        <v>Valify - UAE Valuation Services</v>
      </c>
      <c r="C2" s="246"/>
      <c r="D2" s="246"/>
      <c r="E2" s="246"/>
      <c r="F2" s="246"/>
      <c r="G2" s="246"/>
      <c r="H2" s="246"/>
      <c r="I2" s="246"/>
      <c r="J2" s="484" t="s">
        <v>2155</v>
      </c>
      <c r="K2" s="246"/>
      <c r="L2" s="246"/>
      <c r="M2" s="246"/>
      <c r="N2" s="246"/>
      <c r="O2" s="246"/>
      <c r="P2" s="246"/>
      <c r="Q2" s="246"/>
      <c r="R2" s="246"/>
      <c r="S2" s="246"/>
    </row>
    <row r="3" spans="2:20" ht="12" customHeight="1">
      <c r="B3" s="247" t="str">
        <f>Inputs!$B$3</f>
        <v>Aerial Arts India XXXXXXXXXXXXXXXXX - Self Valuation using DCF Method, Transaction Multiples Method, &amp; Market Multiples Method as at September 30, 2024</v>
      </c>
      <c r="C3" s="246"/>
      <c r="D3" s="246"/>
      <c r="E3" s="246"/>
      <c r="F3" s="246"/>
      <c r="G3" s="246"/>
      <c r="H3" s="246"/>
      <c r="I3" s="246"/>
      <c r="J3" s="246"/>
      <c r="K3" s="246"/>
      <c r="L3" s="246"/>
      <c r="M3" s="246"/>
      <c r="N3" s="246"/>
      <c r="O3" s="246"/>
      <c r="P3" s="246"/>
      <c r="Q3" s="246"/>
      <c r="R3" s="246"/>
      <c r="S3" s="246"/>
    </row>
    <row r="4" spans="2:20" ht="12" customHeight="1">
      <c r="B4" s="248" t="s">
        <v>2156</v>
      </c>
      <c r="C4" s="246"/>
      <c r="D4" s="246"/>
      <c r="E4" s="246"/>
      <c r="F4" s="246"/>
      <c r="G4" s="246"/>
      <c r="H4" s="246"/>
      <c r="I4" s="246"/>
      <c r="J4" s="246"/>
      <c r="K4" s="246"/>
      <c r="L4" s="246"/>
      <c r="M4" s="246"/>
      <c r="N4" s="246"/>
      <c r="O4" s="246"/>
      <c r="P4" s="246"/>
      <c r="Q4" s="246"/>
      <c r="R4" s="246"/>
      <c r="S4" s="246"/>
    </row>
    <row r="5" spans="2:20" s="435" customFormat="1" ht="5" customHeight="1" thickBot="1">
      <c r="B5" s="249"/>
      <c r="C5" s="249"/>
      <c r="D5" s="249"/>
      <c r="E5" s="249"/>
      <c r="F5" s="249"/>
      <c r="G5" s="249"/>
      <c r="H5" s="249"/>
      <c r="I5" s="249"/>
      <c r="J5" s="249"/>
      <c r="K5" s="249"/>
      <c r="L5" s="249"/>
      <c r="M5" s="249"/>
      <c r="N5" s="249"/>
      <c r="O5" s="249"/>
      <c r="P5" s="249"/>
      <c r="Q5" s="249"/>
      <c r="R5" s="249"/>
      <c r="S5" s="246"/>
    </row>
    <row r="6" spans="2:20" ht="12" customHeight="1" thickTop="1">
      <c r="C6" s="461"/>
      <c r="D6" s="462"/>
      <c r="E6" s="462"/>
      <c r="F6" s="462"/>
      <c r="G6" s="463"/>
      <c r="H6" s="463"/>
      <c r="I6" s="463"/>
      <c r="J6" s="463"/>
    </row>
    <row r="7" spans="2:20">
      <c r="C7" s="464" t="str">
        <f>IS_Calcs!C7</f>
        <v>All amounts in USD 'Units</v>
      </c>
      <c r="D7" s="465"/>
      <c r="E7" s="465"/>
      <c r="F7" s="465"/>
      <c r="G7" s="466"/>
      <c r="H7" s="467" t="str">
        <f>IS_Calcs!H7</f>
        <v>FY21</v>
      </c>
      <c r="I7" s="467" t="str">
        <f>IS_Calcs!I7</f>
        <v>FY22</v>
      </c>
      <c r="J7" s="299" t="str">
        <f>IS_Calcs!J7</f>
        <v>FY23</v>
      </c>
      <c r="K7" s="299" t="str">
        <f>IS_Calcs!K7</f>
        <v>YTD24</v>
      </c>
      <c r="L7" s="299" t="str">
        <f>IS_Calcs!L7</f>
        <v>YTG24</v>
      </c>
      <c r="M7" s="299" t="str">
        <f>IS_Calcs!M7</f>
        <v>FY24</v>
      </c>
      <c r="N7" s="299" t="str">
        <f>IS_Calcs!N7</f>
        <v>FY25</v>
      </c>
      <c r="O7" s="299" t="str">
        <f>IS_Calcs!O7</f>
        <v>FY26</v>
      </c>
      <c r="P7" s="299" t="str">
        <f>IS_Calcs!P7</f>
        <v>FY27</v>
      </c>
      <c r="Q7" s="299" t="str">
        <f>IS_Calcs!Q7</f>
        <v>FY28</v>
      </c>
      <c r="R7" s="299" t="str">
        <f>IS_Calcs!R7</f>
        <v>FY29</v>
      </c>
    </row>
    <row r="8" spans="2:20">
      <c r="C8" s="468"/>
      <c r="D8" s="251"/>
      <c r="E8" s="251"/>
      <c r="F8" s="251"/>
      <c r="G8" s="469"/>
      <c r="H8" s="470" t="str">
        <f>IS_Calcs!H8</f>
        <v>Actual</v>
      </c>
      <c r="I8" s="470" t="str">
        <f>IS_Calcs!I8</f>
        <v>Actual</v>
      </c>
      <c r="J8" s="252" t="str">
        <f>IS_Calcs!J8</f>
        <v>Actual</v>
      </c>
      <c r="K8" s="252" t="str">
        <f>IS_Calcs!K8</f>
        <v>Actual</v>
      </c>
      <c r="L8" s="252" t="str">
        <f>IS_Calcs!L8</f>
        <v>Estimate</v>
      </c>
      <c r="M8" s="252" t="str">
        <f>IS_Calcs!M8</f>
        <v>Estimate</v>
      </c>
      <c r="N8" s="252" t="str">
        <f>IS_Calcs!N8</f>
        <v>Estimate</v>
      </c>
      <c r="O8" s="252" t="str">
        <f>IS_Calcs!O8</f>
        <v>Forecast</v>
      </c>
      <c r="P8" s="252" t="str">
        <f>IS_Calcs!P8</f>
        <v>Forecast</v>
      </c>
      <c r="Q8" s="252" t="str">
        <f>IS_Calcs!Q8</f>
        <v>Forecast</v>
      </c>
      <c r="R8" s="252" t="str">
        <f>IS_Calcs!R8</f>
        <v>Forecast</v>
      </c>
      <c r="T8" s="487" t="s">
        <v>2012</v>
      </c>
    </row>
    <row r="9" spans="2:20">
      <c r="C9" s="488"/>
      <c r="D9" s="489" t="s">
        <v>2157</v>
      </c>
      <c r="E9" s="489"/>
      <c r="F9" s="489"/>
      <c r="T9" s="490"/>
    </row>
    <row r="10" spans="2:20">
      <c r="C10" s="488"/>
      <c r="D10" s="491" t="s">
        <v>1513</v>
      </c>
      <c r="E10" s="491"/>
      <c r="F10" s="491"/>
      <c r="H10" s="402">
        <f>IS!H62</f>
        <v>0</v>
      </c>
      <c r="I10" s="402">
        <f>IS!I62</f>
        <v>0</v>
      </c>
      <c r="J10" s="402">
        <f>IS!J62</f>
        <v>0</v>
      </c>
      <c r="K10" s="402">
        <f>IS!K62</f>
        <v>0</v>
      </c>
      <c r="L10" s="402">
        <f>IS!L62</f>
        <v>-45000</v>
      </c>
      <c r="M10" s="402">
        <f ca="1">IS!M62</f>
        <v>-45000</v>
      </c>
      <c r="N10" s="402">
        <f ca="1">IS!N62</f>
        <v>-45000</v>
      </c>
      <c r="O10" s="402">
        <f ca="1">IS!O62</f>
        <v>-45000</v>
      </c>
      <c r="P10" s="402">
        <f ca="1">IS!P62</f>
        <v>-45000</v>
      </c>
      <c r="Q10" s="402">
        <f ca="1">IS!Q62</f>
        <v>-45000</v>
      </c>
      <c r="R10" s="402">
        <f ca="1">IS!R62</f>
        <v>-45000</v>
      </c>
      <c r="T10" s="490"/>
    </row>
    <row r="11" spans="2:20">
      <c r="C11" s="488" t="s">
        <v>2158</v>
      </c>
      <c r="D11" s="488" t="s">
        <v>235</v>
      </c>
      <c r="E11" s="488"/>
      <c r="F11" s="488"/>
      <c r="H11" s="402">
        <f>-IS!H61</f>
        <v>0</v>
      </c>
      <c r="I11" s="402">
        <f>-IS!I61</f>
        <v>0</v>
      </c>
      <c r="J11" s="402">
        <f>-IS!J61</f>
        <v>0</v>
      </c>
      <c r="K11" s="402">
        <f>-IS!K61</f>
        <v>0</v>
      </c>
      <c r="L11" s="402">
        <f>-IS!L61</f>
        <v>0</v>
      </c>
      <c r="M11" s="402">
        <f ca="1">-IS!M61</f>
        <v>0</v>
      </c>
      <c r="N11" s="402">
        <f ca="1">-IS!N61</f>
        <v>0</v>
      </c>
      <c r="O11" s="402">
        <f ca="1">-IS!O61</f>
        <v>0</v>
      </c>
      <c r="P11" s="402">
        <f ca="1">-IS!P61</f>
        <v>0</v>
      </c>
      <c r="Q11" s="402">
        <f ca="1">-IS!Q61</f>
        <v>0</v>
      </c>
      <c r="R11" s="402">
        <f ca="1">-IS!R61</f>
        <v>0</v>
      </c>
      <c r="T11" s="490" t="str">
        <f ca="1">IFERROR((R11/M11)^(1/5)-1,"-")</f>
        <v>-</v>
      </c>
    </row>
    <row r="12" spans="2:20">
      <c r="C12" s="488" t="s">
        <v>2158</v>
      </c>
      <c r="D12" s="488" t="s">
        <v>2159</v>
      </c>
      <c r="E12" s="488"/>
      <c r="F12" s="488"/>
      <c r="H12" s="1686"/>
      <c r="I12" s="1686"/>
      <c r="J12" s="1686"/>
      <c r="K12" s="1686"/>
      <c r="L12" s="1686"/>
      <c r="M12" s="1686"/>
      <c r="N12" s="1686"/>
      <c r="O12" s="1686"/>
      <c r="P12" s="1686"/>
      <c r="Q12" s="1686"/>
      <c r="R12" s="1686"/>
      <c r="T12" s="490" t="str">
        <f t="shared" ref="T12:T43" si="0">IFERROR((R12/M12)^(1/5)-1,"-")</f>
        <v>-</v>
      </c>
    </row>
    <row r="13" spans="2:20">
      <c r="C13" s="488" t="s">
        <v>1465</v>
      </c>
      <c r="D13" s="488" t="s">
        <v>2160</v>
      </c>
      <c r="E13" s="488"/>
      <c r="F13" s="488"/>
      <c r="H13" s="1686"/>
      <c r="I13" s="1686"/>
      <c r="J13" s="1686"/>
      <c r="K13" s="1686"/>
      <c r="L13" s="1686"/>
      <c r="M13" s="1686"/>
      <c r="N13" s="1686"/>
      <c r="O13" s="1686"/>
      <c r="P13" s="1686"/>
      <c r="Q13" s="1686"/>
      <c r="R13" s="1686"/>
      <c r="T13" s="490" t="str">
        <f t="shared" si="0"/>
        <v>-</v>
      </c>
    </row>
    <row r="14" spans="2:20">
      <c r="C14" s="488" t="s">
        <v>1465</v>
      </c>
      <c r="D14" s="488" t="s">
        <v>2161</v>
      </c>
      <c r="E14" s="488"/>
      <c r="F14" s="488"/>
      <c r="H14" s="402">
        <f>IS!H67</f>
        <v>0</v>
      </c>
      <c r="I14" s="402">
        <f>IS!I67</f>
        <v>0</v>
      </c>
      <c r="J14" s="402">
        <f>IS!J67</f>
        <v>0</v>
      </c>
      <c r="K14" s="402">
        <f>IS!K67</f>
        <v>0</v>
      </c>
      <c r="L14" s="402">
        <f>IS!L67</f>
        <v>0</v>
      </c>
      <c r="M14" s="402">
        <f ca="1">IS!M67</f>
        <v>0</v>
      </c>
      <c r="N14" s="402">
        <f ca="1">IS!N67</f>
        <v>0</v>
      </c>
      <c r="O14" s="402">
        <f ca="1">IS!O67</f>
        <v>0</v>
      </c>
      <c r="P14" s="402">
        <f ca="1">IS!P67</f>
        <v>0</v>
      </c>
      <c r="Q14" s="402">
        <f ca="1">IS!Q67</f>
        <v>0</v>
      </c>
      <c r="R14" s="402">
        <f ca="1">IS!R67</f>
        <v>0</v>
      </c>
      <c r="T14" s="490" t="str">
        <f t="shared" ca="1" si="0"/>
        <v>-</v>
      </c>
    </row>
    <row r="15" spans="2:20">
      <c r="C15" s="488" t="s">
        <v>1465</v>
      </c>
      <c r="D15" s="488" t="s">
        <v>2179</v>
      </c>
      <c r="E15" s="488"/>
      <c r="F15" s="488"/>
      <c r="H15" s="1686"/>
      <c r="I15" s="1686"/>
      <c r="J15" s="1686"/>
      <c r="K15" s="1686"/>
      <c r="L15" s="1686"/>
      <c r="M15" s="1686"/>
      <c r="N15" s="1686"/>
      <c r="O15" s="1686"/>
      <c r="P15" s="1686"/>
      <c r="Q15" s="1686"/>
      <c r="R15" s="1686"/>
      <c r="T15" s="490" t="str">
        <f t="shared" si="0"/>
        <v>-</v>
      </c>
    </row>
    <row r="16" spans="2:20">
      <c r="C16" s="488" t="s">
        <v>2158</v>
      </c>
      <c r="D16" s="488" t="s">
        <v>2162</v>
      </c>
      <c r="E16" s="488"/>
      <c r="F16" s="488"/>
      <c r="H16" s="1686"/>
      <c r="I16" s="1686"/>
      <c r="J16" s="1686"/>
      <c r="K16" s="1686"/>
      <c r="L16" s="1686"/>
      <c r="M16" s="1686"/>
      <c r="N16" s="1686"/>
      <c r="O16" s="1686"/>
      <c r="P16" s="1686"/>
      <c r="Q16" s="1686"/>
      <c r="R16" s="1686"/>
      <c r="T16" s="490" t="str">
        <f t="shared" si="0"/>
        <v>-</v>
      </c>
    </row>
    <row r="17" spans="3:20">
      <c r="C17" s="488" t="s">
        <v>1465</v>
      </c>
      <c r="D17" s="488" t="s">
        <v>2163</v>
      </c>
      <c r="E17" s="488"/>
      <c r="F17" s="488"/>
      <c r="H17" s="1686"/>
      <c r="I17" s="1686"/>
      <c r="J17" s="1686"/>
      <c r="K17" s="1686"/>
      <c r="L17" s="1686"/>
      <c r="M17" s="1686"/>
      <c r="N17" s="1686"/>
      <c r="O17" s="1686"/>
      <c r="P17" s="1686"/>
      <c r="Q17" s="1686"/>
      <c r="R17" s="1686"/>
      <c r="T17" s="490" t="str">
        <f t="shared" si="0"/>
        <v>-</v>
      </c>
    </row>
    <row r="18" spans="3:20">
      <c r="C18" s="488"/>
      <c r="D18" s="492" t="s">
        <v>2164</v>
      </c>
      <c r="E18" s="492"/>
      <c r="F18" s="492"/>
      <c r="G18" s="492"/>
      <c r="H18" s="493">
        <f>SUM(H10:H17)</f>
        <v>0</v>
      </c>
      <c r="I18" s="493">
        <f>SUM(I10:I17)</f>
        <v>0</v>
      </c>
      <c r="J18" s="493">
        <f t="shared" ref="J18:R18" si="1">SUM(J10:J17)</f>
        <v>0</v>
      </c>
      <c r="K18" s="493">
        <f t="shared" si="1"/>
        <v>0</v>
      </c>
      <c r="L18" s="493">
        <f t="shared" si="1"/>
        <v>-45000</v>
      </c>
      <c r="M18" s="493">
        <f t="shared" ca="1" si="1"/>
        <v>-45000</v>
      </c>
      <c r="N18" s="493">
        <f t="shared" ca="1" si="1"/>
        <v>-45000</v>
      </c>
      <c r="O18" s="493">
        <f t="shared" ca="1" si="1"/>
        <v>-45000</v>
      </c>
      <c r="P18" s="493">
        <f t="shared" ca="1" si="1"/>
        <v>-45000</v>
      </c>
      <c r="Q18" s="493">
        <f t="shared" ca="1" si="1"/>
        <v>-45000</v>
      </c>
      <c r="R18" s="493">
        <f t="shared" ca="1" si="1"/>
        <v>-45000</v>
      </c>
      <c r="T18" s="490">
        <f t="shared" ca="1" si="0"/>
        <v>0</v>
      </c>
    </row>
    <row r="19" spans="3:20" ht="7" customHeight="1">
      <c r="C19" s="488"/>
      <c r="D19" s="491"/>
      <c r="E19" s="491"/>
      <c r="F19" s="491"/>
      <c r="G19" s="491"/>
      <c r="H19" s="491"/>
      <c r="I19" s="491"/>
      <c r="J19" s="491"/>
      <c r="K19" s="491"/>
      <c r="L19" s="491"/>
      <c r="M19" s="491"/>
      <c r="N19" s="491"/>
      <c r="O19" s="491"/>
      <c r="P19" s="491"/>
      <c r="Q19" s="491"/>
      <c r="R19" s="491"/>
      <c r="T19" s="490" t="str">
        <f t="shared" si="0"/>
        <v>-</v>
      </c>
    </row>
    <row r="20" spans="3:20">
      <c r="C20" s="488"/>
      <c r="D20" s="491" t="s">
        <v>2165</v>
      </c>
      <c r="E20" s="491"/>
      <c r="F20" s="491"/>
      <c r="G20" s="491"/>
      <c r="H20" s="491"/>
      <c r="I20" s="491"/>
      <c r="J20" s="491"/>
      <c r="K20" s="491"/>
      <c r="L20" s="491"/>
      <c r="M20" s="491"/>
      <c r="N20" s="491"/>
      <c r="O20" s="491"/>
      <c r="P20" s="491"/>
      <c r="Q20" s="491"/>
      <c r="R20" s="491"/>
      <c r="T20" s="490" t="str">
        <f t="shared" si="0"/>
        <v>-</v>
      </c>
    </row>
    <row r="21" spans="3:20">
      <c r="C21" s="488"/>
      <c r="D21" s="488" t="s">
        <v>2166</v>
      </c>
      <c r="E21" s="488"/>
      <c r="F21" s="488"/>
      <c r="G21" s="488"/>
      <c r="H21" s="494">
        <f>-BS_Calc!H33</f>
        <v>0</v>
      </c>
      <c r="I21" s="494">
        <f>-BS_Calc!I33</f>
        <v>0</v>
      </c>
      <c r="J21" s="494">
        <f>-BS_Calc!J33</f>
        <v>0</v>
      </c>
      <c r="K21" s="494">
        <f>-BS_Calc!K33</f>
        <v>0</v>
      </c>
      <c r="L21" s="494">
        <f>-BS_Calc!L33</f>
        <v>0</v>
      </c>
      <c r="M21" s="494">
        <f ca="1">-BS_Calc!M33</f>
        <v>0</v>
      </c>
      <c r="N21" s="494">
        <f ca="1">-BS_Calc!N33</f>
        <v>0</v>
      </c>
      <c r="O21" s="494">
        <f ca="1">-BS_Calc!O33</f>
        <v>0</v>
      </c>
      <c r="P21" s="494">
        <f ca="1">-BS_Calc!P33</f>
        <v>0</v>
      </c>
      <c r="Q21" s="494">
        <f ca="1">-BS_Calc!Q33</f>
        <v>0</v>
      </c>
      <c r="R21" s="494">
        <f ca="1">-BS_Calc!R33</f>
        <v>0</v>
      </c>
      <c r="T21" s="490" t="str">
        <f t="shared" ca="1" si="0"/>
        <v>-</v>
      </c>
    </row>
    <row r="22" spans="3:20">
      <c r="C22" s="488"/>
      <c r="D22" s="492" t="s">
        <v>2167</v>
      </c>
      <c r="E22" s="492"/>
      <c r="F22" s="492"/>
      <c r="G22" s="492"/>
      <c r="H22" s="493">
        <f>H21</f>
        <v>0</v>
      </c>
      <c r="I22" s="493">
        <f t="shared" ref="I22:R22" si="2">I21</f>
        <v>0</v>
      </c>
      <c r="J22" s="493">
        <f t="shared" si="2"/>
        <v>0</v>
      </c>
      <c r="K22" s="493">
        <f t="shared" si="2"/>
        <v>0</v>
      </c>
      <c r="L22" s="493">
        <f t="shared" si="2"/>
        <v>0</v>
      </c>
      <c r="M22" s="493">
        <f t="shared" ca="1" si="2"/>
        <v>0</v>
      </c>
      <c r="N22" s="493">
        <f t="shared" ca="1" si="2"/>
        <v>0</v>
      </c>
      <c r="O22" s="493">
        <f t="shared" ca="1" si="2"/>
        <v>0</v>
      </c>
      <c r="P22" s="493">
        <f t="shared" ca="1" si="2"/>
        <v>0</v>
      </c>
      <c r="Q22" s="493">
        <f t="shared" ca="1" si="2"/>
        <v>0</v>
      </c>
      <c r="R22" s="493">
        <f t="shared" ca="1" si="2"/>
        <v>0</v>
      </c>
      <c r="T22" s="490" t="str">
        <f t="shared" ca="1" si="0"/>
        <v>-</v>
      </c>
    </row>
    <row r="23" spans="3:20" ht="7" customHeight="1">
      <c r="C23" s="488"/>
      <c r="D23" s="492"/>
      <c r="E23" s="492"/>
      <c r="F23" s="492"/>
      <c r="G23" s="492"/>
      <c r="H23" s="492"/>
      <c r="I23" s="492"/>
      <c r="J23" s="492"/>
      <c r="K23" s="492"/>
      <c r="L23" s="492"/>
      <c r="M23" s="492"/>
      <c r="N23" s="492"/>
      <c r="O23" s="492"/>
      <c r="P23" s="492"/>
      <c r="Q23" s="492"/>
      <c r="R23" s="492"/>
      <c r="T23" s="490" t="str">
        <f t="shared" si="0"/>
        <v>-</v>
      </c>
    </row>
    <row r="24" spans="3:20">
      <c r="C24" s="488"/>
      <c r="D24" s="495" t="s">
        <v>2157</v>
      </c>
      <c r="E24" s="495"/>
      <c r="F24" s="495"/>
      <c r="G24" s="496"/>
      <c r="H24" s="497">
        <f>SUM(H18,H22)</f>
        <v>0</v>
      </c>
      <c r="I24" s="497">
        <f>SUM(I18,I22)</f>
        <v>0</v>
      </c>
      <c r="J24" s="497">
        <f t="shared" ref="J24:R24" si="3">SUM(J18,J22)</f>
        <v>0</v>
      </c>
      <c r="K24" s="497">
        <f t="shared" si="3"/>
        <v>0</v>
      </c>
      <c r="L24" s="497">
        <f t="shared" si="3"/>
        <v>-45000</v>
      </c>
      <c r="M24" s="497">
        <f ca="1">SUM(M18,M22)</f>
        <v>-45000</v>
      </c>
      <c r="N24" s="497">
        <f t="shared" ca="1" si="3"/>
        <v>-45000</v>
      </c>
      <c r="O24" s="497">
        <f t="shared" ca="1" si="3"/>
        <v>-45000</v>
      </c>
      <c r="P24" s="497">
        <f t="shared" ca="1" si="3"/>
        <v>-45000</v>
      </c>
      <c r="Q24" s="497">
        <f t="shared" ca="1" si="3"/>
        <v>-45000</v>
      </c>
      <c r="R24" s="497">
        <f t="shared" ca="1" si="3"/>
        <v>-45000</v>
      </c>
      <c r="T24" s="490">
        <f t="shared" ca="1" si="0"/>
        <v>0</v>
      </c>
    </row>
    <row r="25" spans="3:20" s="463" customFormat="1" ht="7" customHeight="1">
      <c r="C25" s="488"/>
      <c r="D25" s="498"/>
      <c r="E25" s="498"/>
      <c r="F25" s="498"/>
      <c r="T25" s="490" t="str">
        <f t="shared" si="0"/>
        <v>-</v>
      </c>
    </row>
    <row r="26" spans="3:20">
      <c r="C26" s="488"/>
      <c r="D26" s="489" t="s">
        <v>2168</v>
      </c>
      <c r="E26" s="491"/>
      <c r="F26" s="491"/>
      <c r="T26" s="490" t="str">
        <f t="shared" si="0"/>
        <v>-</v>
      </c>
    </row>
    <row r="27" spans="3:20">
      <c r="C27" s="488"/>
      <c r="D27" s="488" t="s">
        <v>2169</v>
      </c>
      <c r="E27" s="488"/>
      <c r="F27" s="488"/>
      <c r="H27" s="402">
        <v>0</v>
      </c>
      <c r="I27" s="402">
        <v>0</v>
      </c>
      <c r="J27" s="402">
        <v>0</v>
      </c>
      <c r="K27" s="402">
        <v>0</v>
      </c>
      <c r="L27" s="402">
        <v>0</v>
      </c>
      <c r="M27" s="402">
        <v>0</v>
      </c>
      <c r="N27" s="402">
        <v>0</v>
      </c>
      <c r="O27" s="402">
        <v>0</v>
      </c>
      <c r="P27" s="402">
        <v>0</v>
      </c>
      <c r="Q27" s="402">
        <v>0</v>
      </c>
      <c r="R27" s="402">
        <v>0</v>
      </c>
      <c r="T27" s="490" t="str">
        <f t="shared" si="0"/>
        <v>-</v>
      </c>
    </row>
    <row r="28" spans="3:20">
      <c r="C28" s="488"/>
      <c r="D28" s="488" t="s">
        <v>2180</v>
      </c>
      <c r="E28" s="488"/>
      <c r="F28" s="488"/>
      <c r="H28" s="402">
        <v>0</v>
      </c>
      <c r="I28" s="402">
        <v>0</v>
      </c>
      <c r="J28" s="402">
        <v>0</v>
      </c>
      <c r="K28" s="402">
        <v>0</v>
      </c>
      <c r="L28" s="402">
        <v>0</v>
      </c>
      <c r="M28" s="402">
        <v>0</v>
      </c>
      <c r="N28" s="402">
        <v>0</v>
      </c>
      <c r="O28" s="402">
        <v>0</v>
      </c>
      <c r="P28" s="402">
        <v>0</v>
      </c>
      <c r="Q28" s="402">
        <v>0</v>
      </c>
      <c r="R28" s="402">
        <v>0</v>
      </c>
      <c r="T28" s="490" t="str">
        <f t="shared" si="0"/>
        <v>-</v>
      </c>
    </row>
    <row r="29" spans="3:20">
      <c r="C29" s="488"/>
      <c r="D29" s="495" t="s">
        <v>2168</v>
      </c>
      <c r="E29" s="495"/>
      <c r="F29" s="495"/>
      <c r="G29" s="496"/>
      <c r="H29" s="497">
        <f>SUM(H27:H28)</f>
        <v>0</v>
      </c>
      <c r="I29" s="497">
        <f>SUM(I27:I28)</f>
        <v>0</v>
      </c>
      <c r="J29" s="497">
        <f t="shared" ref="J29:R29" si="4">SUM(J27:J28)</f>
        <v>0</v>
      </c>
      <c r="K29" s="497">
        <f t="shared" si="4"/>
        <v>0</v>
      </c>
      <c r="L29" s="497">
        <f t="shared" si="4"/>
        <v>0</v>
      </c>
      <c r="M29" s="497">
        <f t="shared" si="4"/>
        <v>0</v>
      </c>
      <c r="N29" s="497">
        <f t="shared" si="4"/>
        <v>0</v>
      </c>
      <c r="O29" s="497">
        <f t="shared" si="4"/>
        <v>0</v>
      </c>
      <c r="P29" s="497">
        <f t="shared" si="4"/>
        <v>0</v>
      </c>
      <c r="Q29" s="497">
        <f t="shared" si="4"/>
        <v>0</v>
      </c>
      <c r="R29" s="497">
        <f t="shared" si="4"/>
        <v>0</v>
      </c>
      <c r="T29" s="490" t="str">
        <f t="shared" si="0"/>
        <v>-</v>
      </c>
    </row>
    <row r="30" spans="3:20" s="463" customFormat="1" ht="7" customHeight="1">
      <c r="C30" s="488"/>
      <c r="D30" s="498"/>
      <c r="E30" s="498"/>
      <c r="F30" s="498"/>
      <c r="T30" s="490" t="str">
        <f t="shared" si="0"/>
        <v>-</v>
      </c>
    </row>
    <row r="31" spans="3:20">
      <c r="C31" s="488"/>
      <c r="D31" s="489" t="s">
        <v>2170</v>
      </c>
      <c r="E31" s="489"/>
      <c r="F31" s="489"/>
      <c r="T31" s="490" t="str">
        <f t="shared" si="0"/>
        <v>-</v>
      </c>
    </row>
    <row r="32" spans="3:20">
      <c r="C32" s="488"/>
      <c r="D32" s="488" t="s">
        <v>2171</v>
      </c>
      <c r="E32" s="489"/>
      <c r="F32" s="489"/>
      <c r="H32" s="402">
        <v>0</v>
      </c>
      <c r="I32" s="402">
        <v>0</v>
      </c>
      <c r="J32" s="402">
        <v>0</v>
      </c>
      <c r="K32" s="402">
        <v>0</v>
      </c>
      <c r="L32" s="402">
        <v>0</v>
      </c>
      <c r="M32" s="402">
        <v>0</v>
      </c>
      <c r="N32" s="402">
        <v>0</v>
      </c>
      <c r="O32" s="402">
        <v>0</v>
      </c>
      <c r="P32" s="402">
        <v>0</v>
      </c>
      <c r="Q32" s="402">
        <v>0</v>
      </c>
      <c r="R32" s="402">
        <v>0</v>
      </c>
      <c r="T32" s="490" t="str">
        <f t="shared" si="0"/>
        <v>-</v>
      </c>
    </row>
    <row r="33" spans="3:20">
      <c r="C33" s="488"/>
      <c r="D33" s="488" t="s">
        <v>2183</v>
      </c>
      <c r="E33" s="489"/>
      <c r="F33" s="489"/>
      <c r="H33" s="402">
        <v>0</v>
      </c>
      <c r="I33" s="402">
        <v>0</v>
      </c>
      <c r="J33" s="402">
        <v>0</v>
      </c>
      <c r="K33" s="402">
        <v>0</v>
      </c>
      <c r="L33" s="402">
        <v>0</v>
      </c>
      <c r="M33" s="402">
        <v>0</v>
      </c>
      <c r="N33" s="402">
        <v>0</v>
      </c>
      <c r="O33" s="402">
        <v>0</v>
      </c>
      <c r="P33" s="402">
        <v>0</v>
      </c>
      <c r="Q33" s="402">
        <v>0</v>
      </c>
      <c r="R33" s="402">
        <v>0</v>
      </c>
      <c r="T33" s="490" t="str">
        <f t="shared" si="0"/>
        <v>-</v>
      </c>
    </row>
    <row r="34" spans="3:20">
      <c r="C34" s="488"/>
      <c r="D34" s="488" t="s">
        <v>2172</v>
      </c>
      <c r="E34" s="489"/>
      <c r="F34" s="489"/>
      <c r="H34" s="402">
        <v>0</v>
      </c>
      <c r="I34" s="402">
        <v>0</v>
      </c>
      <c r="J34" s="402">
        <v>0</v>
      </c>
      <c r="K34" s="402">
        <v>0</v>
      </c>
      <c r="L34" s="402">
        <v>0</v>
      </c>
      <c r="M34" s="402">
        <v>0</v>
      </c>
      <c r="N34" s="402">
        <v>0</v>
      </c>
      <c r="O34" s="402">
        <v>0</v>
      </c>
      <c r="P34" s="402">
        <v>0</v>
      </c>
      <c r="Q34" s="402">
        <v>0</v>
      </c>
      <c r="R34" s="402">
        <v>0</v>
      </c>
      <c r="T34" s="490" t="str">
        <f t="shared" si="0"/>
        <v>-</v>
      </c>
    </row>
    <row r="35" spans="3:20">
      <c r="C35" s="488"/>
      <c r="D35" s="488" t="s">
        <v>2182</v>
      </c>
      <c r="E35" s="489"/>
      <c r="F35" s="489"/>
      <c r="H35" s="402">
        <v>0</v>
      </c>
      <c r="I35" s="402">
        <v>0</v>
      </c>
      <c r="J35" s="402">
        <v>0</v>
      </c>
      <c r="K35" s="402">
        <v>0</v>
      </c>
      <c r="L35" s="402">
        <v>0</v>
      </c>
      <c r="M35" s="402">
        <v>0</v>
      </c>
      <c r="N35" s="402">
        <v>0</v>
      </c>
      <c r="O35" s="402">
        <v>0</v>
      </c>
      <c r="P35" s="402">
        <v>0</v>
      </c>
      <c r="Q35" s="402">
        <v>0</v>
      </c>
      <c r="R35" s="402">
        <v>0</v>
      </c>
      <c r="T35" s="490" t="str">
        <f t="shared" si="0"/>
        <v>-</v>
      </c>
    </row>
    <row r="36" spans="3:20">
      <c r="C36" s="488"/>
      <c r="D36" s="488" t="s">
        <v>2173</v>
      </c>
      <c r="E36" s="488"/>
      <c r="F36" s="488"/>
      <c r="H36" s="402">
        <v>0</v>
      </c>
      <c r="I36" s="402">
        <v>0</v>
      </c>
      <c r="J36" s="402">
        <v>0</v>
      </c>
      <c r="K36" s="402">
        <v>0</v>
      </c>
      <c r="L36" s="402">
        <v>0</v>
      </c>
      <c r="M36" s="402">
        <v>0</v>
      </c>
      <c r="N36" s="402">
        <v>0</v>
      </c>
      <c r="O36" s="402">
        <v>0</v>
      </c>
      <c r="P36" s="402">
        <v>0</v>
      </c>
      <c r="Q36" s="402">
        <v>0</v>
      </c>
      <c r="R36" s="402">
        <v>0</v>
      </c>
      <c r="T36" s="490" t="str">
        <f t="shared" si="0"/>
        <v>-</v>
      </c>
    </row>
    <row r="37" spans="3:20">
      <c r="C37" s="488"/>
      <c r="D37" s="488" t="s">
        <v>2174</v>
      </c>
      <c r="E37" s="488"/>
      <c r="F37" s="488"/>
      <c r="H37" s="402">
        <v>0</v>
      </c>
      <c r="I37" s="402">
        <v>0</v>
      </c>
      <c r="J37" s="402">
        <v>0</v>
      </c>
      <c r="K37" s="402">
        <v>0</v>
      </c>
      <c r="L37" s="402">
        <v>0</v>
      </c>
      <c r="M37" s="402">
        <v>0</v>
      </c>
      <c r="N37" s="402">
        <v>0</v>
      </c>
      <c r="O37" s="402">
        <v>0</v>
      </c>
      <c r="P37" s="402">
        <v>0</v>
      </c>
      <c r="Q37" s="402">
        <v>0</v>
      </c>
      <c r="R37" s="402">
        <v>0</v>
      </c>
      <c r="T37" s="490" t="str">
        <f t="shared" si="0"/>
        <v>-</v>
      </c>
    </row>
    <row r="38" spans="3:20">
      <c r="C38" s="488"/>
      <c r="D38" s="488" t="s">
        <v>2175</v>
      </c>
      <c r="E38" s="488"/>
      <c r="F38" s="488"/>
      <c r="H38" s="402">
        <v>0</v>
      </c>
      <c r="I38" s="402">
        <v>0</v>
      </c>
      <c r="J38" s="402">
        <v>0</v>
      </c>
      <c r="K38" s="402">
        <v>0</v>
      </c>
      <c r="L38" s="402">
        <v>0</v>
      </c>
      <c r="M38" s="402">
        <v>0</v>
      </c>
      <c r="N38" s="402">
        <v>0</v>
      </c>
      <c r="O38" s="402">
        <v>0</v>
      </c>
      <c r="P38" s="402">
        <v>0</v>
      </c>
      <c r="Q38" s="402">
        <v>0</v>
      </c>
      <c r="R38" s="402">
        <v>0</v>
      </c>
      <c r="T38" s="490" t="str">
        <f t="shared" si="0"/>
        <v>-</v>
      </c>
    </row>
    <row r="39" spans="3:20">
      <c r="C39" s="488"/>
      <c r="D39" s="495" t="s">
        <v>2170</v>
      </c>
      <c r="E39" s="495"/>
      <c r="F39" s="495"/>
      <c r="G39" s="496"/>
      <c r="H39" s="497">
        <f>SUM(H32:H38)</f>
        <v>0</v>
      </c>
      <c r="I39" s="497">
        <f>SUM(I32:I38)</f>
        <v>0</v>
      </c>
      <c r="J39" s="497">
        <f t="shared" ref="J39:R39" si="5">SUM(J32:J38)</f>
        <v>0</v>
      </c>
      <c r="K39" s="497">
        <f t="shared" si="5"/>
        <v>0</v>
      </c>
      <c r="L39" s="497">
        <f t="shared" si="5"/>
        <v>0</v>
      </c>
      <c r="M39" s="497">
        <f t="shared" si="5"/>
        <v>0</v>
      </c>
      <c r="N39" s="497">
        <f t="shared" si="5"/>
        <v>0</v>
      </c>
      <c r="O39" s="497">
        <f t="shared" si="5"/>
        <v>0</v>
      </c>
      <c r="P39" s="497">
        <f t="shared" si="5"/>
        <v>0</v>
      </c>
      <c r="Q39" s="497">
        <f t="shared" si="5"/>
        <v>0</v>
      </c>
      <c r="R39" s="497">
        <f t="shared" si="5"/>
        <v>0</v>
      </c>
      <c r="T39" s="490" t="str">
        <f t="shared" si="0"/>
        <v>-</v>
      </c>
    </row>
    <row r="40" spans="3:20" s="463" customFormat="1" ht="7" customHeight="1">
      <c r="C40" s="488"/>
      <c r="D40" s="499"/>
      <c r="E40" s="499"/>
      <c r="F40" s="499"/>
      <c r="G40" s="461"/>
      <c r="H40" s="461"/>
      <c r="I40" s="461"/>
      <c r="J40" s="461"/>
      <c r="K40" s="461"/>
      <c r="L40" s="461"/>
      <c r="M40" s="461"/>
      <c r="N40" s="461"/>
      <c r="O40" s="461"/>
      <c r="P40" s="461"/>
      <c r="Q40" s="461"/>
      <c r="R40" s="461"/>
      <c r="T40" s="490" t="str">
        <f t="shared" si="0"/>
        <v>-</v>
      </c>
    </row>
    <row r="41" spans="3:20">
      <c r="C41" s="488"/>
      <c r="D41" s="488" t="s">
        <v>2176</v>
      </c>
      <c r="E41" s="488"/>
      <c r="F41" s="488"/>
      <c r="H41" s="402">
        <f>SUM(H39,H29,H24)</f>
        <v>0</v>
      </c>
      <c r="I41" s="402">
        <f>SUM(I39,I29,I24)</f>
        <v>0</v>
      </c>
      <c r="J41" s="402">
        <f t="shared" ref="J41:R41" si="6">SUM(J39,J29,J24)</f>
        <v>0</v>
      </c>
      <c r="K41" s="402">
        <f t="shared" si="6"/>
        <v>0</v>
      </c>
      <c r="L41" s="402">
        <f t="shared" si="6"/>
        <v>-45000</v>
      </c>
      <c r="M41" s="402">
        <f t="shared" ca="1" si="6"/>
        <v>-45000</v>
      </c>
      <c r="N41" s="402">
        <f t="shared" ca="1" si="6"/>
        <v>-45000</v>
      </c>
      <c r="O41" s="402">
        <f t="shared" ca="1" si="6"/>
        <v>-45000</v>
      </c>
      <c r="P41" s="402">
        <f t="shared" ca="1" si="6"/>
        <v>-45000</v>
      </c>
      <c r="Q41" s="402">
        <f t="shared" ca="1" si="6"/>
        <v>-45000</v>
      </c>
      <c r="R41" s="402">
        <f t="shared" ca="1" si="6"/>
        <v>-45000</v>
      </c>
      <c r="T41" s="490">
        <f t="shared" ca="1" si="0"/>
        <v>0</v>
      </c>
    </row>
    <row r="42" spans="3:20">
      <c r="C42" s="488"/>
      <c r="D42" s="488" t="s">
        <v>2177</v>
      </c>
      <c r="E42" s="488"/>
      <c r="F42" s="488"/>
      <c r="H42" s="1686">
        <v>0</v>
      </c>
      <c r="I42" s="1686">
        <v>0</v>
      </c>
      <c r="J42" s="402">
        <f>I43</f>
        <v>0</v>
      </c>
      <c r="K42" s="402">
        <f t="shared" ref="K42:R42" si="7">J43</f>
        <v>0</v>
      </c>
      <c r="L42" s="402">
        <f t="shared" si="7"/>
        <v>0</v>
      </c>
      <c r="M42" s="402">
        <f t="shared" si="7"/>
        <v>-45000</v>
      </c>
      <c r="N42" s="402">
        <f t="shared" ca="1" si="7"/>
        <v>-90000</v>
      </c>
      <c r="O42" s="402">
        <f t="shared" ca="1" si="7"/>
        <v>-135000</v>
      </c>
      <c r="P42" s="402">
        <f t="shared" ca="1" si="7"/>
        <v>-180000</v>
      </c>
      <c r="Q42" s="402">
        <f t="shared" ca="1" si="7"/>
        <v>-225000</v>
      </c>
      <c r="R42" s="402">
        <f t="shared" ca="1" si="7"/>
        <v>-270000</v>
      </c>
      <c r="T42" s="490">
        <f t="shared" ca="1" si="0"/>
        <v>0.43096908110525556</v>
      </c>
    </row>
    <row r="43" spans="3:20" ht="11" thickBot="1">
      <c r="C43" s="488"/>
      <c r="D43" s="500" t="s">
        <v>2178</v>
      </c>
      <c r="E43" s="500"/>
      <c r="F43" s="500"/>
      <c r="G43" s="501"/>
      <c r="H43" s="502">
        <f>SUM(H41:H42)</f>
        <v>0</v>
      </c>
      <c r="I43" s="502">
        <f>SUM(I41:I42)</f>
        <v>0</v>
      </c>
      <c r="J43" s="502">
        <f t="shared" ref="J43:R43" si="8">SUM(J41:J42)</f>
        <v>0</v>
      </c>
      <c r="K43" s="502">
        <f t="shared" si="8"/>
        <v>0</v>
      </c>
      <c r="L43" s="502">
        <f t="shared" si="8"/>
        <v>-45000</v>
      </c>
      <c r="M43" s="502">
        <f t="shared" ca="1" si="8"/>
        <v>-90000</v>
      </c>
      <c r="N43" s="502">
        <f t="shared" ca="1" si="8"/>
        <v>-135000</v>
      </c>
      <c r="O43" s="502">
        <f t="shared" ca="1" si="8"/>
        <v>-180000</v>
      </c>
      <c r="P43" s="502">
        <f t="shared" ca="1" si="8"/>
        <v>-225000</v>
      </c>
      <c r="Q43" s="502">
        <f t="shared" ca="1" si="8"/>
        <v>-270000</v>
      </c>
      <c r="R43" s="502">
        <f t="shared" ca="1" si="8"/>
        <v>-315000</v>
      </c>
      <c r="T43" s="490">
        <f t="shared" ca="1" si="0"/>
        <v>0.28473515712343933</v>
      </c>
    </row>
    <row r="44" spans="3:20" ht="15.5">
      <c r="T44" s="254"/>
    </row>
    <row r="45" spans="3:20" ht="15.5">
      <c r="T45" s="254"/>
    </row>
    <row r="46" spans="3:20" ht="15.5">
      <c r="T46" s="254"/>
    </row>
    <row r="47" spans="3:20" ht="15.5">
      <c r="T47" s="254"/>
    </row>
    <row r="48" spans="3:20" ht="15.5">
      <c r="T48" s="254"/>
    </row>
    <row r="49" spans="20:20" ht="15.5">
      <c r="T49" s="254"/>
    </row>
    <row r="50" spans="20:20" ht="15.5">
      <c r="T50" s="254"/>
    </row>
    <row r="51" spans="20:20" ht="15.5">
      <c r="T51" s="254"/>
    </row>
    <row r="52" spans="20:20" ht="15.5">
      <c r="T52" s="254"/>
    </row>
    <row r="53" spans="20:20" ht="15.5">
      <c r="T53" s="254"/>
    </row>
    <row r="54" spans="20:20" ht="15.5">
      <c r="T54" s="254"/>
    </row>
    <row r="55" spans="20:20" ht="15.5">
      <c r="T55" s="254"/>
    </row>
    <row r="56" spans="20:20" ht="15.5">
      <c r="T56" s="254"/>
    </row>
    <row r="57" spans="20:20" ht="15.5">
      <c r="T57" s="254"/>
    </row>
    <row r="58" spans="20:20" ht="15.5">
      <c r="T58" s="254"/>
    </row>
    <row r="59" spans="20:20" ht="15.5">
      <c r="T59" s="254"/>
    </row>
    <row r="60" spans="20:20" ht="15.5">
      <c r="T60" s="254"/>
    </row>
    <row r="61" spans="20:20" ht="15.5">
      <c r="T61" s="254"/>
    </row>
    <row r="62" spans="20:20" ht="15.5">
      <c r="T62" s="254"/>
    </row>
    <row r="63" spans="20:20" ht="15.5">
      <c r="T63" s="254"/>
    </row>
    <row r="64" spans="20:20" ht="15.5">
      <c r="T64" s="254"/>
    </row>
    <row r="65" spans="20:20" ht="15.5">
      <c r="T65" s="254"/>
    </row>
    <row r="66" spans="20:20" ht="15.5">
      <c r="T66" s="254"/>
    </row>
    <row r="67" spans="20:20" ht="15.5">
      <c r="T67" s="254"/>
    </row>
    <row r="68" spans="20:20" ht="15.5">
      <c r="T68" s="254"/>
    </row>
    <row r="69" spans="20:20" ht="15.5">
      <c r="T69" s="254"/>
    </row>
    <row r="70" spans="20:20" ht="15.5">
      <c r="T70" s="254"/>
    </row>
    <row r="71" spans="20:20" ht="15.5">
      <c r="T71" s="254"/>
    </row>
    <row r="72" spans="20:20" ht="15.5">
      <c r="T72" s="254"/>
    </row>
    <row r="73" spans="20:20" ht="15.5">
      <c r="T73" s="254"/>
    </row>
    <row r="74" spans="20:20" ht="15.5">
      <c r="T74" s="254"/>
    </row>
    <row r="75" spans="20:20" ht="15.5">
      <c r="T75" s="254"/>
    </row>
    <row r="76" spans="20:20" ht="15.5">
      <c r="T76" s="254"/>
    </row>
    <row r="77" spans="20:20" ht="15.5">
      <c r="T77" s="254"/>
    </row>
    <row r="78" spans="20:20" ht="15.5">
      <c r="T78" s="254"/>
    </row>
    <row r="79" spans="20:20" ht="15.5">
      <c r="T79" s="254"/>
    </row>
    <row r="80" spans="20:20" ht="15.5">
      <c r="T80" s="254"/>
    </row>
    <row r="81" spans="20:20" ht="15.5">
      <c r="T81" s="254"/>
    </row>
    <row r="82" spans="20:20" ht="15.5">
      <c r="T82" s="254"/>
    </row>
    <row r="83" spans="20:20" ht="15.5">
      <c r="T83" s="254"/>
    </row>
    <row r="84" spans="20:20" ht="15.5">
      <c r="T84" s="254"/>
    </row>
    <row r="85" spans="20:20" ht="15.5">
      <c r="T85" s="254"/>
    </row>
    <row r="86" spans="20:20" ht="15.5">
      <c r="T86" s="254"/>
    </row>
    <row r="87" spans="20:20" ht="15.5">
      <c r="T87" s="254"/>
    </row>
    <row r="88" spans="20:20" ht="15.5">
      <c r="T88" s="254"/>
    </row>
  </sheetData>
  <printOptions horizontalCentered="1"/>
  <pageMargins left="0.25" right="0.25" top="0.75" bottom="0.25" header="0.25" footer="0.25"/>
  <pageSetup scale="63" orientation="landscape" r:id="rId1"/>
  <headerFooter alignWithMargins="0">
    <oddHeader>&amp;R&amp;"Arial"&amp;8&amp;K000000Confidential&amp;1#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741E4-6828-4008-99C2-58621FAE661C}">
  <sheetPr>
    <tabColor rgb="FFA8E0B8"/>
    <pageSetUpPr autoPageBreaks="0"/>
  </sheetPr>
  <dimension ref="B2:S59"/>
  <sheetViews>
    <sheetView showGridLines="0" topLeftCell="A4" zoomScale="97" zoomScaleNormal="97" zoomScaleSheetLayoutView="83" workbookViewId="0">
      <selection activeCell="J28" sqref="J28"/>
    </sheetView>
  </sheetViews>
  <sheetFormatPr defaultColWidth="8.69140625" defaultRowHeight="15.5"/>
  <cols>
    <col min="1" max="1" width="2.69140625" style="254" customWidth="1"/>
    <col min="2" max="4" width="8.69140625" style="254" customWidth="1"/>
    <col min="5" max="9" width="7.69140625" style="254" bestFit="1" customWidth="1"/>
    <col min="10" max="10" width="6.69140625" style="254" bestFit="1" customWidth="1"/>
    <col min="11" max="17" width="7.15234375" style="254" customWidth="1"/>
    <col min="18" max="18" width="7.53515625" style="254" customWidth="1"/>
    <col min="19" max="19" width="5" style="254" customWidth="1"/>
    <col min="20" max="20" width="9.4609375" style="254" customWidth="1"/>
    <col min="21" max="16384" width="8.69140625" style="254"/>
  </cols>
  <sheetData>
    <row r="2" spans="2:19">
      <c r="B2" s="245" t="s">
        <v>2328</v>
      </c>
      <c r="C2" s="503"/>
      <c r="D2" s="503"/>
      <c r="E2" s="504"/>
      <c r="F2" s="503"/>
      <c r="G2" s="503"/>
      <c r="H2" s="503"/>
      <c r="I2" s="503"/>
      <c r="J2" s="505"/>
      <c r="K2" s="505"/>
      <c r="L2" s="505"/>
      <c r="M2" s="504"/>
      <c r="N2" s="504"/>
      <c r="O2" s="504"/>
      <c r="P2" s="504"/>
      <c r="Q2" s="504"/>
      <c r="R2" s="506"/>
      <c r="S2" s="507"/>
    </row>
    <row r="3" spans="2:19">
      <c r="B3" s="508" t="str">
        <f>Inputs!B3</f>
        <v>Aerial Arts India XXXXXXXXXXXXXXXXX - Self Valuation using DCF Method, Transaction Multiples Method, &amp; Market Multiples Method as at September 30, 2024</v>
      </c>
      <c r="C3" s="509"/>
      <c r="D3" s="509"/>
      <c r="E3" s="504"/>
      <c r="F3" s="509"/>
      <c r="G3" s="509"/>
      <c r="H3" s="509"/>
      <c r="I3" s="509"/>
      <c r="J3" s="510"/>
      <c r="K3" s="510"/>
      <c r="L3" s="510"/>
      <c r="M3" s="504"/>
      <c r="N3" s="504"/>
      <c r="O3" s="504"/>
      <c r="P3" s="504"/>
      <c r="Q3" s="504"/>
      <c r="R3" s="511"/>
      <c r="S3" s="511"/>
    </row>
    <row r="4" spans="2:19">
      <c r="B4" s="508" t="s">
        <v>231</v>
      </c>
      <c r="C4" s="509"/>
      <c r="D4" s="509"/>
      <c r="E4" s="512"/>
      <c r="F4" s="509"/>
      <c r="G4" s="509"/>
      <c r="H4" s="509"/>
      <c r="I4" s="509"/>
      <c r="J4" s="513"/>
      <c r="K4" s="513"/>
      <c r="L4" s="513"/>
      <c r="M4" s="512"/>
      <c r="N4" s="512"/>
      <c r="O4" s="512"/>
      <c r="P4" s="512"/>
      <c r="Q4" s="512"/>
      <c r="R4" s="742" t="str">
        <f>valuation.date.header</f>
        <v>Valuation Date:  September 30, 2024</v>
      </c>
      <c r="S4" s="515"/>
    </row>
    <row r="5" spans="2:19" ht="5" customHeight="1" thickBot="1">
      <c r="B5" s="516"/>
      <c r="C5" s="516"/>
      <c r="D5" s="516"/>
      <c r="E5" s="516"/>
      <c r="F5" s="516"/>
      <c r="G5" s="516"/>
      <c r="H5" s="516"/>
      <c r="I5" s="516"/>
      <c r="J5" s="516"/>
      <c r="K5" s="516"/>
      <c r="L5" s="516"/>
      <c r="M5" s="516"/>
      <c r="N5" s="516"/>
      <c r="O5" s="516"/>
      <c r="P5" s="516"/>
      <c r="Q5" s="516"/>
      <c r="R5" s="516"/>
      <c r="S5" s="512"/>
    </row>
    <row r="6" spans="2:19" ht="10.5" customHeight="1" thickTop="1">
      <c r="B6" s="504"/>
      <c r="C6" s="504"/>
      <c r="D6" s="504"/>
      <c r="E6" s="504"/>
      <c r="F6" s="504"/>
      <c r="G6" s="504"/>
      <c r="H6" s="504"/>
      <c r="I6" s="504"/>
      <c r="J6" s="504"/>
      <c r="K6" s="504"/>
      <c r="L6" s="504"/>
      <c r="M6" s="504"/>
      <c r="N6" s="504"/>
      <c r="O6" s="504"/>
      <c r="P6" s="504"/>
      <c r="Q6" s="504"/>
      <c r="R6" s="504"/>
      <c r="S6" s="504"/>
    </row>
    <row r="7" spans="2:19" ht="13" customHeight="1">
      <c r="B7" s="504"/>
      <c r="C7" s="517" t="str">
        <f>"Enterprise Valuation of "&amp;target.name</f>
        <v>Enterprise Valuation of Aerial Arts India XXXXXXXXXXXXXXXXX</v>
      </c>
      <c r="D7" s="509"/>
      <c r="E7" s="509"/>
      <c r="F7" s="509"/>
      <c r="G7" s="509"/>
      <c r="H7" s="509"/>
      <c r="I7" s="509"/>
      <c r="J7" s="504"/>
      <c r="K7" s="504"/>
      <c r="L7" s="504"/>
      <c r="M7" s="504"/>
      <c r="N7" s="504"/>
      <c r="O7" s="504"/>
      <c r="P7" s="504"/>
      <c r="Q7" s="504"/>
      <c r="R7" s="504"/>
      <c r="S7" s="504"/>
    </row>
    <row r="8" spans="2:19" ht="13" customHeight="1">
      <c r="B8" s="504"/>
      <c r="C8" s="518"/>
      <c r="D8" s="519"/>
      <c r="E8" s="519"/>
      <c r="F8" s="519"/>
      <c r="G8" s="519"/>
      <c r="H8" s="519"/>
      <c r="I8" s="519"/>
      <c r="J8" s="519"/>
      <c r="K8" s="519" t="str">
        <f>TEXT(stub.period,"0.0")&amp;" Months"</f>
        <v>3.0 Months</v>
      </c>
      <c r="L8" s="519"/>
      <c r="M8" s="519"/>
      <c r="N8" s="519"/>
      <c r="O8" s="519"/>
      <c r="P8" s="519"/>
      <c r="Q8" s="520"/>
      <c r="R8" s="504"/>
      <c r="S8" s="504"/>
    </row>
    <row r="9" spans="2:19" ht="13" customHeight="1">
      <c r="B9" s="504"/>
      <c r="C9" s="521" t="str" cm="1">
        <f t="array" ref="C9">currency.heading1</f>
        <v>USD 'Units</v>
      </c>
      <c r="D9" s="522"/>
      <c r="E9" s="522"/>
      <c r="F9" s="522"/>
      <c r="G9" s="522"/>
      <c r="H9" s="522"/>
      <c r="I9" s="522"/>
      <c r="J9" s="522"/>
      <c r="K9" s="523" t="str">
        <f>IS!L7</f>
        <v>YTG24</v>
      </c>
      <c r="L9" s="523" t="str">
        <f>IS!N7</f>
        <v>FY25</v>
      </c>
      <c r="M9" s="523" t="str">
        <f>IS!O7</f>
        <v>FY26</v>
      </c>
      <c r="N9" s="523" t="str">
        <f>IS!P7</f>
        <v>FY27</v>
      </c>
      <c r="O9" s="523" t="str">
        <f>IS!Q7</f>
        <v>FY28</v>
      </c>
      <c r="P9" s="523" t="str">
        <f>IS!R7</f>
        <v>FY29</v>
      </c>
      <c r="Q9" s="524" t="s">
        <v>2037</v>
      </c>
      <c r="R9" s="504"/>
      <c r="S9" s="504"/>
    </row>
    <row r="10" spans="2:19" ht="13" customHeight="1">
      <c r="B10" s="504"/>
      <c r="C10" s="530" t="s">
        <v>2038</v>
      </c>
      <c r="D10" s="531"/>
      <c r="E10" s="531"/>
      <c r="F10" s="531"/>
      <c r="G10" s="531"/>
      <c r="H10" s="531"/>
      <c r="I10" s="531"/>
      <c r="J10" s="512"/>
      <c r="K10" s="528">
        <f>IS!L62</f>
        <v>-45000</v>
      </c>
      <c r="L10" s="528">
        <f ca="1">IS!M62</f>
        <v>-45000</v>
      </c>
      <c r="M10" s="528">
        <f ca="1">IS!N62</f>
        <v>-45000</v>
      </c>
      <c r="N10" s="528">
        <f ca="1">IS!O62</f>
        <v>-45000</v>
      </c>
      <c r="O10" s="528">
        <f ca="1">IS!P62</f>
        <v>-45000</v>
      </c>
      <c r="P10" s="528">
        <f ca="1">IS!Q62</f>
        <v>-45000</v>
      </c>
      <c r="Q10" s="529">
        <f ca="1">P10*(1+long.term.growth)</f>
        <v>-45900</v>
      </c>
      <c r="R10" s="1741"/>
      <c r="S10" s="536"/>
    </row>
    <row r="11" spans="2:19" ht="13" customHeight="1">
      <c r="B11" s="504"/>
      <c r="C11" s="532" t="s">
        <v>2039</v>
      </c>
      <c r="D11" s="512"/>
      <c r="E11" s="512"/>
      <c r="F11" s="512"/>
      <c r="G11" s="512"/>
      <c r="H11" s="512"/>
      <c r="I11" s="512"/>
      <c r="J11" s="512"/>
      <c r="K11" s="534" t="e">
        <f t="shared" ref="K11:P11" ca="1" si="0">MIN(K10*-effective.taxrate,0)</f>
        <v>#NAME?</v>
      </c>
      <c r="L11" s="534" t="e">
        <f t="shared" ca="1" si="0"/>
        <v>#NAME?</v>
      </c>
      <c r="M11" s="534" t="e">
        <f t="shared" ca="1" si="0"/>
        <v>#NAME?</v>
      </c>
      <c r="N11" s="534" t="e">
        <f t="shared" ca="1" si="0"/>
        <v>#NAME?</v>
      </c>
      <c r="O11" s="534" t="e">
        <f t="shared" ca="1" si="0"/>
        <v>#NAME?</v>
      </c>
      <c r="P11" s="534" t="e">
        <f t="shared" ca="1" si="0"/>
        <v>#NAME?</v>
      </c>
      <c r="Q11" s="535" t="e">
        <f ca="1">(P11/P10)*Q10</f>
        <v>#NAME?</v>
      </c>
      <c r="R11" s="504"/>
      <c r="S11" s="504"/>
    </row>
    <row r="12" spans="2:19" ht="13" customHeight="1">
      <c r="B12" s="504"/>
      <c r="C12" s="525" t="s">
        <v>2040</v>
      </c>
      <c r="D12" s="526"/>
      <c r="E12" s="526"/>
      <c r="F12" s="526"/>
      <c r="G12" s="526"/>
      <c r="H12" s="526"/>
      <c r="I12" s="526"/>
      <c r="J12" s="527"/>
      <c r="K12" s="528" t="e">
        <f t="shared" ref="K12:Q12" ca="1" si="1">SUM(K10,K11)</f>
        <v>#NAME?</v>
      </c>
      <c r="L12" s="528" t="e">
        <f t="shared" ca="1" si="1"/>
        <v>#NAME?</v>
      </c>
      <c r="M12" s="528" t="e">
        <f t="shared" ca="1" si="1"/>
        <v>#NAME?</v>
      </c>
      <c r="N12" s="528" t="e">
        <f t="shared" ca="1" si="1"/>
        <v>#NAME?</v>
      </c>
      <c r="O12" s="528" t="e">
        <f t="shared" ca="1" si="1"/>
        <v>#NAME?</v>
      </c>
      <c r="P12" s="528" t="e">
        <f t="shared" ca="1" si="1"/>
        <v>#NAME?</v>
      </c>
      <c r="Q12" s="529" t="e">
        <f t="shared" ca="1" si="1"/>
        <v>#NAME?</v>
      </c>
      <c r="R12" s="504"/>
      <c r="S12" s="504"/>
    </row>
    <row r="13" spans="2:19" ht="13" customHeight="1">
      <c r="B13" s="504"/>
      <c r="C13" s="532" t="s">
        <v>2935</v>
      </c>
      <c r="D13" s="512"/>
      <c r="E13" s="512"/>
      <c r="F13" s="512"/>
      <c r="G13" s="512"/>
      <c r="H13" s="512"/>
      <c r="I13" s="512"/>
      <c r="J13" s="512"/>
      <c r="K13" s="534">
        <f>-IS!L61</f>
        <v>0</v>
      </c>
      <c r="L13" s="534">
        <f ca="1">-IS!M61</f>
        <v>0</v>
      </c>
      <c r="M13" s="534">
        <f ca="1">-IS!N61</f>
        <v>0</v>
      </c>
      <c r="N13" s="534">
        <f ca="1">-IS!O61</f>
        <v>0</v>
      </c>
      <c r="O13" s="534">
        <f ca="1">-IS!P61</f>
        <v>0</v>
      </c>
      <c r="P13" s="534">
        <f ca="1">-IS!Q61</f>
        <v>0</v>
      </c>
      <c r="Q13" s="535">
        <f ca="1">P13*long.term.growth</f>
        <v>0</v>
      </c>
      <c r="R13" s="504"/>
      <c r="S13" s="504"/>
    </row>
    <row r="14" spans="2:19" ht="13" customHeight="1">
      <c r="B14" s="504"/>
      <c r="C14" s="532" t="s">
        <v>2936</v>
      </c>
      <c r="D14" s="512"/>
      <c r="E14" s="512"/>
      <c r="F14" s="512"/>
      <c r="G14" s="512"/>
      <c r="H14" s="512"/>
      <c r="I14" s="512"/>
      <c r="J14" s="512"/>
      <c r="K14" s="534">
        <f>BS_Calc!L61</f>
        <v>0</v>
      </c>
      <c r="L14" s="534">
        <f>BS_Calc!N61</f>
        <v>0</v>
      </c>
      <c r="M14" s="534">
        <f>BS_Calc!O61</f>
        <v>0</v>
      </c>
      <c r="N14" s="534">
        <f>BS_Calc!P61</f>
        <v>0</v>
      </c>
      <c r="O14" s="534">
        <f>BS_Calc!Q61</f>
        <v>0</v>
      </c>
      <c r="P14" s="534">
        <f>BS_Calc!R61</f>
        <v>0</v>
      </c>
      <c r="Q14" s="535">
        <f ca="1">-Q13</f>
        <v>0</v>
      </c>
      <c r="R14" s="504"/>
      <c r="S14" s="504"/>
    </row>
    <row r="15" spans="2:19" ht="13" customHeight="1">
      <c r="B15" s="504"/>
      <c r="C15" s="1744" t="s">
        <v>2937</v>
      </c>
      <c r="D15" s="539"/>
      <c r="E15" s="539"/>
      <c r="F15" s="539"/>
      <c r="G15" s="539"/>
      <c r="H15" s="539"/>
      <c r="I15" s="539"/>
      <c r="J15" s="1745"/>
      <c r="K15" s="1746">
        <f ca="1">-BS_Calc!M33</f>
        <v>0</v>
      </c>
      <c r="L15" s="1746">
        <f ca="1">-BS_Calc!N33</f>
        <v>0</v>
      </c>
      <c r="M15" s="1746">
        <f ca="1">-BS_Calc!O33</f>
        <v>0</v>
      </c>
      <c r="N15" s="1746">
        <f ca="1">-BS_Calc!P33</f>
        <v>0</v>
      </c>
      <c r="O15" s="1746">
        <f ca="1">-BS_Calc!Q33</f>
        <v>0</v>
      </c>
      <c r="P15" s="1746">
        <f ca="1">-BS_Calc!R33</f>
        <v>0</v>
      </c>
      <c r="Q15" s="1747">
        <f ca="1">-BS_Calc!R32*long.term.growth</f>
        <v>0</v>
      </c>
      <c r="R15" s="504"/>
      <c r="S15" s="504"/>
    </row>
    <row r="16" spans="2:19" ht="13" customHeight="1">
      <c r="B16" s="504"/>
      <c r="C16" s="537" t="s">
        <v>2043</v>
      </c>
      <c r="D16" s="538"/>
      <c r="E16" s="538"/>
      <c r="F16" s="538"/>
      <c r="G16" s="538"/>
      <c r="H16" s="538"/>
      <c r="I16" s="538"/>
      <c r="J16" s="539"/>
      <c r="K16" s="1742" t="e">
        <f t="shared" ref="K16:P16" ca="1" si="2">SUM(K12:K15)</f>
        <v>#NAME?</v>
      </c>
      <c r="L16" s="1742" t="e">
        <f t="shared" ca="1" si="2"/>
        <v>#NAME?</v>
      </c>
      <c r="M16" s="1742" t="e">
        <f t="shared" ca="1" si="2"/>
        <v>#NAME?</v>
      </c>
      <c r="N16" s="1742" t="e">
        <f t="shared" ca="1" si="2"/>
        <v>#NAME?</v>
      </c>
      <c r="O16" s="1742" t="e">
        <f t="shared" ca="1" si="2"/>
        <v>#NAME?</v>
      </c>
      <c r="P16" s="1742" t="e">
        <f t="shared" ca="1" si="2"/>
        <v>#NAME?</v>
      </c>
      <c r="Q16" s="1743" t="e">
        <f ca="1">SUM(Q12:Q15)</f>
        <v>#NAME?</v>
      </c>
      <c r="R16" s="504"/>
      <c r="S16" s="504"/>
    </row>
    <row r="17" spans="2:19" ht="13" customHeight="1">
      <c r="B17" s="504"/>
      <c r="C17" s="532"/>
      <c r="D17" s="512"/>
      <c r="E17" s="512"/>
      <c r="F17" s="512"/>
      <c r="G17" s="512"/>
      <c r="H17" s="512"/>
      <c r="I17" s="512"/>
      <c r="J17" s="512"/>
      <c r="K17" s="543"/>
      <c r="L17" s="543"/>
      <c r="M17" s="543"/>
      <c r="N17" s="543"/>
      <c r="O17" s="543"/>
      <c r="P17" s="543"/>
      <c r="Q17" s="542"/>
      <c r="R17" s="504"/>
      <c r="S17" s="504"/>
    </row>
    <row r="18" spans="2:19" ht="13" customHeight="1">
      <c r="B18" s="504"/>
      <c r="C18" s="532" t="s">
        <v>2044</v>
      </c>
      <c r="D18" s="512"/>
      <c r="E18" s="512"/>
      <c r="F18" s="512"/>
      <c r="G18" s="512"/>
      <c r="H18" s="512"/>
      <c r="I18" s="512"/>
      <c r="J18" s="512"/>
      <c r="K18" s="544">
        <f>stub.period/12</f>
        <v>0.25</v>
      </c>
      <c r="L18" s="544">
        <v>1</v>
      </c>
      <c r="M18" s="544">
        <v>1</v>
      </c>
      <c r="N18" s="544">
        <v>1</v>
      </c>
      <c r="O18" s="544">
        <v>1</v>
      </c>
      <c r="P18" s="544">
        <v>1</v>
      </c>
      <c r="Q18" s="542"/>
      <c r="R18" s="504"/>
      <c r="S18" s="504"/>
    </row>
    <row r="19" spans="2:19" ht="13" customHeight="1">
      <c r="B19" s="504"/>
      <c r="C19" s="532" t="s">
        <v>2045</v>
      </c>
      <c r="D19" s="512"/>
      <c r="E19" s="512"/>
      <c r="F19" s="512"/>
      <c r="G19" s="512"/>
      <c r="H19" s="512"/>
      <c r="I19" s="512"/>
      <c r="J19" s="512"/>
      <c r="K19" s="544">
        <f>(stub.period/2)/12</f>
        <v>0.125</v>
      </c>
      <c r="L19" s="544">
        <f>(6+stub.period)/12</f>
        <v>0.75</v>
      </c>
      <c r="M19" s="544">
        <f>L19+1</f>
        <v>1.75</v>
      </c>
      <c r="N19" s="544">
        <f>M19+1</f>
        <v>2.75</v>
      </c>
      <c r="O19" s="544">
        <f>N19+1</f>
        <v>3.75</v>
      </c>
      <c r="P19" s="544">
        <f>O19+1</f>
        <v>4.75</v>
      </c>
      <c r="Q19" s="542"/>
      <c r="R19" s="504"/>
      <c r="S19" s="504"/>
    </row>
    <row r="20" spans="2:19" ht="13" customHeight="1">
      <c r="B20" s="504"/>
      <c r="C20" s="532" t="s">
        <v>2046</v>
      </c>
      <c r="D20" s="512"/>
      <c r="E20" s="512"/>
      <c r="F20" s="512"/>
      <c r="G20" s="512"/>
      <c r="H20" s="512"/>
      <c r="I20" s="512"/>
      <c r="J20" s="545">
        <f>Inputs!E249</f>
        <v>0</v>
      </c>
      <c r="K20" s="544">
        <f t="shared" ref="K20:P20" si="3">1/(1+$J$20)^K19</f>
        <v>1</v>
      </c>
      <c r="L20" s="544">
        <f t="shared" si="3"/>
        <v>1</v>
      </c>
      <c r="M20" s="544">
        <f t="shared" si="3"/>
        <v>1</v>
      </c>
      <c r="N20" s="544">
        <f t="shared" si="3"/>
        <v>1</v>
      </c>
      <c r="O20" s="544">
        <f t="shared" si="3"/>
        <v>1</v>
      </c>
      <c r="P20" s="544">
        <f t="shared" si="3"/>
        <v>1</v>
      </c>
      <c r="Q20" s="542"/>
      <c r="R20" s="504"/>
      <c r="S20" s="504"/>
    </row>
    <row r="21" spans="2:19" ht="13" customHeight="1">
      <c r="B21" s="504"/>
      <c r="C21" s="532" t="s">
        <v>2047</v>
      </c>
      <c r="D21" s="512"/>
      <c r="E21" s="512"/>
      <c r="F21" s="512"/>
      <c r="G21" s="512"/>
      <c r="H21" s="512"/>
      <c r="I21" s="512"/>
      <c r="J21" s="546">
        <f>Inputs!E247</f>
        <v>0</v>
      </c>
      <c r="K21" s="544">
        <f>1/(1+$J$21)^K19</f>
        <v>1</v>
      </c>
      <c r="L21" s="544">
        <f t="shared" ref="L21:P21" si="4">1/(1+$J$21)^L19</f>
        <v>1</v>
      </c>
      <c r="M21" s="544">
        <f t="shared" si="4"/>
        <v>1</v>
      </c>
      <c r="N21" s="544">
        <f t="shared" si="4"/>
        <v>1</v>
      </c>
      <c r="O21" s="544">
        <f t="shared" si="4"/>
        <v>1</v>
      </c>
      <c r="P21" s="544">
        <f t="shared" si="4"/>
        <v>1</v>
      </c>
      <c r="Q21" s="542"/>
      <c r="R21" s="504"/>
      <c r="S21" s="504"/>
    </row>
    <row r="22" spans="2:19" ht="13" customHeight="1">
      <c r="B22" s="504"/>
      <c r="C22" s="560" t="s">
        <v>2048</v>
      </c>
      <c r="D22" s="561"/>
      <c r="E22" s="561"/>
      <c r="F22" s="561"/>
      <c r="G22" s="561"/>
      <c r="H22" s="561"/>
      <c r="I22" s="561"/>
      <c r="J22" s="561"/>
      <c r="K22" s="563" t="e">
        <f ca="1">K$16*K$18*K20</f>
        <v>#NAME?</v>
      </c>
      <c r="L22" s="563" t="e">
        <f t="shared" ref="K22:P23" ca="1" si="5">L$16*L$18*L20</f>
        <v>#NAME?</v>
      </c>
      <c r="M22" s="563" t="e">
        <f t="shared" ca="1" si="5"/>
        <v>#NAME?</v>
      </c>
      <c r="N22" s="563" t="e">
        <f t="shared" ca="1" si="5"/>
        <v>#NAME?</v>
      </c>
      <c r="O22" s="563" t="e">
        <f ca="1">O$16*O$18*O20</f>
        <v>#NAME?</v>
      </c>
      <c r="P22" s="563" t="e">
        <f t="shared" ca="1" si="5"/>
        <v>#NAME?</v>
      </c>
      <c r="Q22" s="1748"/>
      <c r="R22" s="504"/>
      <c r="S22" s="504"/>
    </row>
    <row r="23" spans="2:19" ht="13" customHeight="1">
      <c r="B23" s="504"/>
      <c r="C23" s="1749" t="s">
        <v>2049</v>
      </c>
      <c r="D23" s="1750"/>
      <c r="E23" s="1750"/>
      <c r="F23" s="1750"/>
      <c r="G23" s="1750"/>
      <c r="H23" s="1750"/>
      <c r="I23" s="1750"/>
      <c r="J23" s="1750"/>
      <c r="K23" s="1751" t="e">
        <f t="shared" ca="1" si="5"/>
        <v>#NAME?</v>
      </c>
      <c r="L23" s="1751" t="e">
        <f t="shared" ca="1" si="5"/>
        <v>#NAME?</v>
      </c>
      <c r="M23" s="1751" t="e">
        <f t="shared" ca="1" si="5"/>
        <v>#NAME?</v>
      </c>
      <c r="N23" s="1751" t="e">
        <f t="shared" ca="1" si="5"/>
        <v>#NAME?</v>
      </c>
      <c r="O23" s="1751" t="e">
        <f ca="1">O$16*O$18*O21</f>
        <v>#NAME?</v>
      </c>
      <c r="P23" s="1751" t="e">
        <f t="shared" ca="1" si="5"/>
        <v>#NAME?</v>
      </c>
      <c r="Q23" s="1752"/>
      <c r="R23" s="504"/>
      <c r="S23" s="504"/>
    </row>
    <row r="24" spans="2:19" ht="13" customHeight="1">
      <c r="B24" s="504"/>
      <c r="C24" s="504"/>
      <c r="D24" s="504"/>
      <c r="E24" s="504"/>
      <c r="F24" s="504"/>
      <c r="G24" s="504"/>
      <c r="H24" s="504"/>
      <c r="I24" s="504"/>
      <c r="J24" s="504"/>
      <c r="K24" s="504"/>
      <c r="L24" s="504"/>
      <c r="M24" s="504"/>
      <c r="N24" s="504"/>
      <c r="O24" s="504"/>
      <c r="P24" s="504"/>
      <c r="Q24" s="504"/>
      <c r="R24" s="504"/>
      <c r="S24" s="504"/>
    </row>
    <row r="25" spans="2:19" ht="13" customHeight="1">
      <c r="B25" s="504"/>
      <c r="C25" s="547"/>
      <c r="D25" s="548"/>
      <c r="E25" s="548"/>
      <c r="F25" s="548"/>
      <c r="G25" s="548"/>
      <c r="H25" s="548"/>
      <c r="I25" s="548"/>
      <c r="J25" s="548"/>
      <c r="K25" s="549" t="s">
        <v>215</v>
      </c>
      <c r="L25" s="550" t="s">
        <v>216</v>
      </c>
      <c r="M25" s="504"/>
      <c r="N25" s="504"/>
      <c r="O25" s="504"/>
      <c r="P25" s="504"/>
      <c r="Q25" s="504"/>
      <c r="R25" s="504"/>
      <c r="S25" s="504"/>
    </row>
    <row r="26" spans="2:19" ht="13" customHeight="1">
      <c r="B26" s="504"/>
      <c r="C26" s="551" t="s">
        <v>2050</v>
      </c>
      <c r="D26" s="552"/>
      <c r="E26" s="552"/>
      <c r="F26" s="552"/>
      <c r="G26" s="552"/>
      <c r="H26" s="552"/>
      <c r="I26" s="552"/>
      <c r="J26" s="553"/>
      <c r="K26" s="540" t="e">
        <f ca="1">SUM(K23:P23)</f>
        <v>#NAME?</v>
      </c>
      <c r="L26" s="541" t="e">
        <f ca="1">SUM(K22:P22)</f>
        <v>#NAME?</v>
      </c>
      <c r="M26" s="504"/>
      <c r="N26" s="504"/>
      <c r="O26" s="504"/>
      <c r="P26" s="504"/>
      <c r="Q26" s="504"/>
      <c r="R26" s="504"/>
      <c r="S26" s="504"/>
    </row>
    <row r="27" spans="2:19" ht="13" customHeight="1">
      <c r="B27" s="504"/>
      <c r="C27" s="532"/>
      <c r="D27" s="512"/>
      <c r="E27" s="512"/>
      <c r="F27" s="512"/>
      <c r="G27" s="512"/>
      <c r="H27" s="512"/>
      <c r="I27" s="512"/>
      <c r="J27" s="512"/>
      <c r="K27" s="512"/>
      <c r="L27" s="533"/>
      <c r="M27" s="504"/>
      <c r="N27" s="504"/>
      <c r="O27" s="504"/>
      <c r="P27" s="504"/>
      <c r="Q27" s="504"/>
      <c r="R27" s="504"/>
      <c r="S27" s="504"/>
    </row>
    <row r="28" spans="2:19" ht="13" customHeight="1">
      <c r="B28" s="504"/>
      <c r="C28" s="532" t="s">
        <v>2051</v>
      </c>
      <c r="D28" s="512"/>
      <c r="E28" s="512"/>
      <c r="F28" s="512"/>
      <c r="G28" s="512"/>
      <c r="H28" s="512"/>
      <c r="I28" s="512"/>
      <c r="J28" s="512"/>
      <c r="K28" s="554">
        <f>long.term.growth</f>
        <v>0.02</v>
      </c>
      <c r="L28" s="555">
        <f>long.term.growth</f>
        <v>0.02</v>
      </c>
      <c r="M28" s="504"/>
      <c r="N28" s="504"/>
      <c r="O28" s="504"/>
      <c r="P28" s="504"/>
      <c r="Q28" s="504"/>
      <c r="R28" s="504"/>
      <c r="S28" s="504"/>
    </row>
    <row r="29" spans="2:19" ht="13" customHeight="1">
      <c r="B29" s="504"/>
      <c r="C29" s="532" t="s">
        <v>2052</v>
      </c>
      <c r="D29" s="512"/>
      <c r="E29" s="512"/>
      <c r="F29" s="512"/>
      <c r="G29" s="512"/>
      <c r="H29" s="512"/>
      <c r="I29" s="512"/>
      <c r="J29" s="512"/>
      <c r="K29" s="534" t="e">
        <f ca="1">$Q$16/(J21-K28)</f>
        <v>#NAME?</v>
      </c>
      <c r="L29" s="535" t="e">
        <f ca="1">$Q$16/(J20-L28)</f>
        <v>#NAME?</v>
      </c>
      <c r="M29" s="504"/>
      <c r="N29" s="504"/>
      <c r="O29" s="504"/>
      <c r="P29" s="504"/>
      <c r="Q29" s="504"/>
      <c r="R29" s="504"/>
      <c r="S29" s="504"/>
    </row>
    <row r="30" spans="2:19" ht="13" customHeight="1">
      <c r="B30" s="504"/>
      <c r="C30" s="532" t="s">
        <v>2053</v>
      </c>
      <c r="D30" s="512"/>
      <c r="E30" s="512"/>
      <c r="F30" s="512"/>
      <c r="G30" s="512"/>
      <c r="H30" s="512"/>
      <c r="I30" s="512"/>
      <c r="J30" s="512"/>
      <c r="K30" s="544">
        <f>P21</f>
        <v>1</v>
      </c>
      <c r="L30" s="556">
        <f>P20</f>
        <v>1</v>
      </c>
      <c r="M30" s="504"/>
      <c r="N30" s="504"/>
      <c r="O30" s="504"/>
      <c r="P30" s="504"/>
      <c r="Q30" s="504"/>
      <c r="R30" s="504"/>
      <c r="S30" s="504"/>
    </row>
    <row r="31" spans="2:19" ht="13" customHeight="1">
      <c r="B31" s="504"/>
      <c r="C31" s="551" t="s">
        <v>2054</v>
      </c>
      <c r="D31" s="552"/>
      <c r="E31" s="552"/>
      <c r="F31" s="552"/>
      <c r="G31" s="552"/>
      <c r="H31" s="552"/>
      <c r="I31" s="552"/>
      <c r="J31" s="552"/>
      <c r="K31" s="557" t="e">
        <f ca="1">SUM(K29*K30)</f>
        <v>#NAME?</v>
      </c>
      <c r="L31" s="558" t="e">
        <f ca="1">SUM(L29*L30)</f>
        <v>#NAME?</v>
      </c>
      <c r="M31" s="504"/>
      <c r="R31" s="504"/>
      <c r="S31" s="504"/>
    </row>
    <row r="32" spans="2:19" ht="13" customHeight="1">
      <c r="B32" s="504"/>
      <c r="C32" s="532"/>
      <c r="D32" s="512"/>
      <c r="E32" s="512"/>
      <c r="F32" s="512"/>
      <c r="G32" s="512"/>
      <c r="H32" s="512"/>
      <c r="I32" s="512"/>
      <c r="J32" s="512"/>
      <c r="K32" s="543"/>
      <c r="L32" s="542"/>
      <c r="M32" s="504"/>
      <c r="N32" s="559" t="s">
        <v>2181</v>
      </c>
      <c r="O32" s="559"/>
      <c r="R32" s="504"/>
      <c r="S32" s="504"/>
    </row>
    <row r="33" spans="2:19" ht="13" customHeight="1">
      <c r="B33" s="504"/>
      <c r="C33" s="560" t="s">
        <v>2055</v>
      </c>
      <c r="D33" s="561"/>
      <c r="E33" s="561"/>
      <c r="F33" s="561"/>
      <c r="G33" s="561"/>
      <c r="H33" s="561"/>
      <c r="I33" s="561"/>
      <c r="J33" s="562" t="str">
        <f>currency.heading1</f>
        <v>USD 'Units</v>
      </c>
      <c r="K33" s="563" t="e">
        <f ca="1">SUM(K26,K31)</f>
        <v>#NAME?</v>
      </c>
      <c r="L33" s="564" t="e">
        <f ca="1">SUM(L26,L31)</f>
        <v>#NAME?</v>
      </c>
      <c r="M33" s="504"/>
      <c r="N33" s="565" t="s">
        <v>2135</v>
      </c>
      <c r="O33" s="565"/>
      <c r="P33" s="566" t="str">
        <f>currency.type</f>
        <v>USD</v>
      </c>
      <c r="Q33" s="567" t="e">
        <f ca="1">_xlfn.XLOOKUP(P33,Inputs!$C$261:$C$267,Inputs!$E$261:$E$267)</f>
        <v>#NAME?</v>
      </c>
      <c r="R33" s="504"/>
      <c r="S33" s="504"/>
    </row>
    <row r="34" spans="2:19" ht="13" customHeight="1">
      <c r="B34" s="504"/>
      <c r="C34" s="551" t="s">
        <v>2055</v>
      </c>
      <c r="D34" s="553"/>
      <c r="E34" s="553"/>
      <c r="F34" s="553"/>
      <c r="G34" s="553"/>
      <c r="H34" s="553"/>
      <c r="I34" s="553"/>
      <c r="J34" s="568" t="str">
        <f>P34&amp;" "&amp;currency.denomination</f>
        <v>AED Units</v>
      </c>
      <c r="K34" s="540" t="e">
        <f ca="1">K33*$Q$34</f>
        <v>#NAME?</v>
      </c>
      <c r="L34" s="541" t="e">
        <f ca="1">L33*$Q$34</f>
        <v>#NAME?</v>
      </c>
      <c r="M34" s="504"/>
      <c r="N34" s="569" t="s">
        <v>2136</v>
      </c>
      <c r="O34" s="569"/>
      <c r="P34" s="570" t="s">
        <v>113</v>
      </c>
      <c r="Q34" s="571" t="e">
        <f ca="1">_xlfn.XLOOKUP(P34,Inputs!$C$261:$C$267,Inputs!$E$261:$E$267)</f>
        <v>#NAME?</v>
      </c>
      <c r="R34" s="504"/>
      <c r="S34" s="504"/>
    </row>
    <row r="35" spans="2:19" ht="13" customHeight="1">
      <c r="B35" s="504"/>
      <c r="C35" s="504"/>
      <c r="D35" s="504"/>
      <c r="E35" s="504"/>
      <c r="F35" s="504"/>
      <c r="G35" s="504"/>
      <c r="H35" s="504"/>
      <c r="I35" s="504"/>
      <c r="J35" s="504"/>
      <c r="K35" s="572"/>
      <c r="L35" s="572"/>
      <c r="M35" s="504"/>
      <c r="N35" s="504"/>
      <c r="O35" s="504"/>
      <c r="P35" s="504"/>
      <c r="Q35" s="504"/>
      <c r="R35" s="504"/>
      <c r="S35" s="504"/>
    </row>
    <row r="36" spans="2:19" ht="13" customHeight="1">
      <c r="B36" s="504"/>
      <c r="C36" s="573" t="s">
        <v>2076</v>
      </c>
      <c r="D36" s="504"/>
      <c r="E36" s="504"/>
      <c r="F36" s="504"/>
      <c r="G36" s="504"/>
      <c r="H36" s="504"/>
      <c r="I36" s="504"/>
      <c r="J36" s="504"/>
      <c r="K36" s="504"/>
      <c r="L36" s="504"/>
      <c r="M36" s="504"/>
      <c r="N36" s="559" t="s">
        <v>2264</v>
      </c>
      <c r="O36" s="504"/>
      <c r="P36" s="504"/>
      <c r="Q36" s="504"/>
      <c r="R36" s="504"/>
      <c r="S36" s="504"/>
    </row>
    <row r="37" spans="2:19" ht="13" customHeight="1">
      <c r="B37" s="504"/>
      <c r="C37" s="547"/>
      <c r="D37" s="548"/>
      <c r="E37" s="548"/>
      <c r="F37" s="548"/>
      <c r="G37" s="548"/>
      <c r="H37" s="548"/>
      <c r="I37" s="548"/>
      <c r="J37" s="548"/>
      <c r="K37" s="549" t="s">
        <v>215</v>
      </c>
      <c r="L37" s="550" t="s">
        <v>216</v>
      </c>
      <c r="M37" s="504"/>
      <c r="N37" s="504" t="s">
        <v>115</v>
      </c>
      <c r="O37" s="504">
        <f>1/1000</f>
        <v>1E-3</v>
      </c>
      <c r="P37" s="504"/>
      <c r="Q37" s="504"/>
      <c r="R37" s="504"/>
      <c r="S37" s="504"/>
    </row>
    <row r="38" spans="2:19" ht="13" customHeight="1">
      <c r="B38" s="504"/>
      <c r="C38" s="574" t="s">
        <v>2055</v>
      </c>
      <c r="D38" s="512"/>
      <c r="E38" s="512"/>
      <c r="F38" s="512"/>
      <c r="G38" s="512"/>
      <c r="H38" s="512"/>
      <c r="I38" s="512"/>
      <c r="J38" s="512"/>
      <c r="K38" s="575" t="e">
        <f ca="1">K33</f>
        <v>#NAME?</v>
      </c>
      <c r="L38" s="576" t="e">
        <f ca="1">L33</f>
        <v>#NAME?</v>
      </c>
      <c r="M38" s="504"/>
      <c r="N38" s="504"/>
      <c r="O38" s="504"/>
      <c r="P38" s="504"/>
      <c r="Q38" s="504"/>
      <c r="R38" s="504"/>
      <c r="S38" s="504"/>
    </row>
    <row r="39" spans="2:19" ht="13" customHeight="1">
      <c r="B39" s="504"/>
      <c r="C39" s="574" t="s">
        <v>2258</v>
      </c>
      <c r="D39" s="512"/>
      <c r="E39" s="512"/>
      <c r="F39" s="512"/>
      <c r="G39" s="512"/>
      <c r="H39" s="512"/>
      <c r="I39" s="512"/>
      <c r="J39" s="512"/>
      <c r="K39" s="577">
        <f>Inputs!E253</f>
        <v>45</v>
      </c>
      <c r="L39" s="578">
        <f>K39</f>
        <v>45</v>
      </c>
      <c r="M39" s="504"/>
      <c r="N39" s="504"/>
      <c r="O39" s="504"/>
      <c r="P39" s="504"/>
      <c r="Q39" s="504"/>
      <c r="R39" s="504"/>
      <c r="S39" s="504"/>
    </row>
    <row r="40" spans="2:19" ht="13" customHeight="1">
      <c r="B40" s="504"/>
      <c r="C40" s="574" t="s">
        <v>2259</v>
      </c>
      <c r="D40" s="512"/>
      <c r="E40" s="512"/>
      <c r="F40" s="512"/>
      <c r="G40" s="512"/>
      <c r="H40" s="512"/>
      <c r="I40" s="512"/>
      <c r="J40" s="512"/>
      <c r="K40" s="577">
        <f>Inputs!E254</f>
        <v>65</v>
      </c>
      <c r="L40" s="578">
        <f>K40</f>
        <v>65</v>
      </c>
      <c r="M40" s="504"/>
      <c r="N40" s="504"/>
      <c r="O40" s="504"/>
      <c r="P40" s="504"/>
      <c r="Q40" s="504"/>
      <c r="R40" s="504"/>
      <c r="S40" s="504"/>
    </row>
    <row r="41" spans="2:19" ht="13" customHeight="1">
      <c r="B41" s="504"/>
      <c r="C41" s="551" t="s">
        <v>2056</v>
      </c>
      <c r="D41" s="552"/>
      <c r="E41" s="552"/>
      <c r="F41" s="552"/>
      <c r="G41" s="552"/>
      <c r="H41" s="552"/>
      <c r="I41" s="552"/>
      <c r="J41" s="552"/>
      <c r="K41" s="579" t="e">
        <f ca="1">SUM(K38:K40)</f>
        <v>#NAME?</v>
      </c>
      <c r="L41" s="580" t="e">
        <f ca="1">SUM(L38:L40)</f>
        <v>#NAME?</v>
      </c>
      <c r="M41" s="504"/>
      <c r="N41" s="504"/>
      <c r="O41" s="504"/>
      <c r="P41" s="504"/>
      <c r="Q41" s="504"/>
      <c r="R41" s="504"/>
      <c r="S41" s="504"/>
    </row>
    <row r="42" spans="2:19" ht="13" customHeight="1">
      <c r="B42" s="504"/>
      <c r="C42" s="504"/>
      <c r="D42" s="504"/>
      <c r="E42" s="504"/>
      <c r="F42" s="504"/>
      <c r="G42" s="504"/>
      <c r="H42" s="504"/>
      <c r="I42" s="504"/>
      <c r="J42" s="504"/>
      <c r="K42" s="504"/>
      <c r="L42" s="504"/>
      <c r="M42" s="504"/>
      <c r="N42" s="504"/>
      <c r="O42" s="504"/>
      <c r="P42" s="504"/>
      <c r="Q42" s="504"/>
      <c r="R42" s="504"/>
      <c r="S42" s="504"/>
    </row>
    <row r="43" spans="2:19" ht="13" customHeight="1">
      <c r="B43" s="504"/>
      <c r="C43" s="573" t="s">
        <v>238</v>
      </c>
      <c r="D43" s="581"/>
      <c r="E43" s="581"/>
      <c r="F43" s="581"/>
      <c r="G43" s="581"/>
      <c r="H43" s="581"/>
      <c r="I43" s="581"/>
      <c r="J43" s="504"/>
      <c r="K43" s="504"/>
      <c r="L43" s="582"/>
      <c r="M43" s="582"/>
      <c r="N43" s="582"/>
      <c r="O43" s="582"/>
      <c r="P43" s="582"/>
      <c r="Q43" s="504"/>
      <c r="R43" s="504"/>
      <c r="S43" s="504"/>
    </row>
    <row r="44" spans="2:19" ht="13" customHeight="1">
      <c r="B44" s="504"/>
      <c r="C44" s="583"/>
      <c r="D44" s="583"/>
      <c r="E44" s="583"/>
      <c r="F44" s="583"/>
      <c r="G44" s="583"/>
      <c r="H44" s="583"/>
      <c r="I44" s="583"/>
      <c r="J44" s="583" t="s">
        <v>215</v>
      </c>
      <c r="K44" s="583" t="s">
        <v>216</v>
      </c>
      <c r="L44" s="582"/>
      <c r="M44" s="582"/>
      <c r="N44" s="582"/>
      <c r="O44" s="582"/>
      <c r="P44" s="582"/>
      <c r="Q44" s="504"/>
      <c r="R44" s="504"/>
      <c r="S44" s="504"/>
    </row>
    <row r="45" spans="2:19" ht="13" customHeight="1">
      <c r="B45" s="504"/>
      <c r="C45" s="584" t="s">
        <v>2290</v>
      </c>
      <c r="D45" s="584"/>
      <c r="E45" s="584"/>
      <c r="F45" s="584"/>
      <c r="G45" s="584"/>
      <c r="H45" s="584"/>
      <c r="I45" s="584"/>
      <c r="J45" s="585" t="e">
        <f>AVERAGE('GPC Data'!H260:H289)</f>
        <v>#DIV/0!</v>
      </c>
      <c r="K45" s="585" t="e">
        <f>J45</f>
        <v>#DIV/0!</v>
      </c>
      <c r="L45" s="582"/>
      <c r="M45" s="582"/>
      <c r="N45" s="582"/>
      <c r="O45" s="582"/>
      <c r="P45" s="582"/>
      <c r="Q45" s="504"/>
      <c r="R45" s="504"/>
      <c r="S45" s="504"/>
    </row>
    <row r="46" spans="2:19" ht="13" customHeight="1">
      <c r="B46" s="504"/>
      <c r="C46" s="584" t="s">
        <v>2291</v>
      </c>
      <c r="D46" s="584"/>
      <c r="E46" s="584"/>
      <c r="F46" s="584"/>
      <c r="G46" s="584"/>
      <c r="H46" s="584"/>
      <c r="I46" s="584"/>
      <c r="J46" s="586" t="e">
        <f>AVERAGE('GPC Data'!N260:N289)</f>
        <v>#DIV/0!</v>
      </c>
      <c r="K46" s="586" t="e">
        <f>J46</f>
        <v>#DIV/0!</v>
      </c>
      <c r="L46" s="582"/>
      <c r="M46" s="582"/>
      <c r="N46" s="582"/>
      <c r="O46" s="582"/>
      <c r="P46" s="582"/>
      <c r="Q46" s="504"/>
      <c r="R46" s="504"/>
      <c r="S46" s="504"/>
    </row>
    <row r="47" spans="2:19" ht="13" customHeight="1">
      <c r="B47" s="504"/>
      <c r="C47" s="582"/>
      <c r="D47" s="582"/>
      <c r="E47" s="582"/>
      <c r="F47" s="582"/>
      <c r="G47" s="582"/>
      <c r="H47" s="582"/>
      <c r="I47" s="582"/>
      <c r="J47" s="582"/>
      <c r="K47" s="582"/>
      <c r="L47" s="582"/>
      <c r="M47" s="582"/>
      <c r="N47" s="582"/>
      <c r="O47" s="582"/>
      <c r="P47" s="582"/>
      <c r="Q47" s="504"/>
      <c r="R47" s="504"/>
      <c r="S47" s="504"/>
    </row>
    <row r="48" spans="2:19" ht="13" customHeight="1">
      <c r="B48" s="504"/>
      <c r="C48" s="573" t="s">
        <v>239</v>
      </c>
      <c r="D48" s="581"/>
      <c r="E48" s="581"/>
      <c r="F48" s="581"/>
      <c r="G48" s="581"/>
      <c r="H48" s="581"/>
      <c r="I48" s="581"/>
      <c r="J48" s="504"/>
      <c r="K48" s="582"/>
      <c r="L48" s="582"/>
      <c r="M48" s="582"/>
      <c r="N48" s="582"/>
      <c r="O48" s="582"/>
      <c r="P48" s="582"/>
      <c r="Q48" s="504"/>
      <c r="R48" s="504"/>
      <c r="S48" s="504"/>
    </row>
    <row r="49" spans="2:19" ht="13" customHeight="1">
      <c r="B49" s="504"/>
      <c r="C49" s="582" t="s">
        <v>240</v>
      </c>
      <c r="D49" s="582"/>
      <c r="E49" s="582"/>
      <c r="F49" s="582"/>
      <c r="G49" s="582"/>
      <c r="H49" s="582"/>
      <c r="I49" s="582"/>
      <c r="J49" s="587">
        <v>5.0000000000000001E-3</v>
      </c>
      <c r="K49" s="504"/>
      <c r="L49" s="582"/>
      <c r="M49" s="582"/>
      <c r="N49" s="582"/>
      <c r="O49" s="582"/>
      <c r="P49" s="582"/>
      <c r="Q49" s="504"/>
      <c r="R49" s="504"/>
      <c r="S49" s="504"/>
    </row>
    <row r="50" spans="2:19" ht="13" customHeight="1">
      <c r="B50" s="504"/>
      <c r="C50" s="582" t="s">
        <v>241</v>
      </c>
      <c r="D50" s="582"/>
      <c r="E50" s="582"/>
      <c r="F50" s="582"/>
      <c r="G50" s="582"/>
      <c r="H50" s="582"/>
      <c r="I50" s="582"/>
      <c r="J50" s="587">
        <v>5.0000000000000001E-3</v>
      </c>
      <c r="K50" s="504"/>
      <c r="L50" s="582"/>
      <c r="M50" s="582"/>
      <c r="N50" s="582"/>
      <c r="O50" s="582"/>
      <c r="P50" s="582"/>
      <c r="Q50" s="504"/>
      <c r="R50" s="504"/>
      <c r="S50" s="504"/>
    </row>
    <row r="51" spans="2:19" ht="13" customHeight="1">
      <c r="B51" s="504"/>
      <c r="C51" s="582"/>
      <c r="D51" s="582"/>
      <c r="E51" s="582"/>
      <c r="F51" s="582"/>
      <c r="G51" s="582"/>
      <c r="H51" s="582"/>
      <c r="I51" s="582"/>
      <c r="J51" s="582"/>
      <c r="K51" s="582"/>
      <c r="L51" s="582"/>
      <c r="M51" s="582"/>
      <c r="N51" s="582"/>
      <c r="O51" s="582"/>
      <c r="P51" s="582"/>
      <c r="Q51" s="504"/>
      <c r="R51" s="504"/>
      <c r="S51" s="504"/>
    </row>
    <row r="52" spans="2:19" ht="13" customHeight="1">
      <c r="B52" s="504"/>
      <c r="C52" s="588" t="s">
        <v>242</v>
      </c>
      <c r="D52" s="589"/>
      <c r="E52" s="589"/>
      <c r="F52" s="589"/>
      <c r="G52" s="589"/>
      <c r="H52" s="589"/>
      <c r="I52" s="589"/>
      <c r="J52" s="582"/>
      <c r="K52" s="582"/>
      <c r="L52" s="582"/>
      <c r="M52" s="504"/>
      <c r="N52" s="582"/>
      <c r="O52" s="582"/>
      <c r="P52" s="582"/>
      <c r="Q52" s="504"/>
      <c r="R52" s="504"/>
      <c r="S52" s="504"/>
    </row>
    <row r="53" spans="2:19" ht="13" customHeight="1">
      <c r="B53" s="504"/>
      <c r="C53" s="590"/>
      <c r="D53" s="591"/>
      <c r="E53" s="1788" t="s">
        <v>243</v>
      </c>
      <c r="F53" s="1788"/>
      <c r="G53" s="1788"/>
      <c r="H53" s="1788"/>
      <c r="I53" s="1788"/>
      <c r="J53" s="592"/>
      <c r="K53" s="592"/>
      <c r="L53" s="592"/>
      <c r="M53" s="592"/>
      <c r="N53" s="592"/>
      <c r="O53" s="592"/>
      <c r="P53" s="504"/>
      <c r="Q53" s="504"/>
      <c r="R53" s="504"/>
      <c r="S53" s="504"/>
    </row>
    <row r="54" spans="2:19" ht="13" customHeight="1">
      <c r="B54" s="504"/>
      <c r="C54" s="593"/>
      <c r="D54" s="594" t="e">
        <f ca="1">L33</f>
        <v>#NAME?</v>
      </c>
      <c r="E54" s="595">
        <f>F54-$J$49</f>
        <v>-0.01</v>
      </c>
      <c r="F54" s="595">
        <f>G54-$J$49</f>
        <v>-5.0000000000000001E-3</v>
      </c>
      <c r="G54" s="595">
        <f>Inputs!E248</f>
        <v>0</v>
      </c>
      <c r="H54" s="595">
        <f>G54+$J$49</f>
        <v>5.0000000000000001E-3</v>
      </c>
      <c r="I54" s="595">
        <f>H54+$J$49</f>
        <v>0.01</v>
      </c>
      <c r="J54" s="504"/>
      <c r="K54" s="504"/>
      <c r="L54" s="504"/>
      <c r="M54" s="504"/>
      <c r="N54" s="504"/>
      <c r="O54" s="504"/>
      <c r="P54" s="504"/>
      <c r="Q54" s="504"/>
      <c r="R54" s="504"/>
      <c r="S54" s="504"/>
    </row>
    <row r="55" spans="2:19" ht="13" customHeight="1">
      <c r="B55" s="504"/>
      <c r="C55" s="1789" t="s">
        <v>232</v>
      </c>
      <c r="D55" s="596">
        <f>D56-J50</f>
        <v>1.4999999999999999E-2</v>
      </c>
      <c r="E55" s="597" t="e">
        <f t="dataTable" ref="E55:I57" dt2D="1" dtr="1" r1="J41" r2="L43" ca="1"/>
        <v>#NAME?</v>
      </c>
      <c r="F55" s="597" t="e">
        <v>#NAME?</v>
      </c>
      <c r="G55" s="598" t="e">
        <v>#NAME?</v>
      </c>
      <c r="H55" s="597" t="e">
        <v>#NAME?</v>
      </c>
      <c r="I55" s="599" t="e">
        <v>#NAME?</v>
      </c>
      <c r="J55" s="504"/>
      <c r="K55" s="504"/>
      <c r="L55" s="504"/>
      <c r="M55" s="504"/>
      <c r="N55" s="504"/>
      <c r="O55" s="504"/>
      <c r="P55" s="504"/>
      <c r="Q55" s="504"/>
      <c r="R55" s="504"/>
      <c r="S55" s="504"/>
    </row>
    <row r="56" spans="2:19" ht="13" customHeight="1">
      <c r="B56" s="504"/>
      <c r="C56" s="1789"/>
      <c r="D56" s="596">
        <f>long.term.growth</f>
        <v>0.02</v>
      </c>
      <c r="E56" s="598" t="e">
        <v>#NAME?</v>
      </c>
      <c r="F56" s="598" t="e">
        <v>#NAME?</v>
      </c>
      <c r="G56" s="600" t="e">
        <v>#NAME?</v>
      </c>
      <c r="H56" s="598" t="e">
        <v>#NAME?</v>
      </c>
      <c r="I56" s="601" t="e">
        <v>#NAME?</v>
      </c>
      <c r="J56" s="504"/>
      <c r="K56" s="504"/>
      <c r="L56" s="504"/>
      <c r="M56" s="504"/>
      <c r="N56" s="504"/>
      <c r="O56" s="504"/>
      <c r="P56" s="504"/>
      <c r="Q56" s="504"/>
      <c r="R56" s="504"/>
      <c r="S56" s="504"/>
    </row>
    <row r="57" spans="2:19" ht="13" customHeight="1">
      <c r="B57" s="504"/>
      <c r="C57" s="1789"/>
      <c r="D57" s="596">
        <f>D56+J50</f>
        <v>2.5000000000000001E-2</v>
      </c>
      <c r="E57" s="597" t="e">
        <v>#NAME?</v>
      </c>
      <c r="F57" s="597" t="e">
        <v>#NAME?</v>
      </c>
      <c r="G57" s="598" t="e">
        <v>#NAME?</v>
      </c>
      <c r="H57" s="597" t="e">
        <v>#NAME?</v>
      </c>
      <c r="I57" s="599" t="e">
        <v>#NAME?</v>
      </c>
      <c r="J57" s="504"/>
      <c r="K57" s="504"/>
      <c r="L57" s="504"/>
      <c r="M57" s="504"/>
      <c r="N57" s="504"/>
      <c r="O57" s="504"/>
      <c r="P57" s="504"/>
      <c r="Q57" s="504"/>
      <c r="R57" s="504"/>
      <c r="S57" s="504"/>
    </row>
    <row r="58" spans="2:19" ht="13" customHeight="1">
      <c r="B58" s="504"/>
      <c r="C58" s="602"/>
      <c r="D58" s="602"/>
      <c r="E58" s="602"/>
      <c r="F58" s="602"/>
      <c r="G58" s="602"/>
      <c r="H58" s="602"/>
      <c r="I58" s="602"/>
      <c r="J58" s="602"/>
      <c r="K58" s="602"/>
      <c r="L58" s="602"/>
      <c r="M58" s="602"/>
      <c r="N58" s="602"/>
      <c r="O58" s="602"/>
      <c r="P58" s="602"/>
      <c r="Q58" s="504"/>
      <c r="R58" s="504"/>
      <c r="S58" s="504"/>
    </row>
    <row r="59" spans="2:19">
      <c r="B59" s="504"/>
      <c r="C59" s="504"/>
      <c r="D59" s="504"/>
      <c r="E59" s="504"/>
      <c r="F59" s="504"/>
      <c r="G59" s="504"/>
      <c r="H59" s="504"/>
      <c r="I59" s="504"/>
      <c r="J59" s="504"/>
      <c r="K59" s="504"/>
      <c r="L59" s="504"/>
      <c r="M59" s="504"/>
      <c r="N59" s="504"/>
      <c r="O59" s="504"/>
      <c r="P59" s="504"/>
      <c r="Q59" s="504"/>
      <c r="R59" s="504"/>
      <c r="S59" s="504"/>
    </row>
  </sheetData>
  <mergeCells count="2">
    <mergeCell ref="E53:I53"/>
    <mergeCell ref="C55:C57"/>
  </mergeCells>
  <pageMargins left="0.7" right="0.7" top="0.75" bottom="0.75" header="0.3" footer="0.3"/>
  <pageSetup scale="5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C71A6-5ABC-4600-BC66-A87F72BEF968}">
  <sheetPr>
    <tabColor rgb="FF002060"/>
  </sheetPr>
  <dimension ref="A1:H30"/>
  <sheetViews>
    <sheetView showGridLines="0" topLeftCell="B1" workbookViewId="0">
      <selection activeCell="B1" sqref="A1:XFD1048576"/>
    </sheetView>
  </sheetViews>
  <sheetFormatPr defaultColWidth="0" defaultRowHeight="0" customHeight="1" zeroHeight="1"/>
  <cols>
    <col min="1" max="1" width="2.3828125" style="246" customWidth="1"/>
    <col min="2" max="8" width="8.69140625" style="246" customWidth="1"/>
    <col min="9" max="16384" width="8.69140625" style="246" hidden="1"/>
  </cols>
  <sheetData>
    <row r="1" spans="2:8" ht="10.5"/>
    <row r="2" spans="2:8" ht="10.5">
      <c r="B2" s="245" t="s">
        <v>2328</v>
      </c>
    </row>
    <row r="3" spans="2:8" ht="10.5">
      <c r="B3" s="247" t="str">
        <f>Inputs!$B$3</f>
        <v>Aerial Arts India XXXXXXXXXXXXXXXXX - Self Valuation using DCF Method, Transaction Multiples Method, &amp; Market Multiples Method as at September 30, 2024</v>
      </c>
    </row>
    <row r="4" spans="2:8" ht="10.5">
      <c r="B4" s="282" t="s">
        <v>2091</v>
      </c>
    </row>
    <row r="5" spans="2:8" ht="5" customHeight="1" thickBot="1">
      <c r="B5" s="283"/>
      <c r="C5" s="249"/>
      <c r="D5" s="249"/>
      <c r="E5" s="249"/>
      <c r="F5" s="249"/>
      <c r="G5" s="249"/>
      <c r="H5" s="249"/>
    </row>
    <row r="6" spans="2:8" ht="11" thickTop="1"/>
    <row r="7" spans="2:8" ht="10.5">
      <c r="B7" s="245" t="s">
        <v>1905</v>
      </c>
    </row>
    <row r="8" spans="2:8" ht="10.5"/>
    <row r="9" spans="2:8" ht="10.5"/>
    <row r="10" spans="2:8" ht="10.5"/>
    <row r="11" spans="2:8" ht="10.5"/>
    <row r="12" spans="2:8" ht="10.5"/>
    <row r="13" spans="2:8" ht="10.5"/>
    <row r="14" spans="2:8" ht="10.5"/>
    <row r="15" spans="2:8" ht="10.5"/>
    <row r="16" spans="2:8" ht="10.5" hidden="1"/>
    <row r="17" ht="10.5" hidden="1"/>
    <row r="18" ht="10.5" hidden="1"/>
    <row r="19" ht="10.5" hidden="1"/>
    <row r="20" ht="10.5" hidden="1"/>
    <row r="21" ht="10.5" hidden="1"/>
    <row r="22" ht="10.5" hidden="1"/>
    <row r="23" ht="10.5" hidden="1"/>
    <row r="24" ht="10.5" hidden="1"/>
    <row r="25" ht="10.5" hidden="1"/>
    <row r="26" ht="10.5" hidden="1"/>
    <row r="27" ht="10.5" hidden="1"/>
    <row r="28" ht="10.5" hidden="1"/>
    <row r="29" ht="10.5" hidden="1"/>
    <row r="30" ht="10.5" hidden="1"/>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C381-5545-41C3-9FCA-4F2A68DB84CA}">
  <sheetPr>
    <tabColor rgb="FF92A4FC"/>
  </sheetPr>
  <dimension ref="A2:X185"/>
  <sheetViews>
    <sheetView showGridLines="0" zoomScale="87" workbookViewId="0">
      <pane xSplit="7" ySplit="8" topLeftCell="H143" activePane="bottomRight" state="frozen"/>
      <selection activeCell="R35" sqref="R35"/>
      <selection pane="topRight" activeCell="R35" sqref="R35"/>
      <selection pane="bottomLeft" activeCell="R35" sqref="R35"/>
      <selection pane="bottomRight" activeCell="N158" sqref="N158"/>
    </sheetView>
  </sheetViews>
  <sheetFormatPr defaultColWidth="0" defaultRowHeight="10.5"/>
  <cols>
    <col min="1" max="1" width="2.53515625" style="246" customWidth="1"/>
    <col min="2" max="5" width="8.69140625" style="246" customWidth="1"/>
    <col min="6" max="6" width="12.23046875" style="246" bestFit="1" customWidth="1"/>
    <col min="7" max="7" width="8.69140625" style="246" customWidth="1"/>
    <col min="8" max="9" width="6.3828125" style="246" customWidth="1"/>
    <col min="10" max="11" width="6.3828125" style="246" bestFit="1" customWidth="1"/>
    <col min="12" max="12" width="5.61328125" style="246" bestFit="1" customWidth="1"/>
    <col min="13" max="13" width="6.3828125" style="246" bestFit="1" customWidth="1"/>
    <col min="14" max="18" width="5.61328125" style="246" bestFit="1" customWidth="1"/>
    <col min="19" max="21" width="8.69140625" style="246" customWidth="1"/>
    <col min="22" max="22" width="10.3828125" style="246" bestFit="1" customWidth="1"/>
    <col min="23" max="23" width="8.69140625" style="246" customWidth="1"/>
    <col min="24" max="24" width="0" style="246" hidden="1" customWidth="1"/>
    <col min="25" max="16384" width="8.69140625" style="246" hidden="1"/>
  </cols>
  <sheetData>
    <row r="2" spans="2:22">
      <c r="B2" s="245" t="str">
        <f>Inputs!B2</f>
        <v>Valify - UAE Valuation Services</v>
      </c>
    </row>
    <row r="3" spans="2:22">
      <c r="B3" s="247" t="str">
        <f>Inputs!$B$3</f>
        <v>Aerial Arts India XXXXXXXXXXXXXXXXX - Self Valuation using DCF Method, Transaction Multiples Method, &amp; Market Multiples Method as at September 30, 2024</v>
      </c>
    </row>
    <row r="4" spans="2:22">
      <c r="B4" s="248" t="s">
        <v>1907</v>
      </c>
    </row>
    <row r="5" spans="2:22" ht="5" customHeight="1" thickBot="1">
      <c r="B5" s="249"/>
      <c r="C5" s="249"/>
      <c r="D5" s="249"/>
      <c r="E5" s="249"/>
      <c r="F5" s="249"/>
      <c r="G5" s="249"/>
      <c r="H5" s="249"/>
      <c r="I5" s="249"/>
      <c r="J5" s="249"/>
      <c r="K5" s="249"/>
      <c r="L5" s="249"/>
      <c r="M5" s="249"/>
      <c r="N5" s="249"/>
      <c r="O5" s="249"/>
      <c r="P5" s="249"/>
      <c r="Q5" s="249"/>
      <c r="R5" s="249"/>
      <c r="S5" s="249"/>
    </row>
    <row r="6" spans="2:22" ht="11" thickTop="1"/>
    <row r="7" spans="2:22">
      <c r="C7" s="801" t="str">
        <f>"All amounts in "&amp;currency.heading1</f>
        <v>All amounts in USD 'Units</v>
      </c>
      <c r="D7" s="801"/>
      <c r="E7" s="801"/>
      <c r="F7" s="801"/>
      <c r="G7" s="801"/>
      <c r="H7" s="252" t="str">
        <f>H11</f>
        <v>FY21</v>
      </c>
      <c r="I7" s="252" t="str">
        <f>I11</f>
        <v>FY22</v>
      </c>
      <c r="J7" s="252" t="str">
        <f t="shared" ref="J7:R7" si="0">J11</f>
        <v>FY23</v>
      </c>
      <c r="K7" s="252" t="str">
        <f>K11</f>
        <v>YTD24</v>
      </c>
      <c r="L7" s="252" t="str">
        <f>L11</f>
        <v>YTG24</v>
      </c>
      <c r="M7" s="252" t="str">
        <f t="shared" si="0"/>
        <v>FY24</v>
      </c>
      <c r="N7" s="252" t="str">
        <f>N11</f>
        <v>FY25</v>
      </c>
      <c r="O7" s="252" t="str">
        <f t="shared" si="0"/>
        <v>FY26</v>
      </c>
      <c r="P7" s="252" t="str">
        <f t="shared" si="0"/>
        <v>FY27</v>
      </c>
      <c r="Q7" s="252" t="str">
        <f t="shared" si="0"/>
        <v>FY28</v>
      </c>
      <c r="R7" s="252" t="str">
        <f t="shared" si="0"/>
        <v>FY29</v>
      </c>
    </row>
    <row r="8" spans="2:22">
      <c r="C8" s="801"/>
      <c r="D8" s="801"/>
      <c r="E8" s="801"/>
      <c r="F8" s="801"/>
      <c r="G8" s="801"/>
      <c r="H8" s="252" t="str">
        <f>H12</f>
        <v>Actual</v>
      </c>
      <c r="I8" s="252" t="str">
        <f>I12</f>
        <v>Actual</v>
      </c>
      <c r="J8" s="252" t="str">
        <f t="shared" ref="J8:R8" si="1">J12</f>
        <v>Actual</v>
      </c>
      <c r="K8" s="252" t="str">
        <f>K12</f>
        <v>Actual</v>
      </c>
      <c r="L8" s="252" t="str">
        <f>L12</f>
        <v>Estimate</v>
      </c>
      <c r="M8" s="252" t="str">
        <f t="shared" si="1"/>
        <v>Estimate</v>
      </c>
      <c r="N8" s="252" t="str">
        <f t="shared" si="1"/>
        <v>Estimate</v>
      </c>
      <c r="O8" s="252" t="str">
        <f t="shared" si="1"/>
        <v>Forecast</v>
      </c>
      <c r="P8" s="252" t="str">
        <f t="shared" si="1"/>
        <v>Forecast</v>
      </c>
      <c r="Q8" s="252" t="str">
        <f t="shared" si="1"/>
        <v>Forecast</v>
      </c>
      <c r="R8" s="252" t="str">
        <f t="shared" si="1"/>
        <v>Forecast</v>
      </c>
      <c r="T8" s="458" t="s">
        <v>2012</v>
      </c>
      <c r="U8" s="439" t="s">
        <v>2283</v>
      </c>
      <c r="V8" s="440" t="s">
        <v>2282</v>
      </c>
    </row>
    <row r="9" spans="2:22">
      <c r="C9" s="802" t="s">
        <v>1959</v>
      </c>
      <c r="T9" s="459"/>
      <c r="U9" s="441"/>
      <c r="V9" s="442"/>
    </row>
    <row r="10" spans="2:22">
      <c r="C10" s="246" t="s">
        <v>1960</v>
      </c>
      <c r="H10" s="289">
        <f>I10-1</f>
        <v>-3</v>
      </c>
      <c r="I10" s="289">
        <v>-2</v>
      </c>
      <c r="J10" s="289">
        <f>I10+1</f>
        <v>-1</v>
      </c>
      <c r="K10" s="803"/>
      <c r="L10" s="804"/>
      <c r="M10" s="289">
        <f>J10+1</f>
        <v>0</v>
      </c>
      <c r="N10" s="246">
        <f>M10+1</f>
        <v>1</v>
      </c>
      <c r="O10" s="289">
        <f>N10+1</f>
        <v>2</v>
      </c>
      <c r="P10" s="289">
        <f>O10+1</f>
        <v>3</v>
      </c>
      <c r="Q10" s="289">
        <f>P10+1</f>
        <v>4</v>
      </c>
      <c r="R10" s="289">
        <f>Q10+1</f>
        <v>5</v>
      </c>
      <c r="T10" s="459"/>
      <c r="U10" s="441"/>
      <c r="V10" s="805"/>
    </row>
    <row r="11" spans="2:22">
      <c r="C11" s="246" t="s">
        <v>1955</v>
      </c>
      <c r="H11" s="289" t="str">
        <f>"FY"&amp;(RIGHT(YEAR(valuation.date),2)+H10)</f>
        <v>FY21</v>
      </c>
      <c r="I11" s="289" t="str">
        <f>"FY"&amp;(RIGHT(YEAR(valuation.date),2)+I10)</f>
        <v>FY22</v>
      </c>
      <c r="J11" s="289" t="str">
        <f t="shared" ref="J11:R11" si="2">"FY"&amp;(RIGHT(YEAR(valuation.date),2)+J10)</f>
        <v>FY23</v>
      </c>
      <c r="K11" s="289" t="str">
        <f>"YTD"&amp;RIGHT(M11,2)</f>
        <v>YTD24</v>
      </c>
      <c r="L11" s="289" t="str">
        <f>"YTG"&amp;RIGHT(M11,2)</f>
        <v>YTG24</v>
      </c>
      <c r="M11" s="289" t="str">
        <f t="shared" si="2"/>
        <v>FY24</v>
      </c>
      <c r="N11" s="289" t="str">
        <f>"FY"&amp;(RIGHT(YEAR(valuation.date),2)+N10)</f>
        <v>FY25</v>
      </c>
      <c r="O11" s="289" t="str">
        <f t="shared" si="2"/>
        <v>FY26</v>
      </c>
      <c r="P11" s="289" t="str">
        <f t="shared" si="2"/>
        <v>FY27</v>
      </c>
      <c r="Q11" s="289" t="str">
        <f t="shared" si="2"/>
        <v>FY28</v>
      </c>
      <c r="R11" s="289" t="str">
        <f t="shared" si="2"/>
        <v>FY29</v>
      </c>
      <c r="T11" s="459"/>
      <c r="U11" s="441"/>
      <c r="V11" s="805"/>
    </row>
    <row r="12" spans="2:22">
      <c r="C12" s="246" t="s">
        <v>1961</v>
      </c>
      <c r="H12" s="289" t="str">
        <f>IF(H10&gt;1,"Forecast",IF(H10=1,"Estimate","Actual"))</f>
        <v>Actual</v>
      </c>
      <c r="I12" s="289" t="str">
        <f>IF(I10&gt;1,"Forecast",IF(I10=1,"Estimate","Actual"))</f>
        <v>Actual</v>
      </c>
      <c r="J12" s="289" t="str">
        <f t="shared" ref="J12:R12" si="3">IF(J10&gt;1,"Forecast",IF(J10=1,"Estimate","Actual"))</f>
        <v>Actual</v>
      </c>
      <c r="K12" s="289" t="str">
        <f t="shared" si="3"/>
        <v>Actual</v>
      </c>
      <c r="L12" s="289" t="s">
        <v>2249</v>
      </c>
      <c r="M12" s="289" t="s">
        <v>2249</v>
      </c>
      <c r="N12" s="289" t="str">
        <f t="shared" si="3"/>
        <v>Estimate</v>
      </c>
      <c r="O12" s="289" t="str">
        <f t="shared" si="3"/>
        <v>Forecast</v>
      </c>
      <c r="P12" s="289" t="str">
        <f t="shared" si="3"/>
        <v>Forecast</v>
      </c>
      <c r="Q12" s="289" t="str">
        <f t="shared" si="3"/>
        <v>Forecast</v>
      </c>
      <c r="R12" s="289" t="str">
        <f t="shared" si="3"/>
        <v>Forecast</v>
      </c>
      <c r="T12" s="459"/>
      <c r="U12" s="441"/>
      <c r="V12" s="805"/>
    </row>
    <row r="13" spans="2:22">
      <c r="H13" s="289"/>
      <c r="I13" s="289"/>
      <c r="J13" s="289"/>
      <c r="K13" s="289"/>
      <c r="L13" s="289"/>
      <c r="M13" s="289"/>
      <c r="N13" s="289"/>
      <c r="O13" s="289"/>
      <c r="P13" s="289"/>
      <c r="Q13" s="289"/>
      <c r="R13" s="289"/>
      <c r="T13" s="459"/>
      <c r="U13" s="441"/>
      <c r="V13" s="805"/>
    </row>
    <row r="14" spans="2:22">
      <c r="C14" s="298" t="s">
        <v>1938</v>
      </c>
      <c r="D14" s="298"/>
      <c r="E14" s="298"/>
      <c r="F14" s="298"/>
      <c r="G14" s="298"/>
      <c r="H14" s="299" t="str">
        <f t="shared" ref="H14" si="4">H7</f>
        <v>FY21</v>
      </c>
      <c r="I14" s="299" t="str">
        <f t="shared" ref="I14:R15" si="5">I7</f>
        <v>FY22</v>
      </c>
      <c r="J14" s="299" t="str">
        <f t="shared" si="5"/>
        <v>FY23</v>
      </c>
      <c r="K14" s="299" t="str">
        <f>K7</f>
        <v>YTD24</v>
      </c>
      <c r="L14" s="299" t="str">
        <f>L7</f>
        <v>YTG24</v>
      </c>
      <c r="M14" s="299" t="str">
        <f t="shared" si="5"/>
        <v>FY24</v>
      </c>
      <c r="N14" s="299" t="str">
        <f t="shared" si="5"/>
        <v>FY25</v>
      </c>
      <c r="O14" s="299" t="str">
        <f t="shared" si="5"/>
        <v>FY26</v>
      </c>
      <c r="P14" s="299" t="str">
        <f t="shared" si="5"/>
        <v>FY27</v>
      </c>
      <c r="Q14" s="299" t="str">
        <f t="shared" si="5"/>
        <v>FY28</v>
      </c>
      <c r="R14" s="806" t="str">
        <f t="shared" si="5"/>
        <v>FY29</v>
      </c>
      <c r="T14" s="459"/>
      <c r="U14" s="441"/>
      <c r="V14" s="805"/>
    </row>
    <row r="15" spans="2:22">
      <c r="C15" s="807" t="str">
        <f>currency.heading1</f>
        <v>USD 'Units</v>
      </c>
      <c r="D15" s="801"/>
      <c r="E15" s="801"/>
      <c r="F15" s="801"/>
      <c r="G15" s="801"/>
      <c r="H15" s="252" t="str">
        <f t="shared" ref="H15" si="6">H8</f>
        <v>Actual</v>
      </c>
      <c r="I15" s="252" t="str">
        <f t="shared" si="5"/>
        <v>Actual</v>
      </c>
      <c r="J15" s="252" t="str">
        <f t="shared" si="5"/>
        <v>Actual</v>
      </c>
      <c r="K15" s="252" t="str">
        <f>K8</f>
        <v>Actual</v>
      </c>
      <c r="L15" s="252" t="str">
        <f>L8</f>
        <v>Estimate</v>
      </c>
      <c r="M15" s="252" t="str">
        <f t="shared" si="5"/>
        <v>Estimate</v>
      </c>
      <c r="N15" s="252" t="str">
        <f t="shared" si="5"/>
        <v>Estimate</v>
      </c>
      <c r="O15" s="252" t="str">
        <f t="shared" si="5"/>
        <v>Forecast</v>
      </c>
      <c r="P15" s="252" t="str">
        <f t="shared" si="5"/>
        <v>Forecast</v>
      </c>
      <c r="Q15" s="252" t="str">
        <f t="shared" si="5"/>
        <v>Forecast</v>
      </c>
      <c r="R15" s="253" t="str">
        <f t="shared" si="5"/>
        <v>Forecast</v>
      </c>
      <c r="T15" s="459"/>
      <c r="U15" s="441"/>
      <c r="V15" s="805"/>
    </row>
    <row r="16" spans="2:22">
      <c r="C16" s="808" t="s">
        <v>1970</v>
      </c>
      <c r="D16" s="809"/>
      <c r="E16" s="809"/>
      <c r="F16" s="809"/>
      <c r="G16" s="809"/>
      <c r="H16" s="289"/>
      <c r="I16" s="289"/>
      <c r="J16" s="289"/>
      <c r="K16" s="289"/>
      <c r="L16" s="289"/>
      <c r="M16" s="289"/>
      <c r="N16" s="289"/>
      <c r="O16" s="289"/>
      <c r="P16" s="289"/>
      <c r="Q16" s="289"/>
      <c r="R16" s="810"/>
      <c r="T16" s="459"/>
      <c r="U16" s="441"/>
      <c r="V16" s="805"/>
    </row>
    <row r="17" spans="3:22">
      <c r="C17" s="811" t="s">
        <v>1971</v>
      </c>
      <c r="H17" s="289"/>
      <c r="I17" s="289"/>
      <c r="J17" s="289"/>
      <c r="K17" s="289"/>
      <c r="L17" s="289"/>
      <c r="M17" s="289"/>
      <c r="N17" s="289"/>
      <c r="O17" s="289"/>
      <c r="P17" s="289"/>
      <c r="Q17" s="289"/>
      <c r="R17" s="810"/>
      <c r="T17" s="459"/>
      <c r="U17" s="441"/>
      <c r="V17" s="805"/>
    </row>
    <row r="18" spans="3:22">
      <c r="C18" s="812"/>
      <c r="D18" s="246" t="str">
        <f>"Existing "&amp;Inputs!E77</f>
        <v>Existing Aerial Arts</v>
      </c>
      <c r="H18" s="1624">
        <f>Hist.Fin!H13</f>
        <v>0</v>
      </c>
      <c r="I18" s="1624">
        <f>Hist.Fin!I13</f>
        <v>0</v>
      </c>
      <c r="J18" s="1624">
        <f>Hist.Fin!J13</f>
        <v>0</v>
      </c>
      <c r="K18" s="1624">
        <f>Hist.Fin!K13</f>
        <v>0</v>
      </c>
      <c r="L18" s="814">
        <f>IF(ytg.approach=Inputs!$C$39,K18*ytg.actual,IF(ytg.approach=Inputs!$C$40,ytg.mgt*M18,M18-K18))</f>
        <v>0</v>
      </c>
      <c r="M18" s="813">
        <f>Inputs!L100</f>
        <v>0</v>
      </c>
      <c r="N18" s="815">
        <f>M18*(1+Inputs!M100)</f>
        <v>0</v>
      </c>
      <c r="O18" s="815">
        <f>N18*(1+Inputs!N100)</f>
        <v>0</v>
      </c>
      <c r="P18" s="815">
        <f>O18*(1+Inputs!O100)</f>
        <v>0</v>
      </c>
      <c r="Q18" s="815">
        <f>P18*(1+Inputs!P100)</f>
        <v>0</v>
      </c>
      <c r="R18" s="816">
        <f>Q18*(1+Inputs!Q100)</f>
        <v>0</v>
      </c>
      <c r="T18" s="459" t="str">
        <f>IFERROR((R18/N18)^(1/5)-1,"-")</f>
        <v>-</v>
      </c>
      <c r="U18" s="441" t="str">
        <f t="shared" ref="U18:U49" si="7">IFERROR(IF(K18+L18=M18,"OK","VARIANCE"),"")</f>
        <v>OK</v>
      </c>
      <c r="V18" s="817">
        <f t="shared" ref="V18:V49" si="8">IFERROR((K18/ytd.months)*12,"NA")</f>
        <v>0</v>
      </c>
    </row>
    <row r="19" spans="3:22">
      <c r="C19" s="812"/>
      <c r="D19" s="246" t="str">
        <f>"Existing "&amp;Inputs!E78</f>
        <v>Existing Pole Dance</v>
      </c>
      <c r="H19" s="1624">
        <f>Hist.Fin!H14</f>
        <v>0</v>
      </c>
      <c r="I19" s="1624">
        <f>Hist.Fin!I14</f>
        <v>0</v>
      </c>
      <c r="J19" s="1624">
        <f>Hist.Fin!J14</f>
        <v>0</v>
      </c>
      <c r="K19" s="1624">
        <f>Hist.Fin!K14</f>
        <v>0</v>
      </c>
      <c r="L19" s="818">
        <f>IF(ytg.approach=Inputs!$C$39,K19*ytg.actual,IF(ytg.approach=Inputs!$C$40,ytg.mgt*M19,M19-K19))</f>
        <v>0</v>
      </c>
      <c r="M19" s="813">
        <f>Inputs!L101</f>
        <v>0</v>
      </c>
      <c r="N19" s="815">
        <f>M19*(1+Inputs!M101)</f>
        <v>0</v>
      </c>
      <c r="O19" s="815">
        <f>N19*(1+Inputs!N101)</f>
        <v>0</v>
      </c>
      <c r="P19" s="815">
        <f>O19*(1+Inputs!O101)</f>
        <v>0</v>
      </c>
      <c r="Q19" s="815">
        <f>P19*(1+Inputs!P101)</f>
        <v>0</v>
      </c>
      <c r="R19" s="816">
        <f>Q19*(1+Inputs!Q101)</f>
        <v>0</v>
      </c>
      <c r="T19" s="459" t="str">
        <f t="shared" ref="T19:T98" si="9">IFERROR((R19/N19)^(1/5)-1,"-")</f>
        <v>-</v>
      </c>
      <c r="U19" s="441" t="str">
        <f t="shared" si="7"/>
        <v>OK</v>
      </c>
      <c r="V19" s="817">
        <f t="shared" si="8"/>
        <v>0</v>
      </c>
    </row>
    <row r="20" spans="3:22">
      <c r="C20" s="812"/>
      <c r="D20" s="246" t="str">
        <f>"Existing "&amp;Inputs!E79</f>
        <v>Existing Stretching</v>
      </c>
      <c r="H20" s="1624">
        <f>Hist.Fin!H15</f>
        <v>0</v>
      </c>
      <c r="I20" s="1624">
        <f>Hist.Fin!I15</f>
        <v>0</v>
      </c>
      <c r="J20" s="1624">
        <f>Hist.Fin!J15</f>
        <v>0</v>
      </c>
      <c r="K20" s="1624">
        <f>Hist.Fin!K15</f>
        <v>0</v>
      </c>
      <c r="L20" s="818">
        <f>IF(ytg.approach=Inputs!$C$39,K20*ytg.actual,IF(ytg.approach=Inputs!$C$40,ytg.mgt*M20,M20-K20))</f>
        <v>0</v>
      </c>
      <c r="M20" s="813">
        <f>Inputs!L102</f>
        <v>0</v>
      </c>
      <c r="N20" s="815">
        <f>M20*(1+Inputs!M102)</f>
        <v>0</v>
      </c>
      <c r="O20" s="815">
        <f>N20*(1+Inputs!N102)</f>
        <v>0</v>
      </c>
      <c r="P20" s="815">
        <f>O20*(1+Inputs!O102)</f>
        <v>0</v>
      </c>
      <c r="Q20" s="815">
        <f>P20*(1+Inputs!P102)</f>
        <v>0</v>
      </c>
      <c r="R20" s="816">
        <f>Q20*(1+Inputs!Q102)</f>
        <v>0</v>
      </c>
      <c r="T20" s="459" t="str">
        <f t="shared" si="9"/>
        <v>-</v>
      </c>
      <c r="U20" s="441" t="str">
        <f t="shared" si="7"/>
        <v>OK</v>
      </c>
      <c r="V20" s="817">
        <f t="shared" si="8"/>
        <v>0</v>
      </c>
    </row>
    <row r="21" spans="3:22">
      <c r="C21" s="812"/>
      <c r="D21" s="246" t="str">
        <f>"Existing "&amp;Inputs!E80</f>
        <v>Existing NA</v>
      </c>
      <c r="H21" s="1624">
        <f>Hist.Fin!H16</f>
        <v>0</v>
      </c>
      <c r="I21" s="1624">
        <f>Hist.Fin!I16</f>
        <v>0</v>
      </c>
      <c r="J21" s="1624">
        <f>Hist.Fin!J16</f>
        <v>0</v>
      </c>
      <c r="K21" s="1624">
        <f>Hist.Fin!K16</f>
        <v>0</v>
      </c>
      <c r="L21" s="818">
        <f>IF(ytg.approach=Inputs!$C$39,K21*ytg.actual,IF(ytg.approach=Inputs!$C$40,ytg.mgt*M21,M21-K21))</f>
        <v>0</v>
      </c>
      <c r="M21" s="813">
        <f>Inputs!L103</f>
        <v>0</v>
      </c>
      <c r="N21" s="815">
        <f>M21*(1+Inputs!M103)</f>
        <v>0</v>
      </c>
      <c r="O21" s="815">
        <f>N21*(1+Inputs!N103)</f>
        <v>0</v>
      </c>
      <c r="P21" s="815">
        <f>O21*(1+Inputs!O103)</f>
        <v>0</v>
      </c>
      <c r="Q21" s="815">
        <f>P21*(1+Inputs!P103)</f>
        <v>0</v>
      </c>
      <c r="R21" s="816">
        <f>Q21*(1+Inputs!Q103)</f>
        <v>0</v>
      </c>
      <c r="T21" s="459" t="str">
        <f t="shared" si="9"/>
        <v>-</v>
      </c>
      <c r="U21" s="441" t="str">
        <f t="shared" si="7"/>
        <v>OK</v>
      </c>
      <c r="V21" s="817">
        <f t="shared" si="8"/>
        <v>0</v>
      </c>
    </row>
    <row r="22" spans="3:22">
      <c r="C22" s="812"/>
      <c r="D22" s="246" t="str">
        <f>"Pipeline "&amp;Inputs!E82</f>
        <v>Pipeline Corporate Clients</v>
      </c>
      <c r="H22" s="292"/>
      <c r="I22" s="292"/>
      <c r="J22" s="292"/>
      <c r="K22" s="1606"/>
      <c r="L22" s="818">
        <f>IF(ytg.approach=Inputs!$C$39,K22*ytg.actual,IF(ytg.approach=Inputs!$C$40,ytg.mgt*M22,M22-K22))</f>
        <v>0</v>
      </c>
      <c r="M22" s="813">
        <f>Inputs!L104</f>
        <v>0</v>
      </c>
      <c r="N22" s="815">
        <f>M22*(1+Inputs!M104)</f>
        <v>0</v>
      </c>
      <c r="O22" s="815">
        <f>N22*(1+Inputs!N104)</f>
        <v>0</v>
      </c>
      <c r="P22" s="815">
        <f>O22*(1+Inputs!O104)</f>
        <v>0</v>
      </c>
      <c r="Q22" s="815">
        <f>P22*(1+Inputs!P104)</f>
        <v>0</v>
      </c>
      <c r="R22" s="816">
        <f>Q22*(1+Inputs!Q104)</f>
        <v>0</v>
      </c>
      <c r="T22" s="459" t="str">
        <f t="shared" si="9"/>
        <v>-</v>
      </c>
      <c r="U22" s="441" t="str">
        <f t="shared" si="7"/>
        <v>OK</v>
      </c>
      <c r="V22" s="817">
        <f t="shared" si="8"/>
        <v>0</v>
      </c>
    </row>
    <row r="23" spans="3:22">
      <c r="C23" s="812"/>
      <c r="D23" s="246" t="str">
        <f>"Pipeline "&amp;Inputs!E83</f>
        <v>Pipeline NA</v>
      </c>
      <c r="H23" s="292"/>
      <c r="I23" s="292"/>
      <c r="J23" s="292"/>
      <c r="K23" s="1606"/>
      <c r="L23" s="818">
        <f>IF(ytg.approach=Inputs!$C$39,K23*ytg.actual,IF(ytg.approach=Inputs!$C$40,ytg.mgt*M23,M23-K23))</f>
        <v>0</v>
      </c>
      <c r="M23" s="813">
        <f>Inputs!L105</f>
        <v>0</v>
      </c>
      <c r="N23" s="815">
        <f>M23*(1+Inputs!M105)</f>
        <v>0</v>
      </c>
      <c r="O23" s="815">
        <f>N23*(1+Inputs!N105)</f>
        <v>0</v>
      </c>
      <c r="P23" s="815">
        <f>O23*(1+Inputs!O105)</f>
        <v>0</v>
      </c>
      <c r="Q23" s="815">
        <f>P23*(1+Inputs!P105)</f>
        <v>0</v>
      </c>
      <c r="R23" s="816">
        <f>Q23*(1+Inputs!Q105)</f>
        <v>0</v>
      </c>
      <c r="T23" s="459" t="str">
        <f t="shared" si="9"/>
        <v>-</v>
      </c>
      <c r="U23" s="441" t="str">
        <f t="shared" si="7"/>
        <v>OK</v>
      </c>
      <c r="V23" s="817">
        <f t="shared" si="8"/>
        <v>0</v>
      </c>
    </row>
    <row r="24" spans="3:22">
      <c r="C24" s="812"/>
      <c r="D24" s="246" t="str">
        <f>"Pipeline "&amp;Inputs!E84</f>
        <v>Pipeline NA</v>
      </c>
      <c r="H24" s="292"/>
      <c r="I24" s="292"/>
      <c r="J24" s="292"/>
      <c r="K24" s="1606"/>
      <c r="L24" s="818">
        <f>IF(ytg.approach=Inputs!$C$39,K24*ytg.actual,IF(ytg.approach=Inputs!$C$40,ytg.mgt*M24,M24-K24))</f>
        <v>0</v>
      </c>
      <c r="M24" s="813">
        <f>Inputs!L106</f>
        <v>0</v>
      </c>
      <c r="N24" s="815">
        <f>M24*(1+Inputs!M106)</f>
        <v>0</v>
      </c>
      <c r="O24" s="815">
        <f>N24*(1+Inputs!N106)</f>
        <v>0</v>
      </c>
      <c r="P24" s="815">
        <f>O24*(1+Inputs!O106)</f>
        <v>0</v>
      </c>
      <c r="Q24" s="815">
        <f>P24*(1+Inputs!P106)</f>
        <v>0</v>
      </c>
      <c r="R24" s="816">
        <f>Q24*(1+Inputs!Q106)</f>
        <v>0</v>
      </c>
      <c r="T24" s="459" t="str">
        <f t="shared" si="9"/>
        <v>-</v>
      </c>
      <c r="U24" s="441" t="str">
        <f t="shared" si="7"/>
        <v>OK</v>
      </c>
      <c r="V24" s="817">
        <f t="shared" si="8"/>
        <v>0</v>
      </c>
    </row>
    <row r="25" spans="3:22">
      <c r="C25" s="812"/>
      <c r="D25" s="246" t="str">
        <f>"Pipeline "&amp;Inputs!E85</f>
        <v>Pipeline NA</v>
      </c>
      <c r="H25" s="292"/>
      <c r="I25" s="292"/>
      <c r="J25" s="292"/>
      <c r="K25" s="1606"/>
      <c r="L25" s="818">
        <f>IF(ytg.approach=Inputs!$C$39,K25*ytg.actual,IF(ytg.approach=Inputs!$C$40,ytg.mgt*M25,M25-K25))</f>
        <v>0</v>
      </c>
      <c r="M25" s="813">
        <f>Inputs!L107</f>
        <v>0</v>
      </c>
      <c r="N25" s="815">
        <f>M25*(1+Inputs!M107)</f>
        <v>0</v>
      </c>
      <c r="O25" s="815">
        <f>N25*(1+Inputs!N107)</f>
        <v>0</v>
      </c>
      <c r="P25" s="815">
        <f>O25*(1+Inputs!O107)</f>
        <v>0</v>
      </c>
      <c r="Q25" s="815">
        <f>P25*(1+Inputs!P107)</f>
        <v>0</v>
      </c>
      <c r="R25" s="816">
        <f>Q25*(1+Inputs!Q107)</f>
        <v>0</v>
      </c>
      <c r="T25" s="459" t="str">
        <f t="shared" si="9"/>
        <v>-</v>
      </c>
      <c r="U25" s="441" t="str">
        <f t="shared" si="7"/>
        <v>OK</v>
      </c>
      <c r="V25" s="817">
        <f t="shared" si="8"/>
        <v>0</v>
      </c>
    </row>
    <row r="26" spans="3:22">
      <c r="C26" s="812"/>
      <c r="D26" s="246" t="str">
        <f>"Potential "&amp;Inputs!E87</f>
        <v>Potential Business Events</v>
      </c>
      <c r="H26" s="292"/>
      <c r="I26" s="292"/>
      <c r="J26" s="292"/>
      <c r="K26" s="1606"/>
      <c r="L26" s="818">
        <f>IF(ytg.approach=Inputs!$C$39,K26*ytg.actual,IF(ytg.approach=Inputs!$C$40,ytg.mgt*M26,M26-K26))</f>
        <v>0</v>
      </c>
      <c r="M26" s="813">
        <f>Inputs!L108</f>
        <v>0</v>
      </c>
      <c r="N26" s="815">
        <f>M26*(1+Inputs!M108)</f>
        <v>0</v>
      </c>
      <c r="O26" s="815">
        <f>N26*(1+Inputs!N108)</f>
        <v>0</v>
      </c>
      <c r="P26" s="815">
        <f>O26*(1+Inputs!O108)</f>
        <v>0</v>
      </c>
      <c r="Q26" s="815">
        <f>P26*(1+Inputs!P108)</f>
        <v>0</v>
      </c>
      <c r="R26" s="816">
        <f>Q26*(1+Inputs!Q108)</f>
        <v>0</v>
      </c>
      <c r="T26" s="459" t="str">
        <f t="shared" si="9"/>
        <v>-</v>
      </c>
      <c r="U26" s="441" t="str">
        <f t="shared" si="7"/>
        <v>OK</v>
      </c>
      <c r="V26" s="817">
        <f t="shared" si="8"/>
        <v>0</v>
      </c>
    </row>
    <row r="27" spans="3:22">
      <c r="C27" s="812"/>
      <c r="D27" s="246" t="str">
        <f>"Potential "&amp;Inputs!E88</f>
        <v>Potential NA</v>
      </c>
      <c r="H27" s="292"/>
      <c r="I27" s="292"/>
      <c r="J27" s="292"/>
      <c r="K27" s="1606"/>
      <c r="L27" s="818">
        <f>IF(ytg.approach=Inputs!$C$39,K27*ytg.actual,IF(ytg.approach=Inputs!$C$40,ytg.mgt*M27,M27-K27))</f>
        <v>0</v>
      </c>
      <c r="M27" s="813">
        <f>Inputs!L109</f>
        <v>0</v>
      </c>
      <c r="N27" s="815">
        <f>M27*(1+Inputs!M109)</f>
        <v>0</v>
      </c>
      <c r="O27" s="815">
        <f>N27*(1+Inputs!N109)</f>
        <v>0</v>
      </c>
      <c r="P27" s="815">
        <f>O27*(1+Inputs!O109)</f>
        <v>0</v>
      </c>
      <c r="Q27" s="815">
        <f>P27*(1+Inputs!P109)</f>
        <v>0</v>
      </c>
      <c r="R27" s="816">
        <f>Q27*(1+Inputs!Q109)</f>
        <v>0</v>
      </c>
      <c r="T27" s="459" t="str">
        <f t="shared" si="9"/>
        <v>-</v>
      </c>
      <c r="U27" s="441" t="str">
        <f t="shared" si="7"/>
        <v>OK</v>
      </c>
      <c r="V27" s="817">
        <f t="shared" si="8"/>
        <v>0</v>
      </c>
    </row>
    <row r="28" spans="3:22">
      <c r="C28" s="812"/>
      <c r="D28" s="246" t="str">
        <f>"Potential "&amp;Inputs!E89</f>
        <v>Potential NA</v>
      </c>
      <c r="H28" s="292"/>
      <c r="I28" s="292"/>
      <c r="J28" s="292"/>
      <c r="K28" s="1606"/>
      <c r="L28" s="818">
        <f>IF(ytg.approach=Inputs!$C$39,K28*ytg.actual,IF(ytg.approach=Inputs!$C$40,ytg.mgt*M28,M28-K28))</f>
        <v>0</v>
      </c>
      <c r="M28" s="813">
        <f>Inputs!L110</f>
        <v>0</v>
      </c>
      <c r="N28" s="815">
        <f>M28*(1+Inputs!M110)</f>
        <v>0</v>
      </c>
      <c r="O28" s="815">
        <f>N28*(1+Inputs!N110)</f>
        <v>0</v>
      </c>
      <c r="P28" s="815">
        <f>O28*(1+Inputs!O110)</f>
        <v>0</v>
      </c>
      <c r="Q28" s="815">
        <f>P28*(1+Inputs!P110)</f>
        <v>0</v>
      </c>
      <c r="R28" s="816">
        <f>Q28*(1+Inputs!Q110)</f>
        <v>0</v>
      </c>
      <c r="T28" s="459" t="str">
        <f t="shared" si="9"/>
        <v>-</v>
      </c>
      <c r="U28" s="441" t="str">
        <f t="shared" si="7"/>
        <v>OK</v>
      </c>
      <c r="V28" s="817">
        <f t="shared" si="8"/>
        <v>0</v>
      </c>
    </row>
    <row r="29" spans="3:22">
      <c r="C29" s="812"/>
      <c r="D29" s="246" t="str">
        <f>"Potential "&amp;Inputs!E90</f>
        <v>Potential NA</v>
      </c>
      <c r="H29" s="292"/>
      <c r="I29" s="292"/>
      <c r="J29" s="292"/>
      <c r="K29" s="1606"/>
      <c r="L29" s="818">
        <f>IF(ytg.approach=Inputs!$C$39,K29*ytg.actual,IF(ytg.approach=Inputs!$C$40,ytg.mgt*M29,M29-K29))</f>
        <v>0</v>
      </c>
      <c r="M29" s="813">
        <f>Inputs!L111</f>
        <v>0</v>
      </c>
      <c r="N29" s="815">
        <f>M29*(1+Inputs!M111)</f>
        <v>0</v>
      </c>
      <c r="O29" s="815">
        <f>N29*(1+Inputs!N111)</f>
        <v>0</v>
      </c>
      <c r="P29" s="815">
        <f>O29*(1+Inputs!O111)</f>
        <v>0</v>
      </c>
      <c r="Q29" s="815">
        <f>P29*(1+Inputs!P111)</f>
        <v>0</v>
      </c>
      <c r="R29" s="816">
        <f>Q29*(1+Inputs!Q111)</f>
        <v>0</v>
      </c>
      <c r="T29" s="459" t="str">
        <f t="shared" si="9"/>
        <v>-</v>
      </c>
      <c r="U29" s="441" t="str">
        <f t="shared" si="7"/>
        <v>OK</v>
      </c>
      <c r="V29" s="817">
        <f t="shared" si="8"/>
        <v>0</v>
      </c>
    </row>
    <row r="30" spans="3:22">
      <c r="C30" s="812"/>
      <c r="H30" s="289"/>
      <c r="I30" s="289"/>
      <c r="J30" s="289"/>
      <c r="K30" s="289"/>
      <c r="L30" s="289"/>
      <c r="M30" s="289"/>
      <c r="N30" s="289"/>
      <c r="O30" s="289"/>
      <c r="P30" s="289"/>
      <c r="Q30" s="289"/>
      <c r="R30" s="810"/>
      <c r="T30" s="459" t="str">
        <f t="shared" si="9"/>
        <v>-</v>
      </c>
      <c r="U30" s="441" t="str">
        <f t="shared" si="7"/>
        <v>OK</v>
      </c>
      <c r="V30" s="817">
        <f t="shared" si="8"/>
        <v>0</v>
      </c>
    </row>
    <row r="31" spans="3:22">
      <c r="C31" s="811" t="s">
        <v>1904</v>
      </c>
      <c r="H31" s="289"/>
      <c r="I31" s="289"/>
      <c r="J31" s="289"/>
      <c r="K31" s="289"/>
      <c r="L31" s="289"/>
      <c r="M31" s="289"/>
      <c r="N31" s="289"/>
      <c r="O31" s="289"/>
      <c r="P31" s="289"/>
      <c r="Q31" s="289"/>
      <c r="R31" s="810"/>
      <c r="T31" s="459" t="str">
        <f t="shared" si="9"/>
        <v>-</v>
      </c>
      <c r="U31" s="441" t="str">
        <f t="shared" si="7"/>
        <v>OK</v>
      </c>
      <c r="V31" s="817">
        <f t="shared" si="8"/>
        <v>0</v>
      </c>
    </row>
    <row r="32" spans="3:22">
      <c r="C32" s="812"/>
      <c r="D32" s="246" t="str">
        <f t="shared" ref="D32:D43" si="10">D18</f>
        <v>Existing Aerial Arts</v>
      </c>
      <c r="H32" s="1624">
        <f>Hist.Fin!H19</f>
        <v>0</v>
      </c>
      <c r="I32" s="1624">
        <f>Hist.Fin!I19</f>
        <v>0</v>
      </c>
      <c r="J32" s="1624">
        <f>Hist.Fin!J19</f>
        <v>0</v>
      </c>
      <c r="K32" s="1624">
        <f>Hist.Fin!K19</f>
        <v>0</v>
      </c>
      <c r="L32" s="818">
        <f>IF(ytg.approach=Inputs!$C$39,K32*ytg.actual,IF(ytg.approach=Inputs!$C$40,ytg.mgt*M32,M32-K32))</f>
        <v>0</v>
      </c>
      <c r="M32" s="813">
        <f>Inputs!L114</f>
        <v>0</v>
      </c>
      <c r="N32" s="815">
        <f>M32*(1+Inputs!M114)</f>
        <v>0</v>
      </c>
      <c r="O32" s="815">
        <f>N32*(1+Inputs!N114)</f>
        <v>0</v>
      </c>
      <c r="P32" s="815">
        <f>O32*(1+Inputs!O114)</f>
        <v>0</v>
      </c>
      <c r="Q32" s="815">
        <f>P32*(1+Inputs!P114)</f>
        <v>0</v>
      </c>
      <c r="R32" s="816">
        <f>Q32*(1+Inputs!Q114)</f>
        <v>0</v>
      </c>
      <c r="T32" s="459" t="str">
        <f t="shared" si="9"/>
        <v>-</v>
      </c>
      <c r="U32" s="441" t="str">
        <f t="shared" si="7"/>
        <v>OK</v>
      </c>
      <c r="V32" s="817">
        <f t="shared" si="8"/>
        <v>0</v>
      </c>
    </row>
    <row r="33" spans="3:22">
      <c r="C33" s="812"/>
      <c r="D33" s="246" t="str">
        <f t="shared" si="10"/>
        <v>Existing Pole Dance</v>
      </c>
      <c r="H33" s="1624">
        <f>Hist.Fin!H20</f>
        <v>0</v>
      </c>
      <c r="I33" s="1624">
        <f>Hist.Fin!I20</f>
        <v>0</v>
      </c>
      <c r="J33" s="1624">
        <f>Hist.Fin!J20</f>
        <v>0</v>
      </c>
      <c r="K33" s="1624">
        <f>Hist.Fin!K20</f>
        <v>0</v>
      </c>
      <c r="L33" s="818">
        <f>IF(ytg.approach=Inputs!$C$39,K33*ytg.actual,IF(ytg.approach=Inputs!$C$40,ytg.mgt*M33,M33-K33))</f>
        <v>0</v>
      </c>
      <c r="M33" s="813">
        <f>Inputs!L115</f>
        <v>0</v>
      </c>
      <c r="N33" s="815">
        <f>M33*(1+Inputs!M115)</f>
        <v>0</v>
      </c>
      <c r="O33" s="815">
        <f>N33*(1+Inputs!N115)</f>
        <v>0</v>
      </c>
      <c r="P33" s="815">
        <f>O33*(1+Inputs!O115)</f>
        <v>0</v>
      </c>
      <c r="Q33" s="815">
        <f>P33*(1+Inputs!P115)</f>
        <v>0</v>
      </c>
      <c r="R33" s="816">
        <f>Q33*(1+Inputs!Q115)</f>
        <v>0</v>
      </c>
      <c r="T33" s="459" t="str">
        <f t="shared" si="9"/>
        <v>-</v>
      </c>
      <c r="U33" s="441" t="str">
        <f t="shared" si="7"/>
        <v>OK</v>
      </c>
      <c r="V33" s="817">
        <f t="shared" si="8"/>
        <v>0</v>
      </c>
    </row>
    <row r="34" spans="3:22">
      <c r="C34" s="812"/>
      <c r="D34" s="246" t="str">
        <f t="shared" si="10"/>
        <v>Existing Stretching</v>
      </c>
      <c r="H34" s="1624">
        <f>Hist.Fin!H21</f>
        <v>0</v>
      </c>
      <c r="I34" s="1624">
        <f>Hist.Fin!I21</f>
        <v>0</v>
      </c>
      <c r="J34" s="1624">
        <f>Hist.Fin!J21</f>
        <v>0</v>
      </c>
      <c r="K34" s="1624">
        <f>Hist.Fin!K21</f>
        <v>0</v>
      </c>
      <c r="L34" s="818">
        <f>IF(ytg.approach=Inputs!$C$39,K34*ytg.actual,IF(ytg.approach=Inputs!$C$40,ytg.mgt*M34,M34-K34))</f>
        <v>0</v>
      </c>
      <c r="M34" s="813">
        <f>Inputs!L116</f>
        <v>0</v>
      </c>
      <c r="N34" s="815">
        <f>M34*(1+Inputs!M116)</f>
        <v>0</v>
      </c>
      <c r="O34" s="815">
        <f>N34*(1+Inputs!N116)</f>
        <v>0</v>
      </c>
      <c r="P34" s="815">
        <f>O34*(1+Inputs!O116)</f>
        <v>0</v>
      </c>
      <c r="Q34" s="815">
        <f>P34*(1+Inputs!P116)</f>
        <v>0</v>
      </c>
      <c r="R34" s="816">
        <f>Q34*(1+Inputs!Q116)</f>
        <v>0</v>
      </c>
      <c r="T34" s="459" t="str">
        <f t="shared" si="9"/>
        <v>-</v>
      </c>
      <c r="U34" s="441" t="str">
        <f t="shared" si="7"/>
        <v>OK</v>
      </c>
      <c r="V34" s="817">
        <f t="shared" si="8"/>
        <v>0</v>
      </c>
    </row>
    <row r="35" spans="3:22">
      <c r="C35" s="812"/>
      <c r="D35" s="246" t="str">
        <f t="shared" si="10"/>
        <v>Existing NA</v>
      </c>
      <c r="H35" s="1624">
        <f>Hist.Fin!H22</f>
        <v>0</v>
      </c>
      <c r="I35" s="1624">
        <f>Hist.Fin!I22</f>
        <v>0</v>
      </c>
      <c r="J35" s="1624">
        <f>Hist.Fin!J22</f>
        <v>0</v>
      </c>
      <c r="K35" s="1624">
        <f>Hist.Fin!K22</f>
        <v>0</v>
      </c>
      <c r="L35" s="818">
        <f>IF(ytg.approach=Inputs!$C$39,K35*ytg.actual,IF(ytg.approach=Inputs!$C$40,ytg.mgt*M35,M35-K35))</f>
        <v>0</v>
      </c>
      <c r="M35" s="813">
        <f>Inputs!L117</f>
        <v>0</v>
      </c>
      <c r="N35" s="815">
        <f>M35*(1+Inputs!M117)</f>
        <v>0</v>
      </c>
      <c r="O35" s="815">
        <f>N35*(1+Inputs!N117)</f>
        <v>0</v>
      </c>
      <c r="P35" s="815">
        <f>O35*(1+Inputs!O117)</f>
        <v>0</v>
      </c>
      <c r="Q35" s="815">
        <f>P35*(1+Inputs!P117)</f>
        <v>0</v>
      </c>
      <c r="R35" s="816">
        <f>Q35*(1+Inputs!Q117)</f>
        <v>0</v>
      </c>
      <c r="T35" s="459" t="str">
        <f t="shared" si="9"/>
        <v>-</v>
      </c>
      <c r="U35" s="441" t="str">
        <f t="shared" si="7"/>
        <v>OK</v>
      </c>
      <c r="V35" s="817">
        <f t="shared" si="8"/>
        <v>0</v>
      </c>
    </row>
    <row r="36" spans="3:22">
      <c r="C36" s="812"/>
      <c r="D36" s="246" t="str">
        <f t="shared" si="10"/>
        <v>Pipeline Corporate Clients</v>
      </c>
      <c r="H36" s="292"/>
      <c r="I36" s="292"/>
      <c r="J36" s="292"/>
      <c r="K36" s="1606"/>
      <c r="L36" s="818">
        <f>IF(ytg.approach=Inputs!$C$39,K36*ytg.actual,IF(ytg.approach=Inputs!$C$40,ytg.mgt*M36,M36-K36))</f>
        <v>0</v>
      </c>
      <c r="M36" s="813">
        <f>Inputs!L118</f>
        <v>0</v>
      </c>
      <c r="N36" s="815">
        <f>M36*(1+Inputs!M118)</f>
        <v>0</v>
      </c>
      <c r="O36" s="815">
        <f>N36*(1+Inputs!N118)</f>
        <v>0</v>
      </c>
      <c r="P36" s="815">
        <f>O36*(1+Inputs!O118)</f>
        <v>0</v>
      </c>
      <c r="Q36" s="815">
        <f>P36*(1+Inputs!P118)</f>
        <v>0</v>
      </c>
      <c r="R36" s="816">
        <f>Q36*(1+Inputs!Q118)</f>
        <v>0</v>
      </c>
      <c r="T36" s="459" t="str">
        <f t="shared" si="9"/>
        <v>-</v>
      </c>
      <c r="U36" s="441" t="str">
        <f t="shared" si="7"/>
        <v>OK</v>
      </c>
      <c r="V36" s="817">
        <f t="shared" si="8"/>
        <v>0</v>
      </c>
    </row>
    <row r="37" spans="3:22">
      <c r="C37" s="812"/>
      <c r="D37" s="246" t="str">
        <f t="shared" si="10"/>
        <v>Pipeline NA</v>
      </c>
      <c r="H37" s="292"/>
      <c r="I37" s="292"/>
      <c r="J37" s="292"/>
      <c r="K37" s="1606"/>
      <c r="L37" s="818">
        <f>IF(ytg.approach=Inputs!$C$39,K37*ytg.actual,IF(ytg.approach=Inputs!$C$40,ytg.mgt*M37,M37-K37))</f>
        <v>0</v>
      </c>
      <c r="M37" s="813">
        <f>Inputs!L119</f>
        <v>0</v>
      </c>
      <c r="N37" s="815">
        <f>M37*(1+Inputs!M119)</f>
        <v>0</v>
      </c>
      <c r="O37" s="815">
        <f>N37*(1+Inputs!N119)</f>
        <v>0</v>
      </c>
      <c r="P37" s="815">
        <f>O37*(1+Inputs!O119)</f>
        <v>0</v>
      </c>
      <c r="Q37" s="815">
        <f>P37*(1+Inputs!P119)</f>
        <v>0</v>
      </c>
      <c r="R37" s="816">
        <f>Q37*(1+Inputs!Q119)</f>
        <v>0</v>
      </c>
      <c r="T37" s="459" t="str">
        <f t="shared" si="9"/>
        <v>-</v>
      </c>
      <c r="U37" s="441" t="str">
        <f t="shared" si="7"/>
        <v>OK</v>
      </c>
      <c r="V37" s="817">
        <f t="shared" si="8"/>
        <v>0</v>
      </c>
    </row>
    <row r="38" spans="3:22">
      <c r="C38" s="812"/>
      <c r="D38" s="246" t="str">
        <f t="shared" si="10"/>
        <v>Pipeline NA</v>
      </c>
      <c r="H38" s="292"/>
      <c r="I38" s="292"/>
      <c r="J38" s="292"/>
      <c r="K38" s="1606"/>
      <c r="L38" s="818">
        <f>IF(ytg.approach=Inputs!$C$39,K38*ytg.actual,IF(ytg.approach=Inputs!$C$40,ytg.mgt*M38,M38-K38))</f>
        <v>0</v>
      </c>
      <c r="M38" s="813">
        <f>Inputs!L120</f>
        <v>0</v>
      </c>
      <c r="N38" s="815">
        <f>M38*(1+Inputs!M120)</f>
        <v>0</v>
      </c>
      <c r="O38" s="815">
        <f>N38*(1+Inputs!N120)</f>
        <v>0</v>
      </c>
      <c r="P38" s="815">
        <f>O38*(1+Inputs!O120)</f>
        <v>0</v>
      </c>
      <c r="Q38" s="815">
        <f>P38*(1+Inputs!P120)</f>
        <v>0</v>
      </c>
      <c r="R38" s="816">
        <f>Q38*(1+Inputs!Q120)</f>
        <v>0</v>
      </c>
      <c r="T38" s="459" t="str">
        <f t="shared" si="9"/>
        <v>-</v>
      </c>
      <c r="U38" s="441" t="str">
        <f t="shared" si="7"/>
        <v>OK</v>
      </c>
      <c r="V38" s="817">
        <f t="shared" si="8"/>
        <v>0</v>
      </c>
    </row>
    <row r="39" spans="3:22">
      <c r="C39" s="812"/>
      <c r="D39" s="246" t="str">
        <f t="shared" si="10"/>
        <v>Pipeline NA</v>
      </c>
      <c r="H39" s="292"/>
      <c r="I39" s="292"/>
      <c r="J39" s="292"/>
      <c r="K39" s="1606"/>
      <c r="L39" s="818">
        <f>IF(ytg.approach=Inputs!$C$39,K39*ytg.actual,IF(ytg.approach=Inputs!$C$40,ytg.mgt*M39,M39-K39))</f>
        <v>0</v>
      </c>
      <c r="M39" s="813">
        <f>Inputs!L121</f>
        <v>0</v>
      </c>
      <c r="N39" s="815">
        <f>M39*(1+Inputs!M121)</f>
        <v>0</v>
      </c>
      <c r="O39" s="815">
        <f>N39*(1+Inputs!N121)</f>
        <v>0</v>
      </c>
      <c r="P39" s="815">
        <f>O39*(1+Inputs!O121)</f>
        <v>0</v>
      </c>
      <c r="Q39" s="815">
        <f>P39*(1+Inputs!P121)</f>
        <v>0</v>
      </c>
      <c r="R39" s="816">
        <f>Q39*(1+Inputs!Q121)</f>
        <v>0</v>
      </c>
      <c r="T39" s="459" t="str">
        <f t="shared" si="9"/>
        <v>-</v>
      </c>
      <c r="U39" s="441" t="str">
        <f t="shared" si="7"/>
        <v>OK</v>
      </c>
      <c r="V39" s="817">
        <f t="shared" si="8"/>
        <v>0</v>
      </c>
    </row>
    <row r="40" spans="3:22">
      <c r="C40" s="812"/>
      <c r="D40" s="246" t="str">
        <f t="shared" si="10"/>
        <v>Potential Business Events</v>
      </c>
      <c r="H40" s="292"/>
      <c r="I40" s="292"/>
      <c r="J40" s="292"/>
      <c r="K40" s="1606"/>
      <c r="L40" s="818">
        <f>IF(ytg.approach=Inputs!$C$39,K40*ytg.actual,IF(ytg.approach=Inputs!$C$40,ytg.mgt*M40,M40-K40))</f>
        <v>0</v>
      </c>
      <c r="M40" s="813">
        <f>Inputs!L122</f>
        <v>0</v>
      </c>
      <c r="N40" s="815">
        <f>M40*(1+Inputs!M122)</f>
        <v>0</v>
      </c>
      <c r="O40" s="815">
        <f>N40*(1+Inputs!N122)</f>
        <v>0</v>
      </c>
      <c r="P40" s="815">
        <f>O40*(1+Inputs!O122)</f>
        <v>0</v>
      </c>
      <c r="Q40" s="815">
        <f>P40*(1+Inputs!P122)</f>
        <v>0</v>
      </c>
      <c r="R40" s="816">
        <f>Q40*(1+Inputs!Q122)</f>
        <v>0</v>
      </c>
      <c r="T40" s="459" t="str">
        <f t="shared" si="9"/>
        <v>-</v>
      </c>
      <c r="U40" s="441" t="str">
        <f t="shared" si="7"/>
        <v>OK</v>
      </c>
      <c r="V40" s="817">
        <f t="shared" si="8"/>
        <v>0</v>
      </c>
    </row>
    <row r="41" spans="3:22">
      <c r="C41" s="812"/>
      <c r="D41" s="246" t="str">
        <f t="shared" si="10"/>
        <v>Potential NA</v>
      </c>
      <c r="H41" s="292"/>
      <c r="I41" s="292"/>
      <c r="J41" s="292"/>
      <c r="K41" s="1606"/>
      <c r="L41" s="818">
        <f>IF(ytg.approach=Inputs!$C$39,K41*ytg.actual,IF(ytg.approach=Inputs!$C$40,ytg.mgt*M41,M41-K41))</f>
        <v>0</v>
      </c>
      <c r="M41" s="813">
        <f>Inputs!L123</f>
        <v>0</v>
      </c>
      <c r="N41" s="815">
        <f>M41*(1+Inputs!M123)</f>
        <v>0</v>
      </c>
      <c r="O41" s="815">
        <f>N41*(1+Inputs!N123)</f>
        <v>0</v>
      </c>
      <c r="P41" s="815">
        <f>O41*(1+Inputs!O123)</f>
        <v>0</v>
      </c>
      <c r="Q41" s="815">
        <f>P41*(1+Inputs!P123)</f>
        <v>0</v>
      </c>
      <c r="R41" s="816">
        <f>Q41*(1+Inputs!Q123)</f>
        <v>0</v>
      </c>
      <c r="T41" s="459" t="str">
        <f t="shared" si="9"/>
        <v>-</v>
      </c>
      <c r="U41" s="441" t="str">
        <f t="shared" si="7"/>
        <v>OK</v>
      </c>
      <c r="V41" s="817">
        <f t="shared" si="8"/>
        <v>0</v>
      </c>
    </row>
    <row r="42" spans="3:22">
      <c r="C42" s="812"/>
      <c r="D42" s="246" t="str">
        <f t="shared" si="10"/>
        <v>Potential NA</v>
      </c>
      <c r="H42" s="292"/>
      <c r="I42" s="292"/>
      <c r="J42" s="292"/>
      <c r="K42" s="1606"/>
      <c r="L42" s="818">
        <f>IF(ytg.approach=Inputs!$C$39,K42*ytg.actual,IF(ytg.approach=Inputs!$C$40,ytg.mgt*M42,M42-K42))</f>
        <v>0</v>
      </c>
      <c r="M42" s="813">
        <f>Inputs!L124</f>
        <v>0</v>
      </c>
      <c r="N42" s="815">
        <f>M42*(1+Inputs!M124)</f>
        <v>0</v>
      </c>
      <c r="O42" s="815">
        <f>N42*(1+Inputs!N124)</f>
        <v>0</v>
      </c>
      <c r="P42" s="815">
        <f>O42*(1+Inputs!O124)</f>
        <v>0</v>
      </c>
      <c r="Q42" s="815">
        <f>P42*(1+Inputs!P124)</f>
        <v>0</v>
      </c>
      <c r="R42" s="816">
        <f>Q42*(1+Inputs!Q124)</f>
        <v>0</v>
      </c>
      <c r="T42" s="459" t="str">
        <f t="shared" si="9"/>
        <v>-</v>
      </c>
      <c r="U42" s="441" t="str">
        <f t="shared" si="7"/>
        <v>OK</v>
      </c>
      <c r="V42" s="817">
        <f t="shared" si="8"/>
        <v>0</v>
      </c>
    </row>
    <row r="43" spans="3:22">
      <c r="C43" s="812"/>
      <c r="D43" s="246" t="str">
        <f t="shared" si="10"/>
        <v>Potential NA</v>
      </c>
      <c r="H43" s="292"/>
      <c r="I43" s="292"/>
      <c r="J43" s="292"/>
      <c r="K43" s="1606"/>
      <c r="L43" s="818">
        <f>IF(ytg.approach=Inputs!$C$39,K43*ytg.actual,IF(ytg.approach=Inputs!$C$40,ytg.mgt*M43,M43-K43))</f>
        <v>0</v>
      </c>
      <c r="M43" s="813">
        <f>Inputs!L125</f>
        <v>0</v>
      </c>
      <c r="N43" s="815">
        <f>M43*(1+Inputs!M125)</f>
        <v>0</v>
      </c>
      <c r="O43" s="815">
        <f>N43*(1+Inputs!N125)</f>
        <v>0</v>
      </c>
      <c r="P43" s="815">
        <f>O43*(1+Inputs!O125)</f>
        <v>0</v>
      </c>
      <c r="Q43" s="815">
        <f>P43*(1+Inputs!P125)</f>
        <v>0</v>
      </c>
      <c r="R43" s="816">
        <f>Q43*(1+Inputs!Q125)</f>
        <v>0</v>
      </c>
      <c r="T43" s="459" t="str">
        <f t="shared" si="9"/>
        <v>-</v>
      </c>
      <c r="U43" s="441" t="str">
        <f t="shared" si="7"/>
        <v>OK</v>
      </c>
      <c r="V43" s="817">
        <f t="shared" si="8"/>
        <v>0</v>
      </c>
    </row>
    <row r="44" spans="3:22">
      <c r="C44" s="812"/>
      <c r="H44" s="289"/>
      <c r="I44" s="289"/>
      <c r="J44" s="289"/>
      <c r="K44" s="289"/>
      <c r="L44" s="289"/>
      <c r="M44" s="289"/>
      <c r="N44" s="289"/>
      <c r="O44" s="289"/>
      <c r="P44" s="289"/>
      <c r="Q44" s="289"/>
      <c r="R44" s="810"/>
      <c r="T44" s="459" t="str">
        <f t="shared" si="9"/>
        <v>-</v>
      </c>
      <c r="U44" s="441" t="str">
        <f t="shared" si="7"/>
        <v>OK</v>
      </c>
      <c r="V44" s="817">
        <f t="shared" si="8"/>
        <v>0</v>
      </c>
    </row>
    <row r="45" spans="3:22">
      <c r="C45" s="808" t="s">
        <v>1921</v>
      </c>
      <c r="D45" s="809"/>
      <c r="E45" s="809"/>
      <c r="F45" s="809"/>
      <c r="G45" s="809"/>
      <c r="H45" s="819"/>
      <c r="I45" s="819"/>
      <c r="J45" s="819"/>
      <c r="K45" s="819"/>
      <c r="L45" s="819"/>
      <c r="M45" s="819"/>
      <c r="N45" s="819"/>
      <c r="O45" s="819"/>
      <c r="P45" s="819"/>
      <c r="Q45" s="819"/>
      <c r="R45" s="820"/>
      <c r="T45" s="459" t="str">
        <f t="shared" si="9"/>
        <v>-</v>
      </c>
      <c r="U45" s="441" t="str">
        <f t="shared" si="7"/>
        <v>OK</v>
      </c>
      <c r="V45" s="817">
        <f t="shared" si="8"/>
        <v>0</v>
      </c>
    </row>
    <row r="46" spans="3:22">
      <c r="C46" s="821" t="str">
        <f>"Revenue "&amp;Inputs!E77</f>
        <v>Revenue Aerial Arts</v>
      </c>
      <c r="D46" s="268"/>
      <c r="E46" s="268"/>
      <c r="F46" s="268"/>
      <c r="G46" s="268"/>
      <c r="H46" s="1625">
        <f>H18*H32</f>
        <v>0</v>
      </c>
      <c r="I46" s="1625">
        <f>I18*I32</f>
        <v>0</v>
      </c>
      <c r="J46" s="1625">
        <f t="shared" ref="J46:R46" si="11">J18*J32</f>
        <v>0</v>
      </c>
      <c r="K46" s="1625">
        <f>K18*K32</f>
        <v>0</v>
      </c>
      <c r="L46" s="823">
        <f>IF(ytg.approach=Inputs!$C$39,K46*ytg.actual,IF(ytg.approach=Inputs!$C$40,ytg.mgt*M46,M46-K46))</f>
        <v>0</v>
      </c>
      <c r="M46" s="822">
        <f t="shared" si="11"/>
        <v>0</v>
      </c>
      <c r="N46" s="822">
        <f t="shared" si="11"/>
        <v>0</v>
      </c>
      <c r="O46" s="822">
        <f t="shared" si="11"/>
        <v>0</v>
      </c>
      <c r="P46" s="822">
        <f t="shared" si="11"/>
        <v>0</v>
      </c>
      <c r="Q46" s="822">
        <f t="shared" si="11"/>
        <v>0</v>
      </c>
      <c r="R46" s="824">
        <f t="shared" si="11"/>
        <v>0</v>
      </c>
      <c r="T46" s="459" t="str">
        <f t="shared" si="9"/>
        <v>-</v>
      </c>
      <c r="U46" s="441" t="str">
        <f t="shared" si="7"/>
        <v>OK</v>
      </c>
      <c r="V46" s="817">
        <f t="shared" si="8"/>
        <v>0</v>
      </c>
    </row>
    <row r="47" spans="3:22">
      <c r="C47" s="821" t="str">
        <f>"Revenue "&amp;Inputs!E78</f>
        <v>Revenue Pole Dance</v>
      </c>
      <c r="D47" s="268"/>
      <c r="E47" s="268"/>
      <c r="F47" s="268"/>
      <c r="G47" s="268"/>
      <c r="H47" s="1625">
        <f t="shared" ref="H47" si="12">H19*H33</f>
        <v>0</v>
      </c>
      <c r="I47" s="1625">
        <f t="shared" ref="I47:R47" si="13">I19*I33</f>
        <v>0</v>
      </c>
      <c r="J47" s="1625">
        <f t="shared" si="13"/>
        <v>0</v>
      </c>
      <c r="K47" s="1625">
        <f>K19*K33</f>
        <v>0</v>
      </c>
      <c r="L47" s="823">
        <f>IF(ytg.approach=Inputs!$C$39,K47*ytg.actual,IF(ytg.approach=Inputs!$C$40,ytg.mgt*M47,M47-K47))</f>
        <v>0</v>
      </c>
      <c r="M47" s="822">
        <f t="shared" si="13"/>
        <v>0</v>
      </c>
      <c r="N47" s="822">
        <f t="shared" si="13"/>
        <v>0</v>
      </c>
      <c r="O47" s="822">
        <f t="shared" si="13"/>
        <v>0</v>
      </c>
      <c r="P47" s="822">
        <f t="shared" si="13"/>
        <v>0</v>
      </c>
      <c r="Q47" s="822">
        <f t="shared" si="13"/>
        <v>0</v>
      </c>
      <c r="R47" s="824">
        <f t="shared" si="13"/>
        <v>0</v>
      </c>
      <c r="T47" s="459" t="str">
        <f t="shared" si="9"/>
        <v>-</v>
      </c>
      <c r="U47" s="441" t="str">
        <f t="shared" si="7"/>
        <v>OK</v>
      </c>
      <c r="V47" s="817">
        <f t="shared" si="8"/>
        <v>0</v>
      </c>
    </row>
    <row r="48" spans="3:22">
      <c r="C48" s="821" t="str">
        <f>"Revenue "&amp;Inputs!E79</f>
        <v>Revenue Stretching</v>
      </c>
      <c r="D48" s="268"/>
      <c r="E48" s="268"/>
      <c r="F48" s="268"/>
      <c r="G48" s="268"/>
      <c r="H48" s="1625">
        <f t="shared" ref="H48" si="14">H20*H34</f>
        <v>0</v>
      </c>
      <c r="I48" s="1625">
        <f t="shared" ref="I48:R48" si="15">I20*I34</f>
        <v>0</v>
      </c>
      <c r="J48" s="1625">
        <f t="shared" si="15"/>
        <v>0</v>
      </c>
      <c r="K48" s="1625">
        <f>K20*K34</f>
        <v>0</v>
      </c>
      <c r="L48" s="823">
        <f>IF(ytg.approach=Inputs!$C$39,K48*ytg.actual,IF(ytg.approach=Inputs!$C$40,ytg.mgt*M48,M48-K48))</f>
        <v>0</v>
      </c>
      <c r="M48" s="822">
        <f t="shared" si="15"/>
        <v>0</v>
      </c>
      <c r="N48" s="822">
        <f t="shared" si="15"/>
        <v>0</v>
      </c>
      <c r="O48" s="822">
        <f t="shared" si="15"/>
        <v>0</v>
      </c>
      <c r="P48" s="822">
        <f t="shared" si="15"/>
        <v>0</v>
      </c>
      <c r="Q48" s="822">
        <f t="shared" si="15"/>
        <v>0</v>
      </c>
      <c r="R48" s="824">
        <f t="shared" si="15"/>
        <v>0</v>
      </c>
      <c r="T48" s="459" t="str">
        <f t="shared" si="9"/>
        <v>-</v>
      </c>
      <c r="U48" s="441" t="str">
        <f t="shared" si="7"/>
        <v>OK</v>
      </c>
      <c r="V48" s="817">
        <f t="shared" si="8"/>
        <v>0</v>
      </c>
    </row>
    <row r="49" spans="3:22">
      <c r="C49" s="821" t="str">
        <f>"Revenue "&amp;Inputs!E80</f>
        <v>Revenue NA</v>
      </c>
      <c r="D49" s="268"/>
      <c r="E49" s="268"/>
      <c r="F49" s="268"/>
      <c r="G49" s="268"/>
      <c r="H49" s="1625">
        <f>H21*H35</f>
        <v>0</v>
      </c>
      <c r="I49" s="1625">
        <f>I21*I35</f>
        <v>0</v>
      </c>
      <c r="J49" s="1625">
        <f t="shared" ref="J49:R49" si="16">J21*J35</f>
        <v>0</v>
      </c>
      <c r="K49" s="1625">
        <f>K21*K35</f>
        <v>0</v>
      </c>
      <c r="L49" s="823">
        <f>IF(ytg.approach=Inputs!$C$39,K49*ytg.actual,IF(ytg.approach=Inputs!$C$40,ytg.mgt*M49,M49-K49))</f>
        <v>0</v>
      </c>
      <c r="M49" s="822">
        <f t="shared" si="16"/>
        <v>0</v>
      </c>
      <c r="N49" s="822">
        <f t="shared" si="16"/>
        <v>0</v>
      </c>
      <c r="O49" s="822">
        <f t="shared" si="16"/>
        <v>0</v>
      </c>
      <c r="P49" s="822">
        <f t="shared" si="16"/>
        <v>0</v>
      </c>
      <c r="Q49" s="822">
        <f t="shared" si="16"/>
        <v>0</v>
      </c>
      <c r="R49" s="824">
        <f t="shared" si="16"/>
        <v>0</v>
      </c>
      <c r="T49" s="459" t="str">
        <f t="shared" si="9"/>
        <v>-</v>
      </c>
      <c r="U49" s="441" t="str">
        <f t="shared" si="7"/>
        <v>OK</v>
      </c>
      <c r="V49" s="817">
        <f t="shared" si="8"/>
        <v>0</v>
      </c>
    </row>
    <row r="50" spans="3:22">
      <c r="C50" s="825" t="s">
        <v>1922</v>
      </c>
      <c r="D50" s="826"/>
      <c r="E50" s="826"/>
      <c r="F50" s="826"/>
      <c r="G50" s="826"/>
      <c r="H50" s="827">
        <f>SUM(H46:H49)</f>
        <v>0</v>
      </c>
      <c r="I50" s="827">
        <f>SUM(I46:I49)</f>
        <v>0</v>
      </c>
      <c r="J50" s="827">
        <f t="shared" ref="J50:R50" si="17">SUM(J46:J49)</f>
        <v>0</v>
      </c>
      <c r="K50" s="827">
        <f>SUM(K46:K49)</f>
        <v>0</v>
      </c>
      <c r="L50" s="827">
        <f>SUM(L46:L49)</f>
        <v>0</v>
      </c>
      <c r="M50" s="827">
        <f t="shared" si="17"/>
        <v>0</v>
      </c>
      <c r="N50" s="827">
        <f t="shared" si="17"/>
        <v>0</v>
      </c>
      <c r="O50" s="827">
        <f t="shared" si="17"/>
        <v>0</v>
      </c>
      <c r="P50" s="827">
        <f t="shared" si="17"/>
        <v>0</v>
      </c>
      <c r="Q50" s="827">
        <f t="shared" si="17"/>
        <v>0</v>
      </c>
      <c r="R50" s="828">
        <f t="shared" si="17"/>
        <v>0</v>
      </c>
      <c r="T50" s="459" t="str">
        <f t="shared" si="9"/>
        <v>-</v>
      </c>
      <c r="U50" s="441" t="str">
        <f t="shared" ref="U50:U97" si="18">IFERROR(IF(K50+L50=M50,"OK","VARIANCE"),"")</f>
        <v>OK</v>
      </c>
      <c r="V50" s="817">
        <f t="shared" ref="V50:V97" si="19">IFERROR((K50/ytd.months)*12,"NA")</f>
        <v>0</v>
      </c>
    </row>
    <row r="51" spans="3:22">
      <c r="C51" s="829" t="s">
        <v>1923</v>
      </c>
      <c r="D51" s="830"/>
      <c r="E51" s="830"/>
      <c r="F51" s="830"/>
      <c r="G51" s="830"/>
      <c r="H51" s="831"/>
      <c r="I51" s="831"/>
      <c r="J51" s="832" t="e">
        <f>J50/I50-1</f>
        <v>#DIV/0!</v>
      </c>
      <c r="K51" s="832" t="e">
        <f>K50/J50-1</f>
        <v>#DIV/0!</v>
      </c>
      <c r="L51" s="832" t="e">
        <f>L50/K50-1</f>
        <v>#DIV/0!</v>
      </c>
      <c r="M51" s="832" t="e">
        <f>M50/J50-1</f>
        <v>#DIV/0!</v>
      </c>
      <c r="N51" s="832" t="e">
        <f>N50/M50-1</f>
        <v>#DIV/0!</v>
      </c>
      <c r="O51" s="832" t="e">
        <f>O50/N50-1</f>
        <v>#DIV/0!</v>
      </c>
      <c r="P51" s="832" t="e">
        <f>P50/O50-1</f>
        <v>#DIV/0!</v>
      </c>
      <c r="Q51" s="832" t="e">
        <f>Q50/P50-1</f>
        <v>#DIV/0!</v>
      </c>
      <c r="R51" s="833" t="e">
        <f>R50/Q50-1</f>
        <v>#DIV/0!</v>
      </c>
      <c r="T51" s="459" t="str">
        <f t="shared" si="9"/>
        <v>-</v>
      </c>
      <c r="U51" s="441" t="str">
        <f t="shared" si="18"/>
        <v/>
      </c>
      <c r="V51" s="817" t="str">
        <f t="shared" si="19"/>
        <v>NA</v>
      </c>
    </row>
    <row r="52" spans="3:22">
      <c r="C52" s="821"/>
      <c r="D52" s="268"/>
      <c r="E52" s="268"/>
      <c r="F52" s="268"/>
      <c r="G52" s="268"/>
      <c r="H52" s="822"/>
      <c r="I52" s="822"/>
      <c r="J52" s="822"/>
      <c r="K52" s="822"/>
      <c r="L52" s="822"/>
      <c r="M52" s="822"/>
      <c r="N52" s="822"/>
      <c r="O52" s="822"/>
      <c r="P52" s="822"/>
      <c r="Q52" s="822"/>
      <c r="R52" s="824"/>
      <c r="T52" s="459" t="str">
        <f t="shared" si="9"/>
        <v>-</v>
      </c>
      <c r="U52" s="441" t="str">
        <f t="shared" si="18"/>
        <v>OK</v>
      </c>
      <c r="V52" s="817">
        <f t="shared" si="19"/>
        <v>0</v>
      </c>
    </row>
    <row r="53" spans="3:22">
      <c r="C53" s="808" t="s">
        <v>1934</v>
      </c>
      <c r="D53" s="809"/>
      <c r="E53" s="809"/>
      <c r="F53" s="809"/>
      <c r="G53" s="809"/>
      <c r="H53" s="822"/>
      <c r="I53" s="822"/>
      <c r="J53" s="822"/>
      <c r="K53" s="822"/>
      <c r="L53" s="822"/>
      <c r="M53" s="822"/>
      <c r="N53" s="822"/>
      <c r="O53" s="822"/>
      <c r="P53" s="822"/>
      <c r="Q53" s="822"/>
      <c r="R53" s="824"/>
      <c r="T53" s="459" t="str">
        <f t="shared" si="9"/>
        <v>-</v>
      </c>
      <c r="U53" s="441" t="str">
        <f t="shared" si="18"/>
        <v>OK</v>
      </c>
      <c r="V53" s="817">
        <f t="shared" si="19"/>
        <v>0</v>
      </c>
    </row>
    <row r="54" spans="3:22">
      <c r="C54" s="821" t="str">
        <f>"Pipeline "&amp;Inputs!E82</f>
        <v>Pipeline Corporate Clients</v>
      </c>
      <c r="D54" s="268"/>
      <c r="E54" s="268"/>
      <c r="F54" s="268"/>
      <c r="G54" s="268"/>
      <c r="H54" s="822"/>
      <c r="I54" s="822"/>
      <c r="J54" s="822"/>
      <c r="K54" s="822"/>
      <c r="L54" s="822">
        <f t="shared" ref="L54:M57" si="20">L22*L36</f>
        <v>0</v>
      </c>
      <c r="M54" s="822">
        <f t="shared" si="20"/>
        <v>0</v>
      </c>
      <c r="N54" s="822">
        <f t="shared" ref="N54:R57" si="21">N22*N36</f>
        <v>0</v>
      </c>
      <c r="O54" s="822">
        <f t="shared" si="21"/>
        <v>0</v>
      </c>
      <c r="P54" s="822">
        <f t="shared" si="21"/>
        <v>0</v>
      </c>
      <c r="Q54" s="822">
        <f t="shared" si="21"/>
        <v>0</v>
      </c>
      <c r="R54" s="824">
        <f t="shared" si="21"/>
        <v>0</v>
      </c>
      <c r="T54" s="459" t="str">
        <f t="shared" si="9"/>
        <v>-</v>
      </c>
      <c r="U54" s="441" t="str">
        <f t="shared" si="18"/>
        <v>OK</v>
      </c>
      <c r="V54" s="817">
        <f t="shared" si="19"/>
        <v>0</v>
      </c>
    </row>
    <row r="55" spans="3:22">
      <c r="C55" s="821" t="str">
        <f>"Pipeline "&amp;Inputs!E83</f>
        <v>Pipeline NA</v>
      </c>
      <c r="D55" s="268"/>
      <c r="E55" s="268"/>
      <c r="F55" s="268"/>
      <c r="G55" s="268"/>
      <c r="H55" s="822"/>
      <c r="I55" s="822"/>
      <c r="J55" s="822"/>
      <c r="K55" s="822"/>
      <c r="L55" s="822">
        <f t="shared" si="20"/>
        <v>0</v>
      </c>
      <c r="M55" s="822">
        <f t="shared" si="20"/>
        <v>0</v>
      </c>
      <c r="N55" s="822">
        <f t="shared" si="21"/>
        <v>0</v>
      </c>
      <c r="O55" s="822">
        <f t="shared" si="21"/>
        <v>0</v>
      </c>
      <c r="P55" s="822">
        <f t="shared" si="21"/>
        <v>0</v>
      </c>
      <c r="Q55" s="822">
        <f t="shared" si="21"/>
        <v>0</v>
      </c>
      <c r="R55" s="824">
        <f t="shared" si="21"/>
        <v>0</v>
      </c>
      <c r="T55" s="459" t="str">
        <f t="shared" si="9"/>
        <v>-</v>
      </c>
      <c r="U55" s="441" t="str">
        <f t="shared" si="18"/>
        <v>OK</v>
      </c>
      <c r="V55" s="817">
        <f t="shared" si="19"/>
        <v>0</v>
      </c>
    </row>
    <row r="56" spans="3:22">
      <c r="C56" s="821" t="str">
        <f>"Pipeline "&amp;Inputs!E84</f>
        <v>Pipeline NA</v>
      </c>
      <c r="D56" s="268"/>
      <c r="E56" s="268"/>
      <c r="F56" s="268"/>
      <c r="G56" s="268"/>
      <c r="H56" s="822"/>
      <c r="I56" s="822"/>
      <c r="J56" s="822"/>
      <c r="K56" s="822"/>
      <c r="L56" s="822">
        <f t="shared" si="20"/>
        <v>0</v>
      </c>
      <c r="M56" s="822">
        <f t="shared" si="20"/>
        <v>0</v>
      </c>
      <c r="N56" s="822">
        <f t="shared" si="21"/>
        <v>0</v>
      </c>
      <c r="O56" s="822">
        <f t="shared" si="21"/>
        <v>0</v>
      </c>
      <c r="P56" s="822">
        <f t="shared" si="21"/>
        <v>0</v>
      </c>
      <c r="Q56" s="822">
        <f t="shared" si="21"/>
        <v>0</v>
      </c>
      <c r="R56" s="824">
        <f t="shared" si="21"/>
        <v>0</v>
      </c>
      <c r="T56" s="459" t="str">
        <f t="shared" si="9"/>
        <v>-</v>
      </c>
      <c r="U56" s="441" t="str">
        <f t="shared" si="18"/>
        <v>OK</v>
      </c>
      <c r="V56" s="817">
        <f t="shared" si="19"/>
        <v>0</v>
      </c>
    </row>
    <row r="57" spans="3:22">
      <c r="C57" s="821" t="str">
        <f>"Pipeline "&amp;Inputs!E85</f>
        <v>Pipeline NA</v>
      </c>
      <c r="D57" s="268"/>
      <c r="E57" s="268"/>
      <c r="F57" s="268"/>
      <c r="G57" s="822"/>
      <c r="H57" s="822"/>
      <c r="I57" s="822"/>
      <c r="J57" s="822"/>
      <c r="K57" s="822"/>
      <c r="L57" s="822">
        <f t="shared" si="20"/>
        <v>0</v>
      </c>
      <c r="M57" s="822">
        <f t="shared" si="20"/>
        <v>0</v>
      </c>
      <c r="N57" s="822">
        <f t="shared" si="21"/>
        <v>0</v>
      </c>
      <c r="O57" s="822">
        <f t="shared" si="21"/>
        <v>0</v>
      </c>
      <c r="P57" s="822">
        <f t="shared" si="21"/>
        <v>0</v>
      </c>
      <c r="Q57" s="822">
        <f t="shared" si="21"/>
        <v>0</v>
      </c>
      <c r="R57" s="824">
        <f t="shared" si="21"/>
        <v>0</v>
      </c>
      <c r="T57" s="459" t="str">
        <f t="shared" si="9"/>
        <v>-</v>
      </c>
      <c r="U57" s="441" t="str">
        <f t="shared" si="18"/>
        <v>OK</v>
      </c>
      <c r="V57" s="817">
        <f t="shared" si="19"/>
        <v>0</v>
      </c>
    </row>
    <row r="58" spans="3:22">
      <c r="C58" s="825" t="s">
        <v>1936</v>
      </c>
      <c r="D58" s="826"/>
      <c r="E58" s="826"/>
      <c r="F58" s="826"/>
      <c r="G58" s="826"/>
      <c r="H58" s="827"/>
      <c r="I58" s="827"/>
      <c r="J58" s="827"/>
      <c r="K58" s="827"/>
      <c r="L58" s="827">
        <f t="shared" ref="L58:R58" si="22">SUM(L54:L57)</f>
        <v>0</v>
      </c>
      <c r="M58" s="827">
        <f t="shared" si="22"/>
        <v>0</v>
      </c>
      <c r="N58" s="827">
        <f t="shared" si="22"/>
        <v>0</v>
      </c>
      <c r="O58" s="827">
        <f t="shared" si="22"/>
        <v>0</v>
      </c>
      <c r="P58" s="827">
        <f t="shared" si="22"/>
        <v>0</v>
      </c>
      <c r="Q58" s="827">
        <f t="shared" si="22"/>
        <v>0</v>
      </c>
      <c r="R58" s="828">
        <f t="shared" si="22"/>
        <v>0</v>
      </c>
      <c r="T58" s="459" t="str">
        <f t="shared" si="9"/>
        <v>-</v>
      </c>
      <c r="U58" s="441" t="str">
        <f t="shared" si="18"/>
        <v>OK</v>
      </c>
      <c r="V58" s="817">
        <f t="shared" si="19"/>
        <v>0</v>
      </c>
    </row>
    <row r="59" spans="3:22">
      <c r="C59" s="829" t="s">
        <v>1923</v>
      </c>
      <c r="D59" s="830"/>
      <c r="E59" s="830"/>
      <c r="F59" s="830"/>
      <c r="G59" s="830"/>
      <c r="H59" s="831"/>
      <c r="I59" s="831"/>
      <c r="J59" s="832"/>
      <c r="K59" s="832"/>
      <c r="L59" s="832" t="e">
        <f t="shared" ref="L59:R59" si="23">L58/K58-1</f>
        <v>#DIV/0!</v>
      </c>
      <c r="M59" s="832" t="e">
        <f t="shared" si="23"/>
        <v>#DIV/0!</v>
      </c>
      <c r="N59" s="832" t="e">
        <f t="shared" si="23"/>
        <v>#DIV/0!</v>
      </c>
      <c r="O59" s="832" t="e">
        <f t="shared" si="23"/>
        <v>#DIV/0!</v>
      </c>
      <c r="P59" s="832" t="e">
        <f t="shared" si="23"/>
        <v>#DIV/0!</v>
      </c>
      <c r="Q59" s="832" t="e">
        <f t="shared" si="23"/>
        <v>#DIV/0!</v>
      </c>
      <c r="R59" s="833" t="e">
        <f t="shared" si="23"/>
        <v>#DIV/0!</v>
      </c>
      <c r="T59" s="459" t="str">
        <f t="shared" si="9"/>
        <v>-</v>
      </c>
      <c r="U59" s="441" t="str">
        <f t="shared" si="18"/>
        <v/>
      </c>
      <c r="V59" s="817">
        <f t="shared" si="19"/>
        <v>0</v>
      </c>
    </row>
    <row r="60" spans="3:22">
      <c r="C60" s="829"/>
      <c r="D60" s="830"/>
      <c r="E60" s="830"/>
      <c r="F60" s="830"/>
      <c r="G60" s="830"/>
      <c r="H60" s="831"/>
      <c r="I60" s="831"/>
      <c r="J60" s="832"/>
      <c r="K60" s="832"/>
      <c r="L60" s="832"/>
      <c r="M60" s="832"/>
      <c r="N60" s="832"/>
      <c r="O60" s="832"/>
      <c r="P60" s="832"/>
      <c r="Q60" s="832"/>
      <c r="R60" s="833"/>
      <c r="T60" s="459" t="str">
        <f t="shared" si="9"/>
        <v>-</v>
      </c>
      <c r="U60" s="441" t="str">
        <f t="shared" si="18"/>
        <v>OK</v>
      </c>
      <c r="V60" s="817">
        <f t="shared" si="19"/>
        <v>0</v>
      </c>
    </row>
    <row r="61" spans="3:22">
      <c r="C61" s="808" t="s">
        <v>1935</v>
      </c>
      <c r="D61" s="809"/>
      <c r="E61" s="809"/>
      <c r="F61" s="809"/>
      <c r="G61" s="809"/>
      <c r="H61" s="822"/>
      <c r="I61" s="822"/>
      <c r="J61" s="822"/>
      <c r="K61" s="822"/>
      <c r="L61" s="822"/>
      <c r="M61" s="822"/>
      <c r="N61" s="822"/>
      <c r="O61" s="822"/>
      <c r="P61" s="822"/>
      <c r="Q61" s="822"/>
      <c r="R61" s="824"/>
      <c r="T61" s="459" t="str">
        <f t="shared" si="9"/>
        <v>-</v>
      </c>
      <c r="U61" s="441" t="str">
        <f t="shared" si="18"/>
        <v>OK</v>
      </c>
      <c r="V61" s="817">
        <f t="shared" si="19"/>
        <v>0</v>
      </c>
    </row>
    <row r="62" spans="3:22">
      <c r="C62" s="821" t="str">
        <f>"Potential Revenue "&amp;Inputs!E87</f>
        <v>Potential Revenue Business Events</v>
      </c>
      <c r="D62" s="268"/>
      <c r="E62" s="268"/>
      <c r="F62" s="268"/>
      <c r="G62" s="1603">
        <f>Inputs!K92</f>
        <v>0.9</v>
      </c>
      <c r="H62" s="822"/>
      <c r="I62" s="822"/>
      <c r="J62" s="822"/>
      <c r="K62" s="822"/>
      <c r="L62" s="822">
        <f>L40*L26*$G62</f>
        <v>0</v>
      </c>
      <c r="M62" s="822">
        <f t="shared" ref="M62:R62" si="24">M40*M26*$G62</f>
        <v>0</v>
      </c>
      <c r="N62" s="822">
        <f t="shared" si="24"/>
        <v>0</v>
      </c>
      <c r="O62" s="822">
        <f t="shared" si="24"/>
        <v>0</v>
      </c>
      <c r="P62" s="822">
        <f t="shared" si="24"/>
        <v>0</v>
      </c>
      <c r="Q62" s="822">
        <f t="shared" si="24"/>
        <v>0</v>
      </c>
      <c r="R62" s="824">
        <f t="shared" si="24"/>
        <v>0</v>
      </c>
      <c r="T62" s="459" t="str">
        <f t="shared" si="9"/>
        <v>-</v>
      </c>
      <c r="U62" s="441" t="str">
        <f t="shared" si="18"/>
        <v>OK</v>
      </c>
      <c r="V62" s="817">
        <f t="shared" si="19"/>
        <v>0</v>
      </c>
    </row>
    <row r="63" spans="3:22">
      <c r="C63" s="821" t="str">
        <f>"Potential Revenue "&amp;Inputs!E88</f>
        <v>Potential Revenue NA</v>
      </c>
      <c r="D63" s="268"/>
      <c r="E63" s="268"/>
      <c r="F63" s="268"/>
      <c r="G63" s="1603">
        <f>Inputs!K93</f>
        <v>0.5</v>
      </c>
      <c r="H63" s="822"/>
      <c r="I63" s="822"/>
      <c r="J63" s="822"/>
      <c r="K63" s="822"/>
      <c r="L63" s="822">
        <f t="shared" ref="L63:R65" si="25">L41*L27*$G63</f>
        <v>0</v>
      </c>
      <c r="M63" s="822">
        <f t="shared" si="25"/>
        <v>0</v>
      </c>
      <c r="N63" s="822">
        <f t="shared" si="25"/>
        <v>0</v>
      </c>
      <c r="O63" s="822">
        <f t="shared" si="25"/>
        <v>0</v>
      </c>
      <c r="P63" s="822">
        <f t="shared" si="25"/>
        <v>0</v>
      </c>
      <c r="Q63" s="822">
        <f t="shared" si="25"/>
        <v>0</v>
      </c>
      <c r="R63" s="824">
        <f t="shared" si="25"/>
        <v>0</v>
      </c>
      <c r="T63" s="459" t="str">
        <f t="shared" si="9"/>
        <v>-</v>
      </c>
      <c r="U63" s="441" t="str">
        <f t="shared" si="18"/>
        <v>OK</v>
      </c>
      <c r="V63" s="817">
        <f t="shared" si="19"/>
        <v>0</v>
      </c>
    </row>
    <row r="64" spans="3:22">
      <c r="C64" s="821" t="str">
        <f>"Potential Revenue "&amp;Inputs!E89</f>
        <v>Potential Revenue NA</v>
      </c>
      <c r="D64" s="268"/>
      <c r="E64" s="268"/>
      <c r="F64" s="268"/>
      <c r="G64" s="1603">
        <f>Inputs!K94</f>
        <v>0.2</v>
      </c>
      <c r="H64" s="822"/>
      <c r="I64" s="822"/>
      <c r="J64" s="822"/>
      <c r="K64" s="822"/>
      <c r="L64" s="822">
        <f t="shared" si="25"/>
        <v>0</v>
      </c>
      <c r="M64" s="822">
        <f t="shared" si="25"/>
        <v>0</v>
      </c>
      <c r="N64" s="822">
        <f t="shared" si="25"/>
        <v>0</v>
      </c>
      <c r="O64" s="822">
        <f t="shared" si="25"/>
        <v>0</v>
      </c>
      <c r="P64" s="822">
        <f t="shared" si="25"/>
        <v>0</v>
      </c>
      <c r="Q64" s="822">
        <f>Q42*Q28*$G64</f>
        <v>0</v>
      </c>
      <c r="R64" s="824">
        <f t="shared" si="25"/>
        <v>0</v>
      </c>
      <c r="T64" s="459" t="str">
        <f t="shared" si="9"/>
        <v>-</v>
      </c>
      <c r="U64" s="441" t="str">
        <f t="shared" si="18"/>
        <v>OK</v>
      </c>
      <c r="V64" s="817">
        <f t="shared" si="19"/>
        <v>0</v>
      </c>
    </row>
    <row r="65" spans="2:22">
      <c r="C65" s="821" t="str">
        <f>"Potential Revenue "&amp;Inputs!E90</f>
        <v>Potential Revenue NA</v>
      </c>
      <c r="D65" s="268"/>
      <c r="E65" s="268"/>
      <c r="F65" s="268"/>
      <c r="G65" s="1603">
        <f>Inputs!K95</f>
        <v>0.2</v>
      </c>
      <c r="H65" s="822"/>
      <c r="I65" s="822"/>
      <c r="J65" s="822"/>
      <c r="K65" s="822"/>
      <c r="L65" s="822">
        <f t="shared" si="25"/>
        <v>0</v>
      </c>
      <c r="M65" s="822">
        <f t="shared" si="25"/>
        <v>0</v>
      </c>
      <c r="N65" s="822">
        <f t="shared" si="25"/>
        <v>0</v>
      </c>
      <c r="O65" s="822">
        <f t="shared" si="25"/>
        <v>0</v>
      </c>
      <c r="P65" s="822">
        <f t="shared" si="25"/>
        <v>0</v>
      </c>
      <c r="Q65" s="822">
        <f t="shared" si="25"/>
        <v>0</v>
      </c>
      <c r="R65" s="824">
        <f t="shared" si="25"/>
        <v>0</v>
      </c>
      <c r="T65" s="459" t="str">
        <f t="shared" si="9"/>
        <v>-</v>
      </c>
      <c r="U65" s="441" t="str">
        <f t="shared" si="18"/>
        <v>OK</v>
      </c>
      <c r="V65" s="817">
        <f t="shared" si="19"/>
        <v>0</v>
      </c>
    </row>
    <row r="66" spans="2:22">
      <c r="C66" s="825" t="s">
        <v>1937</v>
      </c>
      <c r="D66" s="826"/>
      <c r="E66" s="826"/>
      <c r="F66" s="826"/>
      <c r="G66" s="826"/>
      <c r="H66" s="827"/>
      <c r="I66" s="827"/>
      <c r="J66" s="827"/>
      <c r="K66" s="827"/>
      <c r="L66" s="827">
        <f t="shared" ref="L66:R66" si="26">SUM(L62:L65)</f>
        <v>0</v>
      </c>
      <c r="M66" s="827">
        <f t="shared" si="26"/>
        <v>0</v>
      </c>
      <c r="N66" s="827">
        <f t="shared" si="26"/>
        <v>0</v>
      </c>
      <c r="O66" s="827">
        <f t="shared" si="26"/>
        <v>0</v>
      </c>
      <c r="P66" s="827">
        <f t="shared" si="26"/>
        <v>0</v>
      </c>
      <c r="Q66" s="827">
        <f t="shared" si="26"/>
        <v>0</v>
      </c>
      <c r="R66" s="828">
        <f t="shared" si="26"/>
        <v>0</v>
      </c>
      <c r="T66" s="459" t="str">
        <f t="shared" si="9"/>
        <v>-</v>
      </c>
      <c r="U66" s="441" t="str">
        <f t="shared" si="18"/>
        <v>OK</v>
      </c>
      <c r="V66" s="817">
        <f t="shared" si="19"/>
        <v>0</v>
      </c>
    </row>
    <row r="67" spans="2:22">
      <c r="C67" s="829" t="s">
        <v>1923</v>
      </c>
      <c r="D67" s="830"/>
      <c r="E67" s="830"/>
      <c r="F67" s="830"/>
      <c r="G67" s="830"/>
      <c r="H67" s="831"/>
      <c r="I67" s="831"/>
      <c r="J67" s="832"/>
      <c r="K67" s="832"/>
      <c r="L67" s="832" t="e">
        <f t="shared" ref="L67:R67" si="27">L66/K66-1</f>
        <v>#DIV/0!</v>
      </c>
      <c r="M67" s="832" t="e">
        <f t="shared" si="27"/>
        <v>#DIV/0!</v>
      </c>
      <c r="N67" s="832" t="e">
        <f t="shared" si="27"/>
        <v>#DIV/0!</v>
      </c>
      <c r="O67" s="832" t="e">
        <f t="shared" si="27"/>
        <v>#DIV/0!</v>
      </c>
      <c r="P67" s="832" t="e">
        <f t="shared" si="27"/>
        <v>#DIV/0!</v>
      </c>
      <c r="Q67" s="832" t="e">
        <f t="shared" si="27"/>
        <v>#DIV/0!</v>
      </c>
      <c r="R67" s="833" t="e">
        <f t="shared" si="27"/>
        <v>#DIV/0!</v>
      </c>
      <c r="T67" s="459" t="str">
        <f t="shared" si="9"/>
        <v>-</v>
      </c>
      <c r="U67" s="441" t="str">
        <f t="shared" si="18"/>
        <v/>
      </c>
      <c r="V67" s="817">
        <f t="shared" si="19"/>
        <v>0</v>
      </c>
    </row>
    <row r="68" spans="2:22">
      <c r="C68" s="829"/>
      <c r="D68" s="830"/>
      <c r="E68" s="830"/>
      <c r="F68" s="830"/>
      <c r="G68" s="830"/>
      <c r="H68" s="831"/>
      <c r="I68" s="831"/>
      <c r="J68" s="832"/>
      <c r="K68" s="832"/>
      <c r="L68" s="832"/>
      <c r="M68" s="832"/>
      <c r="N68" s="832"/>
      <c r="O68" s="832"/>
      <c r="P68" s="832"/>
      <c r="Q68" s="832"/>
      <c r="R68" s="833"/>
      <c r="T68" s="459" t="str">
        <f t="shared" si="9"/>
        <v>-</v>
      </c>
      <c r="U68" s="441" t="str">
        <f t="shared" si="18"/>
        <v>OK</v>
      </c>
      <c r="V68" s="817">
        <f t="shared" si="19"/>
        <v>0</v>
      </c>
    </row>
    <row r="69" spans="2:22">
      <c r="C69" s="834" t="s">
        <v>1931</v>
      </c>
      <c r="D69" s="835"/>
      <c r="E69" s="835"/>
      <c r="F69" s="835"/>
      <c r="G69" s="835"/>
      <c r="H69" s="836">
        <f>SUM(H66,H58,H50)</f>
        <v>0</v>
      </c>
      <c r="I69" s="836">
        <f>SUM(I66,I58,I50)</f>
        <v>0</v>
      </c>
      <c r="J69" s="836">
        <f t="shared" ref="J69:R69" si="28">SUM(J66,J58,J50)</f>
        <v>0</v>
      </c>
      <c r="K69" s="836">
        <f>SUM(K66,K58,K50)</f>
        <v>0</v>
      </c>
      <c r="L69" s="836">
        <f>SUM(L66,L58,L50)</f>
        <v>0</v>
      </c>
      <c r="M69" s="836">
        <f t="shared" si="28"/>
        <v>0</v>
      </c>
      <c r="N69" s="836">
        <f t="shared" si="28"/>
        <v>0</v>
      </c>
      <c r="O69" s="836">
        <f t="shared" si="28"/>
        <v>0</v>
      </c>
      <c r="P69" s="836">
        <f t="shared" si="28"/>
        <v>0</v>
      </c>
      <c r="Q69" s="836">
        <f t="shared" si="28"/>
        <v>0</v>
      </c>
      <c r="R69" s="837">
        <f t="shared" si="28"/>
        <v>0</v>
      </c>
      <c r="T69" s="459" t="str">
        <f t="shared" si="9"/>
        <v>-</v>
      </c>
      <c r="U69" s="441" t="str">
        <f t="shared" si="18"/>
        <v>OK</v>
      </c>
      <c r="V69" s="817">
        <f t="shared" si="19"/>
        <v>0</v>
      </c>
    </row>
    <row r="70" spans="2:22">
      <c r="C70" s="301"/>
      <c r="D70" s="293"/>
      <c r="E70" s="293"/>
      <c r="F70" s="293"/>
      <c r="G70" s="293"/>
      <c r="H70" s="293"/>
      <c r="I70" s="293"/>
      <c r="J70" s="838"/>
      <c r="K70" s="838"/>
      <c r="L70" s="838"/>
      <c r="M70" s="293"/>
      <c r="N70" s="293"/>
      <c r="O70" s="293"/>
      <c r="P70" s="293"/>
      <c r="Q70" s="293"/>
      <c r="R70" s="839"/>
      <c r="T70" s="459" t="str">
        <f t="shared" si="9"/>
        <v>-</v>
      </c>
      <c r="U70" s="441" t="str">
        <f t="shared" si="18"/>
        <v>OK</v>
      </c>
      <c r="V70" s="817">
        <f t="shared" si="19"/>
        <v>0</v>
      </c>
    </row>
    <row r="71" spans="2:22">
      <c r="C71" s="840" t="s">
        <v>1908</v>
      </c>
      <c r="D71" s="293"/>
      <c r="E71" s="293"/>
      <c r="F71" s="293"/>
      <c r="G71" s="293"/>
      <c r="H71" s="293"/>
      <c r="I71" s="293"/>
      <c r="J71" s="838"/>
      <c r="K71" s="838"/>
      <c r="L71" s="838"/>
      <c r="M71" s="293"/>
      <c r="N71" s="293"/>
      <c r="O71" s="293"/>
      <c r="P71" s="293"/>
      <c r="Q71" s="293"/>
      <c r="R71" s="839"/>
      <c r="T71" s="459" t="str">
        <f t="shared" si="9"/>
        <v>-</v>
      </c>
      <c r="U71" s="441" t="str">
        <f t="shared" si="18"/>
        <v>OK</v>
      </c>
      <c r="V71" s="817">
        <f t="shared" si="19"/>
        <v>0</v>
      </c>
    </row>
    <row r="72" spans="2:22">
      <c r="C72" s="821" t="s">
        <v>1924</v>
      </c>
      <c r="D72" s="293"/>
      <c r="E72" s="293"/>
      <c r="F72" s="293"/>
      <c r="G72" s="293"/>
      <c r="H72" s="293"/>
      <c r="I72" s="293"/>
      <c r="J72" s="838"/>
      <c r="K72" s="307"/>
      <c r="L72" s="307" t="e">
        <f t="shared" ref="L72:M72" si="29">L50/L$69</f>
        <v>#DIV/0!</v>
      </c>
      <c r="M72" s="307" t="e">
        <f t="shared" si="29"/>
        <v>#DIV/0!</v>
      </c>
      <c r="N72" s="307" t="e">
        <f>N50/N$69</f>
        <v>#DIV/0!</v>
      </c>
      <c r="O72" s="307">
        <v>0.4073743890220789</v>
      </c>
      <c r="P72" s="307">
        <v>0.24234183206450213</v>
      </c>
      <c r="Q72" s="307">
        <v>0.18109190474293105</v>
      </c>
      <c r="R72" s="841">
        <v>0.13322912034697612</v>
      </c>
      <c r="T72" s="459" t="str">
        <f t="shared" si="9"/>
        <v>-</v>
      </c>
      <c r="U72" s="441" t="str">
        <f t="shared" si="18"/>
        <v/>
      </c>
      <c r="V72" s="817">
        <f t="shared" si="19"/>
        <v>0</v>
      </c>
    </row>
    <row r="73" spans="2:22">
      <c r="C73" s="821" t="s">
        <v>1932</v>
      </c>
      <c r="D73" s="293"/>
      <c r="E73" s="293"/>
      <c r="F73" s="293"/>
      <c r="G73" s="293"/>
      <c r="H73" s="293"/>
      <c r="I73" s="293"/>
      <c r="J73" s="838"/>
      <c r="K73" s="307"/>
      <c r="L73" s="307" t="e">
        <f t="shared" ref="L73:M73" si="30">L58/L69</f>
        <v>#DIV/0!</v>
      </c>
      <c r="M73" s="307" t="e">
        <f t="shared" si="30"/>
        <v>#DIV/0!</v>
      </c>
      <c r="N73" s="307" t="e">
        <f>N58/N69</f>
        <v>#DIV/0!</v>
      </c>
      <c r="O73" s="307" t="e">
        <f>O58/O69</f>
        <v>#DIV/0!</v>
      </c>
      <c r="P73" s="307" t="e">
        <f>P58/P69</f>
        <v>#DIV/0!</v>
      </c>
      <c r="Q73" s="307" t="e">
        <f>Q58/Q69</f>
        <v>#DIV/0!</v>
      </c>
      <c r="R73" s="841" t="e">
        <f>R58/R69</f>
        <v>#DIV/0!</v>
      </c>
      <c r="T73" s="459" t="str">
        <f t="shared" si="9"/>
        <v>-</v>
      </c>
      <c r="U73" s="441" t="str">
        <f t="shared" si="18"/>
        <v/>
      </c>
      <c r="V73" s="817">
        <f t="shared" si="19"/>
        <v>0</v>
      </c>
    </row>
    <row r="74" spans="2:22">
      <c r="C74" s="842" t="s">
        <v>1933</v>
      </c>
      <c r="D74" s="310"/>
      <c r="E74" s="310"/>
      <c r="F74" s="310"/>
      <c r="G74" s="310"/>
      <c r="H74" s="310"/>
      <c r="I74" s="310"/>
      <c r="J74" s="843"/>
      <c r="K74" s="844"/>
      <c r="L74" s="844" t="e">
        <f t="shared" ref="L74:M74" si="31">L66/L69</f>
        <v>#DIV/0!</v>
      </c>
      <c r="M74" s="844" t="e">
        <f t="shared" si="31"/>
        <v>#DIV/0!</v>
      </c>
      <c r="N74" s="844" t="e">
        <f>N66/N69</f>
        <v>#DIV/0!</v>
      </c>
      <c r="O74" s="844" t="e">
        <f>O66/O69</f>
        <v>#DIV/0!</v>
      </c>
      <c r="P74" s="844" t="e">
        <f>P66/P69</f>
        <v>#DIV/0!</v>
      </c>
      <c r="Q74" s="844" t="e">
        <f>Q66/Q69</f>
        <v>#DIV/0!</v>
      </c>
      <c r="R74" s="845" t="e">
        <f>R66/R69</f>
        <v>#DIV/0!</v>
      </c>
      <c r="T74" s="459" t="str">
        <f t="shared" si="9"/>
        <v>-</v>
      </c>
      <c r="U74" s="441" t="str">
        <f t="shared" si="18"/>
        <v/>
      </c>
      <c r="V74" s="817">
        <f t="shared" si="19"/>
        <v>0</v>
      </c>
    </row>
    <row r="75" spans="2:22">
      <c r="C75" s="1674" t="s">
        <v>2901</v>
      </c>
      <c r="D75" s="1675"/>
      <c r="E75" s="1675"/>
      <c r="F75" s="1675"/>
      <c r="G75" s="1675"/>
      <c r="H75" s="1675"/>
      <c r="I75" s="1675"/>
      <c r="J75" s="1676"/>
      <c r="K75" s="1677"/>
      <c r="L75" s="1677" t="e">
        <f t="shared" ref="L75:M75" ca="1" si="32">_xlfn.XLOOKUP(MAX(L$72:L$74),L$72:L$74,$C$72:$C$74)</f>
        <v>#NAME?</v>
      </c>
      <c r="M75" s="1677" t="e">
        <f t="shared" ca="1" si="32"/>
        <v>#NAME?</v>
      </c>
      <c r="N75" s="1677" t="e">
        <f ca="1">_xlfn.XLOOKUP(MAX(N$72:N$74),N$72:N$74,$C$72:$C$74)</f>
        <v>#NAME?</v>
      </c>
      <c r="O75" s="1677" t="e">
        <f t="shared" ref="O75:R75" ca="1" si="33">_xlfn.XLOOKUP(MAX(O$72:O$74),O$72:O$74,$C$72:$C$74)</f>
        <v>#NAME?</v>
      </c>
      <c r="P75" s="1677" t="e">
        <f t="shared" ca="1" si="33"/>
        <v>#NAME?</v>
      </c>
      <c r="Q75" s="1677" t="e">
        <f t="shared" ca="1" si="33"/>
        <v>#NAME?</v>
      </c>
      <c r="R75" s="1678" t="e">
        <f t="shared" ca="1" si="33"/>
        <v>#NAME?</v>
      </c>
      <c r="T75" s="459" t="str">
        <f t="shared" ca="1" si="9"/>
        <v>-</v>
      </c>
      <c r="U75" s="441" t="str">
        <f t="shared" ca="1" si="18"/>
        <v/>
      </c>
      <c r="V75" s="817">
        <f t="shared" si="19"/>
        <v>0</v>
      </c>
    </row>
    <row r="76" spans="2:22">
      <c r="C76" s="293"/>
      <c r="D76" s="293"/>
      <c r="E76" s="293"/>
      <c r="F76" s="293"/>
      <c r="G76" s="293"/>
      <c r="H76" s="293"/>
      <c r="I76" s="293"/>
      <c r="J76" s="838"/>
      <c r="K76" s="838"/>
      <c r="L76" s="838"/>
      <c r="M76" s="293"/>
      <c r="N76" s="293"/>
      <c r="O76" s="293"/>
      <c r="P76" s="293"/>
      <c r="Q76" s="293"/>
      <c r="R76" s="293"/>
      <c r="T76" s="459" t="str">
        <f t="shared" si="9"/>
        <v>-</v>
      </c>
      <c r="U76" s="441" t="str">
        <f t="shared" si="18"/>
        <v>OK</v>
      </c>
      <c r="V76" s="817">
        <f t="shared" si="19"/>
        <v>0</v>
      </c>
    </row>
    <row r="77" spans="2:22">
      <c r="C77" s="1680" t="s">
        <v>2902</v>
      </c>
      <c r="D77" s="293"/>
      <c r="E77" s="293"/>
      <c r="F77" s="293"/>
      <c r="G77" s="293"/>
      <c r="H77" s="293"/>
      <c r="I77" s="293"/>
      <c r="J77" s="838"/>
      <c r="K77" s="838"/>
      <c r="L77" s="838"/>
      <c r="M77" s="293"/>
      <c r="N77" s="293"/>
      <c r="O77" s="293"/>
      <c r="P77" s="293"/>
      <c r="Q77" s="293"/>
      <c r="R77" s="293"/>
      <c r="T77" s="459"/>
      <c r="U77" s="441"/>
      <c r="V77" s="817"/>
    </row>
    <row r="78" spans="2:22">
      <c r="B78" s="246">
        <v>1</v>
      </c>
      <c r="C78" s="293" t="str">
        <f>D18</f>
        <v>Existing Aerial Arts</v>
      </c>
      <c r="D78" s="293"/>
      <c r="E78" s="293"/>
      <c r="F78" s="293"/>
      <c r="G78" s="293"/>
      <c r="H78" s="293"/>
      <c r="I78" s="293"/>
      <c r="J78" s="838"/>
      <c r="K78" s="838"/>
      <c r="L78" s="880">
        <v>0.2</v>
      </c>
      <c r="M78" s="880" t="e">
        <f t="shared" ref="M78:R78" si="34">M46/M$69</f>
        <v>#DIV/0!</v>
      </c>
      <c r="N78" s="880" t="e">
        <f t="shared" si="34"/>
        <v>#DIV/0!</v>
      </c>
      <c r="O78" s="880" t="e">
        <f t="shared" si="34"/>
        <v>#DIV/0!</v>
      </c>
      <c r="P78" s="880" t="e">
        <f t="shared" si="34"/>
        <v>#DIV/0!</v>
      </c>
      <c r="Q78" s="880" t="e">
        <f t="shared" si="34"/>
        <v>#DIV/0!</v>
      </c>
      <c r="R78" s="880" t="e">
        <f t="shared" si="34"/>
        <v>#DIV/0!</v>
      </c>
      <c r="T78" s="459"/>
      <c r="U78" s="441"/>
      <c r="V78" s="817"/>
    </row>
    <row r="79" spans="2:22">
      <c r="B79" s="246">
        <v>2</v>
      </c>
      <c r="C79" s="293" t="str">
        <f t="shared" ref="C79:C89" si="35">D19</f>
        <v>Existing Pole Dance</v>
      </c>
      <c r="D79" s="293"/>
      <c r="E79" s="293"/>
      <c r="F79" s="293"/>
      <c r="G79" s="293"/>
      <c r="H79" s="293"/>
      <c r="I79" s="293"/>
      <c r="J79" s="838"/>
      <c r="K79" s="838"/>
      <c r="L79" s="880">
        <v>0.2</v>
      </c>
      <c r="M79" s="880" t="e">
        <f t="shared" ref="M79:R79" si="36">M47/M$69</f>
        <v>#DIV/0!</v>
      </c>
      <c r="N79" s="880" t="e">
        <f t="shared" si="36"/>
        <v>#DIV/0!</v>
      </c>
      <c r="O79" s="880" t="e">
        <f t="shared" si="36"/>
        <v>#DIV/0!</v>
      </c>
      <c r="P79" s="880" t="e">
        <f t="shared" si="36"/>
        <v>#DIV/0!</v>
      </c>
      <c r="Q79" s="880" t="e">
        <f t="shared" si="36"/>
        <v>#DIV/0!</v>
      </c>
      <c r="R79" s="880" t="e">
        <f t="shared" si="36"/>
        <v>#DIV/0!</v>
      </c>
      <c r="T79" s="459"/>
      <c r="U79" s="441"/>
      <c r="V79" s="817"/>
    </row>
    <row r="80" spans="2:22">
      <c r="B80" s="246">
        <v>3</v>
      </c>
      <c r="C80" s="293" t="str">
        <f t="shared" si="35"/>
        <v>Existing Stretching</v>
      </c>
      <c r="D80" s="293"/>
      <c r="E80" s="293"/>
      <c r="F80" s="293"/>
      <c r="G80" s="293"/>
      <c r="H80" s="293"/>
      <c r="I80" s="293"/>
      <c r="J80" s="838"/>
      <c r="K80" s="838"/>
      <c r="L80" s="880" t="e">
        <f>L48/L$69</f>
        <v>#DIV/0!</v>
      </c>
      <c r="M80" s="880" t="e">
        <f t="shared" ref="M80:R80" si="37">M48/M$69</f>
        <v>#DIV/0!</v>
      </c>
      <c r="N80" s="880" t="e">
        <f t="shared" si="37"/>
        <v>#DIV/0!</v>
      </c>
      <c r="O80" s="880" t="e">
        <f t="shared" si="37"/>
        <v>#DIV/0!</v>
      </c>
      <c r="P80" s="880" t="e">
        <f t="shared" si="37"/>
        <v>#DIV/0!</v>
      </c>
      <c r="Q80" s="880" t="e">
        <f t="shared" si="37"/>
        <v>#DIV/0!</v>
      </c>
      <c r="R80" s="880" t="e">
        <f t="shared" si="37"/>
        <v>#DIV/0!</v>
      </c>
      <c r="T80" s="459"/>
      <c r="U80" s="441"/>
      <c r="V80" s="817"/>
    </row>
    <row r="81" spans="2:22">
      <c r="B81" s="246">
        <v>4</v>
      </c>
      <c r="C81" s="293" t="str">
        <f t="shared" si="35"/>
        <v>Existing NA</v>
      </c>
      <c r="D81" s="293"/>
      <c r="E81" s="293"/>
      <c r="F81" s="293"/>
      <c r="G81" s="293"/>
      <c r="H81" s="293"/>
      <c r="I81" s="293"/>
      <c r="J81" s="838"/>
      <c r="K81" s="838"/>
      <c r="L81" s="880" t="e">
        <f>L49/L$69</f>
        <v>#DIV/0!</v>
      </c>
      <c r="M81" s="880" t="e">
        <f t="shared" ref="M81:R81" si="38">M49/M$69</f>
        <v>#DIV/0!</v>
      </c>
      <c r="N81" s="880" t="e">
        <f t="shared" si="38"/>
        <v>#DIV/0!</v>
      </c>
      <c r="O81" s="880" t="e">
        <f t="shared" si="38"/>
        <v>#DIV/0!</v>
      </c>
      <c r="P81" s="880" t="e">
        <f t="shared" si="38"/>
        <v>#DIV/0!</v>
      </c>
      <c r="Q81" s="880" t="e">
        <f t="shared" si="38"/>
        <v>#DIV/0!</v>
      </c>
      <c r="R81" s="880" t="e">
        <f t="shared" si="38"/>
        <v>#DIV/0!</v>
      </c>
      <c r="T81" s="459"/>
      <c r="U81" s="441"/>
      <c r="V81" s="817"/>
    </row>
    <row r="82" spans="2:22">
      <c r="B82" s="246">
        <v>5</v>
      </c>
      <c r="C82" s="293" t="str">
        <f t="shared" si="35"/>
        <v>Pipeline Corporate Clients</v>
      </c>
      <c r="D82" s="293"/>
      <c r="E82" s="293"/>
      <c r="F82" s="293"/>
      <c r="G82" s="293"/>
      <c r="H82" s="293"/>
      <c r="I82" s="293"/>
      <c r="J82" s="838"/>
      <c r="K82" s="838"/>
      <c r="L82" s="880" t="e">
        <f>L54/L$69</f>
        <v>#DIV/0!</v>
      </c>
      <c r="M82" s="880" t="e">
        <f t="shared" ref="M82:R82" si="39">M54/M$69</f>
        <v>#DIV/0!</v>
      </c>
      <c r="N82" s="880" t="e">
        <f t="shared" si="39"/>
        <v>#DIV/0!</v>
      </c>
      <c r="O82" s="880" t="e">
        <f t="shared" si="39"/>
        <v>#DIV/0!</v>
      </c>
      <c r="P82" s="880" t="e">
        <f t="shared" si="39"/>
        <v>#DIV/0!</v>
      </c>
      <c r="Q82" s="880" t="e">
        <f t="shared" si="39"/>
        <v>#DIV/0!</v>
      </c>
      <c r="R82" s="880" t="e">
        <f t="shared" si="39"/>
        <v>#DIV/0!</v>
      </c>
      <c r="T82" s="459"/>
      <c r="U82" s="441"/>
      <c r="V82" s="817"/>
    </row>
    <row r="83" spans="2:22">
      <c r="B83" s="246">
        <v>6</v>
      </c>
      <c r="C83" s="293" t="str">
        <f t="shared" si="35"/>
        <v>Pipeline NA</v>
      </c>
      <c r="D83" s="293"/>
      <c r="E83" s="293"/>
      <c r="F83" s="293"/>
      <c r="G83" s="293"/>
      <c r="H83" s="293"/>
      <c r="I83" s="293"/>
      <c r="J83" s="838"/>
      <c r="K83" s="838"/>
      <c r="L83" s="880" t="e">
        <f t="shared" ref="L83:R84" si="40">L55/L$69</f>
        <v>#DIV/0!</v>
      </c>
      <c r="M83" s="880" t="e">
        <f t="shared" si="40"/>
        <v>#DIV/0!</v>
      </c>
      <c r="N83" s="880" t="e">
        <f t="shared" si="40"/>
        <v>#DIV/0!</v>
      </c>
      <c r="O83" s="880" t="e">
        <f t="shared" si="40"/>
        <v>#DIV/0!</v>
      </c>
      <c r="P83" s="880" t="e">
        <f t="shared" si="40"/>
        <v>#DIV/0!</v>
      </c>
      <c r="Q83" s="880" t="e">
        <f t="shared" si="40"/>
        <v>#DIV/0!</v>
      </c>
      <c r="R83" s="880" t="e">
        <f t="shared" si="40"/>
        <v>#DIV/0!</v>
      </c>
      <c r="T83" s="459"/>
      <c r="U83" s="441"/>
      <c r="V83" s="817"/>
    </row>
    <row r="84" spans="2:22">
      <c r="B84" s="246">
        <v>7</v>
      </c>
      <c r="C84" s="293" t="str">
        <f t="shared" si="35"/>
        <v>Pipeline NA</v>
      </c>
      <c r="D84" s="293"/>
      <c r="E84" s="293"/>
      <c r="F84" s="293"/>
      <c r="G84" s="293"/>
      <c r="H84" s="293"/>
      <c r="I84" s="293"/>
      <c r="J84" s="838"/>
      <c r="K84" s="838"/>
      <c r="L84" s="880" t="e">
        <f t="shared" si="40"/>
        <v>#DIV/0!</v>
      </c>
      <c r="M84" s="880" t="e">
        <f t="shared" si="40"/>
        <v>#DIV/0!</v>
      </c>
      <c r="N84" s="880" t="e">
        <f t="shared" si="40"/>
        <v>#DIV/0!</v>
      </c>
      <c r="O84" s="880" t="e">
        <f t="shared" si="40"/>
        <v>#DIV/0!</v>
      </c>
      <c r="P84" s="880" t="e">
        <f t="shared" si="40"/>
        <v>#DIV/0!</v>
      </c>
      <c r="Q84" s="880" t="e">
        <f t="shared" si="40"/>
        <v>#DIV/0!</v>
      </c>
      <c r="R84" s="880" t="e">
        <f t="shared" si="40"/>
        <v>#DIV/0!</v>
      </c>
      <c r="T84" s="459"/>
      <c r="U84" s="441"/>
      <c r="V84" s="817"/>
    </row>
    <row r="85" spans="2:22">
      <c r="B85" s="246">
        <v>8</v>
      </c>
      <c r="C85" s="293" t="str">
        <f t="shared" si="35"/>
        <v>Pipeline NA</v>
      </c>
      <c r="D85" s="293"/>
      <c r="E85" s="293"/>
      <c r="F85" s="293"/>
      <c r="G85" s="293"/>
      <c r="H85" s="293"/>
      <c r="I85" s="293"/>
      <c r="J85" s="838"/>
      <c r="K85" s="838"/>
      <c r="L85" s="880" t="e">
        <f>L57/L$69</f>
        <v>#DIV/0!</v>
      </c>
      <c r="M85" s="880" t="e">
        <f t="shared" ref="M85:R85" si="41">M57/M$69</f>
        <v>#DIV/0!</v>
      </c>
      <c r="N85" s="880" t="e">
        <f t="shared" si="41"/>
        <v>#DIV/0!</v>
      </c>
      <c r="O85" s="880" t="e">
        <f t="shared" si="41"/>
        <v>#DIV/0!</v>
      </c>
      <c r="P85" s="880" t="e">
        <f t="shared" si="41"/>
        <v>#DIV/0!</v>
      </c>
      <c r="Q85" s="880" t="e">
        <f t="shared" si="41"/>
        <v>#DIV/0!</v>
      </c>
      <c r="R85" s="880" t="e">
        <f t="shared" si="41"/>
        <v>#DIV/0!</v>
      </c>
      <c r="T85" s="459"/>
      <c r="U85" s="441"/>
      <c r="V85" s="817"/>
    </row>
    <row r="86" spans="2:22">
      <c r="B86" s="246">
        <v>9</v>
      </c>
      <c r="C86" s="293" t="str">
        <f t="shared" si="35"/>
        <v>Potential Business Events</v>
      </c>
      <c r="D86" s="293"/>
      <c r="E86" s="293"/>
      <c r="F86" s="293"/>
      <c r="G86" s="293"/>
      <c r="H86" s="293"/>
      <c r="I86" s="293"/>
      <c r="J86" s="838"/>
      <c r="K86" s="838"/>
      <c r="L86" s="880" t="e">
        <f>L62/L$69</f>
        <v>#DIV/0!</v>
      </c>
      <c r="M86" s="880" t="e">
        <f t="shared" ref="M86:R86" si="42">M62/M$69</f>
        <v>#DIV/0!</v>
      </c>
      <c r="N86" s="880" t="e">
        <f t="shared" si="42"/>
        <v>#DIV/0!</v>
      </c>
      <c r="O86" s="880" t="e">
        <f t="shared" si="42"/>
        <v>#DIV/0!</v>
      </c>
      <c r="P86" s="880" t="e">
        <f t="shared" si="42"/>
        <v>#DIV/0!</v>
      </c>
      <c r="Q86" s="880" t="e">
        <f t="shared" si="42"/>
        <v>#DIV/0!</v>
      </c>
      <c r="R86" s="880" t="e">
        <f t="shared" si="42"/>
        <v>#DIV/0!</v>
      </c>
      <c r="T86" s="459"/>
      <c r="U86" s="441"/>
      <c r="V86" s="817"/>
    </row>
    <row r="87" spans="2:22">
      <c r="B87" s="246">
        <v>10</v>
      </c>
      <c r="C87" s="293" t="str">
        <f t="shared" si="35"/>
        <v>Potential NA</v>
      </c>
      <c r="D87" s="293"/>
      <c r="E87" s="293"/>
      <c r="F87" s="293"/>
      <c r="G87" s="293"/>
      <c r="H87" s="293"/>
      <c r="I87" s="293"/>
      <c r="J87" s="838"/>
      <c r="K87" s="838"/>
      <c r="L87" s="880" t="e">
        <f t="shared" ref="L87:R89" si="43">L63/L$69</f>
        <v>#DIV/0!</v>
      </c>
      <c r="M87" s="880" t="e">
        <f t="shared" si="43"/>
        <v>#DIV/0!</v>
      </c>
      <c r="N87" s="880" t="e">
        <f t="shared" si="43"/>
        <v>#DIV/0!</v>
      </c>
      <c r="O87" s="880" t="e">
        <f t="shared" si="43"/>
        <v>#DIV/0!</v>
      </c>
      <c r="P87" s="880" t="e">
        <f t="shared" si="43"/>
        <v>#DIV/0!</v>
      </c>
      <c r="Q87" s="880" t="e">
        <f t="shared" si="43"/>
        <v>#DIV/0!</v>
      </c>
      <c r="R87" s="880" t="e">
        <f t="shared" si="43"/>
        <v>#DIV/0!</v>
      </c>
      <c r="T87" s="459"/>
      <c r="U87" s="441"/>
      <c r="V87" s="817"/>
    </row>
    <row r="88" spans="2:22">
      <c r="B88" s="246">
        <v>11</v>
      </c>
      <c r="C88" s="293" t="str">
        <f t="shared" si="35"/>
        <v>Potential NA</v>
      </c>
      <c r="D88" s="293"/>
      <c r="E88" s="293"/>
      <c r="F88" s="293"/>
      <c r="G88" s="293"/>
      <c r="H88" s="293"/>
      <c r="I88" s="293"/>
      <c r="J88" s="838"/>
      <c r="K88" s="838"/>
      <c r="L88" s="880" t="e">
        <f t="shared" si="43"/>
        <v>#DIV/0!</v>
      </c>
      <c r="M88" s="880" t="e">
        <f t="shared" si="43"/>
        <v>#DIV/0!</v>
      </c>
      <c r="N88" s="880" t="e">
        <f t="shared" si="43"/>
        <v>#DIV/0!</v>
      </c>
      <c r="O88" s="880" t="e">
        <f t="shared" si="43"/>
        <v>#DIV/0!</v>
      </c>
      <c r="P88" s="880" t="e">
        <f t="shared" si="43"/>
        <v>#DIV/0!</v>
      </c>
      <c r="Q88" s="880" t="e">
        <f t="shared" si="43"/>
        <v>#DIV/0!</v>
      </c>
      <c r="R88" s="880" t="e">
        <f t="shared" si="43"/>
        <v>#DIV/0!</v>
      </c>
      <c r="T88" s="459"/>
      <c r="U88" s="441"/>
      <c r="V88" s="817"/>
    </row>
    <row r="89" spans="2:22">
      <c r="B89" s="246">
        <v>12</v>
      </c>
      <c r="C89" s="293" t="str">
        <f t="shared" si="35"/>
        <v>Potential NA</v>
      </c>
      <c r="D89" s="293"/>
      <c r="E89" s="293"/>
      <c r="F89" s="293"/>
      <c r="G89" s="293"/>
      <c r="H89" s="293"/>
      <c r="I89" s="293"/>
      <c r="J89" s="838"/>
      <c r="K89" s="838"/>
      <c r="L89" s="880" t="e">
        <f t="shared" si="43"/>
        <v>#DIV/0!</v>
      </c>
      <c r="M89" s="880" t="e">
        <f t="shared" si="43"/>
        <v>#DIV/0!</v>
      </c>
      <c r="N89" s="880" t="e">
        <f t="shared" si="43"/>
        <v>#DIV/0!</v>
      </c>
      <c r="O89" s="880" t="e">
        <f t="shared" si="43"/>
        <v>#DIV/0!</v>
      </c>
      <c r="P89" s="880" t="e">
        <f t="shared" si="43"/>
        <v>#DIV/0!</v>
      </c>
      <c r="Q89" s="880" t="e">
        <f t="shared" si="43"/>
        <v>#DIV/0!</v>
      </c>
      <c r="R89" s="880" t="e">
        <f t="shared" si="43"/>
        <v>#DIV/0!</v>
      </c>
      <c r="T89" s="459"/>
      <c r="U89" s="441"/>
      <c r="V89" s="817"/>
    </row>
    <row r="90" spans="2:22">
      <c r="C90" s="1681" t="s">
        <v>2901</v>
      </c>
      <c r="D90" s="1672"/>
      <c r="E90" s="1672"/>
      <c r="F90" s="1672" t="e">
        <f ca="1">IF(MEDIAN(L90:R90)&lt;=1,C78,IF(MEDIAN(L90:R90)&lt;=2,C79,IF(MEDIAN(L90:R90)&lt;=3,C80,IF(MEDIAN(L90:R90)&lt;=4,C81,IF(MEDIAN(L90:R90)&lt;=5,C82,IF(MEDIAN(L90:R90)&lt;=6,C83,IF(MEDIAN(L90:R90)&lt;=7,C84,IF(MEDIAN(L90:R90)&lt;=8,C85,IF(MEDIAN(L90:R90)&lt;=9,C86,IF(MEDIAN(L90:R90)&lt;=10,C87,IF(MEDIAN(L90:R90)&lt;=11,C88,IF(MEDIAN(L90:R90)&lt;=12,C89,"NA"))))))))))))</f>
        <v>#NAME?</v>
      </c>
      <c r="G90" s="1682" t="e">
        <f ca="1">AVERAGE(_xlfn.XLOOKUP(F90,C78:C89,L78:R89))</f>
        <v>#NAME?</v>
      </c>
      <c r="H90" s="1672"/>
      <c r="I90" s="1672"/>
      <c r="J90" s="1673"/>
      <c r="K90" s="1673"/>
      <c r="L90" s="1683" t="e">
        <f ca="1">_xlfn.XLOOKUP(MAX(L$78:L$89),L$78:L$89,$B$78:$B$89)</f>
        <v>#NAME?</v>
      </c>
      <c r="M90" s="1683" t="e">
        <f t="shared" ref="M90:R90" ca="1" si="44">_xlfn.XLOOKUP(MAX(M$78:M$89),M$78:M$89,$B$78:$B$89)</f>
        <v>#NAME?</v>
      </c>
      <c r="N90" s="1683" t="e">
        <f t="shared" ca="1" si="44"/>
        <v>#NAME?</v>
      </c>
      <c r="O90" s="1683" t="e">
        <f t="shared" ca="1" si="44"/>
        <v>#NAME?</v>
      </c>
      <c r="P90" s="1683" t="e">
        <f t="shared" ca="1" si="44"/>
        <v>#NAME?</v>
      </c>
      <c r="Q90" s="1683" t="e">
        <f t="shared" ca="1" si="44"/>
        <v>#NAME?</v>
      </c>
      <c r="R90" s="1684" t="e">
        <f t="shared" ca="1" si="44"/>
        <v>#NAME?</v>
      </c>
      <c r="T90" s="459"/>
      <c r="U90" s="441"/>
      <c r="V90" s="817"/>
    </row>
    <row r="91" spans="2:22">
      <c r="C91" s="1679" t="s">
        <v>2903</v>
      </c>
      <c r="D91" s="293"/>
      <c r="E91" s="293"/>
      <c r="F91" s="293"/>
      <c r="G91" s="293"/>
      <c r="H91" s="293"/>
      <c r="I91" s="293"/>
      <c r="J91" s="838"/>
      <c r="K91" s="838"/>
      <c r="L91" s="838"/>
      <c r="M91" s="293"/>
      <c r="N91" s="293"/>
      <c r="O91" s="293"/>
      <c r="P91" s="293"/>
      <c r="Q91" s="293"/>
      <c r="R91" s="293"/>
      <c r="T91" s="459"/>
      <c r="U91" s="441"/>
      <c r="V91" s="817"/>
    </row>
    <row r="92" spans="2:22">
      <c r="C92" s="293"/>
      <c r="D92" s="293"/>
      <c r="E92" s="293"/>
      <c r="F92" s="293"/>
      <c r="G92" s="293"/>
      <c r="H92" s="293"/>
      <c r="I92" s="293"/>
      <c r="J92" s="838"/>
      <c r="K92" s="838"/>
      <c r="L92" s="838"/>
      <c r="M92" s="293"/>
      <c r="N92" s="293"/>
      <c r="O92" s="293"/>
      <c r="P92" s="293"/>
      <c r="Q92" s="293"/>
      <c r="R92" s="293"/>
      <c r="T92" s="459"/>
      <c r="U92" s="441"/>
      <c r="V92" s="817"/>
    </row>
    <row r="93" spans="2:22">
      <c r="C93" s="297" t="s">
        <v>1909</v>
      </c>
      <c r="D93" s="298"/>
      <c r="E93" s="298"/>
      <c r="F93" s="298"/>
      <c r="G93" s="298"/>
      <c r="H93" s="299" t="str">
        <f t="shared" ref="H93:R93" si="45">H7</f>
        <v>FY21</v>
      </c>
      <c r="I93" s="299" t="str">
        <f t="shared" si="45"/>
        <v>FY22</v>
      </c>
      <c r="J93" s="299" t="str">
        <f t="shared" si="45"/>
        <v>FY23</v>
      </c>
      <c r="K93" s="299" t="str">
        <f t="shared" si="45"/>
        <v>YTD24</v>
      </c>
      <c r="L93" s="299" t="str">
        <f t="shared" si="45"/>
        <v>YTG24</v>
      </c>
      <c r="M93" s="299" t="str">
        <f t="shared" si="45"/>
        <v>FY24</v>
      </c>
      <c r="N93" s="299" t="str">
        <f t="shared" si="45"/>
        <v>FY25</v>
      </c>
      <c r="O93" s="299" t="str">
        <f t="shared" si="45"/>
        <v>FY26</v>
      </c>
      <c r="P93" s="299" t="str">
        <f t="shared" si="45"/>
        <v>FY27</v>
      </c>
      <c r="Q93" s="299" t="str">
        <f t="shared" si="45"/>
        <v>FY28</v>
      </c>
      <c r="R93" s="485" t="str">
        <f t="shared" si="45"/>
        <v>FY29</v>
      </c>
      <c r="T93" s="459" t="str">
        <f t="shared" si="9"/>
        <v>-</v>
      </c>
      <c r="U93" s="441" t="str">
        <f t="shared" si="18"/>
        <v/>
      </c>
      <c r="V93" s="817" t="str">
        <f t="shared" si="19"/>
        <v>NA</v>
      </c>
    </row>
    <row r="94" spans="2:22">
      <c r="C94" s="1519" t="str">
        <f>currency.heading1</f>
        <v>USD 'Units</v>
      </c>
      <c r="D94" s="1520"/>
      <c r="E94" s="1520"/>
      <c r="F94" s="1520"/>
      <c r="G94" s="1520"/>
      <c r="H94" s="1521" t="str">
        <f t="shared" ref="H94:R94" si="46">H8</f>
        <v>Actual</v>
      </c>
      <c r="I94" s="1521" t="str">
        <f t="shared" si="46"/>
        <v>Actual</v>
      </c>
      <c r="J94" s="1521" t="str">
        <f t="shared" si="46"/>
        <v>Actual</v>
      </c>
      <c r="K94" s="1521" t="str">
        <f t="shared" si="46"/>
        <v>Actual</v>
      </c>
      <c r="L94" s="1521" t="str">
        <f t="shared" si="46"/>
        <v>Estimate</v>
      </c>
      <c r="M94" s="1521" t="str">
        <f t="shared" si="46"/>
        <v>Estimate</v>
      </c>
      <c r="N94" s="1521" t="str">
        <f t="shared" si="46"/>
        <v>Estimate</v>
      </c>
      <c r="O94" s="1521" t="str">
        <f t="shared" si="46"/>
        <v>Forecast</v>
      </c>
      <c r="P94" s="1521" t="str">
        <f t="shared" si="46"/>
        <v>Forecast</v>
      </c>
      <c r="Q94" s="1521" t="str">
        <f t="shared" si="46"/>
        <v>Forecast</v>
      </c>
      <c r="R94" s="1522" t="str">
        <f t="shared" si="46"/>
        <v>Forecast</v>
      </c>
      <c r="T94" s="459" t="str">
        <f t="shared" si="9"/>
        <v>-</v>
      </c>
      <c r="U94" s="441" t="str">
        <f t="shared" si="18"/>
        <v/>
      </c>
      <c r="V94" s="817" t="str">
        <f t="shared" si="19"/>
        <v>NA</v>
      </c>
    </row>
    <row r="95" spans="2:22">
      <c r="C95" s="852" t="s">
        <v>1939</v>
      </c>
      <c r="D95" s="802"/>
      <c r="E95" s="802"/>
      <c r="F95" s="802"/>
      <c r="G95" s="802"/>
      <c r="H95" s="853"/>
      <c r="I95" s="853"/>
      <c r="J95" s="853"/>
      <c r="K95" s="853"/>
      <c r="L95" s="853"/>
      <c r="M95" s="853"/>
      <c r="N95" s="853"/>
      <c r="O95" s="853"/>
      <c r="P95" s="853"/>
      <c r="Q95" s="853"/>
      <c r="R95" s="854"/>
      <c r="T95" s="459" t="str">
        <f t="shared" si="9"/>
        <v>-</v>
      </c>
      <c r="U95" s="441" t="str">
        <f t="shared" si="18"/>
        <v>OK</v>
      </c>
      <c r="V95" s="817">
        <f t="shared" si="19"/>
        <v>0</v>
      </c>
    </row>
    <row r="96" spans="2:22">
      <c r="C96" s="855" t="str">
        <f>C46</f>
        <v>Revenue Aerial Arts</v>
      </c>
      <c r="D96" s="268"/>
      <c r="E96" s="268"/>
      <c r="F96" s="268"/>
      <c r="G96" s="268"/>
      <c r="H96" s="822">
        <f t="shared" ref="H96:K99" si="47">H46*H118</f>
        <v>0</v>
      </c>
      <c r="I96" s="822">
        <f t="shared" si="47"/>
        <v>0</v>
      </c>
      <c r="J96" s="822">
        <f t="shared" si="47"/>
        <v>0</v>
      </c>
      <c r="K96" s="822">
        <f t="shared" si="47"/>
        <v>0</v>
      </c>
      <c r="L96" s="856">
        <f>IF(ytg.approach=Inputs!$C$39,K96*ytg.actual,IF(ytg.approach=Inputs!$C$40,ytg.mgt*M96,M96-K96))</f>
        <v>0</v>
      </c>
      <c r="M96" s="822">
        <f t="shared" ref="M96:R99" si="48">M46*M118</f>
        <v>0</v>
      </c>
      <c r="N96" s="822">
        <f t="shared" si="48"/>
        <v>0</v>
      </c>
      <c r="O96" s="857">
        <f t="shared" si="48"/>
        <v>0</v>
      </c>
      <c r="P96" s="857">
        <f t="shared" si="48"/>
        <v>0</v>
      </c>
      <c r="Q96" s="857">
        <f t="shared" si="48"/>
        <v>0</v>
      </c>
      <c r="R96" s="858">
        <f t="shared" si="48"/>
        <v>0</v>
      </c>
      <c r="T96" s="459" t="str">
        <f t="shared" si="9"/>
        <v>-</v>
      </c>
      <c r="U96" s="441" t="str">
        <f t="shared" si="18"/>
        <v>OK</v>
      </c>
      <c r="V96" s="817">
        <f t="shared" si="19"/>
        <v>0</v>
      </c>
    </row>
    <row r="97" spans="3:22">
      <c r="C97" s="855" t="str">
        <f>C47</f>
        <v>Revenue Pole Dance</v>
      </c>
      <c r="D97" s="268"/>
      <c r="E97" s="268"/>
      <c r="F97" s="268"/>
      <c r="G97" s="268"/>
      <c r="H97" s="822">
        <f t="shared" si="47"/>
        <v>0</v>
      </c>
      <c r="I97" s="822">
        <f t="shared" si="47"/>
        <v>0</v>
      </c>
      <c r="J97" s="822">
        <f t="shared" si="47"/>
        <v>0</v>
      </c>
      <c r="K97" s="822">
        <f t="shared" si="47"/>
        <v>0</v>
      </c>
      <c r="L97" s="859">
        <f>IF(ytg.approach=Inputs!$C$39,K97*ytg.actual,IF(ytg.approach=Inputs!$C$40,ytg.mgt*M97,M97-K97))</f>
        <v>0</v>
      </c>
      <c r="M97" s="822">
        <f t="shared" si="48"/>
        <v>0</v>
      </c>
      <c r="N97" s="822">
        <f t="shared" si="48"/>
        <v>0</v>
      </c>
      <c r="O97" s="857">
        <f t="shared" si="48"/>
        <v>0</v>
      </c>
      <c r="P97" s="857">
        <f t="shared" si="48"/>
        <v>0</v>
      </c>
      <c r="Q97" s="857">
        <f t="shared" si="48"/>
        <v>0</v>
      </c>
      <c r="R97" s="858">
        <f t="shared" si="48"/>
        <v>0</v>
      </c>
      <c r="T97" s="459" t="str">
        <f t="shared" si="9"/>
        <v>-</v>
      </c>
      <c r="U97" s="441" t="str">
        <f t="shared" si="18"/>
        <v>OK</v>
      </c>
      <c r="V97" s="817">
        <f t="shared" si="19"/>
        <v>0</v>
      </c>
    </row>
    <row r="98" spans="3:22">
      <c r="C98" s="855" t="str">
        <f>C48</f>
        <v>Revenue Stretching</v>
      </c>
      <c r="D98" s="268"/>
      <c r="E98" s="268"/>
      <c r="F98" s="268"/>
      <c r="G98" s="268"/>
      <c r="H98" s="822">
        <f t="shared" si="47"/>
        <v>0</v>
      </c>
      <c r="I98" s="822">
        <f t="shared" si="47"/>
        <v>0</v>
      </c>
      <c r="J98" s="822">
        <f t="shared" si="47"/>
        <v>0</v>
      </c>
      <c r="K98" s="822">
        <f t="shared" si="47"/>
        <v>0</v>
      </c>
      <c r="L98" s="859">
        <f>IF(ytg.approach=Inputs!$C$39,K98*ytg.actual,IF(ytg.approach=Inputs!$C$40,ytg.mgt*M98,M98-K98))</f>
        <v>0</v>
      </c>
      <c r="M98" s="822">
        <f t="shared" si="48"/>
        <v>0</v>
      </c>
      <c r="N98" s="822">
        <f t="shared" si="48"/>
        <v>0</v>
      </c>
      <c r="O98" s="857">
        <f t="shared" si="48"/>
        <v>0</v>
      </c>
      <c r="P98" s="857">
        <f t="shared" si="48"/>
        <v>0</v>
      </c>
      <c r="Q98" s="857">
        <f t="shared" si="48"/>
        <v>0</v>
      </c>
      <c r="R98" s="858">
        <f t="shared" si="48"/>
        <v>0</v>
      </c>
      <c r="T98" s="459" t="str">
        <f t="shared" si="9"/>
        <v>-</v>
      </c>
      <c r="U98" s="441" t="str">
        <f t="shared" ref="U98:U129" si="49">IFERROR(IF(K98+L98=M98,"OK","VARIANCE"),"")</f>
        <v>OK</v>
      </c>
      <c r="V98" s="817">
        <f t="shared" ref="V98:V129" si="50">IFERROR((K98/ytd.months)*12,"NA")</f>
        <v>0</v>
      </c>
    </row>
    <row r="99" spans="3:22">
      <c r="C99" s="855" t="str">
        <f>C49</f>
        <v>Revenue NA</v>
      </c>
      <c r="D99" s="268"/>
      <c r="E99" s="268"/>
      <c r="F99" s="268"/>
      <c r="G99" s="268"/>
      <c r="H99" s="822">
        <f t="shared" si="47"/>
        <v>0</v>
      </c>
      <c r="I99" s="822">
        <f t="shared" si="47"/>
        <v>0</v>
      </c>
      <c r="J99" s="822">
        <f t="shared" si="47"/>
        <v>0</v>
      </c>
      <c r="K99" s="822">
        <f t="shared" si="47"/>
        <v>0</v>
      </c>
      <c r="L99" s="859">
        <f>IF(ytg.approach=Inputs!$C$39,K99*ytg.actual,IF(ytg.approach=Inputs!$C$40,ytg.mgt*M99,M99-K99))</f>
        <v>0</v>
      </c>
      <c r="M99" s="822">
        <f t="shared" si="48"/>
        <v>0</v>
      </c>
      <c r="N99" s="822">
        <f t="shared" si="48"/>
        <v>0</v>
      </c>
      <c r="O99" s="857">
        <f t="shared" si="48"/>
        <v>0</v>
      </c>
      <c r="P99" s="857">
        <f t="shared" si="48"/>
        <v>0</v>
      </c>
      <c r="Q99" s="857">
        <f t="shared" si="48"/>
        <v>0</v>
      </c>
      <c r="R99" s="858">
        <f t="shared" si="48"/>
        <v>0</v>
      </c>
      <c r="T99" s="459" t="str">
        <f t="shared" ref="T99:T162" si="51">IFERROR((R99/N99)^(1/5)-1,"-")</f>
        <v>-</v>
      </c>
      <c r="U99" s="441" t="str">
        <f t="shared" si="49"/>
        <v>OK</v>
      </c>
      <c r="V99" s="817">
        <f t="shared" si="50"/>
        <v>0</v>
      </c>
    </row>
    <row r="100" spans="3:22">
      <c r="C100" s="825" t="s">
        <v>1929</v>
      </c>
      <c r="D100" s="826"/>
      <c r="E100" s="826"/>
      <c r="F100" s="826"/>
      <c r="G100" s="826"/>
      <c r="H100" s="827">
        <f>SUM(H96:H99)</f>
        <v>0</v>
      </c>
      <c r="I100" s="827">
        <f>SUM(I96:I99)</f>
        <v>0</v>
      </c>
      <c r="J100" s="827">
        <f t="shared" ref="J100:R100" si="52">SUM(J96:J99)</f>
        <v>0</v>
      </c>
      <c r="K100" s="827">
        <f>SUM(K96:K99)</f>
        <v>0</v>
      </c>
      <c r="L100" s="827">
        <f>SUM(L96:L99)</f>
        <v>0</v>
      </c>
      <c r="M100" s="827">
        <f t="shared" si="52"/>
        <v>0</v>
      </c>
      <c r="N100" s="827">
        <f t="shared" si="52"/>
        <v>0</v>
      </c>
      <c r="O100" s="827">
        <f t="shared" si="52"/>
        <v>0</v>
      </c>
      <c r="P100" s="827">
        <f t="shared" si="52"/>
        <v>0</v>
      </c>
      <c r="Q100" s="827">
        <f t="shared" si="52"/>
        <v>0</v>
      </c>
      <c r="R100" s="828">
        <f t="shared" si="52"/>
        <v>0</v>
      </c>
      <c r="T100" s="459" t="str">
        <f t="shared" si="51"/>
        <v>-</v>
      </c>
      <c r="U100" s="441" t="str">
        <f t="shared" si="49"/>
        <v>OK</v>
      </c>
      <c r="V100" s="817">
        <f t="shared" si="50"/>
        <v>0</v>
      </c>
    </row>
    <row r="101" spans="3:22">
      <c r="C101" s="855"/>
      <c r="D101" s="268"/>
      <c r="E101" s="268"/>
      <c r="F101" s="268"/>
      <c r="G101" s="268"/>
      <c r="H101" s="822"/>
      <c r="I101" s="822"/>
      <c r="J101" s="822"/>
      <c r="K101" s="822"/>
      <c r="L101" s="822"/>
      <c r="M101" s="822"/>
      <c r="N101" s="822"/>
      <c r="O101" s="857"/>
      <c r="P101" s="857"/>
      <c r="Q101" s="857"/>
      <c r="R101" s="858"/>
      <c r="T101" s="459" t="str">
        <f t="shared" si="51"/>
        <v>-</v>
      </c>
      <c r="U101" s="441" t="str">
        <f t="shared" si="49"/>
        <v>OK</v>
      </c>
      <c r="V101" s="817">
        <f t="shared" si="50"/>
        <v>0</v>
      </c>
    </row>
    <row r="102" spans="3:22">
      <c r="C102" s="852" t="s">
        <v>1940</v>
      </c>
      <c r="D102" s="268"/>
      <c r="E102" s="268"/>
      <c r="F102" s="268"/>
      <c r="G102" s="268"/>
      <c r="H102" s="822"/>
      <c r="I102" s="822"/>
      <c r="J102" s="822"/>
      <c r="K102" s="822"/>
      <c r="L102" s="822"/>
      <c r="M102" s="822"/>
      <c r="N102" s="822"/>
      <c r="O102" s="857"/>
      <c r="P102" s="857"/>
      <c r="Q102" s="857"/>
      <c r="R102" s="858"/>
      <c r="T102" s="459" t="str">
        <f t="shared" si="51"/>
        <v>-</v>
      </c>
      <c r="U102" s="441" t="str">
        <f t="shared" si="49"/>
        <v>OK</v>
      </c>
      <c r="V102" s="817">
        <f t="shared" si="50"/>
        <v>0</v>
      </c>
    </row>
    <row r="103" spans="3:22">
      <c r="C103" s="855" t="str">
        <f>C54</f>
        <v>Pipeline Corporate Clients</v>
      </c>
      <c r="D103" s="268"/>
      <c r="E103" s="268"/>
      <c r="F103" s="268"/>
      <c r="G103" s="268"/>
      <c r="H103" s="860"/>
      <c r="I103" s="860"/>
      <c r="J103" s="860"/>
      <c r="K103" s="860"/>
      <c r="L103" s="822">
        <f t="shared" ref="L103:R106" si="53">L54*L122</f>
        <v>0</v>
      </c>
      <c r="M103" s="822">
        <f t="shared" si="53"/>
        <v>0</v>
      </c>
      <c r="N103" s="822">
        <f t="shared" si="53"/>
        <v>0</v>
      </c>
      <c r="O103" s="857">
        <f t="shared" si="53"/>
        <v>0</v>
      </c>
      <c r="P103" s="857">
        <f t="shared" si="53"/>
        <v>0</v>
      </c>
      <c r="Q103" s="857">
        <f t="shared" si="53"/>
        <v>0</v>
      </c>
      <c r="R103" s="858">
        <f t="shared" si="53"/>
        <v>0</v>
      </c>
      <c r="T103" s="459" t="str">
        <f t="shared" si="51"/>
        <v>-</v>
      </c>
      <c r="U103" s="441" t="str">
        <f t="shared" si="49"/>
        <v>OK</v>
      </c>
      <c r="V103" s="817">
        <f t="shared" si="50"/>
        <v>0</v>
      </c>
    </row>
    <row r="104" spans="3:22">
      <c r="C104" s="855" t="str">
        <f>C55</f>
        <v>Pipeline NA</v>
      </c>
      <c r="D104" s="268"/>
      <c r="E104" s="268"/>
      <c r="F104" s="268"/>
      <c r="G104" s="268"/>
      <c r="H104" s="860"/>
      <c r="I104" s="860"/>
      <c r="J104" s="860"/>
      <c r="K104" s="860"/>
      <c r="L104" s="822">
        <f t="shared" si="53"/>
        <v>0</v>
      </c>
      <c r="M104" s="822">
        <f t="shared" si="53"/>
        <v>0</v>
      </c>
      <c r="N104" s="822">
        <f t="shared" si="53"/>
        <v>0</v>
      </c>
      <c r="O104" s="857">
        <f t="shared" si="53"/>
        <v>0</v>
      </c>
      <c r="P104" s="857">
        <f t="shared" si="53"/>
        <v>0</v>
      </c>
      <c r="Q104" s="857">
        <f t="shared" si="53"/>
        <v>0</v>
      </c>
      <c r="R104" s="858">
        <f t="shared" si="53"/>
        <v>0</v>
      </c>
      <c r="T104" s="459" t="str">
        <f t="shared" si="51"/>
        <v>-</v>
      </c>
      <c r="U104" s="441" t="str">
        <f t="shared" si="49"/>
        <v>OK</v>
      </c>
      <c r="V104" s="817">
        <f t="shared" si="50"/>
        <v>0</v>
      </c>
    </row>
    <row r="105" spans="3:22">
      <c r="C105" s="855" t="str">
        <f>C56</f>
        <v>Pipeline NA</v>
      </c>
      <c r="D105" s="268"/>
      <c r="E105" s="268"/>
      <c r="F105" s="268"/>
      <c r="G105" s="268"/>
      <c r="H105" s="860"/>
      <c r="I105" s="860"/>
      <c r="J105" s="860"/>
      <c r="K105" s="860"/>
      <c r="L105" s="822">
        <f t="shared" si="53"/>
        <v>0</v>
      </c>
      <c r="M105" s="822">
        <f t="shared" si="53"/>
        <v>0</v>
      </c>
      <c r="N105" s="822">
        <f t="shared" si="53"/>
        <v>0</v>
      </c>
      <c r="O105" s="857">
        <f t="shared" si="53"/>
        <v>0</v>
      </c>
      <c r="P105" s="857">
        <f t="shared" si="53"/>
        <v>0</v>
      </c>
      <c r="Q105" s="857">
        <f t="shared" si="53"/>
        <v>0</v>
      </c>
      <c r="R105" s="858">
        <f t="shared" si="53"/>
        <v>0</v>
      </c>
      <c r="T105" s="459" t="str">
        <f t="shared" si="51"/>
        <v>-</v>
      </c>
      <c r="U105" s="441" t="str">
        <f t="shared" si="49"/>
        <v>OK</v>
      </c>
      <c r="V105" s="817">
        <f t="shared" si="50"/>
        <v>0</v>
      </c>
    </row>
    <row r="106" spans="3:22">
      <c r="C106" s="855" t="str">
        <f>C57</f>
        <v>Pipeline NA</v>
      </c>
      <c r="D106" s="268"/>
      <c r="E106" s="268"/>
      <c r="F106" s="268"/>
      <c r="G106" s="268"/>
      <c r="H106" s="860"/>
      <c r="I106" s="860"/>
      <c r="J106" s="860"/>
      <c r="K106" s="860"/>
      <c r="L106" s="822">
        <f t="shared" si="53"/>
        <v>0</v>
      </c>
      <c r="M106" s="822">
        <f t="shared" si="53"/>
        <v>0</v>
      </c>
      <c r="N106" s="822">
        <f t="shared" si="53"/>
        <v>0</v>
      </c>
      <c r="O106" s="857">
        <f t="shared" si="53"/>
        <v>0</v>
      </c>
      <c r="P106" s="857">
        <f t="shared" si="53"/>
        <v>0</v>
      </c>
      <c r="Q106" s="857">
        <f t="shared" si="53"/>
        <v>0</v>
      </c>
      <c r="R106" s="858">
        <f t="shared" si="53"/>
        <v>0</v>
      </c>
      <c r="T106" s="459" t="str">
        <f t="shared" si="51"/>
        <v>-</v>
      </c>
      <c r="U106" s="441" t="str">
        <f t="shared" si="49"/>
        <v>OK</v>
      </c>
      <c r="V106" s="817">
        <f t="shared" si="50"/>
        <v>0</v>
      </c>
    </row>
    <row r="107" spans="3:22">
      <c r="C107" s="825" t="s">
        <v>1941</v>
      </c>
      <c r="D107" s="826"/>
      <c r="E107" s="826"/>
      <c r="F107" s="826"/>
      <c r="G107" s="826"/>
      <c r="H107" s="827">
        <f>SUM(H103:H106)</f>
        <v>0</v>
      </c>
      <c r="I107" s="827">
        <f>SUM(I103:I106)</f>
        <v>0</v>
      </c>
      <c r="J107" s="827">
        <f t="shared" ref="J107:R107" si="54">SUM(J103:J106)</f>
        <v>0</v>
      </c>
      <c r="K107" s="827">
        <f>SUM(K103:K106)</f>
        <v>0</v>
      </c>
      <c r="L107" s="827">
        <f>SUM(L103:L106)</f>
        <v>0</v>
      </c>
      <c r="M107" s="827">
        <f t="shared" si="54"/>
        <v>0</v>
      </c>
      <c r="N107" s="827">
        <f t="shared" si="54"/>
        <v>0</v>
      </c>
      <c r="O107" s="827">
        <f t="shared" si="54"/>
        <v>0</v>
      </c>
      <c r="P107" s="827">
        <f t="shared" si="54"/>
        <v>0</v>
      </c>
      <c r="Q107" s="827">
        <f t="shared" si="54"/>
        <v>0</v>
      </c>
      <c r="R107" s="828">
        <f t="shared" si="54"/>
        <v>0</v>
      </c>
      <c r="T107" s="459" t="str">
        <f t="shared" si="51"/>
        <v>-</v>
      </c>
      <c r="U107" s="441" t="str">
        <f t="shared" si="49"/>
        <v>OK</v>
      </c>
      <c r="V107" s="817">
        <f t="shared" si="50"/>
        <v>0</v>
      </c>
    </row>
    <row r="108" spans="3:22">
      <c r="C108" s="861"/>
      <c r="D108" s="862"/>
      <c r="E108" s="862"/>
      <c r="F108" s="862"/>
      <c r="G108" s="862"/>
      <c r="H108" s="863"/>
      <c r="I108" s="863"/>
      <c r="J108" s="863"/>
      <c r="K108" s="863"/>
      <c r="L108" s="863"/>
      <c r="M108" s="863"/>
      <c r="N108" s="863"/>
      <c r="O108" s="863"/>
      <c r="P108" s="863"/>
      <c r="Q108" s="863"/>
      <c r="R108" s="864"/>
      <c r="T108" s="459" t="str">
        <f t="shared" si="51"/>
        <v>-</v>
      </c>
      <c r="U108" s="441" t="str">
        <f t="shared" si="49"/>
        <v>OK</v>
      </c>
      <c r="V108" s="817">
        <f t="shared" si="50"/>
        <v>0</v>
      </c>
    </row>
    <row r="109" spans="3:22">
      <c r="C109" s="852" t="s">
        <v>1940</v>
      </c>
      <c r="D109" s="268"/>
      <c r="E109" s="268"/>
      <c r="F109" s="268"/>
      <c r="G109" s="268"/>
      <c r="H109" s="822"/>
      <c r="I109" s="822"/>
      <c r="J109" s="822"/>
      <c r="K109" s="822"/>
      <c r="L109" s="822"/>
      <c r="M109" s="822"/>
      <c r="N109" s="822"/>
      <c r="O109" s="857"/>
      <c r="P109" s="857"/>
      <c r="Q109" s="857"/>
      <c r="R109" s="858"/>
      <c r="T109" s="459" t="str">
        <f t="shared" si="51"/>
        <v>-</v>
      </c>
      <c r="U109" s="441" t="str">
        <f t="shared" si="49"/>
        <v>OK</v>
      </c>
      <c r="V109" s="817">
        <f t="shared" si="50"/>
        <v>0</v>
      </c>
    </row>
    <row r="110" spans="3:22">
      <c r="C110" s="855" t="str">
        <f>C62</f>
        <v>Potential Revenue Business Events</v>
      </c>
      <c r="D110" s="268"/>
      <c r="E110" s="268"/>
      <c r="F110" s="268"/>
      <c r="G110" s="268"/>
      <c r="H110" s="860"/>
      <c r="I110" s="860"/>
      <c r="J110" s="860"/>
      <c r="K110" s="860"/>
      <c r="L110" s="860"/>
      <c r="M110" s="822">
        <f t="shared" ref="M110:R113" si="55">M62*M126</f>
        <v>0</v>
      </c>
      <c r="N110" s="822">
        <f t="shared" si="55"/>
        <v>0</v>
      </c>
      <c r="O110" s="857">
        <f t="shared" si="55"/>
        <v>0</v>
      </c>
      <c r="P110" s="857">
        <f t="shared" si="55"/>
        <v>0</v>
      </c>
      <c r="Q110" s="857">
        <f t="shared" si="55"/>
        <v>0</v>
      </c>
      <c r="R110" s="858">
        <f t="shared" si="55"/>
        <v>0</v>
      </c>
      <c r="T110" s="459" t="str">
        <f t="shared" si="51"/>
        <v>-</v>
      </c>
      <c r="U110" s="441" t="str">
        <f t="shared" si="49"/>
        <v>OK</v>
      </c>
      <c r="V110" s="817">
        <f t="shared" si="50"/>
        <v>0</v>
      </c>
    </row>
    <row r="111" spans="3:22">
      <c r="C111" s="855" t="str">
        <f>C63</f>
        <v>Potential Revenue NA</v>
      </c>
      <c r="D111" s="268"/>
      <c r="E111" s="268"/>
      <c r="F111" s="268"/>
      <c r="G111" s="268"/>
      <c r="H111" s="860"/>
      <c r="I111" s="860"/>
      <c r="J111" s="860"/>
      <c r="K111" s="860"/>
      <c r="L111" s="860"/>
      <c r="M111" s="822">
        <f t="shared" si="55"/>
        <v>0</v>
      </c>
      <c r="N111" s="822">
        <f t="shared" si="55"/>
        <v>0</v>
      </c>
      <c r="O111" s="857">
        <f t="shared" si="55"/>
        <v>0</v>
      </c>
      <c r="P111" s="857">
        <f t="shared" si="55"/>
        <v>0</v>
      </c>
      <c r="Q111" s="857">
        <f t="shared" si="55"/>
        <v>0</v>
      </c>
      <c r="R111" s="858">
        <f t="shared" si="55"/>
        <v>0</v>
      </c>
      <c r="T111" s="459" t="str">
        <f t="shared" si="51"/>
        <v>-</v>
      </c>
      <c r="U111" s="441" t="str">
        <f t="shared" si="49"/>
        <v>OK</v>
      </c>
      <c r="V111" s="817">
        <f t="shared" si="50"/>
        <v>0</v>
      </c>
    </row>
    <row r="112" spans="3:22">
      <c r="C112" s="855" t="str">
        <f>C64</f>
        <v>Potential Revenue NA</v>
      </c>
      <c r="D112" s="268"/>
      <c r="E112" s="268"/>
      <c r="F112" s="268"/>
      <c r="G112" s="268"/>
      <c r="H112" s="860"/>
      <c r="I112" s="860"/>
      <c r="J112" s="860"/>
      <c r="K112" s="860"/>
      <c r="L112" s="860"/>
      <c r="M112" s="822">
        <f t="shared" si="55"/>
        <v>0</v>
      </c>
      <c r="N112" s="822">
        <f t="shared" si="55"/>
        <v>0</v>
      </c>
      <c r="O112" s="857">
        <f t="shared" si="55"/>
        <v>0</v>
      </c>
      <c r="P112" s="857">
        <f t="shared" si="55"/>
        <v>0</v>
      </c>
      <c r="Q112" s="857">
        <f t="shared" si="55"/>
        <v>0</v>
      </c>
      <c r="R112" s="858">
        <f t="shared" si="55"/>
        <v>0</v>
      </c>
      <c r="T112" s="459" t="str">
        <f t="shared" si="51"/>
        <v>-</v>
      </c>
      <c r="U112" s="441" t="str">
        <f t="shared" si="49"/>
        <v>OK</v>
      </c>
      <c r="V112" s="817">
        <f t="shared" si="50"/>
        <v>0</v>
      </c>
    </row>
    <row r="113" spans="3:22">
      <c r="C113" s="855" t="str">
        <f>C65</f>
        <v>Potential Revenue NA</v>
      </c>
      <c r="D113" s="268"/>
      <c r="E113" s="268"/>
      <c r="F113" s="268"/>
      <c r="G113" s="268"/>
      <c r="H113" s="860"/>
      <c r="I113" s="860"/>
      <c r="J113" s="860"/>
      <c r="K113" s="860"/>
      <c r="L113" s="860"/>
      <c r="M113" s="822">
        <f t="shared" si="55"/>
        <v>0</v>
      </c>
      <c r="N113" s="822">
        <f t="shared" si="55"/>
        <v>0</v>
      </c>
      <c r="O113" s="857">
        <f t="shared" si="55"/>
        <v>0</v>
      </c>
      <c r="P113" s="857">
        <f t="shared" si="55"/>
        <v>0</v>
      </c>
      <c r="Q113" s="857">
        <f t="shared" si="55"/>
        <v>0</v>
      </c>
      <c r="R113" s="858">
        <f t="shared" si="55"/>
        <v>0</v>
      </c>
      <c r="T113" s="459" t="str">
        <f t="shared" si="51"/>
        <v>-</v>
      </c>
      <c r="U113" s="441" t="str">
        <f t="shared" si="49"/>
        <v>OK</v>
      </c>
      <c r="V113" s="817">
        <f t="shared" si="50"/>
        <v>0</v>
      </c>
    </row>
    <row r="114" spans="3:22">
      <c r="C114" s="825" t="s">
        <v>1942</v>
      </c>
      <c r="D114" s="826"/>
      <c r="E114" s="826"/>
      <c r="F114" s="826"/>
      <c r="G114" s="826"/>
      <c r="H114" s="827">
        <f>SUM(H110:H113)</f>
        <v>0</v>
      </c>
      <c r="I114" s="827">
        <f>SUM(I110:I113)</f>
        <v>0</v>
      </c>
      <c r="J114" s="827">
        <f t="shared" ref="J114:R114" si="56">SUM(J110:J113)</f>
        <v>0</v>
      </c>
      <c r="K114" s="827">
        <f>SUM(K110:K113)</f>
        <v>0</v>
      </c>
      <c r="L114" s="827">
        <f>SUM(L110:L113)</f>
        <v>0</v>
      </c>
      <c r="M114" s="827">
        <f t="shared" si="56"/>
        <v>0</v>
      </c>
      <c r="N114" s="827">
        <f t="shared" si="56"/>
        <v>0</v>
      </c>
      <c r="O114" s="827">
        <f t="shared" si="56"/>
        <v>0</v>
      </c>
      <c r="P114" s="827">
        <f t="shared" si="56"/>
        <v>0</v>
      </c>
      <c r="Q114" s="827">
        <f t="shared" si="56"/>
        <v>0</v>
      </c>
      <c r="R114" s="828">
        <f t="shared" si="56"/>
        <v>0</v>
      </c>
      <c r="T114" s="459" t="str">
        <f t="shared" si="51"/>
        <v>-</v>
      </c>
      <c r="U114" s="441" t="str">
        <f t="shared" si="49"/>
        <v>OK</v>
      </c>
      <c r="V114" s="817">
        <f t="shared" si="50"/>
        <v>0</v>
      </c>
    </row>
    <row r="115" spans="3:22">
      <c r="C115" s="865" t="s">
        <v>1930</v>
      </c>
      <c r="D115" s="866"/>
      <c r="E115" s="866"/>
      <c r="F115" s="866"/>
      <c r="G115" s="866"/>
      <c r="H115" s="867">
        <f>H107+H100+H114</f>
        <v>0</v>
      </c>
      <c r="I115" s="867">
        <f>I107+I100+I114</f>
        <v>0</v>
      </c>
      <c r="J115" s="867">
        <f t="shared" ref="J115:R115" si="57">J107+J100+J114</f>
        <v>0</v>
      </c>
      <c r="K115" s="867">
        <f>K107+K100+K114</f>
        <v>0</v>
      </c>
      <c r="L115" s="867">
        <f>L107+L100+L114</f>
        <v>0</v>
      </c>
      <c r="M115" s="867">
        <f t="shared" si="57"/>
        <v>0</v>
      </c>
      <c r="N115" s="867">
        <f t="shared" si="57"/>
        <v>0</v>
      </c>
      <c r="O115" s="867">
        <f t="shared" si="57"/>
        <v>0</v>
      </c>
      <c r="P115" s="867">
        <f t="shared" si="57"/>
        <v>0</v>
      </c>
      <c r="Q115" s="867">
        <f t="shared" si="57"/>
        <v>0</v>
      </c>
      <c r="R115" s="868">
        <f t="shared" si="57"/>
        <v>0</v>
      </c>
      <c r="T115" s="459" t="str">
        <f t="shared" si="51"/>
        <v>-</v>
      </c>
      <c r="U115" s="441" t="str">
        <f t="shared" si="49"/>
        <v>OK</v>
      </c>
      <c r="V115" s="817">
        <f t="shared" si="50"/>
        <v>0</v>
      </c>
    </row>
    <row r="116" spans="3:22">
      <c r="C116" s="869"/>
      <c r="D116" s="870"/>
      <c r="E116" s="870"/>
      <c r="F116" s="870"/>
      <c r="G116" s="870"/>
      <c r="H116" s="870"/>
      <c r="I116" s="870"/>
      <c r="J116" s="870"/>
      <c r="K116" s="870"/>
      <c r="L116" s="870"/>
      <c r="M116" s="870"/>
      <c r="N116" s="870"/>
      <c r="O116" s="870"/>
      <c r="P116" s="870"/>
      <c r="Q116" s="870"/>
      <c r="R116" s="871"/>
      <c r="T116" s="459" t="str">
        <f t="shared" si="51"/>
        <v>-</v>
      </c>
      <c r="U116" s="441" t="str">
        <f t="shared" si="49"/>
        <v>OK</v>
      </c>
      <c r="V116" s="817">
        <f t="shared" si="50"/>
        <v>0</v>
      </c>
    </row>
    <row r="117" spans="3:22">
      <c r="C117" s="872" t="s">
        <v>1925</v>
      </c>
      <c r="D117" s="873"/>
      <c r="E117" s="873"/>
      <c r="F117" s="873"/>
      <c r="G117" s="873"/>
      <c r="H117" s="874"/>
      <c r="I117" s="874"/>
      <c r="J117" s="874"/>
      <c r="K117" s="874"/>
      <c r="L117" s="874"/>
      <c r="M117" s="874"/>
      <c r="N117" s="874"/>
      <c r="O117" s="874"/>
      <c r="P117" s="874"/>
      <c r="Q117" s="874"/>
      <c r="R117" s="875"/>
      <c r="T117" s="459" t="str">
        <f t="shared" si="51"/>
        <v>-</v>
      </c>
      <c r="U117" s="441" t="str">
        <f t="shared" si="49"/>
        <v>OK</v>
      </c>
      <c r="V117" s="817">
        <f t="shared" si="50"/>
        <v>0</v>
      </c>
    </row>
    <row r="118" spans="3:22">
      <c r="C118" s="821" t="str">
        <f t="shared" ref="C118:C129" si="58">D18</f>
        <v>Existing Aerial Arts</v>
      </c>
      <c r="D118" s="268"/>
      <c r="E118" s="268"/>
      <c r="F118" s="268"/>
      <c r="G118" s="268"/>
      <c r="H118" s="878">
        <f>1-H132</f>
        <v>1</v>
      </c>
      <c r="I118" s="878">
        <f>1-I132</f>
        <v>1</v>
      </c>
      <c r="J118" s="878">
        <f t="shared" ref="J118:K118" si="59">1-J132</f>
        <v>1</v>
      </c>
      <c r="K118" s="878">
        <f t="shared" si="59"/>
        <v>1</v>
      </c>
      <c r="L118" s="343">
        <f>1-L132</f>
        <v>0.7</v>
      </c>
      <c r="M118" s="343">
        <f t="shared" ref="M118:R118" si="60">1-M132</f>
        <v>0.7</v>
      </c>
      <c r="N118" s="343">
        <f t="shared" si="60"/>
        <v>0.7</v>
      </c>
      <c r="O118" s="343">
        <f t="shared" si="60"/>
        <v>0.7</v>
      </c>
      <c r="P118" s="343">
        <f t="shared" si="60"/>
        <v>0.7</v>
      </c>
      <c r="Q118" s="343">
        <f t="shared" si="60"/>
        <v>0.7</v>
      </c>
      <c r="R118" s="1616">
        <f t="shared" si="60"/>
        <v>0.7</v>
      </c>
      <c r="T118" s="459">
        <f t="shared" si="51"/>
        <v>0</v>
      </c>
      <c r="U118" s="441" t="str">
        <f t="shared" si="49"/>
        <v>VARIANCE</v>
      </c>
      <c r="V118" s="817">
        <f t="shared" si="50"/>
        <v>1.3333333333333333</v>
      </c>
    </row>
    <row r="119" spans="3:22">
      <c r="C119" s="821" t="str">
        <f t="shared" si="58"/>
        <v>Existing Pole Dance</v>
      </c>
      <c r="D119" s="268"/>
      <c r="E119" s="268"/>
      <c r="F119" s="268"/>
      <c r="G119" s="268"/>
      <c r="H119" s="878">
        <f t="shared" ref="H119" si="61">1-H133</f>
        <v>1</v>
      </c>
      <c r="I119" s="878">
        <f t="shared" ref="I119:K121" si="62">1-I133</f>
        <v>1</v>
      </c>
      <c r="J119" s="878">
        <f t="shared" si="62"/>
        <v>1</v>
      </c>
      <c r="K119" s="878">
        <f t="shared" si="62"/>
        <v>1</v>
      </c>
      <c r="L119" s="343">
        <f t="shared" ref="L119:R129" si="63">1-L133</f>
        <v>0.7</v>
      </c>
      <c r="M119" s="343">
        <f t="shared" si="63"/>
        <v>0.7</v>
      </c>
      <c r="N119" s="343">
        <f t="shared" si="63"/>
        <v>0.7</v>
      </c>
      <c r="O119" s="343">
        <f t="shared" si="63"/>
        <v>0.7</v>
      </c>
      <c r="P119" s="343">
        <f t="shared" si="63"/>
        <v>0.7</v>
      </c>
      <c r="Q119" s="343">
        <f t="shared" si="63"/>
        <v>0.7</v>
      </c>
      <c r="R119" s="1616">
        <f t="shared" si="63"/>
        <v>0.7</v>
      </c>
      <c r="T119" s="459">
        <f t="shared" si="51"/>
        <v>0</v>
      </c>
      <c r="U119" s="441" t="str">
        <f t="shared" si="49"/>
        <v>VARIANCE</v>
      </c>
      <c r="V119" s="817">
        <f t="shared" si="50"/>
        <v>1.3333333333333333</v>
      </c>
    </row>
    <row r="120" spans="3:22">
      <c r="C120" s="821" t="str">
        <f t="shared" si="58"/>
        <v>Existing Stretching</v>
      </c>
      <c r="D120" s="268"/>
      <c r="E120" s="268"/>
      <c r="F120" s="268"/>
      <c r="G120" s="268"/>
      <c r="H120" s="878">
        <f t="shared" ref="H120" si="64">1-H134</f>
        <v>1</v>
      </c>
      <c r="I120" s="878">
        <f t="shared" si="62"/>
        <v>1</v>
      </c>
      <c r="J120" s="878">
        <f t="shared" si="62"/>
        <v>1</v>
      </c>
      <c r="K120" s="878">
        <f t="shared" si="62"/>
        <v>1</v>
      </c>
      <c r="L120" s="343">
        <f t="shared" si="63"/>
        <v>0.7</v>
      </c>
      <c r="M120" s="343">
        <f t="shared" si="63"/>
        <v>0.7</v>
      </c>
      <c r="N120" s="343">
        <f t="shared" si="63"/>
        <v>0.7</v>
      </c>
      <c r="O120" s="343">
        <f t="shared" si="63"/>
        <v>0.7</v>
      </c>
      <c r="P120" s="343">
        <f t="shared" si="63"/>
        <v>0.7</v>
      </c>
      <c r="Q120" s="343">
        <f t="shared" si="63"/>
        <v>0.7</v>
      </c>
      <c r="R120" s="1616">
        <f t="shared" si="63"/>
        <v>0.7</v>
      </c>
      <c r="T120" s="459">
        <f t="shared" si="51"/>
        <v>0</v>
      </c>
      <c r="U120" s="441" t="str">
        <f t="shared" si="49"/>
        <v>VARIANCE</v>
      </c>
      <c r="V120" s="817">
        <f t="shared" si="50"/>
        <v>1.3333333333333333</v>
      </c>
    </row>
    <row r="121" spans="3:22">
      <c r="C121" s="821" t="str">
        <f t="shared" si="58"/>
        <v>Existing NA</v>
      </c>
      <c r="D121" s="268"/>
      <c r="E121" s="268"/>
      <c r="F121" s="268"/>
      <c r="G121" s="268"/>
      <c r="H121" s="878">
        <f t="shared" ref="H121" si="65">1-H135</f>
        <v>1</v>
      </c>
      <c r="I121" s="878">
        <f t="shared" si="62"/>
        <v>1</v>
      </c>
      <c r="J121" s="878">
        <f t="shared" si="62"/>
        <v>1</v>
      </c>
      <c r="K121" s="878">
        <f t="shared" si="62"/>
        <v>1</v>
      </c>
      <c r="L121" s="343">
        <f t="shared" si="63"/>
        <v>0.7</v>
      </c>
      <c r="M121" s="343">
        <f t="shared" si="63"/>
        <v>0.7</v>
      </c>
      <c r="N121" s="343">
        <f t="shared" si="63"/>
        <v>0.7</v>
      </c>
      <c r="O121" s="343">
        <f t="shared" si="63"/>
        <v>0.7</v>
      </c>
      <c r="P121" s="343">
        <f t="shared" si="63"/>
        <v>0.7</v>
      </c>
      <c r="Q121" s="343">
        <f t="shared" si="63"/>
        <v>0.7</v>
      </c>
      <c r="R121" s="1616">
        <f t="shared" si="63"/>
        <v>0.7</v>
      </c>
      <c r="T121" s="459">
        <f t="shared" si="51"/>
        <v>0</v>
      </c>
      <c r="U121" s="441" t="str">
        <f t="shared" si="49"/>
        <v>VARIANCE</v>
      </c>
      <c r="V121" s="817">
        <f t="shared" si="50"/>
        <v>1.3333333333333333</v>
      </c>
    </row>
    <row r="122" spans="3:22">
      <c r="C122" s="821" t="str">
        <f t="shared" si="58"/>
        <v>Pipeline Corporate Clients</v>
      </c>
      <c r="D122" s="268"/>
      <c r="E122" s="268"/>
      <c r="F122" s="268"/>
      <c r="G122" s="268"/>
      <c r="H122" s="1621"/>
      <c r="I122" s="1621"/>
      <c r="J122" s="1621"/>
      <c r="K122" s="1621"/>
      <c r="L122" s="343">
        <f t="shared" si="63"/>
        <v>0.7</v>
      </c>
      <c r="M122" s="343">
        <f t="shared" si="63"/>
        <v>0.7</v>
      </c>
      <c r="N122" s="343">
        <f t="shared" si="63"/>
        <v>0.7</v>
      </c>
      <c r="O122" s="343">
        <f t="shared" si="63"/>
        <v>0.7</v>
      </c>
      <c r="P122" s="343">
        <f t="shared" si="63"/>
        <v>0.7</v>
      </c>
      <c r="Q122" s="343">
        <f t="shared" si="63"/>
        <v>0.7</v>
      </c>
      <c r="R122" s="1616">
        <f t="shared" si="63"/>
        <v>0.7</v>
      </c>
      <c r="T122" s="459">
        <f t="shared" si="51"/>
        <v>0</v>
      </c>
      <c r="U122" s="441" t="str">
        <f t="shared" si="49"/>
        <v>OK</v>
      </c>
      <c r="V122" s="817">
        <f t="shared" si="50"/>
        <v>0</v>
      </c>
    </row>
    <row r="123" spans="3:22">
      <c r="C123" s="821" t="str">
        <f t="shared" si="58"/>
        <v>Pipeline NA</v>
      </c>
      <c r="D123" s="268"/>
      <c r="E123" s="268"/>
      <c r="F123" s="268"/>
      <c r="G123" s="268"/>
      <c r="H123" s="1621"/>
      <c r="I123" s="1621"/>
      <c r="J123" s="1621"/>
      <c r="K123" s="1621"/>
      <c r="L123" s="343">
        <f t="shared" si="63"/>
        <v>0.7</v>
      </c>
      <c r="M123" s="343">
        <f t="shared" si="63"/>
        <v>0.7</v>
      </c>
      <c r="N123" s="343">
        <f t="shared" si="63"/>
        <v>0.7</v>
      </c>
      <c r="O123" s="343">
        <f t="shared" si="63"/>
        <v>0.7</v>
      </c>
      <c r="P123" s="343">
        <f t="shared" si="63"/>
        <v>0.7</v>
      </c>
      <c r="Q123" s="343">
        <f t="shared" si="63"/>
        <v>0.7</v>
      </c>
      <c r="R123" s="1616">
        <f t="shared" si="63"/>
        <v>0.7</v>
      </c>
      <c r="T123" s="459">
        <f t="shared" si="51"/>
        <v>0</v>
      </c>
      <c r="U123" s="441" t="str">
        <f t="shared" si="49"/>
        <v>OK</v>
      </c>
      <c r="V123" s="817">
        <f t="shared" si="50"/>
        <v>0</v>
      </c>
    </row>
    <row r="124" spans="3:22">
      <c r="C124" s="821" t="str">
        <f t="shared" si="58"/>
        <v>Pipeline NA</v>
      </c>
      <c r="D124" s="268"/>
      <c r="E124" s="268"/>
      <c r="F124" s="268"/>
      <c r="G124" s="268"/>
      <c r="H124" s="1621"/>
      <c r="I124" s="1621"/>
      <c r="J124" s="1621"/>
      <c r="K124" s="1621"/>
      <c r="L124" s="343">
        <f t="shared" si="63"/>
        <v>0.7</v>
      </c>
      <c r="M124" s="343">
        <f t="shared" si="63"/>
        <v>0.7</v>
      </c>
      <c r="N124" s="343">
        <f t="shared" si="63"/>
        <v>0.7</v>
      </c>
      <c r="O124" s="343">
        <f t="shared" si="63"/>
        <v>0.7</v>
      </c>
      <c r="P124" s="343">
        <f t="shared" si="63"/>
        <v>0.7</v>
      </c>
      <c r="Q124" s="343">
        <f t="shared" si="63"/>
        <v>0.7</v>
      </c>
      <c r="R124" s="1616">
        <f t="shared" si="63"/>
        <v>0.7</v>
      </c>
      <c r="T124" s="459">
        <f t="shared" si="51"/>
        <v>0</v>
      </c>
      <c r="U124" s="441" t="str">
        <f t="shared" si="49"/>
        <v>OK</v>
      </c>
      <c r="V124" s="817">
        <f t="shared" si="50"/>
        <v>0</v>
      </c>
    </row>
    <row r="125" spans="3:22">
      <c r="C125" s="821" t="str">
        <f t="shared" si="58"/>
        <v>Pipeline NA</v>
      </c>
      <c r="D125" s="268"/>
      <c r="E125" s="268"/>
      <c r="F125" s="268"/>
      <c r="G125" s="268"/>
      <c r="H125" s="1621"/>
      <c r="I125" s="1621"/>
      <c r="J125" s="1621"/>
      <c r="K125" s="1621"/>
      <c r="L125" s="343">
        <f t="shared" si="63"/>
        <v>0.7</v>
      </c>
      <c r="M125" s="343">
        <f t="shared" si="63"/>
        <v>0.7</v>
      </c>
      <c r="N125" s="343">
        <f t="shared" si="63"/>
        <v>0.7</v>
      </c>
      <c r="O125" s="343">
        <f t="shared" si="63"/>
        <v>0.7</v>
      </c>
      <c r="P125" s="343">
        <f t="shared" si="63"/>
        <v>0.7</v>
      </c>
      <c r="Q125" s="343">
        <f t="shared" si="63"/>
        <v>0.7</v>
      </c>
      <c r="R125" s="1616">
        <f t="shared" si="63"/>
        <v>0.7</v>
      </c>
      <c r="T125" s="459">
        <f t="shared" si="51"/>
        <v>0</v>
      </c>
      <c r="U125" s="441" t="str">
        <f t="shared" si="49"/>
        <v>OK</v>
      </c>
      <c r="V125" s="817">
        <f t="shared" si="50"/>
        <v>0</v>
      </c>
    </row>
    <row r="126" spans="3:22">
      <c r="C126" s="821" t="str">
        <f t="shared" si="58"/>
        <v>Potential Business Events</v>
      </c>
      <c r="D126" s="268"/>
      <c r="E126" s="268"/>
      <c r="F126" s="268"/>
      <c r="G126" s="268"/>
      <c r="H126" s="1621"/>
      <c r="I126" s="1621"/>
      <c r="J126" s="1621"/>
      <c r="K126" s="1621"/>
      <c r="L126" s="343">
        <f t="shared" si="63"/>
        <v>0.7</v>
      </c>
      <c r="M126" s="343">
        <f t="shared" si="63"/>
        <v>0.7</v>
      </c>
      <c r="N126" s="343">
        <f t="shared" si="63"/>
        <v>0.7</v>
      </c>
      <c r="O126" s="343">
        <f t="shared" si="63"/>
        <v>0.7</v>
      </c>
      <c r="P126" s="343">
        <f t="shared" si="63"/>
        <v>0.7</v>
      </c>
      <c r="Q126" s="343">
        <f t="shared" si="63"/>
        <v>0.7</v>
      </c>
      <c r="R126" s="1616">
        <f t="shared" si="63"/>
        <v>0.7</v>
      </c>
      <c r="T126" s="459">
        <f t="shared" si="51"/>
        <v>0</v>
      </c>
      <c r="U126" s="441" t="str">
        <f t="shared" si="49"/>
        <v>OK</v>
      </c>
      <c r="V126" s="817">
        <f t="shared" si="50"/>
        <v>0</v>
      </c>
    </row>
    <row r="127" spans="3:22">
      <c r="C127" s="821" t="str">
        <f t="shared" si="58"/>
        <v>Potential NA</v>
      </c>
      <c r="D127" s="268"/>
      <c r="E127" s="268"/>
      <c r="F127" s="268"/>
      <c r="G127" s="268"/>
      <c r="H127" s="1621"/>
      <c r="I127" s="1621"/>
      <c r="J127" s="1621"/>
      <c r="K127" s="1621"/>
      <c r="L127" s="343">
        <f t="shared" si="63"/>
        <v>0.7</v>
      </c>
      <c r="M127" s="343">
        <f t="shared" si="63"/>
        <v>0.7</v>
      </c>
      <c r="N127" s="343">
        <f t="shared" si="63"/>
        <v>0.7</v>
      </c>
      <c r="O127" s="343">
        <f t="shared" si="63"/>
        <v>0.7</v>
      </c>
      <c r="P127" s="343">
        <f t="shared" si="63"/>
        <v>0.7</v>
      </c>
      <c r="Q127" s="343">
        <f t="shared" si="63"/>
        <v>0.7</v>
      </c>
      <c r="R127" s="1616">
        <f t="shared" si="63"/>
        <v>0.7</v>
      </c>
      <c r="T127" s="459">
        <f t="shared" si="51"/>
        <v>0</v>
      </c>
      <c r="U127" s="441" t="str">
        <f t="shared" si="49"/>
        <v>OK</v>
      </c>
      <c r="V127" s="817">
        <f t="shared" si="50"/>
        <v>0</v>
      </c>
    </row>
    <row r="128" spans="3:22">
      <c r="C128" s="821" t="str">
        <f t="shared" si="58"/>
        <v>Potential NA</v>
      </c>
      <c r="D128" s="268"/>
      <c r="E128" s="268"/>
      <c r="F128" s="268"/>
      <c r="G128" s="268"/>
      <c r="H128" s="1621"/>
      <c r="I128" s="1621"/>
      <c r="J128" s="1621"/>
      <c r="K128" s="1621"/>
      <c r="L128" s="343">
        <f t="shared" si="63"/>
        <v>0.7</v>
      </c>
      <c r="M128" s="343">
        <f t="shared" si="63"/>
        <v>0.7</v>
      </c>
      <c r="N128" s="343">
        <f t="shared" si="63"/>
        <v>0.7</v>
      </c>
      <c r="O128" s="343">
        <f t="shared" si="63"/>
        <v>0.7</v>
      </c>
      <c r="P128" s="343">
        <f t="shared" si="63"/>
        <v>0.7</v>
      </c>
      <c r="Q128" s="343">
        <f t="shared" si="63"/>
        <v>0.7</v>
      </c>
      <c r="R128" s="1616">
        <f t="shared" si="63"/>
        <v>0.7</v>
      </c>
      <c r="T128" s="459">
        <f t="shared" si="51"/>
        <v>0</v>
      </c>
      <c r="U128" s="441" t="str">
        <f t="shared" si="49"/>
        <v>OK</v>
      </c>
      <c r="V128" s="817">
        <f t="shared" si="50"/>
        <v>0</v>
      </c>
    </row>
    <row r="129" spans="3:22">
      <c r="C129" s="821" t="str">
        <f t="shared" si="58"/>
        <v>Potential NA</v>
      </c>
      <c r="D129" s="268"/>
      <c r="E129" s="268"/>
      <c r="F129" s="268"/>
      <c r="G129" s="268"/>
      <c r="H129" s="1621"/>
      <c r="I129" s="1621"/>
      <c r="J129" s="1621"/>
      <c r="K129" s="1621"/>
      <c r="L129" s="343">
        <f t="shared" si="63"/>
        <v>0.7</v>
      </c>
      <c r="M129" s="343">
        <f t="shared" si="63"/>
        <v>0.7</v>
      </c>
      <c r="N129" s="343">
        <f t="shared" si="63"/>
        <v>0.7</v>
      </c>
      <c r="O129" s="343">
        <f t="shared" si="63"/>
        <v>0.7</v>
      </c>
      <c r="P129" s="343">
        <f t="shared" si="63"/>
        <v>0.7</v>
      </c>
      <c r="Q129" s="343">
        <f t="shared" si="63"/>
        <v>0.7</v>
      </c>
      <c r="R129" s="1616">
        <f t="shared" si="63"/>
        <v>0.7</v>
      </c>
      <c r="T129" s="459">
        <f t="shared" si="51"/>
        <v>0</v>
      </c>
      <c r="U129" s="441" t="str">
        <f t="shared" si="49"/>
        <v>OK</v>
      </c>
      <c r="V129" s="817">
        <f t="shared" si="50"/>
        <v>0</v>
      </c>
    </row>
    <row r="130" spans="3:22">
      <c r="C130" s="876"/>
      <c r="D130" s="877"/>
      <c r="E130" s="877"/>
      <c r="F130" s="877"/>
      <c r="G130" s="877"/>
      <c r="H130" s="878"/>
      <c r="I130" s="878"/>
      <c r="J130" s="878"/>
      <c r="K130" s="878"/>
      <c r="L130" s="878"/>
      <c r="M130" s="878"/>
      <c r="N130" s="878"/>
      <c r="O130" s="878"/>
      <c r="P130" s="878"/>
      <c r="Q130" s="878"/>
      <c r="R130" s="879"/>
      <c r="T130" s="459" t="str">
        <f t="shared" si="51"/>
        <v>-</v>
      </c>
      <c r="U130" s="441" t="str">
        <f t="shared" ref="U130:U162" si="66">IFERROR(IF(K130+L130=M130,"OK","VARIANCE"),"")</f>
        <v>OK</v>
      </c>
      <c r="V130" s="817">
        <f t="shared" ref="V130:V161" si="67">IFERROR((K130/ytd.months)*12,"NA")</f>
        <v>0</v>
      </c>
    </row>
    <row r="131" spans="3:22">
      <c r="C131" s="872" t="s">
        <v>1902</v>
      </c>
      <c r="D131" s="873"/>
      <c r="E131" s="873"/>
      <c r="F131" s="873"/>
      <c r="G131" s="873"/>
      <c r="H131" s="874"/>
      <c r="I131" s="874"/>
      <c r="J131" s="874"/>
      <c r="K131" s="874"/>
      <c r="L131" s="874"/>
      <c r="M131" s="874"/>
      <c r="N131" s="874"/>
      <c r="O131" s="874"/>
      <c r="P131" s="874"/>
      <c r="Q131" s="874"/>
      <c r="R131" s="875"/>
      <c r="T131" s="459" t="str">
        <f t="shared" si="51"/>
        <v>-</v>
      </c>
      <c r="U131" s="441" t="str">
        <f t="shared" si="66"/>
        <v>OK</v>
      </c>
      <c r="V131" s="817">
        <f t="shared" si="67"/>
        <v>0</v>
      </c>
    </row>
    <row r="132" spans="3:22">
      <c r="C132" s="821" t="str">
        <f>C118</f>
        <v>Existing Aerial Arts</v>
      </c>
      <c r="D132" s="293"/>
      <c r="E132" s="293"/>
      <c r="F132" s="293"/>
      <c r="G132" s="293"/>
      <c r="H132" s="1626">
        <f>Hist.Fin!H31</f>
        <v>0</v>
      </c>
      <c r="I132" s="1626">
        <f>Hist.Fin!I31</f>
        <v>0</v>
      </c>
      <c r="J132" s="1626">
        <f>Hist.Fin!J31</f>
        <v>0</v>
      </c>
      <c r="K132" s="1626">
        <f>Hist.Fin!K31</f>
        <v>0</v>
      </c>
      <c r="L132" s="880">
        <f>M132</f>
        <v>0.3</v>
      </c>
      <c r="M132" s="1610">
        <f>Inputs!L167</f>
        <v>0.3</v>
      </c>
      <c r="N132" s="1611">
        <f>Inputs!M167</f>
        <v>0.3</v>
      </c>
      <c r="O132" s="1610">
        <f>Inputs!N167</f>
        <v>0.3</v>
      </c>
      <c r="P132" s="1610">
        <f>Inputs!O167</f>
        <v>0.3</v>
      </c>
      <c r="Q132" s="1610">
        <f>Inputs!P167</f>
        <v>0.3</v>
      </c>
      <c r="R132" s="1612">
        <f>Inputs!Q167</f>
        <v>0.3</v>
      </c>
      <c r="T132" s="459">
        <f t="shared" si="51"/>
        <v>0</v>
      </c>
      <c r="U132" s="441" t="str">
        <f t="shared" si="66"/>
        <v>OK</v>
      </c>
      <c r="V132" s="817">
        <f t="shared" si="67"/>
        <v>0</v>
      </c>
    </row>
    <row r="133" spans="3:22">
      <c r="C133" s="821" t="str">
        <f t="shared" ref="C133:C143" si="68">C119</f>
        <v>Existing Pole Dance</v>
      </c>
      <c r="D133" s="293"/>
      <c r="E133" s="293"/>
      <c r="F133" s="293"/>
      <c r="G133" s="293"/>
      <c r="H133" s="1626">
        <f>Hist.Fin!H32</f>
        <v>0</v>
      </c>
      <c r="I133" s="1626">
        <f>Hist.Fin!I32</f>
        <v>0</v>
      </c>
      <c r="J133" s="1626">
        <f>Hist.Fin!J32</f>
        <v>0</v>
      </c>
      <c r="K133" s="1626">
        <f>Hist.Fin!K32</f>
        <v>0</v>
      </c>
      <c r="L133" s="880">
        <f t="shared" ref="L133:L143" si="69">M133</f>
        <v>0.3</v>
      </c>
      <c r="M133" s="1610">
        <f>Inputs!L168</f>
        <v>0.3</v>
      </c>
      <c r="N133" s="1613">
        <f>Inputs!M168</f>
        <v>0.3</v>
      </c>
      <c r="O133" s="1613">
        <f>Inputs!N168</f>
        <v>0.3</v>
      </c>
      <c r="P133" s="1613">
        <f>Inputs!O168</f>
        <v>0.3</v>
      </c>
      <c r="Q133" s="1613">
        <f>Inputs!P168</f>
        <v>0.3</v>
      </c>
      <c r="R133" s="1612">
        <f>Inputs!Q168</f>
        <v>0.3</v>
      </c>
      <c r="T133" s="459">
        <f t="shared" si="51"/>
        <v>0</v>
      </c>
      <c r="U133" s="441" t="str">
        <f t="shared" si="66"/>
        <v>OK</v>
      </c>
      <c r="V133" s="817">
        <f t="shared" si="67"/>
        <v>0</v>
      </c>
    </row>
    <row r="134" spans="3:22">
      <c r="C134" s="821" t="str">
        <f t="shared" si="68"/>
        <v>Existing Stretching</v>
      </c>
      <c r="D134" s="293"/>
      <c r="E134" s="293"/>
      <c r="F134" s="293"/>
      <c r="G134" s="293"/>
      <c r="H134" s="1626">
        <f>Hist.Fin!H33</f>
        <v>0</v>
      </c>
      <c r="I134" s="1626">
        <f>Hist.Fin!I33</f>
        <v>0</v>
      </c>
      <c r="J134" s="1626">
        <f>Hist.Fin!J33</f>
        <v>0</v>
      </c>
      <c r="K134" s="1626">
        <f>Hist.Fin!K33</f>
        <v>0</v>
      </c>
      <c r="L134" s="880">
        <f t="shared" si="69"/>
        <v>0.3</v>
      </c>
      <c r="M134" s="1610">
        <f>Inputs!L169</f>
        <v>0.3</v>
      </c>
      <c r="N134" s="1613">
        <f>Inputs!M169</f>
        <v>0.3</v>
      </c>
      <c r="O134" s="1610">
        <f>Inputs!N169</f>
        <v>0.3</v>
      </c>
      <c r="P134" s="1610">
        <f>Inputs!O169</f>
        <v>0.3</v>
      </c>
      <c r="Q134" s="1610">
        <f>Inputs!P169</f>
        <v>0.3</v>
      </c>
      <c r="R134" s="1612">
        <f>Inputs!Q169</f>
        <v>0.3</v>
      </c>
      <c r="T134" s="459">
        <f t="shared" si="51"/>
        <v>0</v>
      </c>
      <c r="U134" s="441" t="str">
        <f t="shared" si="66"/>
        <v>OK</v>
      </c>
      <c r="V134" s="817">
        <f t="shared" si="67"/>
        <v>0</v>
      </c>
    </row>
    <row r="135" spans="3:22">
      <c r="C135" s="821" t="str">
        <f t="shared" si="68"/>
        <v>Existing NA</v>
      </c>
      <c r="D135" s="293"/>
      <c r="E135" s="293"/>
      <c r="F135" s="293"/>
      <c r="G135" s="293"/>
      <c r="H135" s="1626">
        <f>Hist.Fin!H34</f>
        <v>0</v>
      </c>
      <c r="I135" s="1626">
        <f>Hist.Fin!I34</f>
        <v>0</v>
      </c>
      <c r="J135" s="1626">
        <f>Hist.Fin!J34</f>
        <v>0</v>
      </c>
      <c r="K135" s="1626">
        <f>Hist.Fin!K34</f>
        <v>0</v>
      </c>
      <c r="L135" s="880">
        <f t="shared" si="69"/>
        <v>0.3</v>
      </c>
      <c r="M135" s="1610">
        <f>Inputs!L170</f>
        <v>0.3</v>
      </c>
      <c r="N135" s="1613">
        <f>Inputs!M170</f>
        <v>0.3</v>
      </c>
      <c r="O135" s="1610">
        <f>Inputs!N170</f>
        <v>0.3</v>
      </c>
      <c r="P135" s="1610">
        <f>Inputs!O170</f>
        <v>0.3</v>
      </c>
      <c r="Q135" s="1610">
        <f>Inputs!P170</f>
        <v>0.3</v>
      </c>
      <c r="R135" s="1612">
        <f>Inputs!Q170</f>
        <v>0.3</v>
      </c>
      <c r="T135" s="459">
        <f t="shared" si="51"/>
        <v>0</v>
      </c>
      <c r="U135" s="441" t="str">
        <f t="shared" si="66"/>
        <v>OK</v>
      </c>
      <c r="V135" s="817">
        <f t="shared" si="67"/>
        <v>0</v>
      </c>
    </row>
    <row r="136" spans="3:22">
      <c r="C136" s="821" t="str">
        <f t="shared" si="68"/>
        <v>Pipeline Corporate Clients</v>
      </c>
      <c r="D136" s="293"/>
      <c r="E136" s="293"/>
      <c r="F136" s="293"/>
      <c r="G136" s="293"/>
      <c r="H136" s="1622"/>
      <c r="I136" s="1622"/>
      <c r="J136" s="1622"/>
      <c r="K136" s="1622"/>
      <c r="L136" s="880">
        <f t="shared" si="69"/>
        <v>0.3</v>
      </c>
      <c r="M136" s="1610">
        <f>Inputs!L171</f>
        <v>0.3</v>
      </c>
      <c r="N136" s="1613">
        <f>Inputs!M171</f>
        <v>0.3</v>
      </c>
      <c r="O136" s="1610">
        <f>Inputs!N171</f>
        <v>0.3</v>
      </c>
      <c r="P136" s="1610">
        <f>Inputs!O171</f>
        <v>0.3</v>
      </c>
      <c r="Q136" s="1610">
        <f>Inputs!P171</f>
        <v>0.3</v>
      </c>
      <c r="R136" s="1612">
        <f>Inputs!Q171</f>
        <v>0.3</v>
      </c>
      <c r="T136" s="459">
        <f t="shared" si="51"/>
        <v>0</v>
      </c>
      <c r="U136" s="441" t="str">
        <f t="shared" si="66"/>
        <v>OK</v>
      </c>
      <c r="V136" s="817">
        <f t="shared" si="67"/>
        <v>0</v>
      </c>
    </row>
    <row r="137" spans="3:22">
      <c r="C137" s="821" t="str">
        <f t="shared" si="68"/>
        <v>Pipeline NA</v>
      </c>
      <c r="D137" s="293"/>
      <c r="E137" s="293"/>
      <c r="F137" s="293"/>
      <c r="G137" s="293"/>
      <c r="H137" s="1622"/>
      <c r="I137" s="1622"/>
      <c r="J137" s="1622"/>
      <c r="K137" s="1622"/>
      <c r="L137" s="880">
        <f t="shared" si="69"/>
        <v>0.3</v>
      </c>
      <c r="M137" s="1610">
        <f>Inputs!L172</f>
        <v>0.3</v>
      </c>
      <c r="N137" s="1613">
        <f>Inputs!M172</f>
        <v>0.3</v>
      </c>
      <c r="O137" s="1610">
        <f>Inputs!N172</f>
        <v>0.3</v>
      </c>
      <c r="P137" s="1610">
        <f>Inputs!O172</f>
        <v>0.3</v>
      </c>
      <c r="Q137" s="1610">
        <f>Inputs!P172</f>
        <v>0.3</v>
      </c>
      <c r="R137" s="1612">
        <f>Inputs!Q172</f>
        <v>0.3</v>
      </c>
      <c r="T137" s="459">
        <f t="shared" si="51"/>
        <v>0</v>
      </c>
      <c r="U137" s="441" t="str">
        <f t="shared" si="66"/>
        <v>OK</v>
      </c>
      <c r="V137" s="817">
        <f t="shared" si="67"/>
        <v>0</v>
      </c>
    </row>
    <row r="138" spans="3:22">
      <c r="C138" s="821" t="str">
        <f t="shared" si="68"/>
        <v>Pipeline NA</v>
      </c>
      <c r="D138" s="293"/>
      <c r="E138" s="293"/>
      <c r="F138" s="293"/>
      <c r="G138" s="293"/>
      <c r="H138" s="1622"/>
      <c r="I138" s="1622"/>
      <c r="J138" s="1622"/>
      <c r="K138" s="1622"/>
      <c r="L138" s="880">
        <f t="shared" si="69"/>
        <v>0.3</v>
      </c>
      <c r="M138" s="1610">
        <f>Inputs!L173</f>
        <v>0.3</v>
      </c>
      <c r="N138" s="1613">
        <f>Inputs!M173</f>
        <v>0.3</v>
      </c>
      <c r="O138" s="1610">
        <f>Inputs!N173</f>
        <v>0.3</v>
      </c>
      <c r="P138" s="1610">
        <f>Inputs!O173</f>
        <v>0.3</v>
      </c>
      <c r="Q138" s="1610">
        <f>Inputs!P173</f>
        <v>0.3</v>
      </c>
      <c r="R138" s="1612">
        <f>Inputs!Q173</f>
        <v>0.3</v>
      </c>
      <c r="T138" s="459">
        <f t="shared" si="51"/>
        <v>0</v>
      </c>
      <c r="U138" s="441" t="str">
        <f t="shared" si="66"/>
        <v>OK</v>
      </c>
      <c r="V138" s="817">
        <f t="shared" si="67"/>
        <v>0</v>
      </c>
    </row>
    <row r="139" spans="3:22">
      <c r="C139" s="821" t="str">
        <f t="shared" si="68"/>
        <v>Pipeline NA</v>
      </c>
      <c r="D139" s="293"/>
      <c r="E139" s="293"/>
      <c r="F139" s="293"/>
      <c r="G139" s="293"/>
      <c r="H139" s="1622"/>
      <c r="I139" s="1622"/>
      <c r="J139" s="1622"/>
      <c r="K139" s="1622"/>
      <c r="L139" s="880">
        <f t="shared" si="69"/>
        <v>0.3</v>
      </c>
      <c r="M139" s="1610">
        <f>Inputs!L174</f>
        <v>0.3</v>
      </c>
      <c r="N139" s="1613">
        <f>Inputs!M174</f>
        <v>0.3</v>
      </c>
      <c r="O139" s="1610">
        <f>Inputs!N174</f>
        <v>0.3</v>
      </c>
      <c r="P139" s="1610">
        <f>Inputs!O174</f>
        <v>0.3</v>
      </c>
      <c r="Q139" s="1610">
        <f>Inputs!P174</f>
        <v>0.3</v>
      </c>
      <c r="R139" s="1612">
        <f>Inputs!Q174</f>
        <v>0.3</v>
      </c>
      <c r="T139" s="459">
        <f t="shared" si="51"/>
        <v>0</v>
      </c>
      <c r="U139" s="441" t="str">
        <f t="shared" si="66"/>
        <v>OK</v>
      </c>
      <c r="V139" s="817">
        <f t="shared" si="67"/>
        <v>0</v>
      </c>
    </row>
    <row r="140" spans="3:22">
      <c r="C140" s="821" t="str">
        <f t="shared" si="68"/>
        <v>Potential Business Events</v>
      </c>
      <c r="D140" s="293"/>
      <c r="E140" s="293"/>
      <c r="F140" s="293"/>
      <c r="G140" s="293"/>
      <c r="H140" s="1622"/>
      <c r="I140" s="1622"/>
      <c r="J140" s="1622"/>
      <c r="K140" s="1622"/>
      <c r="L140" s="880">
        <f t="shared" si="69"/>
        <v>0.3</v>
      </c>
      <c r="M140" s="1610">
        <f>Inputs!L175</f>
        <v>0.3</v>
      </c>
      <c r="N140" s="1613">
        <f>Inputs!M175</f>
        <v>0.3</v>
      </c>
      <c r="O140" s="1610">
        <f>Inputs!N175</f>
        <v>0.3</v>
      </c>
      <c r="P140" s="1610">
        <f>Inputs!O175</f>
        <v>0.3</v>
      </c>
      <c r="Q140" s="1610">
        <f>Inputs!P175</f>
        <v>0.3</v>
      </c>
      <c r="R140" s="1612">
        <f>Inputs!Q175</f>
        <v>0.3</v>
      </c>
      <c r="T140" s="459">
        <f t="shared" si="51"/>
        <v>0</v>
      </c>
      <c r="U140" s="441" t="str">
        <f t="shared" si="66"/>
        <v>OK</v>
      </c>
      <c r="V140" s="817">
        <f t="shared" si="67"/>
        <v>0</v>
      </c>
    </row>
    <row r="141" spans="3:22">
      <c r="C141" s="821" t="str">
        <f t="shared" si="68"/>
        <v>Potential NA</v>
      </c>
      <c r="D141" s="293"/>
      <c r="E141" s="293"/>
      <c r="F141" s="293"/>
      <c r="G141" s="293"/>
      <c r="H141" s="1622"/>
      <c r="I141" s="1622"/>
      <c r="J141" s="1622"/>
      <c r="K141" s="1622"/>
      <c r="L141" s="880">
        <f t="shared" si="69"/>
        <v>0.3</v>
      </c>
      <c r="M141" s="1610">
        <f>Inputs!L176</f>
        <v>0.3</v>
      </c>
      <c r="N141" s="1613">
        <f>Inputs!M176</f>
        <v>0.3</v>
      </c>
      <c r="O141" s="1610">
        <f>Inputs!N176</f>
        <v>0.3</v>
      </c>
      <c r="P141" s="1610">
        <f>Inputs!O176</f>
        <v>0.3</v>
      </c>
      <c r="Q141" s="1610">
        <f>Inputs!P176</f>
        <v>0.3</v>
      </c>
      <c r="R141" s="1612">
        <f>Inputs!Q176</f>
        <v>0.3</v>
      </c>
      <c r="T141" s="459">
        <f t="shared" si="51"/>
        <v>0</v>
      </c>
      <c r="U141" s="441" t="str">
        <f t="shared" si="66"/>
        <v>OK</v>
      </c>
      <c r="V141" s="817">
        <f t="shared" si="67"/>
        <v>0</v>
      </c>
    </row>
    <row r="142" spans="3:22">
      <c r="C142" s="821" t="str">
        <f t="shared" si="68"/>
        <v>Potential NA</v>
      </c>
      <c r="D142" s="293"/>
      <c r="E142" s="293"/>
      <c r="F142" s="293"/>
      <c r="G142" s="293"/>
      <c r="H142" s="1622"/>
      <c r="I142" s="1622"/>
      <c r="J142" s="1622"/>
      <c r="K142" s="1622"/>
      <c r="L142" s="880">
        <f t="shared" si="69"/>
        <v>0.3</v>
      </c>
      <c r="M142" s="1610">
        <f>Inputs!L177</f>
        <v>0.3</v>
      </c>
      <c r="N142" s="1613">
        <f>Inputs!M177</f>
        <v>0.3</v>
      </c>
      <c r="O142" s="1610">
        <f>Inputs!N177</f>
        <v>0.3</v>
      </c>
      <c r="P142" s="1610">
        <f>Inputs!O177</f>
        <v>0.3</v>
      </c>
      <c r="Q142" s="1610">
        <f>Inputs!P177</f>
        <v>0.3</v>
      </c>
      <c r="R142" s="1612">
        <f>Inputs!Q177</f>
        <v>0.3</v>
      </c>
      <c r="T142" s="459">
        <f t="shared" si="51"/>
        <v>0</v>
      </c>
      <c r="U142" s="441" t="str">
        <f t="shared" si="66"/>
        <v>OK</v>
      </c>
      <c r="V142" s="817">
        <f t="shared" si="67"/>
        <v>0</v>
      </c>
    </row>
    <row r="143" spans="3:22">
      <c r="C143" s="842" t="str">
        <f t="shared" si="68"/>
        <v>Potential NA</v>
      </c>
      <c r="D143" s="310"/>
      <c r="E143" s="310"/>
      <c r="F143" s="310"/>
      <c r="G143" s="310"/>
      <c r="H143" s="1623"/>
      <c r="I143" s="1623"/>
      <c r="J143" s="1623"/>
      <c r="K143" s="1623"/>
      <c r="L143" s="881">
        <f t="shared" si="69"/>
        <v>0.3</v>
      </c>
      <c r="M143" s="1614">
        <f>Inputs!L178</f>
        <v>0.3</v>
      </c>
      <c r="N143" s="1614">
        <f>Inputs!M178</f>
        <v>0.3</v>
      </c>
      <c r="O143" s="1614">
        <f>Inputs!N178</f>
        <v>0.3</v>
      </c>
      <c r="P143" s="1614">
        <f>Inputs!O178</f>
        <v>0.3</v>
      </c>
      <c r="Q143" s="1614">
        <f>Inputs!P178</f>
        <v>0.3</v>
      </c>
      <c r="R143" s="1615">
        <f>Inputs!Q178</f>
        <v>0.3</v>
      </c>
      <c r="T143" s="459">
        <f t="shared" si="51"/>
        <v>0</v>
      </c>
      <c r="U143" s="441" t="str">
        <f t="shared" si="66"/>
        <v>OK</v>
      </c>
      <c r="V143" s="817">
        <f t="shared" si="67"/>
        <v>0</v>
      </c>
    </row>
    <row r="144" spans="3:22">
      <c r="C144" s="293"/>
      <c r="D144" s="293"/>
      <c r="E144" s="293"/>
      <c r="F144" s="293"/>
      <c r="G144" s="293"/>
      <c r="H144" s="293"/>
      <c r="I144" s="293"/>
      <c r="J144" s="293"/>
      <c r="K144" s="293"/>
      <c r="L144" s="293"/>
      <c r="M144" s="293"/>
      <c r="N144" s="293"/>
      <c r="O144" s="293"/>
      <c r="P144" s="293"/>
      <c r="Q144" s="293"/>
      <c r="R144" s="293"/>
      <c r="T144" s="459" t="str">
        <f t="shared" si="51"/>
        <v>-</v>
      </c>
      <c r="U144" s="441" t="str">
        <f t="shared" si="66"/>
        <v>OK</v>
      </c>
      <c r="V144" s="817">
        <f t="shared" si="67"/>
        <v>0</v>
      </c>
    </row>
    <row r="145" spans="3:22">
      <c r="C145" s="846" t="s">
        <v>1910</v>
      </c>
      <c r="D145" s="847"/>
      <c r="E145" s="847"/>
      <c r="F145" s="847"/>
      <c r="G145" s="847"/>
      <c r="H145" s="848" t="str">
        <f t="shared" ref="H145:R145" si="70">H7</f>
        <v>FY21</v>
      </c>
      <c r="I145" s="848" t="str">
        <f t="shared" si="70"/>
        <v>FY22</v>
      </c>
      <c r="J145" s="849" t="str">
        <f t="shared" si="70"/>
        <v>FY23</v>
      </c>
      <c r="K145" s="849" t="str">
        <f t="shared" si="70"/>
        <v>YTD24</v>
      </c>
      <c r="L145" s="849" t="str">
        <f t="shared" si="70"/>
        <v>YTG24</v>
      </c>
      <c r="M145" s="850" t="str">
        <f t="shared" si="70"/>
        <v>FY24</v>
      </c>
      <c r="N145" s="848" t="str">
        <f t="shared" si="70"/>
        <v>FY25</v>
      </c>
      <c r="O145" s="848" t="str">
        <f t="shared" si="70"/>
        <v>FY26</v>
      </c>
      <c r="P145" s="848" t="str">
        <f t="shared" si="70"/>
        <v>FY27</v>
      </c>
      <c r="Q145" s="848" t="str">
        <f t="shared" si="70"/>
        <v>FY28</v>
      </c>
      <c r="R145" s="851" t="str">
        <f t="shared" si="70"/>
        <v>FY29</v>
      </c>
      <c r="T145" s="459" t="str">
        <f t="shared" si="51"/>
        <v>-</v>
      </c>
      <c r="U145" s="441" t="str">
        <f t="shared" si="66"/>
        <v/>
      </c>
      <c r="V145" s="817" t="str">
        <f t="shared" si="67"/>
        <v>NA</v>
      </c>
    </row>
    <row r="146" spans="3:22">
      <c r="C146" s="807" t="str">
        <f>currency.heading1</f>
        <v>USD 'Units</v>
      </c>
      <c r="D146" s="801"/>
      <c r="E146" s="801"/>
      <c r="F146" s="801"/>
      <c r="G146" s="801"/>
      <c r="H146" s="252" t="str">
        <f t="shared" ref="H146:R146" si="71">H8</f>
        <v>Actual</v>
      </c>
      <c r="I146" s="252" t="str">
        <f t="shared" si="71"/>
        <v>Actual</v>
      </c>
      <c r="J146" s="882" t="str">
        <f t="shared" si="71"/>
        <v>Actual</v>
      </c>
      <c r="K146" s="882" t="str">
        <f t="shared" si="71"/>
        <v>Actual</v>
      </c>
      <c r="L146" s="882" t="str">
        <f t="shared" si="71"/>
        <v>Estimate</v>
      </c>
      <c r="M146" s="883" t="str">
        <f t="shared" si="71"/>
        <v>Estimate</v>
      </c>
      <c r="N146" s="883" t="str">
        <f t="shared" si="71"/>
        <v>Estimate</v>
      </c>
      <c r="O146" s="252" t="str">
        <f t="shared" si="71"/>
        <v>Forecast</v>
      </c>
      <c r="P146" s="252" t="str">
        <f t="shared" si="71"/>
        <v>Forecast</v>
      </c>
      <c r="Q146" s="252" t="str">
        <f t="shared" si="71"/>
        <v>Forecast</v>
      </c>
      <c r="R146" s="882" t="str">
        <f t="shared" si="71"/>
        <v>Forecast</v>
      </c>
      <c r="T146" s="459" t="str">
        <f t="shared" si="51"/>
        <v>-</v>
      </c>
      <c r="U146" s="441" t="str">
        <f t="shared" si="66"/>
        <v/>
      </c>
      <c r="V146" s="817" t="str">
        <f t="shared" si="67"/>
        <v>NA</v>
      </c>
    </row>
    <row r="147" spans="3:22">
      <c r="C147" s="855" t="s">
        <v>1911</v>
      </c>
      <c r="D147" s="268"/>
      <c r="E147" s="268"/>
      <c r="F147" s="268"/>
      <c r="G147" s="268"/>
      <c r="H147" s="1627">
        <f>Hist.Fin!H37</f>
        <v>0</v>
      </c>
      <c r="I147" s="1627">
        <f>Hist.Fin!I37</f>
        <v>0</v>
      </c>
      <c r="J147" s="1627">
        <f>Hist.Fin!J37</f>
        <v>0</v>
      </c>
      <c r="K147" s="1627">
        <f>Hist.Fin!K37</f>
        <v>0</v>
      </c>
      <c r="L147" s="886">
        <f>IF(ytg.approach=Inputs!$C$39,K147*ytg.actual,IF(ytg.approach=Inputs!$C$40,ytg.mgt*M147,M147-K147))</f>
        <v>5000</v>
      </c>
      <c r="M147" s="885">
        <f>IF(Inputs!$D$181="Selected",Inputs!L182,Inputs!L194)</f>
        <v>5000</v>
      </c>
      <c r="N147" s="885">
        <f>IF(Inputs!$D$181="Selected",Inputs!M182,M147*(1+N158))</f>
        <v>5000</v>
      </c>
      <c r="O147" s="885">
        <f>IF(Inputs!$D$181="Selected",Inputs!N182,N147*(1+O158))</f>
        <v>5000</v>
      </c>
      <c r="P147" s="885">
        <f>IF(Inputs!$D$181="Selected",Inputs!O182,O147*(1+P158))</f>
        <v>5000</v>
      </c>
      <c r="Q147" s="885">
        <f>IF(Inputs!$D$181="Selected",Inputs!P182,P147*(1+Q158))</f>
        <v>5000</v>
      </c>
      <c r="R147" s="1577">
        <f>IF(Inputs!$D$181="Selected",Inputs!Q182,Q147*(1+R158))</f>
        <v>5000</v>
      </c>
      <c r="T147" s="459">
        <f t="shared" si="51"/>
        <v>0</v>
      </c>
      <c r="U147" s="441" t="str">
        <f t="shared" si="66"/>
        <v>OK</v>
      </c>
      <c r="V147" s="817">
        <f t="shared" si="67"/>
        <v>0</v>
      </c>
    </row>
    <row r="148" spans="3:22">
      <c r="C148" s="855" t="s">
        <v>1912</v>
      </c>
      <c r="D148" s="268"/>
      <c r="E148" s="268"/>
      <c r="F148" s="268"/>
      <c r="G148" s="268"/>
      <c r="H148" s="1627">
        <f>Hist.Fin!H38</f>
        <v>0</v>
      </c>
      <c r="I148" s="1627">
        <f>Hist.Fin!I38</f>
        <v>0</v>
      </c>
      <c r="J148" s="1627">
        <f>Hist.Fin!J38</f>
        <v>0</v>
      </c>
      <c r="K148" s="1627">
        <f>Hist.Fin!K38</f>
        <v>0</v>
      </c>
      <c r="L148" s="886">
        <f>IF(ytg.approach=Inputs!$C$39,K148*ytg.actual,IF(ytg.approach=Inputs!$C$40,ytg.mgt*M148,M148-K148))</f>
        <v>5000</v>
      </c>
      <c r="M148" s="885">
        <f>IF(Inputs!$D$181="Selected",Inputs!L183,Inputs!L195)</f>
        <v>5000</v>
      </c>
      <c r="N148" s="885">
        <f>IF(Inputs!$D$181="Selected",Inputs!M183,M148*(1+N159))</f>
        <v>5000</v>
      </c>
      <c r="O148" s="885">
        <f>IF(Inputs!$D$181="Selected",Inputs!N183,N148*(1+O159))</f>
        <v>5000</v>
      </c>
      <c r="P148" s="885">
        <f>IF(Inputs!$D$181="Selected",Inputs!O183,O148*(1+P159))</f>
        <v>5000</v>
      </c>
      <c r="Q148" s="885">
        <f>IF(Inputs!$D$181="Selected",Inputs!P183,P148*(1+Q159))</f>
        <v>5000</v>
      </c>
      <c r="R148" s="1578">
        <f>IF(Inputs!$D$181="Selected",Inputs!Q183,Q148*(1+R159))</f>
        <v>5000</v>
      </c>
      <c r="T148" s="459">
        <f t="shared" si="51"/>
        <v>0</v>
      </c>
      <c r="U148" s="441" t="str">
        <f t="shared" si="66"/>
        <v>OK</v>
      </c>
      <c r="V148" s="817">
        <f t="shared" si="67"/>
        <v>0</v>
      </c>
    </row>
    <row r="149" spans="3:22">
      <c r="C149" s="855" t="s">
        <v>1913</v>
      </c>
      <c r="D149" s="268"/>
      <c r="E149" s="268"/>
      <c r="F149" s="268"/>
      <c r="G149" s="268"/>
      <c r="H149" s="1627">
        <f>Hist.Fin!H39</f>
        <v>0</v>
      </c>
      <c r="I149" s="1627">
        <f>Hist.Fin!I39</f>
        <v>0</v>
      </c>
      <c r="J149" s="1627">
        <f>Hist.Fin!J39</f>
        <v>0</v>
      </c>
      <c r="K149" s="1627">
        <f>Hist.Fin!K39</f>
        <v>0</v>
      </c>
      <c r="L149" s="886">
        <f>IF(ytg.approach=Inputs!$C$39,K149*ytg.actual,IF(ytg.approach=Inputs!$C$40,ytg.mgt*M149,M149-K149))</f>
        <v>5000</v>
      </c>
      <c r="M149" s="885">
        <f>IF(Inputs!$D$181="Selected",Inputs!L184,Inputs!L196)</f>
        <v>5000</v>
      </c>
      <c r="N149" s="885">
        <f>IF(Inputs!$D$181="Selected",Inputs!M184,M149*(1+N160))</f>
        <v>5000</v>
      </c>
      <c r="O149" s="885">
        <f>IF(Inputs!$D$181="Selected",Inputs!N184,N149*(1+O160))</f>
        <v>5000</v>
      </c>
      <c r="P149" s="885">
        <f>IF(Inputs!$D$181="Selected",Inputs!O184,O149*(1+P160))</f>
        <v>5000</v>
      </c>
      <c r="Q149" s="885">
        <f>IF(Inputs!$D$181="Selected",Inputs!P184,P149*(1+Q160))</f>
        <v>5000</v>
      </c>
      <c r="R149" s="1578">
        <f>IF(Inputs!$D$181="Selected",Inputs!Q184,Q149*(1+R160))</f>
        <v>5000</v>
      </c>
      <c r="T149" s="459">
        <f t="shared" si="51"/>
        <v>0</v>
      </c>
      <c r="U149" s="441" t="str">
        <f t="shared" si="66"/>
        <v>OK</v>
      </c>
      <c r="V149" s="817">
        <f t="shared" si="67"/>
        <v>0</v>
      </c>
    </row>
    <row r="150" spans="3:22">
      <c r="C150" s="855" t="s">
        <v>1914</v>
      </c>
      <c r="D150" s="268"/>
      <c r="E150" s="268"/>
      <c r="F150" s="268"/>
      <c r="G150" s="268"/>
      <c r="H150" s="1627">
        <f>Hist.Fin!H40</f>
        <v>0</v>
      </c>
      <c r="I150" s="1627">
        <f>Hist.Fin!I40</f>
        <v>0</v>
      </c>
      <c r="J150" s="1627">
        <f>Hist.Fin!J40</f>
        <v>0</v>
      </c>
      <c r="K150" s="1627">
        <f>Hist.Fin!K40</f>
        <v>0</v>
      </c>
      <c r="L150" s="886">
        <f>IF(ytg.approach=Inputs!$C$39,K150*ytg.actual,IF(ytg.approach=Inputs!$C$40,ytg.mgt*M150,M150-K150))</f>
        <v>5000</v>
      </c>
      <c r="M150" s="885">
        <f>IF(Inputs!$D$181="Selected",Inputs!L185,Inputs!L197)</f>
        <v>5000</v>
      </c>
      <c r="N150" s="885">
        <f>IF(Inputs!$D$181="Selected",Inputs!M185,M150*(1+N161))</f>
        <v>5000</v>
      </c>
      <c r="O150" s="885">
        <f>IF(Inputs!$D$181="Selected",Inputs!N185,N150*(1+O161))</f>
        <v>5000</v>
      </c>
      <c r="P150" s="885">
        <f>IF(Inputs!$D$181="Selected",Inputs!O185,O150*(1+P161))</f>
        <v>5000</v>
      </c>
      <c r="Q150" s="885">
        <f>IF(Inputs!$D$181="Selected",Inputs!P185,P150*(1+Q161))</f>
        <v>5000</v>
      </c>
      <c r="R150" s="1578">
        <f>IF(Inputs!$D$181="Selected",Inputs!Q185,Q150*(1+R161))</f>
        <v>5000</v>
      </c>
      <c r="T150" s="459">
        <f t="shared" si="51"/>
        <v>0</v>
      </c>
      <c r="U150" s="441" t="str">
        <f t="shared" si="66"/>
        <v>OK</v>
      </c>
      <c r="V150" s="817">
        <f t="shared" si="67"/>
        <v>0</v>
      </c>
    </row>
    <row r="151" spans="3:22">
      <c r="C151" s="855" t="s">
        <v>1915</v>
      </c>
      <c r="D151" s="268"/>
      <c r="E151" s="268"/>
      <c r="F151" s="268"/>
      <c r="G151" s="268"/>
      <c r="H151" s="1627">
        <f>Hist.Fin!H41</f>
        <v>0</v>
      </c>
      <c r="I151" s="1627">
        <f>Hist.Fin!I41</f>
        <v>0</v>
      </c>
      <c r="J151" s="1627">
        <f>Hist.Fin!J41</f>
        <v>0</v>
      </c>
      <c r="K151" s="1627">
        <f>Hist.Fin!K41</f>
        <v>0</v>
      </c>
      <c r="L151" s="886">
        <f>IF(ytg.approach=Inputs!$C$39,K151*ytg.actual,IF(ytg.approach=Inputs!$C$40,ytg.mgt*M151,M151-K151))</f>
        <v>5000</v>
      </c>
      <c r="M151" s="885">
        <f>IF(Inputs!$D$181="Selected",Inputs!L186,Inputs!L198)</f>
        <v>5000</v>
      </c>
      <c r="N151" s="885">
        <f>IF(Inputs!$D$181="Selected",Inputs!M186,M151*(1+N162))</f>
        <v>5000</v>
      </c>
      <c r="O151" s="885">
        <f>IF(Inputs!$D$181="Selected",Inputs!N186,N151*(1+O162))</f>
        <v>5000</v>
      </c>
      <c r="P151" s="885">
        <f>IF(Inputs!$D$181="Selected",Inputs!O186,O151*(1+P162))</f>
        <v>5000</v>
      </c>
      <c r="Q151" s="885">
        <f>IF(Inputs!$D$181="Selected",Inputs!P186,P151*(1+Q162))</f>
        <v>5000</v>
      </c>
      <c r="R151" s="1578">
        <f>IF(Inputs!$D$181="Selected",Inputs!Q186,Q151*(1+R162))</f>
        <v>5000</v>
      </c>
      <c r="T151" s="459">
        <f t="shared" si="51"/>
        <v>0</v>
      </c>
      <c r="U151" s="441" t="str">
        <f t="shared" si="66"/>
        <v>OK</v>
      </c>
      <c r="V151" s="817">
        <f t="shared" si="67"/>
        <v>0</v>
      </c>
    </row>
    <row r="152" spans="3:22">
      <c r="C152" s="855" t="s">
        <v>1916</v>
      </c>
      <c r="D152" s="268"/>
      <c r="E152" s="268"/>
      <c r="F152" s="268"/>
      <c r="G152" s="268"/>
      <c r="H152" s="1627">
        <f>Hist.Fin!H42</f>
        <v>0</v>
      </c>
      <c r="I152" s="1627">
        <f>Hist.Fin!I42</f>
        <v>0</v>
      </c>
      <c r="J152" s="1627">
        <f>Hist.Fin!J42</f>
        <v>0</v>
      </c>
      <c r="K152" s="1627">
        <f>Hist.Fin!K42</f>
        <v>0</v>
      </c>
      <c r="L152" s="886">
        <f>IF(ytg.approach=Inputs!$C$39,K152*ytg.actual,IF(ytg.approach=Inputs!$C$40,ytg.mgt*M152,M152-K152))</f>
        <v>5000</v>
      </c>
      <c r="M152" s="885">
        <f>IF(Inputs!$D$181="Selected",Inputs!L187,Inputs!L199)</f>
        <v>5000</v>
      </c>
      <c r="N152" s="885">
        <f>IF(Inputs!$D$181="Selected",Inputs!M187,M152*(1+N163))</f>
        <v>5000</v>
      </c>
      <c r="O152" s="885">
        <f>IF(Inputs!$D$181="Selected",Inputs!N187,N152*(1+O163))</f>
        <v>5000</v>
      </c>
      <c r="P152" s="885">
        <f>IF(Inputs!$D$181="Selected",Inputs!O187,O152*(1+P163))</f>
        <v>5000</v>
      </c>
      <c r="Q152" s="885">
        <f>IF(Inputs!$D$181="Selected",Inputs!P187,P152*(1+Q163))</f>
        <v>5000</v>
      </c>
      <c r="R152" s="1578">
        <f>IF(Inputs!$D$181="Selected",Inputs!Q187,Q152*(1+R163))</f>
        <v>5000</v>
      </c>
      <c r="T152" s="459">
        <f t="shared" si="51"/>
        <v>0</v>
      </c>
      <c r="U152" s="441" t="str">
        <f t="shared" si="66"/>
        <v>OK</v>
      </c>
      <c r="V152" s="817">
        <f t="shared" si="67"/>
        <v>0</v>
      </c>
    </row>
    <row r="153" spans="3:22">
      <c r="C153" s="855" t="s">
        <v>3148</v>
      </c>
      <c r="D153" s="268"/>
      <c r="E153" s="268"/>
      <c r="F153" s="268"/>
      <c r="G153" s="268"/>
      <c r="H153" s="1627">
        <f>Hist.Fin!H43</f>
        <v>0</v>
      </c>
      <c r="I153" s="1627">
        <f>Hist.Fin!I43</f>
        <v>0</v>
      </c>
      <c r="J153" s="1627">
        <f>Hist.Fin!J43</f>
        <v>0</v>
      </c>
      <c r="K153" s="1627">
        <f>Hist.Fin!K43</f>
        <v>0</v>
      </c>
      <c r="L153" s="886">
        <f>IF(ytg.approach=Inputs!$C$39,K153*ytg.actual,IF(ytg.approach=Inputs!$C$40,ytg.mgt*M153,M153-K153))</f>
        <v>5000</v>
      </c>
      <c r="M153" s="885">
        <f>IF(Inputs!$D$181="Selected",Inputs!L188,Inputs!L200)</f>
        <v>5000</v>
      </c>
      <c r="N153" s="885">
        <f>IF(Inputs!$D$181="Selected",Inputs!M188,M153*(1+N164))</f>
        <v>5000</v>
      </c>
      <c r="O153" s="885">
        <f>IF(Inputs!$D$181="Selected",Inputs!N188,N153*(1+O164))</f>
        <v>5000</v>
      </c>
      <c r="P153" s="885">
        <f>IF(Inputs!$D$181="Selected",Inputs!O188,O153*(1+P164))</f>
        <v>5000</v>
      </c>
      <c r="Q153" s="885">
        <f>IF(Inputs!$D$181="Selected",Inputs!P188,P153*(1+Q164))</f>
        <v>5000</v>
      </c>
      <c r="R153" s="1578">
        <f>IF(Inputs!$D$181="Selected",Inputs!Q188,Q153*(1+R164))</f>
        <v>5000</v>
      </c>
      <c r="T153" s="459">
        <f t="shared" si="51"/>
        <v>0</v>
      </c>
      <c r="U153" s="441" t="str">
        <f t="shared" si="66"/>
        <v>OK</v>
      </c>
      <c r="V153" s="817">
        <f t="shared" si="67"/>
        <v>0</v>
      </c>
    </row>
    <row r="154" spans="3:22">
      <c r="C154" s="887" t="s">
        <v>1918</v>
      </c>
      <c r="D154" s="888"/>
      <c r="E154" s="888"/>
      <c r="F154" s="888"/>
      <c r="G154" s="888"/>
      <c r="H154" s="889">
        <f>SUM(H147:H153)</f>
        <v>0</v>
      </c>
      <c r="I154" s="889">
        <f>SUM(I147:I153)</f>
        <v>0</v>
      </c>
      <c r="J154" s="889">
        <f t="shared" ref="J154:R154" si="72">SUM(J147:J153)</f>
        <v>0</v>
      </c>
      <c r="K154" s="889">
        <f>SUM(K147:K153)</f>
        <v>0</v>
      </c>
      <c r="L154" s="889">
        <f>SUM(L147:L153)</f>
        <v>35000</v>
      </c>
      <c r="M154" s="889">
        <f t="shared" si="72"/>
        <v>35000</v>
      </c>
      <c r="N154" s="889">
        <f t="shared" si="72"/>
        <v>35000</v>
      </c>
      <c r="O154" s="889">
        <f t="shared" si="72"/>
        <v>35000</v>
      </c>
      <c r="P154" s="889">
        <f t="shared" si="72"/>
        <v>35000</v>
      </c>
      <c r="Q154" s="889">
        <f t="shared" si="72"/>
        <v>35000</v>
      </c>
      <c r="R154" s="890">
        <f t="shared" si="72"/>
        <v>35000</v>
      </c>
      <c r="T154" s="459">
        <f t="shared" si="51"/>
        <v>0</v>
      </c>
      <c r="U154" s="441" t="str">
        <f t="shared" si="66"/>
        <v>OK</v>
      </c>
      <c r="V154" s="817">
        <f t="shared" si="67"/>
        <v>0</v>
      </c>
    </row>
    <row r="155" spans="3:22">
      <c r="C155" s="293"/>
      <c r="D155" s="293"/>
      <c r="E155" s="293"/>
      <c r="F155" s="293"/>
      <c r="G155" s="293"/>
      <c r="H155" s="293"/>
      <c r="I155" s="293"/>
      <c r="J155" s="293"/>
      <c r="K155" s="293"/>
      <c r="L155" s="293"/>
      <c r="M155" s="293"/>
      <c r="N155" s="293"/>
      <c r="O155" s="293"/>
      <c r="P155" s="293"/>
      <c r="Q155" s="293"/>
      <c r="R155" s="293"/>
      <c r="T155" s="459" t="str">
        <f t="shared" si="51"/>
        <v>-</v>
      </c>
      <c r="U155" s="441" t="str">
        <f t="shared" si="66"/>
        <v>OK</v>
      </c>
      <c r="V155" s="817">
        <f t="shared" si="67"/>
        <v>0</v>
      </c>
    </row>
    <row r="156" spans="3:22">
      <c r="C156" s="846" t="s">
        <v>1919</v>
      </c>
      <c r="D156" s="847"/>
      <c r="E156" s="847"/>
      <c r="F156" s="847"/>
      <c r="G156" s="847"/>
      <c r="H156" s="848" t="str">
        <f t="shared" ref="H156:R156" si="73">H7</f>
        <v>FY21</v>
      </c>
      <c r="I156" s="848" t="str">
        <f t="shared" si="73"/>
        <v>FY22</v>
      </c>
      <c r="J156" s="849" t="str">
        <f t="shared" si="73"/>
        <v>FY23</v>
      </c>
      <c r="K156" s="849" t="str">
        <f t="shared" si="73"/>
        <v>YTD24</v>
      </c>
      <c r="L156" s="849" t="str">
        <f t="shared" si="73"/>
        <v>YTG24</v>
      </c>
      <c r="M156" s="850" t="str">
        <f t="shared" si="73"/>
        <v>FY24</v>
      </c>
      <c r="N156" s="848" t="str">
        <f t="shared" si="73"/>
        <v>FY25</v>
      </c>
      <c r="O156" s="848" t="str">
        <f t="shared" si="73"/>
        <v>FY26</v>
      </c>
      <c r="P156" s="848" t="str">
        <f t="shared" si="73"/>
        <v>FY27</v>
      </c>
      <c r="Q156" s="848" t="str">
        <f t="shared" si="73"/>
        <v>FY28</v>
      </c>
      <c r="R156" s="851" t="str">
        <f t="shared" si="73"/>
        <v>FY29</v>
      </c>
      <c r="T156" s="459" t="str">
        <f t="shared" si="51"/>
        <v>-</v>
      </c>
      <c r="U156" s="441" t="str">
        <f t="shared" si="66"/>
        <v/>
      </c>
      <c r="V156" s="817" t="str">
        <f t="shared" si="67"/>
        <v>NA</v>
      </c>
    </row>
    <row r="157" spans="3:22">
      <c r="C157" s="807" t="str">
        <f>currency.heading1</f>
        <v>USD 'Units</v>
      </c>
      <c r="D157" s="891"/>
      <c r="E157" s="891"/>
      <c r="F157" s="891"/>
      <c r="G157" s="891"/>
      <c r="H157" s="892" t="str">
        <f t="shared" ref="H157:R157" si="74">H8</f>
        <v>Actual</v>
      </c>
      <c r="I157" s="892" t="str">
        <f t="shared" si="74"/>
        <v>Actual</v>
      </c>
      <c r="J157" s="893" t="str">
        <f t="shared" si="74"/>
        <v>Actual</v>
      </c>
      <c r="K157" s="893" t="str">
        <f t="shared" si="74"/>
        <v>Actual</v>
      </c>
      <c r="L157" s="893" t="str">
        <f t="shared" si="74"/>
        <v>Estimate</v>
      </c>
      <c r="M157" s="894" t="str">
        <f t="shared" si="74"/>
        <v>Estimate</v>
      </c>
      <c r="N157" s="894" t="str">
        <f t="shared" si="74"/>
        <v>Estimate</v>
      </c>
      <c r="O157" s="892" t="str">
        <f t="shared" si="74"/>
        <v>Forecast</v>
      </c>
      <c r="P157" s="892" t="str">
        <f t="shared" si="74"/>
        <v>Forecast</v>
      </c>
      <c r="Q157" s="892" t="str">
        <f t="shared" si="74"/>
        <v>Forecast</v>
      </c>
      <c r="R157" s="893" t="str">
        <f t="shared" si="74"/>
        <v>Forecast</v>
      </c>
      <c r="T157" s="459" t="str">
        <f t="shared" si="51"/>
        <v>-</v>
      </c>
      <c r="U157" s="441" t="str">
        <f t="shared" si="66"/>
        <v/>
      </c>
      <c r="V157" s="817" t="str">
        <f t="shared" si="67"/>
        <v>NA</v>
      </c>
    </row>
    <row r="158" spans="3:22">
      <c r="C158" s="855" t="s">
        <v>1920</v>
      </c>
      <c r="D158" s="293"/>
      <c r="E158" s="293"/>
      <c r="F158" s="293"/>
      <c r="G158" s="293"/>
      <c r="H158" s="307" t="e">
        <f t="shared" ref="H158:M158" si="75">H147/H$69</f>
        <v>#DIV/0!</v>
      </c>
      <c r="I158" s="307" t="e">
        <f t="shared" si="75"/>
        <v>#DIV/0!</v>
      </c>
      <c r="J158" s="307" t="e">
        <f t="shared" si="75"/>
        <v>#DIV/0!</v>
      </c>
      <c r="K158" s="307" t="e">
        <f t="shared" si="75"/>
        <v>#DIV/0!</v>
      </c>
      <c r="L158" s="307" t="e">
        <f t="shared" si="75"/>
        <v>#DIV/0!</v>
      </c>
      <c r="M158" s="307" t="e">
        <f t="shared" si="75"/>
        <v>#DIV/0!</v>
      </c>
      <c r="N158" s="895">
        <f>Inputs!M194</f>
        <v>0.02</v>
      </c>
      <c r="O158" s="895">
        <f>Inputs!N194</f>
        <v>0.02</v>
      </c>
      <c r="P158" s="895">
        <f>Inputs!O194</f>
        <v>0.02</v>
      </c>
      <c r="Q158" s="895">
        <f>Inputs!P194</f>
        <v>0.02</v>
      </c>
      <c r="R158" s="896">
        <f>Inputs!Q194</f>
        <v>0.02</v>
      </c>
      <c r="T158" s="459">
        <f t="shared" si="51"/>
        <v>0</v>
      </c>
      <c r="U158" s="441" t="str">
        <f t="shared" si="66"/>
        <v/>
      </c>
      <c r="V158" s="817" t="str">
        <f t="shared" si="67"/>
        <v>NA</v>
      </c>
    </row>
    <row r="159" spans="3:22">
      <c r="C159" s="855" t="s">
        <v>1912</v>
      </c>
      <c r="D159" s="293"/>
      <c r="E159" s="293"/>
      <c r="F159" s="293"/>
      <c r="G159" s="293"/>
      <c r="H159" s="307" t="e">
        <f t="shared" ref="H159" si="76">H148/H$69</f>
        <v>#DIV/0!</v>
      </c>
      <c r="I159" s="307" t="e">
        <f t="shared" ref="I159:M164" si="77">I148/I$69</f>
        <v>#DIV/0!</v>
      </c>
      <c r="J159" s="307" t="e">
        <f t="shared" si="77"/>
        <v>#DIV/0!</v>
      </c>
      <c r="K159" s="307" t="e">
        <f t="shared" ref="K159:L164" si="78">K148/K$69</f>
        <v>#DIV/0!</v>
      </c>
      <c r="L159" s="307" t="e">
        <f t="shared" si="78"/>
        <v>#DIV/0!</v>
      </c>
      <c r="M159" s="307" t="e">
        <f t="shared" si="77"/>
        <v>#DIV/0!</v>
      </c>
      <c r="N159" s="895">
        <f>Inputs!M195</f>
        <v>0.02</v>
      </c>
      <c r="O159" s="895">
        <f>Inputs!N195</f>
        <v>0.02</v>
      </c>
      <c r="P159" s="895">
        <f>Inputs!O195</f>
        <v>0.02</v>
      </c>
      <c r="Q159" s="895">
        <f>Inputs!P195</f>
        <v>0.02</v>
      </c>
      <c r="R159" s="896">
        <f>Inputs!Q195</f>
        <v>0.02</v>
      </c>
      <c r="T159" s="459">
        <f t="shared" si="51"/>
        <v>0</v>
      </c>
      <c r="U159" s="441" t="str">
        <f t="shared" si="66"/>
        <v/>
      </c>
      <c r="V159" s="817" t="str">
        <f t="shared" si="67"/>
        <v>NA</v>
      </c>
    </row>
    <row r="160" spans="3:22">
      <c r="C160" s="855" t="s">
        <v>1913</v>
      </c>
      <c r="D160" s="293"/>
      <c r="E160" s="293"/>
      <c r="F160" s="293"/>
      <c r="G160" s="293"/>
      <c r="H160" s="307" t="e">
        <f t="shared" ref="H160" si="79">H149/H$69</f>
        <v>#DIV/0!</v>
      </c>
      <c r="I160" s="307" t="e">
        <f t="shared" si="77"/>
        <v>#DIV/0!</v>
      </c>
      <c r="J160" s="307" t="e">
        <f t="shared" si="77"/>
        <v>#DIV/0!</v>
      </c>
      <c r="K160" s="307" t="e">
        <f t="shared" si="78"/>
        <v>#DIV/0!</v>
      </c>
      <c r="L160" s="307" t="e">
        <f t="shared" si="78"/>
        <v>#DIV/0!</v>
      </c>
      <c r="M160" s="307" t="e">
        <f t="shared" si="77"/>
        <v>#DIV/0!</v>
      </c>
      <c r="N160" s="895">
        <f>Inputs!M196</f>
        <v>0.02</v>
      </c>
      <c r="O160" s="895">
        <f>Inputs!N196</f>
        <v>0.02</v>
      </c>
      <c r="P160" s="895">
        <f>Inputs!O196</f>
        <v>0.02</v>
      </c>
      <c r="Q160" s="895">
        <f>Inputs!P196</f>
        <v>0.02</v>
      </c>
      <c r="R160" s="896">
        <f>Inputs!Q196</f>
        <v>0.02</v>
      </c>
      <c r="T160" s="459">
        <f t="shared" si="51"/>
        <v>0</v>
      </c>
      <c r="U160" s="441" t="str">
        <f t="shared" si="66"/>
        <v/>
      </c>
      <c r="V160" s="817" t="str">
        <f t="shared" si="67"/>
        <v>NA</v>
      </c>
    </row>
    <row r="161" spans="3:22">
      <c r="C161" s="855" t="s">
        <v>1914</v>
      </c>
      <c r="D161" s="293"/>
      <c r="E161" s="293"/>
      <c r="F161" s="293"/>
      <c r="G161" s="293"/>
      <c r="H161" s="307" t="e">
        <f t="shared" ref="H161" si="80">H150/H$69</f>
        <v>#DIV/0!</v>
      </c>
      <c r="I161" s="307" t="e">
        <f t="shared" si="77"/>
        <v>#DIV/0!</v>
      </c>
      <c r="J161" s="307" t="e">
        <f t="shared" si="77"/>
        <v>#DIV/0!</v>
      </c>
      <c r="K161" s="307" t="e">
        <f t="shared" si="78"/>
        <v>#DIV/0!</v>
      </c>
      <c r="L161" s="307" t="e">
        <f t="shared" si="78"/>
        <v>#DIV/0!</v>
      </c>
      <c r="M161" s="307" t="e">
        <f t="shared" si="77"/>
        <v>#DIV/0!</v>
      </c>
      <c r="N161" s="895">
        <f>Inputs!M197</f>
        <v>0.02</v>
      </c>
      <c r="O161" s="895">
        <f>Inputs!N197</f>
        <v>0.02</v>
      </c>
      <c r="P161" s="895">
        <f>Inputs!O197</f>
        <v>0.02</v>
      </c>
      <c r="Q161" s="895">
        <f>Inputs!P197</f>
        <v>0.02</v>
      </c>
      <c r="R161" s="896">
        <f>Inputs!Q197</f>
        <v>0.02</v>
      </c>
      <c r="T161" s="459">
        <f t="shared" si="51"/>
        <v>0</v>
      </c>
      <c r="U161" s="441" t="str">
        <f t="shared" si="66"/>
        <v/>
      </c>
      <c r="V161" s="817" t="str">
        <f t="shared" si="67"/>
        <v>NA</v>
      </c>
    </row>
    <row r="162" spans="3:22">
      <c r="C162" s="855" t="s">
        <v>1915</v>
      </c>
      <c r="D162" s="293"/>
      <c r="E162" s="293"/>
      <c r="F162" s="293"/>
      <c r="G162" s="293"/>
      <c r="H162" s="307" t="e">
        <f t="shared" ref="H162" si="81">H151/H$69</f>
        <v>#DIV/0!</v>
      </c>
      <c r="I162" s="307" t="e">
        <f t="shared" si="77"/>
        <v>#DIV/0!</v>
      </c>
      <c r="J162" s="307" t="e">
        <f t="shared" si="77"/>
        <v>#DIV/0!</v>
      </c>
      <c r="K162" s="307" t="e">
        <f t="shared" si="78"/>
        <v>#DIV/0!</v>
      </c>
      <c r="L162" s="307" t="e">
        <f t="shared" si="78"/>
        <v>#DIV/0!</v>
      </c>
      <c r="M162" s="307" t="e">
        <f t="shared" si="77"/>
        <v>#DIV/0!</v>
      </c>
      <c r="N162" s="895">
        <f>Inputs!M198</f>
        <v>0.02</v>
      </c>
      <c r="O162" s="895">
        <f>Inputs!N198</f>
        <v>0.02</v>
      </c>
      <c r="P162" s="895">
        <f>Inputs!O198</f>
        <v>0.02</v>
      </c>
      <c r="Q162" s="895">
        <f>Inputs!P198</f>
        <v>0.02</v>
      </c>
      <c r="R162" s="896">
        <f>Inputs!Q198</f>
        <v>0.02</v>
      </c>
      <c r="T162" s="459">
        <f t="shared" si="51"/>
        <v>0</v>
      </c>
      <c r="U162" s="441" t="str">
        <f t="shared" si="66"/>
        <v/>
      </c>
      <c r="V162" s="817" t="str">
        <f t="shared" ref="V162:V171" si="82">IFERROR((K162/ytd.months)*12,"NA")</f>
        <v>NA</v>
      </c>
    </row>
    <row r="163" spans="3:22">
      <c r="C163" s="855" t="s">
        <v>1916</v>
      </c>
      <c r="D163" s="293"/>
      <c r="E163" s="293"/>
      <c r="F163" s="293"/>
      <c r="G163" s="293"/>
      <c r="H163" s="307" t="e">
        <f t="shared" ref="H163" si="83">H152/H$69</f>
        <v>#DIV/0!</v>
      </c>
      <c r="I163" s="307" t="e">
        <f t="shared" si="77"/>
        <v>#DIV/0!</v>
      </c>
      <c r="J163" s="307" t="e">
        <f t="shared" si="77"/>
        <v>#DIV/0!</v>
      </c>
      <c r="K163" s="307" t="e">
        <f t="shared" si="78"/>
        <v>#DIV/0!</v>
      </c>
      <c r="L163" s="307" t="e">
        <f t="shared" si="78"/>
        <v>#DIV/0!</v>
      </c>
      <c r="M163" s="307" t="e">
        <f t="shared" si="77"/>
        <v>#DIV/0!</v>
      </c>
      <c r="N163" s="895">
        <f>Inputs!M199</f>
        <v>0.02</v>
      </c>
      <c r="O163" s="895">
        <f>Inputs!N199</f>
        <v>0.02</v>
      </c>
      <c r="P163" s="895">
        <f>Inputs!O199</f>
        <v>0.02</v>
      </c>
      <c r="Q163" s="895">
        <f>Inputs!P199</f>
        <v>0.02</v>
      </c>
      <c r="R163" s="896">
        <f>Inputs!Q199</f>
        <v>0.02</v>
      </c>
      <c r="T163" s="459">
        <f t="shared" ref="T163:T171" si="84">IFERROR((R163/N163)^(1/5)-1,"-")</f>
        <v>0</v>
      </c>
      <c r="U163" s="441" t="str">
        <f t="shared" ref="U163:U171" si="85">IFERROR(IF(K163+L163=M163,"OK","VARIANCE"),"")</f>
        <v/>
      </c>
      <c r="V163" s="817" t="str">
        <f t="shared" si="82"/>
        <v>NA</v>
      </c>
    </row>
    <row r="164" spans="3:22">
      <c r="C164" s="897" t="s">
        <v>1917</v>
      </c>
      <c r="D164" s="898"/>
      <c r="E164" s="898"/>
      <c r="F164" s="898"/>
      <c r="G164" s="898"/>
      <c r="H164" s="307" t="e">
        <f t="shared" ref="H164" si="86">H153/H$69</f>
        <v>#DIV/0!</v>
      </c>
      <c r="I164" s="307" t="e">
        <f t="shared" si="77"/>
        <v>#DIV/0!</v>
      </c>
      <c r="J164" s="899" t="e">
        <f t="shared" si="77"/>
        <v>#DIV/0!</v>
      </c>
      <c r="K164" s="899" t="e">
        <f t="shared" si="78"/>
        <v>#DIV/0!</v>
      </c>
      <c r="L164" s="899" t="e">
        <f t="shared" si="78"/>
        <v>#DIV/0!</v>
      </c>
      <c r="M164" s="899" t="e">
        <f t="shared" si="77"/>
        <v>#DIV/0!</v>
      </c>
      <c r="N164" s="900">
        <f>Inputs!M200</f>
        <v>0.02</v>
      </c>
      <c r="O164" s="900">
        <f>Inputs!N200</f>
        <v>0.02</v>
      </c>
      <c r="P164" s="900">
        <f>Inputs!O200</f>
        <v>0.02</v>
      </c>
      <c r="Q164" s="900">
        <f>Inputs!P200</f>
        <v>0.02</v>
      </c>
      <c r="R164" s="901">
        <f>Inputs!Q200</f>
        <v>0.02</v>
      </c>
      <c r="T164" s="459">
        <f t="shared" si="84"/>
        <v>0</v>
      </c>
      <c r="U164" s="441" t="str">
        <f t="shared" si="85"/>
        <v/>
      </c>
      <c r="V164" s="817" t="str">
        <f t="shared" si="82"/>
        <v>NA</v>
      </c>
    </row>
    <row r="165" spans="3:22">
      <c r="C165" s="902" t="s">
        <v>1918</v>
      </c>
      <c r="D165" s="903"/>
      <c r="E165" s="903"/>
      <c r="F165" s="903"/>
      <c r="G165" s="903"/>
      <c r="H165" s="904" t="e">
        <f>SUM(H158:H164)</f>
        <v>#DIV/0!</v>
      </c>
      <c r="I165" s="904" t="e">
        <f>SUM(I158:I164)</f>
        <v>#DIV/0!</v>
      </c>
      <c r="J165" s="905" t="e">
        <f t="shared" ref="J165:R165" si="87">SUM(J158:J164)</f>
        <v>#DIV/0!</v>
      </c>
      <c r="K165" s="905" t="e">
        <f>SUM(K158:K164)</f>
        <v>#DIV/0!</v>
      </c>
      <c r="L165" s="905" t="e">
        <f>SUM(L158:L164)</f>
        <v>#DIV/0!</v>
      </c>
      <c r="M165" s="905" t="e">
        <f t="shared" si="87"/>
        <v>#DIV/0!</v>
      </c>
      <c r="N165" s="905">
        <f t="shared" si="87"/>
        <v>0.14000000000000001</v>
      </c>
      <c r="O165" s="905">
        <f t="shared" si="87"/>
        <v>0.14000000000000001</v>
      </c>
      <c r="P165" s="905">
        <f t="shared" si="87"/>
        <v>0.14000000000000001</v>
      </c>
      <c r="Q165" s="905">
        <f t="shared" si="87"/>
        <v>0.14000000000000001</v>
      </c>
      <c r="R165" s="906">
        <f t="shared" si="87"/>
        <v>0.14000000000000001</v>
      </c>
      <c r="T165" s="459">
        <f t="shared" si="84"/>
        <v>0</v>
      </c>
      <c r="U165" s="441" t="str">
        <f t="shared" si="85"/>
        <v/>
      </c>
      <c r="V165" s="817" t="str">
        <f t="shared" si="82"/>
        <v>NA</v>
      </c>
    </row>
    <row r="166" spans="3:22">
      <c r="T166" s="459" t="str">
        <f t="shared" si="84"/>
        <v>-</v>
      </c>
      <c r="U166" s="441" t="str">
        <f t="shared" si="85"/>
        <v>OK</v>
      </c>
      <c r="V166" s="817">
        <f t="shared" si="82"/>
        <v>0</v>
      </c>
    </row>
    <row r="167" spans="3:22">
      <c r="C167" s="846" t="s">
        <v>1975</v>
      </c>
      <c r="D167" s="847"/>
      <c r="E167" s="847"/>
      <c r="F167" s="847"/>
      <c r="G167" s="847"/>
      <c r="H167" s="848" t="str">
        <f t="shared" ref="H167:R167" si="88">H7</f>
        <v>FY21</v>
      </c>
      <c r="I167" s="848" t="str">
        <f t="shared" si="88"/>
        <v>FY22</v>
      </c>
      <c r="J167" s="849" t="str">
        <f t="shared" si="88"/>
        <v>FY23</v>
      </c>
      <c r="K167" s="849" t="str">
        <f t="shared" si="88"/>
        <v>YTD24</v>
      </c>
      <c r="L167" s="849" t="str">
        <f t="shared" si="88"/>
        <v>YTG24</v>
      </c>
      <c r="M167" s="850" t="str">
        <f t="shared" si="88"/>
        <v>FY24</v>
      </c>
      <c r="N167" s="848" t="str">
        <f t="shared" si="88"/>
        <v>FY25</v>
      </c>
      <c r="O167" s="848" t="str">
        <f t="shared" si="88"/>
        <v>FY26</v>
      </c>
      <c r="P167" s="848" t="str">
        <f t="shared" si="88"/>
        <v>FY27</v>
      </c>
      <c r="Q167" s="848" t="str">
        <f t="shared" si="88"/>
        <v>FY28</v>
      </c>
      <c r="R167" s="851" t="str">
        <f t="shared" si="88"/>
        <v>FY29</v>
      </c>
      <c r="T167" s="459" t="str">
        <f t="shared" si="84"/>
        <v>-</v>
      </c>
      <c r="U167" s="441" t="str">
        <f t="shared" si="85"/>
        <v/>
      </c>
      <c r="V167" s="817" t="str">
        <f t="shared" si="82"/>
        <v>NA</v>
      </c>
    </row>
    <row r="168" spans="3:22">
      <c r="C168" s="807" t="str">
        <f>currency.heading1</f>
        <v>USD 'Units</v>
      </c>
      <c r="D168" s="801"/>
      <c r="E168" s="801"/>
      <c r="F168" s="801"/>
      <c r="G168" s="801"/>
      <c r="H168" s="252" t="str">
        <f t="shared" ref="H168:R168" si="89">H8</f>
        <v>Actual</v>
      </c>
      <c r="I168" s="252" t="str">
        <f t="shared" si="89"/>
        <v>Actual</v>
      </c>
      <c r="J168" s="882" t="str">
        <f t="shared" si="89"/>
        <v>Actual</v>
      </c>
      <c r="K168" s="882" t="str">
        <f t="shared" si="89"/>
        <v>Actual</v>
      </c>
      <c r="L168" s="882" t="str">
        <f t="shared" si="89"/>
        <v>Estimate</v>
      </c>
      <c r="M168" s="883" t="str">
        <f t="shared" si="89"/>
        <v>Estimate</v>
      </c>
      <c r="N168" s="883" t="str">
        <f t="shared" si="89"/>
        <v>Estimate</v>
      </c>
      <c r="O168" s="252" t="str">
        <f t="shared" si="89"/>
        <v>Forecast</v>
      </c>
      <c r="P168" s="252" t="str">
        <f t="shared" si="89"/>
        <v>Forecast</v>
      </c>
      <c r="Q168" s="252" t="str">
        <f t="shared" si="89"/>
        <v>Forecast</v>
      </c>
      <c r="R168" s="882" t="str">
        <f t="shared" si="89"/>
        <v>Forecast</v>
      </c>
      <c r="T168" s="459" t="str">
        <f t="shared" si="84"/>
        <v>-</v>
      </c>
      <c r="U168" s="441" t="str">
        <f t="shared" si="85"/>
        <v/>
      </c>
      <c r="V168" s="817" t="str">
        <f t="shared" si="82"/>
        <v>NA</v>
      </c>
    </row>
    <row r="169" spans="3:22">
      <c r="C169" s="855" t="s">
        <v>1976</v>
      </c>
      <c r="D169" s="268"/>
      <c r="E169" s="268"/>
      <c r="F169" s="268"/>
      <c r="G169" s="268"/>
      <c r="H169" s="1627">
        <f>Hist.Fin!H50</f>
        <v>0</v>
      </c>
      <c r="I169" s="1627">
        <f>Hist.Fin!I50</f>
        <v>0</v>
      </c>
      <c r="J169" s="1627">
        <f>Hist.Fin!J50</f>
        <v>0</v>
      </c>
      <c r="K169" s="1627">
        <f>Hist.Fin!K50</f>
        <v>0</v>
      </c>
      <c r="L169" s="886">
        <f>IF(ytg.approach=Inputs!$C$39,K169*ytg.actual,IF(ytg.approach=Inputs!$C$40,ytg.mgt*M169,M169-K169))</f>
        <v>5000</v>
      </c>
      <c r="M169" s="1533">
        <f>IF(Inputs!$D$181="Selected",Inputs!L189,Inputs!L201)</f>
        <v>5000</v>
      </c>
      <c r="N169" s="1533">
        <f>IF(Inputs!$D$181="Selected",Inputs!M189,M169*(1+Inputs!M201))</f>
        <v>5000</v>
      </c>
      <c r="O169" s="1533">
        <f>IF(Inputs!$D$181="Selected",Inputs!N189,N169*(1+Inputs!N201))</f>
        <v>5000</v>
      </c>
      <c r="P169" s="1533">
        <f>IF(Inputs!$D$181="Selected",Inputs!O189,O169*(1+Inputs!O201))</f>
        <v>5000</v>
      </c>
      <c r="Q169" s="1533">
        <f>IF(Inputs!$D$181="Selected",Inputs!P189,P169*(1+Inputs!P201))</f>
        <v>5000</v>
      </c>
      <c r="R169" s="1534">
        <f>IF(Inputs!$D$181="Selected",Inputs!Q189,Q169*(1+Inputs!Q201))</f>
        <v>5000</v>
      </c>
      <c r="T169" s="459">
        <f t="shared" si="84"/>
        <v>0</v>
      </c>
      <c r="U169" s="441" t="str">
        <f t="shared" si="85"/>
        <v>OK</v>
      </c>
      <c r="V169" s="817">
        <f t="shared" si="82"/>
        <v>0</v>
      </c>
    </row>
    <row r="170" spans="3:22">
      <c r="C170" s="855" t="s">
        <v>1977</v>
      </c>
      <c r="D170" s="268"/>
      <c r="E170" s="268"/>
      <c r="F170" s="268"/>
      <c r="G170" s="268"/>
      <c r="H170" s="1627">
        <f>Hist.Fin!H51</f>
        <v>0</v>
      </c>
      <c r="I170" s="1627">
        <f>Hist.Fin!I51</f>
        <v>0</v>
      </c>
      <c r="J170" s="1627">
        <f>Hist.Fin!J51</f>
        <v>0</v>
      </c>
      <c r="K170" s="1627">
        <f>Hist.Fin!K51</f>
        <v>0</v>
      </c>
      <c r="L170" s="886">
        <f>IF(ytg.approach=Inputs!$C$39,K170*ytg.actual,IF(ytg.approach=Inputs!$C$40,ytg.mgt*M170,M170-K170))</f>
        <v>5000</v>
      </c>
      <c r="M170" s="1533">
        <f>IF(Inputs!$D$181="Selected",Inputs!L190,Inputs!L202)</f>
        <v>5000</v>
      </c>
      <c r="N170" s="1533">
        <f>IF(Inputs!$D$181="Selected",Inputs!M190,M170*(1+Inputs!M202))</f>
        <v>5000</v>
      </c>
      <c r="O170" s="1533">
        <f>IF(Inputs!$D$181="Selected",Inputs!N190,N170*(1+Inputs!N202))</f>
        <v>5000</v>
      </c>
      <c r="P170" s="1533">
        <f>IF(Inputs!$D$181="Selected",Inputs!O190,O170*(1+Inputs!O202))</f>
        <v>5000</v>
      </c>
      <c r="Q170" s="1533">
        <f>IF(Inputs!$D$181="Selected",Inputs!P190,P170*(1+Inputs!P202))</f>
        <v>5000</v>
      </c>
      <c r="R170" s="1605">
        <f>IF(Inputs!$D$181="Selected",Inputs!Q190,Q170*(1+Inputs!Q202))</f>
        <v>5000</v>
      </c>
      <c r="T170" s="459">
        <f t="shared" si="84"/>
        <v>0</v>
      </c>
      <c r="U170" s="441" t="str">
        <f t="shared" si="85"/>
        <v>OK</v>
      </c>
      <c r="V170" s="817">
        <f t="shared" si="82"/>
        <v>0</v>
      </c>
    </row>
    <row r="171" spans="3:22">
      <c r="C171" s="887" t="s">
        <v>1978</v>
      </c>
      <c r="D171" s="888"/>
      <c r="E171" s="888"/>
      <c r="F171" s="888"/>
      <c r="G171" s="888"/>
      <c r="H171" s="889">
        <f t="shared" ref="H171" si="90">SUM(H169:H170)</f>
        <v>0</v>
      </c>
      <c r="I171" s="889">
        <f t="shared" ref="I171:R171" si="91">SUM(I169:I170)</f>
        <v>0</v>
      </c>
      <c r="J171" s="889">
        <f t="shared" si="91"/>
        <v>0</v>
      </c>
      <c r="K171" s="889">
        <f>SUM(K169:K170)</f>
        <v>0</v>
      </c>
      <c r="L171" s="889">
        <f>SUM(L169:L170)</f>
        <v>10000</v>
      </c>
      <c r="M171" s="889">
        <f t="shared" si="91"/>
        <v>10000</v>
      </c>
      <c r="N171" s="889">
        <f t="shared" si="91"/>
        <v>10000</v>
      </c>
      <c r="O171" s="889">
        <f t="shared" si="91"/>
        <v>10000</v>
      </c>
      <c r="P171" s="889">
        <f t="shared" si="91"/>
        <v>10000</v>
      </c>
      <c r="Q171" s="889">
        <f t="shared" si="91"/>
        <v>10000</v>
      </c>
      <c r="R171" s="890">
        <f t="shared" si="91"/>
        <v>10000</v>
      </c>
      <c r="T171" s="460">
        <f t="shared" si="84"/>
        <v>0</v>
      </c>
      <c r="U171" s="454" t="str">
        <f t="shared" si="85"/>
        <v>OK</v>
      </c>
      <c r="V171" s="907">
        <f t="shared" si="82"/>
        <v>0</v>
      </c>
    </row>
    <row r="173" spans="3:22">
      <c r="C173" s="297" t="s">
        <v>2657</v>
      </c>
      <c r="D173" s="298"/>
      <c r="E173" s="298"/>
      <c r="F173" s="298"/>
      <c r="G173" s="298"/>
      <c r="H173" s="299" t="str">
        <f t="shared" ref="H173:R173" si="92">H7</f>
        <v>FY21</v>
      </c>
      <c r="I173" s="299" t="str">
        <f t="shared" si="92"/>
        <v>FY22</v>
      </c>
      <c r="J173" s="299" t="str">
        <f t="shared" si="92"/>
        <v>FY23</v>
      </c>
      <c r="K173" s="299" t="str">
        <f t="shared" si="92"/>
        <v>YTD24</v>
      </c>
      <c r="L173" s="299" t="str">
        <f t="shared" si="92"/>
        <v>YTG24</v>
      </c>
      <c r="M173" s="299" t="str">
        <f t="shared" si="92"/>
        <v>FY24</v>
      </c>
      <c r="N173" s="299" t="str">
        <f t="shared" si="92"/>
        <v>FY25</v>
      </c>
      <c r="O173" s="299" t="str">
        <f t="shared" si="92"/>
        <v>FY26</v>
      </c>
      <c r="P173" s="299" t="str">
        <f t="shared" si="92"/>
        <v>FY27</v>
      </c>
      <c r="Q173" s="299" t="str">
        <f t="shared" si="92"/>
        <v>FY28</v>
      </c>
      <c r="R173" s="485" t="str">
        <f t="shared" si="92"/>
        <v>FY29</v>
      </c>
    </row>
    <row r="174" spans="3:22">
      <c r="C174" s="908" t="str">
        <f>currency.heading1</f>
        <v>USD 'Units</v>
      </c>
      <c r="D174" s="801"/>
      <c r="E174" s="801"/>
      <c r="F174" s="801"/>
      <c r="G174" s="801"/>
      <c r="H174" s="252" t="str">
        <f t="shared" ref="H174:R174" si="93">H8</f>
        <v>Actual</v>
      </c>
      <c r="I174" s="252" t="str">
        <f t="shared" si="93"/>
        <v>Actual</v>
      </c>
      <c r="J174" s="252" t="str">
        <f t="shared" si="93"/>
        <v>Actual</v>
      </c>
      <c r="K174" s="252" t="str">
        <f t="shared" si="93"/>
        <v>Actual</v>
      </c>
      <c r="L174" s="252" t="str">
        <f t="shared" si="93"/>
        <v>Estimate</v>
      </c>
      <c r="M174" s="252" t="str">
        <f t="shared" si="93"/>
        <v>Estimate</v>
      </c>
      <c r="N174" s="252" t="str">
        <f t="shared" si="93"/>
        <v>Estimate</v>
      </c>
      <c r="O174" s="252" t="str">
        <f t="shared" si="93"/>
        <v>Forecast</v>
      </c>
      <c r="P174" s="252" t="str">
        <f t="shared" si="93"/>
        <v>Forecast</v>
      </c>
      <c r="Q174" s="252" t="str">
        <f t="shared" si="93"/>
        <v>Forecast</v>
      </c>
      <c r="R174" s="486" t="str">
        <f t="shared" si="93"/>
        <v>Forecast</v>
      </c>
    </row>
    <row r="175" spans="3:22">
      <c r="C175" s="821" t="s">
        <v>2767</v>
      </c>
      <c r="D175" s="268"/>
      <c r="E175" s="268"/>
      <c r="F175" s="1537" t="str">
        <f>Inputs!E56</f>
        <v>United Arab Emirates</v>
      </c>
      <c r="G175" s="1538" t="e">
        <f ca="1">_xlfn.XLOOKUP(IS_Calcs!F175,Tax!$A$5:$A$168,Tax!$B$5:$B$168)/100</f>
        <v>#NAME?</v>
      </c>
      <c r="H175" s="1533"/>
      <c r="I175" s="1533"/>
      <c r="J175" s="1533"/>
      <c r="K175" s="1533"/>
      <c r="L175" s="1533">
        <f>IF(ytg.approach=Inputs!$C$39,K175*ytg.actual,IF(ytg.approach=Inputs!$C$40,ytg.mgt*M175,M175-K175))</f>
        <v>0</v>
      </c>
      <c r="M175" s="1533"/>
      <c r="N175" s="1533">
        <f>M175</f>
        <v>0</v>
      </c>
      <c r="O175" s="1533">
        <f>N175</f>
        <v>0</v>
      </c>
      <c r="P175" s="1533">
        <f>O175</f>
        <v>0</v>
      </c>
      <c r="Q175" s="1533">
        <f>P175</f>
        <v>0</v>
      </c>
      <c r="R175" s="1534">
        <f>Q175</f>
        <v>0</v>
      </c>
    </row>
    <row r="176" spans="3:22">
      <c r="C176" s="821" t="s">
        <v>2768</v>
      </c>
      <c r="D176" s="268"/>
      <c r="E176" s="268"/>
      <c r="F176" s="1539">
        <f>1-F179</f>
        <v>0.5</v>
      </c>
      <c r="G176" s="268"/>
      <c r="H176" s="1533"/>
      <c r="I176" s="1533"/>
      <c r="J176" s="1533"/>
      <c r="K176" s="1533"/>
      <c r="L176" s="1533"/>
      <c r="M176" s="1533"/>
      <c r="N176" s="1533"/>
      <c r="O176" s="1533"/>
      <c r="P176" s="1533"/>
      <c r="Q176" s="1533"/>
      <c r="R176" s="1534"/>
    </row>
    <row r="177" spans="3:18">
      <c r="C177" s="821"/>
      <c r="D177" s="268"/>
      <c r="E177" s="268"/>
      <c r="F177" s="268"/>
      <c r="G177" s="268"/>
      <c r="H177" s="1533"/>
      <c r="I177" s="1533"/>
      <c r="J177" s="1533"/>
      <c r="K177" s="1533"/>
      <c r="L177" s="1533"/>
      <c r="M177" s="1533"/>
      <c r="N177" s="1533"/>
      <c r="O177" s="1533"/>
      <c r="P177" s="1533"/>
      <c r="Q177" s="1533"/>
      <c r="R177" s="1534"/>
    </row>
    <row r="178" spans="3:18">
      <c r="C178" s="821" t="s">
        <v>2772</v>
      </c>
      <c r="D178" s="268"/>
      <c r="E178" s="268"/>
      <c r="F178" s="1537" t="str">
        <f>Inputs!E67</f>
        <v>Saudi Arabia</v>
      </c>
      <c r="G178" s="1538" t="e">
        <f ca="1">_xlfn.XLOOKUP(IS_Calcs!F178,Tax!$A$5:$A$168,Tax!$B$5:$B$168)/100</f>
        <v>#NAME?</v>
      </c>
      <c r="H178" s="1533"/>
      <c r="I178" s="1533"/>
      <c r="J178" s="1533"/>
      <c r="K178" s="1533"/>
      <c r="L178" s="1533"/>
      <c r="M178" s="1533"/>
      <c r="N178" s="1533"/>
      <c r="O178" s="1533"/>
      <c r="P178" s="1533"/>
      <c r="Q178" s="1533"/>
      <c r="R178" s="1534"/>
    </row>
    <row r="179" spans="3:18">
      <c r="C179" s="821" t="s">
        <v>2769</v>
      </c>
      <c r="D179" s="268"/>
      <c r="E179" s="268"/>
      <c r="F179" s="1540">
        <f>Inputs!E68</f>
        <v>0.5</v>
      </c>
      <c r="G179" s="268"/>
      <c r="H179" s="1533"/>
      <c r="I179" s="1533"/>
      <c r="J179" s="1533"/>
      <c r="K179" s="1533"/>
      <c r="L179" s="1533"/>
      <c r="M179" s="1533"/>
      <c r="N179" s="1533"/>
      <c r="O179" s="1533"/>
      <c r="P179" s="1533"/>
      <c r="Q179" s="1533"/>
      <c r="R179" s="1534"/>
    </row>
    <row r="180" spans="3:18">
      <c r="C180" s="821"/>
      <c r="D180" s="268"/>
      <c r="E180" s="268"/>
      <c r="F180" s="268"/>
      <c r="G180" s="268"/>
      <c r="H180" s="1533"/>
      <c r="I180" s="1533"/>
      <c r="J180" s="1533"/>
      <c r="K180" s="1533"/>
      <c r="L180" s="1533"/>
      <c r="M180" s="1533"/>
      <c r="N180" s="1533"/>
      <c r="O180" s="1533"/>
      <c r="P180" s="1533"/>
      <c r="Q180" s="1533"/>
      <c r="R180" s="1534"/>
    </row>
    <row r="181" spans="3:18">
      <c r="C181" s="821" t="s">
        <v>1954</v>
      </c>
      <c r="D181" s="268"/>
      <c r="E181" s="268"/>
      <c r="F181" s="1544" t="e">
        <f ca="1">(G175*F176)+(G178*F179)</f>
        <v>#NAME?</v>
      </c>
      <c r="G181" s="268"/>
      <c r="H181" s="1533"/>
      <c r="I181" s="1533"/>
      <c r="J181" s="1533"/>
      <c r="K181" s="1533"/>
      <c r="L181" s="1533"/>
      <c r="M181" s="1533"/>
      <c r="N181" s="1533"/>
      <c r="O181" s="1533"/>
      <c r="P181" s="1533"/>
      <c r="Q181" s="1533"/>
      <c r="R181" s="1534"/>
    </row>
    <row r="182" spans="3:18">
      <c r="C182" s="821"/>
      <c r="D182" s="268"/>
      <c r="E182" s="268"/>
      <c r="F182" s="268"/>
      <c r="G182" s="268"/>
      <c r="H182" s="1533"/>
      <c r="I182" s="1533"/>
      <c r="J182" s="1533"/>
      <c r="K182" s="1533"/>
      <c r="L182" s="1533"/>
      <c r="M182" s="1533"/>
      <c r="N182" s="1533"/>
      <c r="O182" s="1533"/>
      <c r="P182" s="1533"/>
      <c r="Q182" s="1533"/>
      <c r="R182" s="1534"/>
    </row>
    <row r="183" spans="3:18">
      <c r="C183" s="821" t="s">
        <v>2773</v>
      </c>
      <c r="D183" s="268"/>
      <c r="E183" s="268"/>
      <c r="F183" s="268"/>
      <c r="G183" s="268"/>
      <c r="H183" s="1533">
        <f>IS!G65</f>
        <v>0</v>
      </c>
      <c r="I183" s="1533">
        <f>IS!I65</f>
        <v>0</v>
      </c>
      <c r="J183" s="1533">
        <f>IS!J65</f>
        <v>0</v>
      </c>
      <c r="K183" s="1533">
        <f>IS!K65</f>
        <v>0</v>
      </c>
      <c r="L183" s="1533">
        <f>IS!L65</f>
        <v>-55000</v>
      </c>
      <c r="M183" s="1533">
        <f ca="1">IS!M65</f>
        <v>-55000</v>
      </c>
      <c r="N183" s="1533">
        <f ca="1">IS!N65</f>
        <v>-55000</v>
      </c>
      <c r="O183" s="1533">
        <f ca="1">IS!O65</f>
        <v>-55000</v>
      </c>
      <c r="P183" s="1533">
        <f ca="1">IS!P65</f>
        <v>-55000</v>
      </c>
      <c r="Q183" s="1533">
        <f ca="1">IS!Q65</f>
        <v>-55000</v>
      </c>
      <c r="R183" s="1534">
        <f ca="1">IS!R65</f>
        <v>-55000</v>
      </c>
    </row>
    <row r="184" spans="3:18">
      <c r="C184" s="842" t="s">
        <v>2770</v>
      </c>
      <c r="D184" s="1541"/>
      <c r="E184" s="1541"/>
      <c r="F184" s="1541"/>
      <c r="G184" s="1541"/>
      <c r="H184" s="1542" t="e">
        <f ca="1">IF(H183&lt;0,0,H183*$F$181)</f>
        <v>#NAME?</v>
      </c>
      <c r="I184" s="1542" t="e">
        <f ca="1">IF(I183&lt;0,0,I183*$F$181)</f>
        <v>#NAME?</v>
      </c>
      <c r="J184" s="1542" t="e">
        <f t="shared" ref="J184:R184" ca="1" si="94">IF(J183&lt;0,0,J183*$F$181)</f>
        <v>#NAME?</v>
      </c>
      <c r="K184" s="1542" t="e">
        <f t="shared" ca="1" si="94"/>
        <v>#NAME?</v>
      </c>
      <c r="L184" s="1542">
        <f t="shared" si="94"/>
        <v>0</v>
      </c>
      <c r="M184" s="1542">
        <f t="shared" ca="1" si="94"/>
        <v>0</v>
      </c>
      <c r="N184" s="1542">
        <f t="shared" ca="1" si="94"/>
        <v>0</v>
      </c>
      <c r="O184" s="1542">
        <f t="shared" ca="1" si="94"/>
        <v>0</v>
      </c>
      <c r="P184" s="1542">
        <f t="shared" ca="1" si="94"/>
        <v>0</v>
      </c>
      <c r="Q184" s="1542">
        <f t="shared" ca="1" si="94"/>
        <v>0</v>
      </c>
      <c r="R184" s="1543">
        <f t="shared" ca="1" si="94"/>
        <v>0</v>
      </c>
    </row>
    <row r="185" spans="3:18">
      <c r="C185" s="902" t="s">
        <v>2771</v>
      </c>
      <c r="D185" s="903"/>
      <c r="E185" s="903"/>
      <c r="F185" s="903"/>
      <c r="G185" s="903"/>
      <c r="H185" s="1628">
        <f>Hist.Fin!H52</f>
        <v>0</v>
      </c>
      <c r="I185" s="1628">
        <f>Hist.Fin!I52</f>
        <v>0</v>
      </c>
      <c r="J185" s="1628">
        <f>Hist.Fin!J52</f>
        <v>0</v>
      </c>
      <c r="K185" s="1628">
        <f>Hist.Fin!K52</f>
        <v>0</v>
      </c>
      <c r="L185" s="1535">
        <f t="shared" ref="L185:R185" si="95">L184</f>
        <v>0</v>
      </c>
      <c r="M185" s="1535">
        <f t="shared" ca="1" si="95"/>
        <v>0</v>
      </c>
      <c r="N185" s="1535">
        <f t="shared" ca="1" si="95"/>
        <v>0</v>
      </c>
      <c r="O185" s="1535">
        <f t="shared" ca="1" si="95"/>
        <v>0</v>
      </c>
      <c r="P185" s="1535">
        <f t="shared" ca="1" si="95"/>
        <v>0</v>
      </c>
      <c r="Q185" s="1535">
        <f t="shared" ca="1" si="95"/>
        <v>0</v>
      </c>
      <c r="R185" s="1536">
        <f t="shared" ca="1" si="95"/>
        <v>0</v>
      </c>
    </row>
  </sheetData>
  <pageMargins left="0.7" right="0.7" top="0.75" bottom="0.75" header="0.3" footer="0.3"/>
  <pageSetup orientation="portrait" r:id="rId1"/>
  <ignoredErrors>
    <ignoredError sqref="L96:L99" 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9AC50-A11F-4D10-9A9F-4ED69E7524B3}">
  <sheetPr>
    <tabColor rgb="FF92A4FC"/>
    <pageSetUpPr autoPageBreaks="0"/>
  </sheetPr>
  <dimension ref="A2:U180"/>
  <sheetViews>
    <sheetView showGridLines="0" topLeftCell="A8" zoomScale="103" zoomScaleNormal="85" workbookViewId="0">
      <selection activeCell="K29" sqref="K29"/>
    </sheetView>
  </sheetViews>
  <sheetFormatPr defaultColWidth="0" defaultRowHeight="10.5"/>
  <cols>
    <col min="1" max="1" width="2" style="246" customWidth="1"/>
    <col min="2" max="2" width="8.69140625" style="246" customWidth="1"/>
    <col min="3" max="3" width="22.61328125" style="246" customWidth="1"/>
    <col min="4" max="4" width="8.69140625" style="246" customWidth="1"/>
    <col min="5" max="6" width="8.69140625" style="246" hidden="1" customWidth="1"/>
    <col min="7" max="7" width="8.69140625" style="246" customWidth="1"/>
    <col min="8" max="9" width="7" style="246" bestFit="1" customWidth="1"/>
    <col min="10" max="11" width="6.15234375" style="246" bestFit="1" customWidth="1"/>
    <col min="12" max="12" width="5.53515625" style="246" bestFit="1" customWidth="1"/>
    <col min="13" max="13" width="6.15234375" style="246" bestFit="1" customWidth="1"/>
    <col min="14" max="14" width="5.53515625" style="246" bestFit="1" customWidth="1"/>
    <col min="15" max="18" width="5.4609375" style="246" bestFit="1" customWidth="1"/>
    <col min="19" max="21" width="8.69140625" style="246" customWidth="1"/>
    <col min="22" max="16384" width="8.69140625" style="246" hidden="1"/>
  </cols>
  <sheetData>
    <row r="2" spans="2:20">
      <c r="B2" s="245" t="str">
        <f>Inputs!B2</f>
        <v>Valify - UAE Valuation Services</v>
      </c>
    </row>
    <row r="3" spans="2:20">
      <c r="B3" s="247" t="str">
        <f>Inputs!$B$3</f>
        <v>Aerial Arts India XXXXXXXXXXXXXXXXX - Self Valuation using DCF Method, Transaction Multiples Method, &amp; Market Multiples Method as at September 30, 2024</v>
      </c>
    </row>
    <row r="4" spans="2:20">
      <c r="B4" s="248" t="s">
        <v>1979</v>
      </c>
    </row>
    <row r="5" spans="2:20" ht="11" thickBot="1">
      <c r="B5" s="249"/>
      <c r="C5" s="249"/>
      <c r="D5" s="249"/>
      <c r="E5" s="249"/>
      <c r="F5" s="249"/>
      <c r="G5" s="249"/>
      <c r="H5" s="249"/>
      <c r="I5" s="249"/>
      <c r="J5" s="249"/>
      <c r="K5" s="249"/>
      <c r="L5" s="249"/>
      <c r="M5" s="249"/>
      <c r="N5" s="249"/>
      <c r="O5" s="249"/>
      <c r="P5" s="249"/>
      <c r="Q5" s="249"/>
      <c r="R5" s="249"/>
      <c r="S5" s="249"/>
      <c r="T5" s="249"/>
    </row>
    <row r="6" spans="2:20" ht="11" thickTop="1"/>
    <row r="7" spans="2:20">
      <c r="C7" s="250" t="str">
        <f>"All amounts in "&amp;currency.heading1</f>
        <v>All amounts in USD 'Units</v>
      </c>
      <c r="D7" s="251"/>
      <c r="E7" s="251"/>
      <c r="F7" s="251"/>
      <c r="G7" s="251"/>
      <c r="H7" s="252" t="str">
        <f>IS_Calcs!H7</f>
        <v>FY21</v>
      </c>
      <c r="I7" s="252" t="str">
        <f>IS_Calcs!I7</f>
        <v>FY22</v>
      </c>
      <c r="J7" s="252" t="str">
        <f>IS_Calcs!J7</f>
        <v>FY23</v>
      </c>
      <c r="K7" s="252" t="str">
        <f>IS_Calcs!K7</f>
        <v>YTD24</v>
      </c>
      <c r="L7" s="252" t="str">
        <f>IS_Calcs!L7</f>
        <v>YTG24</v>
      </c>
      <c r="M7" s="252" t="str">
        <f>IS_Calcs!M7</f>
        <v>FY24</v>
      </c>
      <c r="N7" s="252" t="str">
        <f>IS_Calcs!N7</f>
        <v>FY25</v>
      </c>
      <c r="O7" s="252" t="str">
        <f>IS_Calcs!O7</f>
        <v>FY26</v>
      </c>
      <c r="P7" s="252" t="str">
        <f>IS_Calcs!P7</f>
        <v>FY27</v>
      </c>
      <c r="Q7" s="252" t="str">
        <f>IS_Calcs!Q7</f>
        <v>FY28</v>
      </c>
      <c r="R7" s="253" t="str">
        <f>IS_Calcs!R7</f>
        <v>FY29</v>
      </c>
    </row>
    <row r="8" spans="2:20">
      <c r="C8" s="251"/>
      <c r="D8" s="251"/>
      <c r="E8" s="251"/>
      <c r="F8" s="251"/>
      <c r="G8" s="251"/>
      <c r="H8" s="252" t="str">
        <f>IS_Calcs!H8</f>
        <v>Actual</v>
      </c>
      <c r="I8" s="252" t="str">
        <f>IS_Calcs!I8</f>
        <v>Actual</v>
      </c>
      <c r="J8" s="252" t="str">
        <f>IS_Calcs!J8</f>
        <v>Actual</v>
      </c>
      <c r="K8" s="252" t="str">
        <f>IS_Calcs!K8</f>
        <v>Actual</v>
      </c>
      <c r="L8" s="252" t="str">
        <f>IS_Calcs!L8</f>
        <v>Estimate</v>
      </c>
      <c r="M8" s="252" t="str">
        <f>IS_Calcs!M8</f>
        <v>Estimate</v>
      </c>
      <c r="N8" s="252" t="str">
        <f>IS_Calcs!N8</f>
        <v>Estimate</v>
      </c>
      <c r="O8" s="252" t="str">
        <f>IS_Calcs!O8</f>
        <v>Forecast</v>
      </c>
      <c r="P8" s="252" t="str">
        <f>IS_Calcs!P8</f>
        <v>Forecast</v>
      </c>
      <c r="Q8" s="252" t="str">
        <f>IS_Calcs!Q8</f>
        <v>Forecast</v>
      </c>
      <c r="R8" s="252" t="str">
        <f>IS_Calcs!R8</f>
        <v>Forecast</v>
      </c>
      <c r="T8" s="487" t="s">
        <v>2012</v>
      </c>
    </row>
    <row r="9" spans="2:20">
      <c r="C9" s="265" t="s">
        <v>1995</v>
      </c>
      <c r="T9" s="490"/>
    </row>
    <row r="10" spans="2:20">
      <c r="C10" s="246" t="s">
        <v>1460</v>
      </c>
      <c r="H10" s="402">
        <f>IS!H23</f>
        <v>0</v>
      </c>
      <c r="I10" s="402">
        <f>IS!I23</f>
        <v>0</v>
      </c>
      <c r="J10" s="402">
        <f>IS!J23</f>
        <v>0</v>
      </c>
      <c r="K10" s="402">
        <f>IS!K23</f>
        <v>0</v>
      </c>
      <c r="L10" s="402">
        <f>IS!L23</f>
        <v>0</v>
      </c>
      <c r="M10" s="402">
        <f>IS!M23</f>
        <v>0</v>
      </c>
      <c r="N10" s="402">
        <f>IS!N23</f>
        <v>0</v>
      </c>
      <c r="O10" s="402">
        <f>IS!O23</f>
        <v>0</v>
      </c>
      <c r="P10" s="402">
        <f>IS!P23</f>
        <v>0</v>
      </c>
      <c r="Q10" s="402">
        <f>IS!Q23</f>
        <v>0</v>
      </c>
      <c r="R10" s="402">
        <f>IS!R23</f>
        <v>0</v>
      </c>
      <c r="T10" s="490"/>
    </row>
    <row r="11" spans="2:20">
      <c r="C11" s="246" t="s">
        <v>1973</v>
      </c>
      <c r="H11" s="402">
        <f>IS!H38</f>
        <v>0</v>
      </c>
      <c r="I11" s="402">
        <f>IS!I38</f>
        <v>0</v>
      </c>
      <c r="J11" s="402">
        <f>IS!J38</f>
        <v>0</v>
      </c>
      <c r="K11" s="402">
        <f>IS!K38</f>
        <v>0</v>
      </c>
      <c r="L11" s="402">
        <f>IS!L38</f>
        <v>0</v>
      </c>
      <c r="M11" s="402">
        <f>IS!M38</f>
        <v>0</v>
      </c>
      <c r="N11" s="402">
        <f>IS!N38</f>
        <v>0</v>
      </c>
      <c r="O11" s="402">
        <f>IS!O38</f>
        <v>0</v>
      </c>
      <c r="P11" s="402">
        <f>IS!P38</f>
        <v>0</v>
      </c>
      <c r="Q11" s="402">
        <f>IS!Q38</f>
        <v>0</v>
      </c>
      <c r="R11" s="402">
        <f>IS!R38</f>
        <v>0</v>
      </c>
      <c r="T11" s="490"/>
    </row>
    <row r="12" spans="2:20">
      <c r="C12" s="246" t="s">
        <v>1996</v>
      </c>
      <c r="H12" s="402">
        <f>IS!H50</f>
        <v>0</v>
      </c>
      <c r="I12" s="402">
        <f>IS!I50</f>
        <v>0</v>
      </c>
      <c r="J12" s="402">
        <f>IS!J50</f>
        <v>0</v>
      </c>
      <c r="K12" s="402">
        <f>IS!K50</f>
        <v>0</v>
      </c>
      <c r="L12" s="402">
        <f>IS!L50</f>
        <v>-35000</v>
      </c>
      <c r="M12" s="402">
        <f>IS!M50</f>
        <v>-35000</v>
      </c>
      <c r="N12" s="402">
        <f>IS!N50</f>
        <v>-35000</v>
      </c>
      <c r="O12" s="402">
        <f>IS!O50</f>
        <v>-35000</v>
      </c>
      <c r="P12" s="402">
        <f>IS!P50</f>
        <v>-35000</v>
      </c>
      <c r="Q12" s="402">
        <f>IS!Q50</f>
        <v>-35000</v>
      </c>
      <c r="R12" s="402">
        <f>IS!R50</f>
        <v>-35000</v>
      </c>
      <c r="T12" s="490"/>
    </row>
    <row r="13" spans="2:20">
      <c r="C13" s="246" t="s">
        <v>2792</v>
      </c>
      <c r="H13" s="402">
        <f>IS!H43</f>
        <v>0</v>
      </c>
      <c r="I13" s="402">
        <f>IS!I43</f>
        <v>0</v>
      </c>
      <c r="J13" s="402">
        <f>IS!J43</f>
        <v>0</v>
      </c>
      <c r="K13" s="402">
        <f>IS!K43</f>
        <v>0</v>
      </c>
      <c r="L13" s="402">
        <f>IS!L43</f>
        <v>-5000</v>
      </c>
      <c r="M13" s="402">
        <f>IS!M43</f>
        <v>-5000</v>
      </c>
      <c r="N13" s="402">
        <f>IS!N43</f>
        <v>-5000</v>
      </c>
      <c r="O13" s="402">
        <f>IS!O43</f>
        <v>-5000</v>
      </c>
      <c r="P13" s="402">
        <f>IS!P43</f>
        <v>-5000</v>
      </c>
      <c r="Q13" s="402">
        <f>IS!Q43</f>
        <v>-5000</v>
      </c>
      <c r="R13" s="402">
        <f>IS!R43</f>
        <v>-5000</v>
      </c>
      <c r="T13" s="490"/>
    </row>
    <row r="14" spans="2:20">
      <c r="C14" s="246" t="s">
        <v>2657</v>
      </c>
      <c r="H14" s="402">
        <f>IS!H67</f>
        <v>0</v>
      </c>
      <c r="I14" s="402">
        <f>IS!I67</f>
        <v>0</v>
      </c>
      <c r="J14" s="402">
        <f>IS!J67</f>
        <v>0</v>
      </c>
      <c r="K14" s="402">
        <f>IS!K67</f>
        <v>0</v>
      </c>
      <c r="L14" s="402">
        <f>IS!L67</f>
        <v>0</v>
      </c>
      <c r="M14" s="402">
        <f ca="1">IS!M67</f>
        <v>0</v>
      </c>
      <c r="N14" s="402">
        <f ca="1">IS!N67</f>
        <v>0</v>
      </c>
      <c r="O14" s="402">
        <f ca="1">IS!O67</f>
        <v>0</v>
      </c>
      <c r="P14" s="402">
        <f ca="1">IS!P67</f>
        <v>0</v>
      </c>
      <c r="Q14" s="402">
        <f ca="1">IS!Q67</f>
        <v>0</v>
      </c>
      <c r="R14" s="402">
        <f ca="1">IS!R67</f>
        <v>0</v>
      </c>
      <c r="T14" s="490"/>
    </row>
    <row r="15" spans="2:20">
      <c r="T15" s="490"/>
    </row>
    <row r="16" spans="2:20">
      <c r="C16" s="297" t="s">
        <v>1990</v>
      </c>
      <c r="D16" s="298"/>
      <c r="E16" s="298"/>
      <c r="F16" s="298"/>
      <c r="G16" s="298"/>
      <c r="H16" s="299" t="str">
        <f>IS_Calcs!H14</f>
        <v>FY21</v>
      </c>
      <c r="I16" s="299" t="str">
        <f>IS_Calcs!I14</f>
        <v>FY22</v>
      </c>
      <c r="J16" s="299" t="str">
        <f>IS_Calcs!J14</f>
        <v>FY23</v>
      </c>
      <c r="K16" s="299" t="str">
        <f>IS_Calcs!K14</f>
        <v>YTD24</v>
      </c>
      <c r="L16" s="299" t="str">
        <f>IS_Calcs!L14</f>
        <v>YTG24</v>
      </c>
      <c r="M16" s="299" t="str">
        <f>IS_Calcs!M14</f>
        <v>FY24</v>
      </c>
      <c r="N16" s="299" t="str">
        <f>IS_Calcs!N14</f>
        <v>FY25</v>
      </c>
      <c r="O16" s="299" t="str">
        <f>IS_Calcs!O14</f>
        <v>FY26</v>
      </c>
      <c r="P16" s="299" t="str">
        <f>IS_Calcs!P14</f>
        <v>FY27</v>
      </c>
      <c r="Q16" s="299" t="str">
        <f>IS_Calcs!Q14</f>
        <v>FY28</v>
      </c>
      <c r="R16" s="485" t="str">
        <f>IS_Calcs!R14</f>
        <v>FY29</v>
      </c>
      <c r="T16" s="490"/>
    </row>
    <row r="17" spans="3:20">
      <c r="C17" s="908" t="str">
        <f>currency.heading1</f>
        <v>USD 'Units</v>
      </c>
      <c r="D17" s="801"/>
      <c r="E17" s="801"/>
      <c r="F17" s="801"/>
      <c r="G17" s="801"/>
      <c r="H17" s="252" t="str">
        <f>IS_Calcs!H15</f>
        <v>Actual</v>
      </c>
      <c r="I17" s="252" t="str">
        <f>IS_Calcs!I15</f>
        <v>Actual</v>
      </c>
      <c r="J17" s="252" t="str">
        <f>IS_Calcs!J15</f>
        <v>Actual</v>
      </c>
      <c r="K17" s="252" t="str">
        <f>IS_Calcs!K15</f>
        <v>Actual</v>
      </c>
      <c r="L17" s="252" t="str">
        <f>IS_Calcs!L15</f>
        <v>Estimate</v>
      </c>
      <c r="M17" s="252" t="str">
        <f>IS_Calcs!M15</f>
        <v>Estimate</v>
      </c>
      <c r="N17" s="252" t="str">
        <f>IS_Calcs!N15</f>
        <v>Estimate</v>
      </c>
      <c r="O17" s="252" t="str">
        <f>IS_Calcs!O15</f>
        <v>Forecast</v>
      </c>
      <c r="P17" s="252" t="str">
        <f>IS_Calcs!P15</f>
        <v>Forecast</v>
      </c>
      <c r="Q17" s="252" t="str">
        <f>IS_Calcs!Q15</f>
        <v>Forecast</v>
      </c>
      <c r="R17" s="486" t="str">
        <f>IS_Calcs!R15</f>
        <v>Forecast</v>
      </c>
      <c r="T17" s="490"/>
    </row>
    <row r="18" spans="3:20">
      <c r="C18" s="909" t="s">
        <v>1615</v>
      </c>
      <c r="D18" s="498"/>
      <c r="E18" s="498"/>
      <c r="F18" s="498"/>
      <c r="G18" s="498"/>
      <c r="H18" s="819"/>
      <c r="I18" s="819"/>
      <c r="J18" s="819"/>
      <c r="K18" s="819"/>
      <c r="L18" s="819"/>
      <c r="M18" s="819"/>
      <c r="N18" s="819"/>
      <c r="O18" s="819"/>
      <c r="P18" s="819"/>
      <c r="Q18" s="819"/>
      <c r="R18" s="910"/>
      <c r="T18" s="490"/>
    </row>
    <row r="19" spans="3:20">
      <c r="C19" s="821" t="str">
        <f>C40</f>
        <v>Trade Receivables Days</v>
      </c>
      <c r="D19" s="268"/>
      <c r="E19" s="268"/>
      <c r="F19" s="268"/>
      <c r="G19" s="268"/>
      <c r="H19" s="884"/>
      <c r="I19" s="884"/>
      <c r="J19" s="884"/>
      <c r="K19" s="884"/>
      <c r="L19" s="884"/>
      <c r="M19" s="911">
        <f t="shared" ref="M19:R19" si="0">M10*M40/365</f>
        <v>0</v>
      </c>
      <c r="N19" s="911">
        <f t="shared" si="0"/>
        <v>0</v>
      </c>
      <c r="O19" s="911">
        <f t="shared" si="0"/>
        <v>0</v>
      </c>
      <c r="P19" s="911">
        <f t="shared" si="0"/>
        <v>0</v>
      </c>
      <c r="Q19" s="911">
        <f t="shared" si="0"/>
        <v>0</v>
      </c>
      <c r="R19" s="912">
        <f t="shared" si="0"/>
        <v>0</v>
      </c>
      <c r="T19" s="490"/>
    </row>
    <row r="20" spans="3:20">
      <c r="C20" s="821" t="str">
        <f>C41</f>
        <v>Advances to Suppliers</v>
      </c>
      <c r="D20" s="268"/>
      <c r="E20" s="268"/>
      <c r="F20" s="268"/>
      <c r="G20" s="268"/>
      <c r="H20" s="884"/>
      <c r="I20" s="884"/>
      <c r="J20" s="884"/>
      <c r="K20" s="884"/>
      <c r="L20" s="884"/>
      <c r="M20" s="911">
        <f t="shared" ref="M20:R20" si="1">M11*-M41/365</f>
        <v>0</v>
      </c>
      <c r="N20" s="911">
        <f t="shared" si="1"/>
        <v>0</v>
      </c>
      <c r="O20" s="911">
        <f t="shared" si="1"/>
        <v>0</v>
      </c>
      <c r="P20" s="911">
        <f t="shared" si="1"/>
        <v>0</v>
      </c>
      <c r="Q20" s="911">
        <f t="shared" si="1"/>
        <v>0</v>
      </c>
      <c r="R20" s="912">
        <f t="shared" si="1"/>
        <v>0</v>
      </c>
      <c r="T20" s="490"/>
    </row>
    <row r="21" spans="3:20">
      <c r="C21" s="821" t="str">
        <f>C42</f>
        <v>Other Receivables Days</v>
      </c>
      <c r="D21" s="268"/>
      <c r="E21" s="268"/>
      <c r="F21" s="268"/>
      <c r="G21" s="268"/>
      <c r="H21" s="884"/>
      <c r="I21" s="884"/>
      <c r="J21" s="884"/>
      <c r="K21" s="884"/>
      <c r="L21" s="884"/>
      <c r="M21" s="911">
        <f t="shared" ref="M21:R21" si="2">M10*M42/365</f>
        <v>0</v>
      </c>
      <c r="N21" s="911">
        <f t="shared" si="2"/>
        <v>0</v>
      </c>
      <c r="O21" s="911">
        <f t="shared" si="2"/>
        <v>0</v>
      </c>
      <c r="P21" s="911">
        <f t="shared" si="2"/>
        <v>0</v>
      </c>
      <c r="Q21" s="911">
        <f t="shared" si="2"/>
        <v>0</v>
      </c>
      <c r="R21" s="912">
        <f t="shared" si="2"/>
        <v>0</v>
      </c>
      <c r="T21" s="490" t="str">
        <f t="shared" ref="T21:T32" si="3">IFERROR((R21/N21)^(1/5)-1,"-")</f>
        <v>-</v>
      </c>
    </row>
    <row r="22" spans="3:20">
      <c r="C22" s="821" t="str">
        <f>C43</f>
        <v xml:space="preserve">Inventory Days </v>
      </c>
      <c r="D22" s="268"/>
      <c r="E22" s="268"/>
      <c r="F22" s="268"/>
      <c r="G22" s="268"/>
      <c r="H22" s="884"/>
      <c r="I22" s="884"/>
      <c r="J22" s="884"/>
      <c r="K22" s="884"/>
      <c r="L22" s="884"/>
      <c r="M22" s="911">
        <f t="shared" ref="M22:R23" si="4">-M11*M43/365</f>
        <v>0</v>
      </c>
      <c r="N22" s="911">
        <f t="shared" si="4"/>
        <v>0</v>
      </c>
      <c r="O22" s="911">
        <f t="shared" si="4"/>
        <v>0</v>
      </c>
      <c r="P22" s="911">
        <f t="shared" si="4"/>
        <v>0</v>
      </c>
      <c r="Q22" s="911">
        <f t="shared" si="4"/>
        <v>0</v>
      </c>
      <c r="R22" s="912">
        <f t="shared" si="4"/>
        <v>0</v>
      </c>
      <c r="T22" s="490" t="str">
        <f t="shared" si="3"/>
        <v>-</v>
      </c>
    </row>
    <row r="23" spans="3:20">
      <c r="C23" s="821" t="str">
        <f>C44</f>
        <v xml:space="preserve">Prepaid Expenses &amp; Other Days </v>
      </c>
      <c r="D23" s="268"/>
      <c r="E23" s="268"/>
      <c r="F23" s="268"/>
      <c r="G23" s="268"/>
      <c r="H23" s="884"/>
      <c r="I23" s="884"/>
      <c r="J23" s="884"/>
      <c r="K23" s="884"/>
      <c r="L23" s="884"/>
      <c r="M23" s="911">
        <f t="shared" si="4"/>
        <v>0</v>
      </c>
      <c r="N23" s="911">
        <f t="shared" si="4"/>
        <v>0</v>
      </c>
      <c r="O23" s="911">
        <f t="shared" si="4"/>
        <v>0</v>
      </c>
      <c r="P23" s="911">
        <f t="shared" si="4"/>
        <v>0</v>
      </c>
      <c r="Q23" s="911">
        <f t="shared" si="4"/>
        <v>0</v>
      </c>
      <c r="R23" s="912">
        <f t="shared" si="4"/>
        <v>0</v>
      </c>
      <c r="T23" s="490" t="str">
        <f t="shared" si="3"/>
        <v>-</v>
      </c>
    </row>
    <row r="24" spans="3:20">
      <c r="C24" s="821"/>
      <c r="D24" s="268"/>
      <c r="E24" s="268"/>
      <c r="F24" s="268"/>
      <c r="G24" s="268"/>
      <c r="H24" s="884"/>
      <c r="I24" s="884"/>
      <c r="J24" s="884"/>
      <c r="K24" s="884"/>
      <c r="L24" s="884"/>
      <c r="M24" s="822"/>
      <c r="N24" s="822"/>
      <c r="O24" s="822"/>
      <c r="P24" s="822"/>
      <c r="Q24" s="822"/>
      <c r="R24" s="824"/>
      <c r="T24" s="490" t="str">
        <f t="shared" si="3"/>
        <v>-</v>
      </c>
    </row>
    <row r="25" spans="3:20">
      <c r="C25" s="909" t="s">
        <v>1993</v>
      </c>
      <c r="D25" s="268"/>
      <c r="E25" s="268"/>
      <c r="F25" s="268"/>
      <c r="G25" s="268"/>
      <c r="H25" s="884"/>
      <c r="I25" s="884"/>
      <c r="J25" s="884"/>
      <c r="K25" s="884"/>
      <c r="L25" s="884"/>
      <c r="M25" s="822"/>
      <c r="N25" s="822"/>
      <c r="O25" s="822"/>
      <c r="P25" s="822"/>
      <c r="Q25" s="822"/>
      <c r="R25" s="824"/>
      <c r="T25" s="490" t="str">
        <f t="shared" si="3"/>
        <v>-</v>
      </c>
    </row>
    <row r="26" spans="3:20">
      <c r="C26" s="821" t="str">
        <f t="shared" ref="C26:C31" si="5">C47</f>
        <v xml:space="preserve">Trade Payables Days </v>
      </c>
      <c r="D26" s="268"/>
      <c r="E26" s="268"/>
      <c r="F26" s="268"/>
      <c r="G26" s="268"/>
      <c r="H26" s="884"/>
      <c r="I26" s="884"/>
      <c r="J26" s="884"/>
      <c r="K26" s="884"/>
      <c r="L26" s="884"/>
      <c r="M26" s="1593">
        <f t="shared" ref="M26:R26" si="6">M47*-M11/365</f>
        <v>0</v>
      </c>
      <c r="N26" s="822">
        <f t="shared" si="6"/>
        <v>0</v>
      </c>
      <c r="O26" s="822">
        <f t="shared" si="6"/>
        <v>0</v>
      </c>
      <c r="P26" s="822">
        <f t="shared" si="6"/>
        <v>0</v>
      </c>
      <c r="Q26" s="822">
        <f t="shared" si="6"/>
        <v>0</v>
      </c>
      <c r="R26" s="824">
        <f t="shared" si="6"/>
        <v>0</v>
      </c>
      <c r="T26" s="490" t="str">
        <f t="shared" si="3"/>
        <v>-</v>
      </c>
    </row>
    <row r="27" spans="3:20">
      <c r="C27" s="821" t="str">
        <f t="shared" si="5"/>
        <v>Advances from Customers</v>
      </c>
      <c r="D27" s="268"/>
      <c r="E27" s="268"/>
      <c r="F27" s="268"/>
      <c r="G27" s="268"/>
      <c r="H27" s="884"/>
      <c r="I27" s="884"/>
      <c r="J27" s="884"/>
      <c r="K27" s="884"/>
      <c r="L27" s="884"/>
      <c r="M27" s="1593">
        <f>M48*M10/365</f>
        <v>0</v>
      </c>
      <c r="N27" s="822">
        <f t="shared" ref="N27:R27" si="7">N48*N10/365</f>
        <v>0</v>
      </c>
      <c r="O27" s="822">
        <f t="shared" si="7"/>
        <v>0</v>
      </c>
      <c r="P27" s="822">
        <f t="shared" si="7"/>
        <v>0</v>
      </c>
      <c r="Q27" s="822">
        <f t="shared" si="7"/>
        <v>0</v>
      </c>
      <c r="R27" s="824">
        <f t="shared" si="7"/>
        <v>0</v>
      </c>
      <c r="T27" s="490"/>
    </row>
    <row r="28" spans="3:20">
      <c r="C28" s="821" t="str">
        <f t="shared" si="5"/>
        <v>Salaries Payable</v>
      </c>
      <c r="D28" s="268"/>
      <c r="E28" s="268"/>
      <c r="F28" s="268"/>
      <c r="G28" s="268"/>
      <c r="H28" s="884"/>
      <c r="I28" s="884"/>
      <c r="J28" s="884"/>
      <c r="K28" s="884"/>
      <c r="L28" s="884"/>
      <c r="M28" s="1593">
        <f t="shared" ref="M28:R28" si="8">M49*-M13/365</f>
        <v>0</v>
      </c>
      <c r="N28" s="822">
        <f t="shared" si="8"/>
        <v>0</v>
      </c>
      <c r="O28" s="822">
        <f t="shared" si="8"/>
        <v>0</v>
      </c>
      <c r="P28" s="822">
        <f t="shared" si="8"/>
        <v>0</v>
      </c>
      <c r="Q28" s="822">
        <f t="shared" si="8"/>
        <v>0</v>
      </c>
      <c r="R28" s="824">
        <f t="shared" si="8"/>
        <v>0</v>
      </c>
      <c r="T28" s="490" t="str">
        <f t="shared" si="3"/>
        <v>-</v>
      </c>
    </row>
    <row r="29" spans="3:20">
      <c r="C29" s="821" t="str">
        <f t="shared" si="5"/>
        <v xml:space="preserve">Accrued Expenses Days </v>
      </c>
      <c r="D29" s="268"/>
      <c r="E29" s="268"/>
      <c r="F29" s="268"/>
      <c r="G29" s="268"/>
      <c r="H29" s="884"/>
      <c r="I29" s="884"/>
      <c r="J29" s="884"/>
      <c r="K29" s="884"/>
      <c r="L29" s="884"/>
      <c r="M29" s="1593">
        <f t="shared" ref="M29:R29" si="9">M50*-M12/365</f>
        <v>0</v>
      </c>
      <c r="N29" s="911">
        <f t="shared" si="9"/>
        <v>0</v>
      </c>
      <c r="O29" s="822">
        <f t="shared" si="9"/>
        <v>0</v>
      </c>
      <c r="P29" s="822">
        <f t="shared" si="9"/>
        <v>0</v>
      </c>
      <c r="Q29" s="822">
        <f t="shared" si="9"/>
        <v>0</v>
      </c>
      <c r="R29" s="824">
        <f t="shared" si="9"/>
        <v>0</v>
      </c>
      <c r="T29" s="490" t="str">
        <f t="shared" si="3"/>
        <v>-</v>
      </c>
    </row>
    <row r="30" spans="3:20">
      <c r="C30" s="821" t="str">
        <f t="shared" si="5"/>
        <v xml:space="preserve">Tax Payables Days </v>
      </c>
      <c r="D30" s="268"/>
      <c r="E30" s="268"/>
      <c r="F30" s="268"/>
      <c r="G30" s="268"/>
      <c r="H30" s="884"/>
      <c r="I30" s="884"/>
      <c r="J30" s="884"/>
      <c r="K30" s="884"/>
      <c r="L30" s="884"/>
      <c r="M30" s="1593">
        <f t="shared" ref="M30:R30" ca="1" si="10">M51*-M14/365</f>
        <v>0</v>
      </c>
      <c r="N30" s="911">
        <f t="shared" ca="1" si="10"/>
        <v>0</v>
      </c>
      <c r="O30" s="822">
        <f t="shared" ca="1" si="10"/>
        <v>0</v>
      </c>
      <c r="P30" s="822">
        <f t="shared" ca="1" si="10"/>
        <v>0</v>
      </c>
      <c r="Q30" s="822">
        <f t="shared" ca="1" si="10"/>
        <v>0</v>
      </c>
      <c r="R30" s="824">
        <f t="shared" ca="1" si="10"/>
        <v>0</v>
      </c>
      <c r="T30" s="490" t="str">
        <f t="shared" ca="1" si="3"/>
        <v>-</v>
      </c>
    </row>
    <row r="31" spans="3:20">
      <c r="C31" s="821" t="str">
        <f t="shared" si="5"/>
        <v xml:space="preserve">Other Payables Days </v>
      </c>
      <c r="D31" s="268"/>
      <c r="E31" s="268"/>
      <c r="F31" s="268"/>
      <c r="G31" s="268"/>
      <c r="H31" s="884"/>
      <c r="I31" s="884"/>
      <c r="J31" s="884"/>
      <c r="K31" s="884"/>
      <c r="L31" s="884"/>
      <c r="M31" s="1594">
        <f t="shared" ref="M31:R31" si="11">-M12*M52/365</f>
        <v>0</v>
      </c>
      <c r="N31" s="911">
        <f t="shared" si="11"/>
        <v>0</v>
      </c>
      <c r="O31" s="822">
        <f t="shared" si="11"/>
        <v>0</v>
      </c>
      <c r="P31" s="822">
        <f t="shared" si="11"/>
        <v>0</v>
      </c>
      <c r="Q31" s="822">
        <f t="shared" si="11"/>
        <v>0</v>
      </c>
      <c r="R31" s="824">
        <f t="shared" si="11"/>
        <v>0</v>
      </c>
      <c r="T31" s="490" t="str">
        <f t="shared" si="3"/>
        <v>-</v>
      </c>
    </row>
    <row r="32" spans="3:20">
      <c r="C32" s="913" t="s">
        <v>1991</v>
      </c>
      <c r="D32" s="914"/>
      <c r="E32" s="914"/>
      <c r="F32" s="914"/>
      <c r="G32" s="914"/>
      <c r="H32" s="915">
        <f t="shared" ref="H32" si="12">SUM(H19:H23)-SUM(H26:H31)</f>
        <v>0</v>
      </c>
      <c r="I32" s="915">
        <f t="shared" ref="I32:R32" si="13">SUM(I19:I23)-SUM(I26:I31)</f>
        <v>0</v>
      </c>
      <c r="J32" s="915">
        <f t="shared" si="13"/>
        <v>0</v>
      </c>
      <c r="K32" s="915">
        <f t="shared" si="13"/>
        <v>0</v>
      </c>
      <c r="L32" s="915">
        <f t="shared" si="13"/>
        <v>0</v>
      </c>
      <c r="M32" s="915">
        <f t="shared" ca="1" si="13"/>
        <v>0</v>
      </c>
      <c r="N32" s="915">
        <f t="shared" ca="1" si="13"/>
        <v>0</v>
      </c>
      <c r="O32" s="915">
        <f t="shared" ca="1" si="13"/>
        <v>0</v>
      </c>
      <c r="P32" s="915">
        <f t="shared" ca="1" si="13"/>
        <v>0</v>
      </c>
      <c r="Q32" s="915">
        <f t="shared" ca="1" si="13"/>
        <v>0</v>
      </c>
      <c r="R32" s="916">
        <f t="shared" ca="1" si="13"/>
        <v>0</v>
      </c>
      <c r="T32" s="490" t="str">
        <f t="shared" ca="1" si="3"/>
        <v>-</v>
      </c>
    </row>
    <row r="33" spans="3:20">
      <c r="C33" s="301" t="s">
        <v>2260</v>
      </c>
      <c r="D33" s="917"/>
      <c r="E33" s="917"/>
      <c r="F33" s="917"/>
      <c r="G33" s="917"/>
      <c r="H33" s="863">
        <f>H32-F32</f>
        <v>0</v>
      </c>
      <c r="I33" s="863">
        <f>I32-H32</f>
        <v>0</v>
      </c>
      <c r="J33" s="863">
        <f t="shared" ref="J33:R33" si="14">J32-I32</f>
        <v>0</v>
      </c>
      <c r="K33" s="863">
        <f t="shared" si="14"/>
        <v>0</v>
      </c>
      <c r="L33" s="1597">
        <f>L32-K32</f>
        <v>0</v>
      </c>
      <c r="M33" s="918">
        <f ca="1">M32-K32</f>
        <v>0</v>
      </c>
      <c r="N33" s="918">
        <f ca="1">N32-M32</f>
        <v>0</v>
      </c>
      <c r="O33" s="863">
        <f t="shared" ca="1" si="14"/>
        <v>0</v>
      </c>
      <c r="P33" s="863">
        <f t="shared" ca="1" si="14"/>
        <v>0</v>
      </c>
      <c r="Q33" s="863">
        <f t="shared" ca="1" si="14"/>
        <v>0</v>
      </c>
      <c r="R33" s="864">
        <f t="shared" ca="1" si="14"/>
        <v>0</v>
      </c>
      <c r="T33" s="490"/>
    </row>
    <row r="34" spans="3:20">
      <c r="C34" s="301" t="s">
        <v>2261</v>
      </c>
      <c r="D34" s="293"/>
      <c r="E34" s="293"/>
      <c r="F34" s="293"/>
      <c r="G34" s="293"/>
      <c r="H34" s="919" t="e">
        <f>H32/IS!H23</f>
        <v>#DIV/0!</v>
      </c>
      <c r="I34" s="919" t="e">
        <f>I32/IS!I23</f>
        <v>#DIV/0!</v>
      </c>
      <c r="J34" s="919" t="e">
        <f>J32/IS!J23</f>
        <v>#DIV/0!</v>
      </c>
      <c r="K34" s="919" t="e">
        <f>K32/IS!K23</f>
        <v>#DIV/0!</v>
      </c>
      <c r="L34" s="919" t="e">
        <f>L32/IS!L23</f>
        <v>#DIV/0!</v>
      </c>
      <c r="M34" s="919" t="e">
        <f ca="1">M32/IS!M23</f>
        <v>#DIV/0!</v>
      </c>
      <c r="N34" s="919" t="e">
        <f ca="1">N32/IS!N23</f>
        <v>#DIV/0!</v>
      </c>
      <c r="O34" s="919" t="e">
        <f ca="1">O32/IS!O23</f>
        <v>#DIV/0!</v>
      </c>
      <c r="P34" s="919" t="e">
        <f ca="1">P32/IS!P23</f>
        <v>#DIV/0!</v>
      </c>
      <c r="Q34" s="919" t="e">
        <f ca="1">Q32/IS!Q23</f>
        <v>#DIV/0!</v>
      </c>
      <c r="R34" s="920" t="e">
        <f ca="1">R32/IS!R23</f>
        <v>#DIV/0!</v>
      </c>
      <c r="T34" s="490"/>
    </row>
    <row r="35" spans="3:20">
      <c r="C35" s="309" t="s">
        <v>2262</v>
      </c>
      <c r="D35" s="921"/>
      <c r="E35" s="921"/>
      <c r="F35" s="921"/>
      <c r="G35" s="921"/>
      <c r="H35" s="1595"/>
      <c r="I35" s="1595"/>
      <c r="J35" s="1595"/>
      <c r="K35" s="1595"/>
      <c r="L35" s="1595"/>
      <c r="M35" s="1595"/>
      <c r="N35" s="1595"/>
      <c r="O35" s="1595"/>
      <c r="P35" s="1595"/>
      <c r="Q35" s="1595"/>
      <c r="R35" s="1596"/>
      <c r="T35" s="490"/>
    </row>
    <row r="36" spans="3:20">
      <c r="T36" s="490" t="str">
        <f t="shared" ref="T36:T63" si="15">IFERROR((R36/N36)^(1/5)-1,"-")</f>
        <v>-</v>
      </c>
    </row>
    <row r="37" spans="3:20">
      <c r="C37" s="297" t="s">
        <v>1992</v>
      </c>
      <c r="D37" s="298"/>
      <c r="E37" s="298"/>
      <c r="F37" s="298"/>
      <c r="G37" s="298"/>
      <c r="H37" s="299" t="str">
        <f>IS_Calcs!H14</f>
        <v>FY21</v>
      </c>
      <c r="I37" s="299" t="str">
        <f>IS_Calcs!I14</f>
        <v>FY22</v>
      </c>
      <c r="J37" s="299" t="str">
        <f>IS_Calcs!J14</f>
        <v>FY23</v>
      </c>
      <c r="K37" s="299" t="str">
        <f>IS_Calcs!K14</f>
        <v>YTD24</v>
      </c>
      <c r="L37" s="299" t="str">
        <f>IS_Calcs!L14</f>
        <v>YTG24</v>
      </c>
      <c r="M37" s="299" t="str">
        <f>IS_Calcs!M14</f>
        <v>FY24</v>
      </c>
      <c r="N37" s="299" t="str">
        <f>IS_Calcs!N14</f>
        <v>FY25</v>
      </c>
      <c r="O37" s="299" t="str">
        <f>IS_Calcs!O14</f>
        <v>FY26</v>
      </c>
      <c r="P37" s="299" t="str">
        <f>IS_Calcs!P14</f>
        <v>FY27</v>
      </c>
      <c r="Q37" s="299" t="str">
        <f>IS_Calcs!Q14</f>
        <v>FY28</v>
      </c>
      <c r="R37" s="485" t="str">
        <f>IS_Calcs!R14</f>
        <v>FY29</v>
      </c>
      <c r="T37" s="490" t="str">
        <f t="shared" si="15"/>
        <v>-</v>
      </c>
    </row>
    <row r="38" spans="3:20">
      <c r="C38" s="908"/>
      <c r="D38" s="801"/>
      <c r="E38" s="801"/>
      <c r="F38" s="801"/>
      <c r="G38" s="801"/>
      <c r="H38" s="252" t="str">
        <f>IS_Calcs!H15</f>
        <v>Actual</v>
      </c>
      <c r="I38" s="252" t="str">
        <f>IS_Calcs!I15</f>
        <v>Actual</v>
      </c>
      <c r="J38" s="252" t="str">
        <f>IS_Calcs!J15</f>
        <v>Actual</v>
      </c>
      <c r="K38" s="252" t="str">
        <f>IS_Calcs!K15</f>
        <v>Actual</v>
      </c>
      <c r="L38" s="252" t="str">
        <f>IS_Calcs!L15</f>
        <v>Estimate</v>
      </c>
      <c r="M38" s="252" t="str">
        <f>IS_Calcs!M15</f>
        <v>Estimate</v>
      </c>
      <c r="N38" s="252" t="str">
        <f>IS_Calcs!N15</f>
        <v>Estimate</v>
      </c>
      <c r="O38" s="252" t="str">
        <f>IS_Calcs!O15</f>
        <v>Forecast</v>
      </c>
      <c r="P38" s="252" t="str">
        <f>IS_Calcs!P15</f>
        <v>Forecast</v>
      </c>
      <c r="Q38" s="252" t="str">
        <f>IS_Calcs!Q15</f>
        <v>Forecast</v>
      </c>
      <c r="R38" s="486" t="str">
        <f>IS_Calcs!R15</f>
        <v>Forecast</v>
      </c>
      <c r="T38" s="490" t="str">
        <f t="shared" si="15"/>
        <v>-</v>
      </c>
    </row>
    <row r="39" spans="3:20">
      <c r="C39" s="922" t="str">
        <f>C18</f>
        <v>Current Assets</v>
      </c>
      <c r="D39" s="923"/>
      <c r="E39" s="923"/>
      <c r="F39" s="923"/>
      <c r="G39" s="923"/>
      <c r="H39" s="924"/>
      <c r="I39" s="924"/>
      <c r="J39" s="924"/>
      <c r="K39" s="924"/>
      <c r="L39" s="924"/>
      <c r="M39" s="924"/>
      <c r="N39" s="924"/>
      <c r="O39" s="924"/>
      <c r="P39" s="924"/>
      <c r="Q39" s="924"/>
      <c r="R39" s="925"/>
      <c r="T39" s="490" t="str">
        <f t="shared" si="15"/>
        <v>-</v>
      </c>
    </row>
    <row r="40" spans="3:20">
      <c r="C40" s="821" t="s">
        <v>2583</v>
      </c>
      <c r="D40" s="268"/>
      <c r="E40" s="268"/>
      <c r="F40" s="268"/>
      <c r="G40" s="268"/>
      <c r="H40" s="884"/>
      <c r="I40" s="884"/>
      <c r="J40" s="884"/>
      <c r="K40" s="884"/>
      <c r="L40" s="884"/>
      <c r="M40" s="885">
        <f>IF(Inputs!L228&lt;0,0,Inputs!L228)</f>
        <v>0</v>
      </c>
      <c r="N40" s="885">
        <f>IF(Inputs!M228&lt;0,0,Inputs!M228)</f>
        <v>0</v>
      </c>
      <c r="O40" s="885">
        <f>IF(Inputs!N228&lt;0,0,Inputs!N228)</f>
        <v>0</v>
      </c>
      <c r="P40" s="885">
        <f>IF(Inputs!O228&lt;0,0,Inputs!O228)</f>
        <v>0</v>
      </c>
      <c r="Q40" s="885">
        <f>IF(Inputs!P228&lt;0,0,Inputs!P228)</f>
        <v>0</v>
      </c>
      <c r="R40" s="1577">
        <f>IF(Inputs!Q228&lt;0,0,Inputs!Q228)</f>
        <v>0</v>
      </c>
      <c r="T40" s="490" t="str">
        <f t="shared" si="15"/>
        <v>-</v>
      </c>
    </row>
    <row r="41" spans="3:20">
      <c r="C41" s="821" t="s">
        <v>2804</v>
      </c>
      <c r="D41" s="268"/>
      <c r="E41" s="268"/>
      <c r="F41" s="268"/>
      <c r="G41" s="268"/>
      <c r="H41" s="884"/>
      <c r="I41" s="884"/>
      <c r="J41" s="884"/>
      <c r="K41" s="884"/>
      <c r="L41" s="884"/>
      <c r="M41" s="885">
        <f>IF(Inputs!L233&lt;0,-Inputs!L233,0)</f>
        <v>40</v>
      </c>
      <c r="N41" s="885">
        <f>IF(Inputs!M233&lt;0,-Inputs!M233,0)</f>
        <v>40</v>
      </c>
      <c r="O41" s="885">
        <f>IF(Inputs!N233&lt;0,-Inputs!N233,0)</f>
        <v>40</v>
      </c>
      <c r="P41" s="885">
        <f>IF(Inputs!O233&lt;0,-Inputs!O233,0)</f>
        <v>40</v>
      </c>
      <c r="Q41" s="885">
        <f>IF(Inputs!P233&lt;0,-Inputs!P233,0)</f>
        <v>40</v>
      </c>
      <c r="R41" s="1577">
        <f>IF(Inputs!Q233&lt;0,-Inputs!Q233,0)</f>
        <v>40</v>
      </c>
      <c r="T41" s="490"/>
    </row>
    <row r="42" spans="3:20">
      <c r="C42" s="821" t="s">
        <v>2586</v>
      </c>
      <c r="D42" s="268"/>
      <c r="E42" s="268"/>
      <c r="F42" s="268"/>
      <c r="G42" s="268"/>
      <c r="H42" s="884"/>
      <c r="I42" s="884"/>
      <c r="J42" s="884"/>
      <c r="K42" s="884"/>
      <c r="L42" s="884"/>
      <c r="M42" s="885">
        <f>Inputs!L229</f>
        <v>0</v>
      </c>
      <c r="N42" s="885">
        <f>Inputs!M229</f>
        <v>0</v>
      </c>
      <c r="O42" s="885">
        <f>Inputs!N229</f>
        <v>0</v>
      </c>
      <c r="P42" s="885">
        <f>Inputs!O229</f>
        <v>0</v>
      </c>
      <c r="Q42" s="885">
        <f>Inputs!P229</f>
        <v>0</v>
      </c>
      <c r="R42" s="1577">
        <f>Inputs!Q229</f>
        <v>0</v>
      </c>
      <c r="T42" s="490" t="str">
        <f t="shared" si="15"/>
        <v>-</v>
      </c>
    </row>
    <row r="43" spans="3:20">
      <c r="C43" s="821" t="s">
        <v>2588</v>
      </c>
      <c r="D43" s="268"/>
      <c r="E43" s="268"/>
      <c r="F43" s="268"/>
      <c r="G43" s="268"/>
      <c r="H43" s="884"/>
      <c r="I43" s="884"/>
      <c r="J43" s="884"/>
      <c r="K43" s="884"/>
      <c r="L43" s="884"/>
      <c r="M43" s="885">
        <f>Inputs!L230</f>
        <v>0</v>
      </c>
      <c r="N43" s="885">
        <f>Inputs!M230</f>
        <v>0</v>
      </c>
      <c r="O43" s="885">
        <f>Inputs!N230</f>
        <v>0</v>
      </c>
      <c r="P43" s="885">
        <f>Inputs!O230</f>
        <v>0</v>
      </c>
      <c r="Q43" s="885">
        <f>Inputs!P230</f>
        <v>0</v>
      </c>
      <c r="R43" s="1577">
        <f>Inputs!Q230</f>
        <v>0</v>
      </c>
      <c r="T43" s="490" t="str">
        <f t="shared" si="15"/>
        <v>-</v>
      </c>
    </row>
    <row r="44" spans="3:20">
      <c r="C44" s="821" t="s">
        <v>2590</v>
      </c>
      <c r="D44" s="268"/>
      <c r="E44" s="268"/>
      <c r="F44" s="268"/>
      <c r="G44" s="268"/>
      <c r="H44" s="884"/>
      <c r="I44" s="884"/>
      <c r="J44" s="884"/>
      <c r="K44" s="884"/>
      <c r="L44" s="884"/>
      <c r="M44" s="885">
        <f>Inputs!L231</f>
        <v>0</v>
      </c>
      <c r="N44" s="885">
        <f>Inputs!M231</f>
        <v>0</v>
      </c>
      <c r="O44" s="885">
        <f>Inputs!N231</f>
        <v>0</v>
      </c>
      <c r="P44" s="885">
        <f>Inputs!O231</f>
        <v>0</v>
      </c>
      <c r="Q44" s="885">
        <f>Inputs!P231</f>
        <v>0</v>
      </c>
      <c r="R44" s="1577">
        <f>Inputs!Q231</f>
        <v>0</v>
      </c>
      <c r="T44" s="490" t="str">
        <f t="shared" si="15"/>
        <v>-</v>
      </c>
    </row>
    <row r="45" spans="3:20">
      <c r="C45" s="821"/>
      <c r="D45" s="268"/>
      <c r="E45" s="268"/>
      <c r="F45" s="268"/>
      <c r="G45" s="268"/>
      <c r="H45" s="884"/>
      <c r="I45" s="884"/>
      <c r="J45" s="884"/>
      <c r="K45" s="884"/>
      <c r="L45" s="884"/>
      <c r="M45" s="822"/>
      <c r="N45" s="822"/>
      <c r="O45" s="822"/>
      <c r="P45" s="822"/>
      <c r="Q45" s="822"/>
      <c r="R45" s="824"/>
      <c r="T45" s="490" t="str">
        <f t="shared" si="15"/>
        <v>-</v>
      </c>
    </row>
    <row r="46" spans="3:20">
      <c r="C46" s="909" t="str">
        <f>C25</f>
        <v>Current Liabilities</v>
      </c>
      <c r="D46" s="268"/>
      <c r="E46" s="268"/>
      <c r="F46" s="268"/>
      <c r="G46" s="268"/>
      <c r="H46" s="884"/>
      <c r="I46" s="884"/>
      <c r="J46" s="884"/>
      <c r="K46" s="884"/>
      <c r="L46" s="884"/>
      <c r="M46" s="822"/>
      <c r="N46" s="822"/>
      <c r="O46" s="822"/>
      <c r="P46" s="822"/>
      <c r="Q46" s="822"/>
      <c r="R46" s="824"/>
      <c r="T46" s="490" t="str">
        <f t="shared" si="15"/>
        <v>-</v>
      </c>
    </row>
    <row r="47" spans="3:20">
      <c r="C47" s="821" t="s">
        <v>2592</v>
      </c>
      <c r="D47" s="268"/>
      <c r="E47" s="268"/>
      <c r="F47" s="268"/>
      <c r="G47" s="268"/>
      <c r="H47" s="884"/>
      <c r="I47" s="884"/>
      <c r="J47" s="884"/>
      <c r="K47" s="884"/>
      <c r="L47" s="884"/>
      <c r="M47" s="885">
        <f>IF(Inputs!L233&lt;0,0,Inputs!L233)</f>
        <v>0</v>
      </c>
      <c r="N47" s="885">
        <f>IF(Inputs!M233&lt;0,0,Inputs!M233)</f>
        <v>0</v>
      </c>
      <c r="O47" s="885">
        <f>IF(Inputs!N233&lt;0,0,Inputs!N233)</f>
        <v>0</v>
      </c>
      <c r="P47" s="885">
        <f>IF(Inputs!O233&lt;0,0,Inputs!O233)</f>
        <v>0</v>
      </c>
      <c r="Q47" s="885">
        <f>IF(Inputs!P233&lt;0,0,Inputs!P233)</f>
        <v>0</v>
      </c>
      <c r="R47" s="1577">
        <f>IF(Inputs!Q233&lt;0,0,Inputs!Q233)</f>
        <v>0</v>
      </c>
      <c r="T47" s="490" t="str">
        <f t="shared" si="15"/>
        <v>-</v>
      </c>
    </row>
    <row r="48" spans="3:20">
      <c r="C48" s="821" t="s">
        <v>2803</v>
      </c>
      <c r="D48" s="268"/>
      <c r="E48" s="268"/>
      <c r="F48" s="268"/>
      <c r="G48" s="268"/>
      <c r="H48" s="884"/>
      <c r="I48" s="884"/>
      <c r="J48" s="884"/>
      <c r="K48" s="884"/>
      <c r="L48" s="884"/>
      <c r="M48" s="885">
        <f>IF(Inputs!L228&lt;0,-Inputs!L228,0)</f>
        <v>20</v>
      </c>
      <c r="N48" s="885">
        <f>IF(Inputs!M228&lt;0,-Inputs!M228,0)</f>
        <v>20</v>
      </c>
      <c r="O48" s="885">
        <f>IF(Inputs!N228&lt;0,-Inputs!N228,0)</f>
        <v>20</v>
      </c>
      <c r="P48" s="885">
        <f>IF(Inputs!O228&lt;0,-Inputs!O228,0)</f>
        <v>20</v>
      </c>
      <c r="Q48" s="885">
        <f>IF(Inputs!P228&lt;0,-Inputs!P228,0)</f>
        <v>20</v>
      </c>
      <c r="R48" s="1577">
        <f>IF(Inputs!Q228&lt;0,-Inputs!Q228,0)</f>
        <v>20</v>
      </c>
      <c r="T48" s="490"/>
    </row>
    <row r="49" spans="3:20">
      <c r="C49" s="821" t="s">
        <v>2594</v>
      </c>
      <c r="D49" s="268"/>
      <c r="E49" s="268"/>
      <c r="F49" s="268"/>
      <c r="G49" s="268"/>
      <c r="H49" s="884"/>
      <c r="I49" s="884"/>
      <c r="J49" s="884"/>
      <c r="K49" s="884"/>
      <c r="L49" s="884"/>
      <c r="M49" s="885">
        <f>Inputs!L234</f>
        <v>0</v>
      </c>
      <c r="N49" s="885">
        <f>Inputs!M234</f>
        <v>0</v>
      </c>
      <c r="O49" s="885">
        <f>Inputs!N234</f>
        <v>0</v>
      </c>
      <c r="P49" s="885">
        <f>Inputs!O234</f>
        <v>0</v>
      </c>
      <c r="Q49" s="885">
        <f>Inputs!P234</f>
        <v>0</v>
      </c>
      <c r="R49" s="1577">
        <f>Inputs!Q234</f>
        <v>0</v>
      </c>
      <c r="T49" s="490" t="str">
        <f t="shared" si="15"/>
        <v>-</v>
      </c>
    </row>
    <row r="50" spans="3:20">
      <c r="C50" s="821" t="s">
        <v>2596</v>
      </c>
      <c r="D50" s="268"/>
      <c r="E50" s="268"/>
      <c r="F50" s="268"/>
      <c r="G50" s="268"/>
      <c r="H50" s="884"/>
      <c r="I50" s="884"/>
      <c r="J50" s="884"/>
      <c r="K50" s="884"/>
      <c r="L50" s="884"/>
      <c r="M50" s="885">
        <f>Inputs!L235</f>
        <v>0</v>
      </c>
      <c r="N50" s="885">
        <f>Inputs!M235</f>
        <v>0</v>
      </c>
      <c r="O50" s="885">
        <f>Inputs!N235</f>
        <v>0</v>
      </c>
      <c r="P50" s="885">
        <f>Inputs!O235</f>
        <v>0</v>
      </c>
      <c r="Q50" s="885">
        <f>Inputs!P235</f>
        <v>0</v>
      </c>
      <c r="R50" s="1577">
        <f>Inputs!Q235</f>
        <v>0</v>
      </c>
      <c r="T50" s="490" t="str">
        <f t="shared" si="15"/>
        <v>-</v>
      </c>
    </row>
    <row r="51" spans="3:20">
      <c r="C51" s="821" t="s">
        <v>2598</v>
      </c>
      <c r="D51" s="268"/>
      <c r="E51" s="268"/>
      <c r="F51" s="268"/>
      <c r="G51" s="268"/>
      <c r="H51" s="884"/>
      <c r="I51" s="884"/>
      <c r="J51" s="884"/>
      <c r="K51" s="884"/>
      <c r="L51" s="884"/>
      <c r="M51" s="885">
        <f>Inputs!L236</f>
        <v>0</v>
      </c>
      <c r="N51" s="885">
        <f>Inputs!M236</f>
        <v>0</v>
      </c>
      <c r="O51" s="885">
        <f>Inputs!N236</f>
        <v>0</v>
      </c>
      <c r="P51" s="885">
        <f>Inputs!O236</f>
        <v>0</v>
      </c>
      <c r="Q51" s="885">
        <f>Inputs!P236</f>
        <v>0</v>
      </c>
      <c r="R51" s="1577">
        <f>Inputs!Q236</f>
        <v>0</v>
      </c>
      <c r="T51" s="490" t="str">
        <f t="shared" si="15"/>
        <v>-</v>
      </c>
    </row>
    <row r="52" spans="3:20">
      <c r="C52" s="821" t="s">
        <v>2600</v>
      </c>
      <c r="D52" s="268"/>
      <c r="E52" s="268"/>
      <c r="F52" s="268"/>
      <c r="G52" s="268"/>
      <c r="H52" s="884"/>
      <c r="I52" s="884"/>
      <c r="J52" s="884"/>
      <c r="K52" s="884"/>
      <c r="L52" s="884"/>
      <c r="M52" s="885">
        <f>Inputs!L237</f>
        <v>0</v>
      </c>
      <c r="N52" s="822">
        <f>Inputs!M237</f>
        <v>0</v>
      </c>
      <c r="O52" s="822">
        <f>Inputs!N237</f>
        <v>0</v>
      </c>
      <c r="P52" s="822">
        <f>Inputs!O237</f>
        <v>0</v>
      </c>
      <c r="Q52" s="822">
        <f>Inputs!P237</f>
        <v>0</v>
      </c>
      <c r="R52" s="824">
        <f>Inputs!Q237</f>
        <v>0</v>
      </c>
      <c r="T52" s="490" t="str">
        <f t="shared" si="15"/>
        <v>-</v>
      </c>
    </row>
    <row r="53" spans="3:20">
      <c r="C53" s="913" t="s">
        <v>1994</v>
      </c>
      <c r="D53" s="914"/>
      <c r="E53" s="914"/>
      <c r="F53" s="914"/>
      <c r="G53" s="914"/>
      <c r="H53" s="915">
        <f>SUM(H40:H44)-SUM(H47:H52)</f>
        <v>0</v>
      </c>
      <c r="I53" s="915">
        <f>SUM(I40:I44)-SUM(I47:I52)</f>
        <v>0</v>
      </c>
      <c r="J53" s="915">
        <f>SUM(J40:J44)-SUM(J47:J52)</f>
        <v>0</v>
      </c>
      <c r="K53" s="915"/>
      <c r="L53" s="915"/>
      <c r="M53" s="915">
        <f t="shared" ref="M53:R53" si="16">SUM(M40:M44)-SUM(M47:M52)</f>
        <v>20</v>
      </c>
      <c r="N53" s="915">
        <f t="shared" si="16"/>
        <v>20</v>
      </c>
      <c r="O53" s="915">
        <f t="shared" si="16"/>
        <v>20</v>
      </c>
      <c r="P53" s="915">
        <f t="shared" si="16"/>
        <v>20</v>
      </c>
      <c r="Q53" s="915">
        <f t="shared" si="16"/>
        <v>20</v>
      </c>
      <c r="R53" s="916">
        <f t="shared" si="16"/>
        <v>20</v>
      </c>
      <c r="T53" s="490">
        <f t="shared" si="15"/>
        <v>0</v>
      </c>
    </row>
    <row r="54" spans="3:20">
      <c r="T54" s="490" t="str">
        <f t="shared" si="15"/>
        <v>-</v>
      </c>
    </row>
    <row r="55" spans="3:20">
      <c r="C55" s="297" t="s">
        <v>2075</v>
      </c>
      <c r="D55" s="298"/>
      <c r="E55" s="298"/>
      <c r="F55" s="298"/>
      <c r="G55" s="298"/>
      <c r="H55" s="299" t="str">
        <f t="shared" ref="H55" si="17">H7</f>
        <v>FY21</v>
      </c>
      <c r="I55" s="299" t="str">
        <f t="shared" ref="I55:R55" si="18">I7</f>
        <v>FY22</v>
      </c>
      <c r="J55" s="299" t="str">
        <f t="shared" si="18"/>
        <v>FY23</v>
      </c>
      <c r="K55" s="299" t="str">
        <f t="shared" si="18"/>
        <v>YTD24</v>
      </c>
      <c r="L55" s="299" t="str">
        <f t="shared" si="18"/>
        <v>YTG24</v>
      </c>
      <c r="M55" s="299" t="str">
        <f t="shared" si="18"/>
        <v>FY24</v>
      </c>
      <c r="N55" s="299" t="str">
        <f t="shared" si="18"/>
        <v>FY25</v>
      </c>
      <c r="O55" s="299" t="str">
        <f t="shared" si="18"/>
        <v>FY26</v>
      </c>
      <c r="P55" s="299" t="str">
        <f t="shared" si="18"/>
        <v>FY27</v>
      </c>
      <c r="Q55" s="299" t="str">
        <f t="shared" si="18"/>
        <v>FY28</v>
      </c>
      <c r="R55" s="485" t="str">
        <f t="shared" si="18"/>
        <v>FY29</v>
      </c>
      <c r="T55" s="490" t="str">
        <f t="shared" si="15"/>
        <v>-</v>
      </c>
    </row>
    <row r="56" spans="3:20">
      <c r="C56" s="908" t="str">
        <f>currency.heading1</f>
        <v>USD 'Units</v>
      </c>
      <c r="D56" s="801"/>
      <c r="E56" s="801"/>
      <c r="F56" s="801"/>
      <c r="G56" s="801"/>
      <c r="H56" s="252" t="str">
        <f t="shared" ref="H56" si="19">H8</f>
        <v>Actual</v>
      </c>
      <c r="I56" s="252" t="str">
        <f t="shared" ref="I56:R56" si="20">I8</f>
        <v>Actual</v>
      </c>
      <c r="J56" s="252" t="str">
        <f t="shared" si="20"/>
        <v>Actual</v>
      </c>
      <c r="K56" s="252" t="str">
        <f t="shared" si="20"/>
        <v>Actual</v>
      </c>
      <c r="L56" s="252" t="str">
        <f t="shared" si="20"/>
        <v>Estimate</v>
      </c>
      <c r="M56" s="252" t="str">
        <f t="shared" si="20"/>
        <v>Estimate</v>
      </c>
      <c r="N56" s="252" t="str">
        <f t="shared" si="20"/>
        <v>Estimate</v>
      </c>
      <c r="O56" s="252" t="str">
        <f t="shared" si="20"/>
        <v>Forecast</v>
      </c>
      <c r="P56" s="252" t="str">
        <f t="shared" si="20"/>
        <v>Forecast</v>
      </c>
      <c r="Q56" s="252" t="str">
        <f t="shared" si="20"/>
        <v>Forecast</v>
      </c>
      <c r="R56" s="486" t="str">
        <f t="shared" si="20"/>
        <v>Forecast</v>
      </c>
      <c r="T56" s="490" t="str">
        <f t="shared" si="15"/>
        <v>-</v>
      </c>
    </row>
    <row r="57" spans="3:20">
      <c r="H57" s="402"/>
      <c r="I57" s="402"/>
      <c r="T57" s="490" t="str">
        <f t="shared" si="15"/>
        <v>-</v>
      </c>
    </row>
    <row r="58" spans="3:20">
      <c r="C58" s="926" t="s">
        <v>2092</v>
      </c>
      <c r="D58" s="927"/>
      <c r="E58" s="927"/>
      <c r="F58" s="927"/>
      <c r="G58" s="927"/>
      <c r="H58" s="928"/>
      <c r="I58" s="928"/>
      <c r="J58" s="928"/>
      <c r="K58" s="928"/>
      <c r="L58" s="928"/>
      <c r="M58" s="928"/>
      <c r="N58" s="928"/>
      <c r="O58" s="928"/>
      <c r="P58" s="927"/>
      <c r="Q58" s="927"/>
      <c r="R58" s="929"/>
      <c r="T58" s="490" t="str">
        <f t="shared" si="15"/>
        <v>-</v>
      </c>
    </row>
    <row r="59" spans="3:20">
      <c r="C59" s="930" t="s">
        <v>2093</v>
      </c>
      <c r="L59" s="931">
        <f t="shared" ref="L59:R59" si="21">L82</f>
        <v>0</v>
      </c>
      <c r="M59" s="931">
        <f t="shared" ca="1" si="21"/>
        <v>0</v>
      </c>
      <c r="N59" s="931">
        <f t="shared" ca="1" si="21"/>
        <v>0</v>
      </c>
      <c r="O59" s="932">
        <f t="shared" ca="1" si="21"/>
        <v>0</v>
      </c>
      <c r="P59" s="932">
        <f t="shared" ca="1" si="21"/>
        <v>0</v>
      </c>
      <c r="Q59" s="932">
        <f t="shared" ca="1" si="21"/>
        <v>0</v>
      </c>
      <c r="R59" s="933">
        <f t="shared" ca="1" si="21"/>
        <v>0</v>
      </c>
      <c r="T59" s="490" t="str">
        <f t="shared" ca="1" si="15"/>
        <v>-</v>
      </c>
    </row>
    <row r="60" spans="3:20">
      <c r="C60" s="930" t="s">
        <v>2094</v>
      </c>
      <c r="L60" s="931">
        <f t="shared" ref="L60:R60" si="22">L75</f>
        <v>0</v>
      </c>
      <c r="M60" s="931">
        <f t="shared" si="22"/>
        <v>0</v>
      </c>
      <c r="N60" s="931">
        <f t="shared" si="22"/>
        <v>0</v>
      </c>
      <c r="O60" s="932">
        <f t="shared" si="22"/>
        <v>0</v>
      </c>
      <c r="P60" s="932">
        <f t="shared" si="22"/>
        <v>0</v>
      </c>
      <c r="Q60" s="932">
        <f t="shared" si="22"/>
        <v>0</v>
      </c>
      <c r="R60" s="933">
        <f t="shared" si="22"/>
        <v>0</v>
      </c>
      <c r="T60" s="490" t="str">
        <f t="shared" si="15"/>
        <v>-</v>
      </c>
    </row>
    <row r="61" spans="3:20">
      <c r="C61" s="930" t="s">
        <v>2095</v>
      </c>
      <c r="L61" s="932">
        <f t="shared" ref="L61:R61" si="23">SUM(L71:L74)</f>
        <v>0</v>
      </c>
      <c r="M61" s="932">
        <f t="shared" si="23"/>
        <v>0</v>
      </c>
      <c r="N61" s="932">
        <f t="shared" si="23"/>
        <v>0</v>
      </c>
      <c r="O61" s="932">
        <f t="shared" si="23"/>
        <v>0</v>
      </c>
      <c r="P61" s="932">
        <f t="shared" si="23"/>
        <v>0</v>
      </c>
      <c r="Q61" s="932">
        <f t="shared" si="23"/>
        <v>0</v>
      </c>
      <c r="R61" s="933">
        <f t="shared" si="23"/>
        <v>0</v>
      </c>
      <c r="T61" s="490" t="str">
        <f t="shared" si="15"/>
        <v>-</v>
      </c>
    </row>
    <row r="62" spans="3:20">
      <c r="C62" s="934" t="s">
        <v>2096</v>
      </c>
      <c r="D62" s="286"/>
      <c r="E62" s="286"/>
      <c r="F62" s="286"/>
      <c r="G62" s="286"/>
      <c r="H62" s="286"/>
      <c r="I62" s="286"/>
      <c r="J62" s="286"/>
      <c r="K62" s="286"/>
      <c r="L62" s="935">
        <f t="shared" ref="L62:R62" si="24">L96</f>
        <v>0</v>
      </c>
      <c r="M62" s="935">
        <f t="shared" ca="1" si="24"/>
        <v>0</v>
      </c>
      <c r="N62" s="935">
        <f t="shared" ca="1" si="24"/>
        <v>0</v>
      </c>
      <c r="O62" s="936">
        <f t="shared" ca="1" si="24"/>
        <v>0</v>
      </c>
      <c r="P62" s="936">
        <f t="shared" ca="1" si="24"/>
        <v>0</v>
      </c>
      <c r="Q62" s="936">
        <f t="shared" ca="1" si="24"/>
        <v>0</v>
      </c>
      <c r="R62" s="937">
        <f t="shared" ca="1" si="24"/>
        <v>0</v>
      </c>
      <c r="T62" s="490" t="str">
        <f t="shared" ca="1" si="15"/>
        <v>-</v>
      </c>
    </row>
    <row r="63" spans="3:20">
      <c r="T63" s="490" t="str">
        <f t="shared" si="15"/>
        <v>-</v>
      </c>
    </row>
    <row r="64" spans="3:20">
      <c r="C64" s="938" t="s">
        <v>2097</v>
      </c>
      <c r="T64" s="490" t="str">
        <f t="shared" ref="T64:T95" si="25">IFERROR((R64/N64)^(1/5)-1,"-")</f>
        <v>-</v>
      </c>
    </row>
    <row r="65" spans="3:20">
      <c r="C65" s="939" t="s">
        <v>2098</v>
      </c>
      <c r="T65" s="490" t="str">
        <f t="shared" si="25"/>
        <v>-</v>
      </c>
    </row>
    <row r="66" spans="3:20">
      <c r="C66" s="940" t="s">
        <v>2099</v>
      </c>
      <c r="L66" s="931">
        <f t="shared" ref="L66:R66" si="26">L102</f>
        <v>0</v>
      </c>
      <c r="M66" s="931">
        <f t="shared" si="26"/>
        <v>0</v>
      </c>
      <c r="N66" s="931">
        <f t="shared" si="26"/>
        <v>0</v>
      </c>
      <c r="O66" s="931">
        <f t="shared" si="26"/>
        <v>0</v>
      </c>
      <c r="P66" s="931">
        <f t="shared" si="26"/>
        <v>0</v>
      </c>
      <c r="Q66" s="931">
        <f t="shared" si="26"/>
        <v>0</v>
      </c>
      <c r="R66" s="931">
        <f t="shared" si="26"/>
        <v>0</v>
      </c>
      <c r="T66" s="490" t="str">
        <f t="shared" si="25"/>
        <v>-</v>
      </c>
    </row>
    <row r="67" spans="3:20">
      <c r="C67" s="940" t="s">
        <v>2130</v>
      </c>
      <c r="L67" s="931">
        <f t="shared" ref="L67:R67" si="27">L123</f>
        <v>0</v>
      </c>
      <c r="M67" s="931">
        <f t="shared" si="27"/>
        <v>0</v>
      </c>
      <c r="N67" s="931">
        <f t="shared" si="27"/>
        <v>0</v>
      </c>
      <c r="O67" s="931">
        <f t="shared" si="27"/>
        <v>0</v>
      </c>
      <c r="P67" s="931">
        <f t="shared" si="27"/>
        <v>0</v>
      </c>
      <c r="Q67" s="931">
        <f t="shared" si="27"/>
        <v>0</v>
      </c>
      <c r="R67" s="931">
        <f t="shared" si="27"/>
        <v>0</v>
      </c>
      <c r="T67" s="490" t="str">
        <f t="shared" si="25"/>
        <v>-</v>
      </c>
    </row>
    <row r="68" spans="3:20">
      <c r="C68" s="940" t="s">
        <v>2131</v>
      </c>
      <c r="L68" s="931">
        <f t="shared" ref="L68:R68" si="28">L144</f>
        <v>0</v>
      </c>
      <c r="M68" s="931">
        <f t="shared" si="28"/>
        <v>0</v>
      </c>
      <c r="N68" s="931">
        <f t="shared" si="28"/>
        <v>0</v>
      </c>
      <c r="O68" s="931">
        <f t="shared" si="28"/>
        <v>0</v>
      </c>
      <c r="P68" s="931">
        <f t="shared" si="28"/>
        <v>0</v>
      </c>
      <c r="Q68" s="931">
        <f t="shared" si="28"/>
        <v>0</v>
      </c>
      <c r="R68" s="931">
        <f t="shared" si="28"/>
        <v>0</v>
      </c>
      <c r="T68" s="490" t="str">
        <f t="shared" si="25"/>
        <v>-</v>
      </c>
    </row>
    <row r="69" spans="3:20">
      <c r="C69" s="940" t="s">
        <v>2132</v>
      </c>
      <c r="L69" s="931">
        <f t="shared" ref="L69:R69" si="29">L165</f>
        <v>0</v>
      </c>
      <c r="M69" s="931">
        <f t="shared" si="29"/>
        <v>0</v>
      </c>
      <c r="N69" s="931">
        <f t="shared" si="29"/>
        <v>0</v>
      </c>
      <c r="O69" s="931">
        <f t="shared" si="29"/>
        <v>0</v>
      </c>
      <c r="P69" s="931">
        <f t="shared" si="29"/>
        <v>0</v>
      </c>
      <c r="Q69" s="931">
        <f t="shared" si="29"/>
        <v>0</v>
      </c>
      <c r="R69" s="931">
        <f t="shared" si="29"/>
        <v>0</v>
      </c>
      <c r="T69" s="490" t="str">
        <f t="shared" si="25"/>
        <v>-</v>
      </c>
    </row>
    <row r="70" spans="3:20">
      <c r="C70" s="939" t="s">
        <v>2073</v>
      </c>
      <c r="T70" s="490" t="str">
        <f t="shared" si="25"/>
        <v>-</v>
      </c>
    </row>
    <row r="71" spans="3:20">
      <c r="C71" s="940" t="s">
        <v>2099</v>
      </c>
      <c r="L71" s="246">
        <f t="shared" ref="L71:R71" si="30">L103</f>
        <v>0</v>
      </c>
      <c r="M71" s="246">
        <f t="shared" si="30"/>
        <v>0</v>
      </c>
      <c r="N71" s="246">
        <f t="shared" si="30"/>
        <v>0</v>
      </c>
      <c r="O71" s="246">
        <f t="shared" si="30"/>
        <v>0</v>
      </c>
      <c r="P71" s="246">
        <f t="shared" si="30"/>
        <v>0</v>
      </c>
      <c r="Q71" s="246">
        <f t="shared" si="30"/>
        <v>0</v>
      </c>
      <c r="R71" s="246">
        <f t="shared" si="30"/>
        <v>0</v>
      </c>
      <c r="T71" s="490" t="str">
        <f t="shared" si="25"/>
        <v>-</v>
      </c>
    </row>
    <row r="72" spans="3:20">
      <c r="C72" s="940" t="s">
        <v>2130</v>
      </c>
      <c r="L72" s="246">
        <f t="shared" ref="L72:R72" si="31">L124</f>
        <v>0</v>
      </c>
      <c r="M72" s="246">
        <f t="shared" si="31"/>
        <v>0</v>
      </c>
      <c r="N72" s="246">
        <f t="shared" si="31"/>
        <v>0</v>
      </c>
      <c r="O72" s="246">
        <f t="shared" si="31"/>
        <v>0</v>
      </c>
      <c r="P72" s="246">
        <f t="shared" si="31"/>
        <v>0</v>
      </c>
      <c r="Q72" s="246">
        <f t="shared" si="31"/>
        <v>0</v>
      </c>
      <c r="R72" s="246">
        <f t="shared" si="31"/>
        <v>0</v>
      </c>
      <c r="T72" s="490" t="str">
        <f t="shared" si="25"/>
        <v>-</v>
      </c>
    </row>
    <row r="73" spans="3:20">
      <c r="C73" s="940" t="s">
        <v>2131</v>
      </c>
      <c r="L73" s="246">
        <f t="shared" ref="L73:R73" si="32">L145</f>
        <v>0</v>
      </c>
      <c r="M73" s="246">
        <f t="shared" si="32"/>
        <v>0</v>
      </c>
      <c r="N73" s="246">
        <f t="shared" si="32"/>
        <v>0</v>
      </c>
      <c r="O73" s="246">
        <f t="shared" si="32"/>
        <v>0</v>
      </c>
      <c r="P73" s="246">
        <f t="shared" si="32"/>
        <v>0</v>
      </c>
      <c r="Q73" s="246">
        <f t="shared" si="32"/>
        <v>0</v>
      </c>
      <c r="R73" s="246">
        <f t="shared" si="32"/>
        <v>0</v>
      </c>
      <c r="T73" s="490" t="str">
        <f t="shared" si="25"/>
        <v>-</v>
      </c>
    </row>
    <row r="74" spans="3:20">
      <c r="C74" s="940" t="s">
        <v>2132</v>
      </c>
      <c r="L74" s="246">
        <f t="shared" ref="L74:R74" si="33">L166</f>
        <v>0</v>
      </c>
      <c r="M74" s="246">
        <f t="shared" si="33"/>
        <v>0</v>
      </c>
      <c r="N74" s="246">
        <f t="shared" si="33"/>
        <v>0</v>
      </c>
      <c r="O74" s="246">
        <f t="shared" si="33"/>
        <v>0</v>
      </c>
      <c r="P74" s="246">
        <f t="shared" si="33"/>
        <v>0</v>
      </c>
      <c r="Q74" s="246">
        <f t="shared" si="33"/>
        <v>0</v>
      </c>
      <c r="R74" s="246">
        <f t="shared" si="33"/>
        <v>0</v>
      </c>
      <c r="T74" s="490" t="str">
        <f t="shared" si="25"/>
        <v>-</v>
      </c>
    </row>
    <row r="75" spans="3:20">
      <c r="C75" s="941" t="s">
        <v>2100</v>
      </c>
      <c r="D75" s="565"/>
      <c r="E75" s="565"/>
      <c r="F75" s="565"/>
      <c r="G75" s="565"/>
      <c r="H75" s="565"/>
      <c r="I75" s="565"/>
      <c r="J75" s="565"/>
      <c r="K75" s="565"/>
      <c r="L75" s="942">
        <f t="shared" ref="L75:R75" si="34">SUM(L66:L74)</f>
        <v>0</v>
      </c>
      <c r="M75" s="942">
        <f t="shared" si="34"/>
        <v>0</v>
      </c>
      <c r="N75" s="942">
        <f t="shared" si="34"/>
        <v>0</v>
      </c>
      <c r="O75" s="942">
        <f t="shared" si="34"/>
        <v>0</v>
      </c>
      <c r="P75" s="942">
        <f t="shared" si="34"/>
        <v>0</v>
      </c>
      <c r="Q75" s="942">
        <f t="shared" si="34"/>
        <v>0</v>
      </c>
      <c r="R75" s="942">
        <f t="shared" si="34"/>
        <v>0</v>
      </c>
      <c r="T75" s="490" t="str">
        <f t="shared" si="25"/>
        <v>-</v>
      </c>
    </row>
    <row r="76" spans="3:20">
      <c r="T76" s="490" t="str">
        <f t="shared" si="25"/>
        <v>-</v>
      </c>
    </row>
    <row r="77" spans="3:20">
      <c r="C77" s="939" t="s">
        <v>2101</v>
      </c>
      <c r="T77" s="490" t="str">
        <f t="shared" si="25"/>
        <v>-</v>
      </c>
    </row>
    <row r="78" spans="3:20">
      <c r="C78" s="940" t="s">
        <v>2102</v>
      </c>
      <c r="L78" s="931">
        <f t="shared" ref="L78:R78" si="35">L116</f>
        <v>0</v>
      </c>
      <c r="M78" s="931">
        <f t="shared" ca="1" si="35"/>
        <v>0</v>
      </c>
      <c r="N78" s="931">
        <f t="shared" ca="1" si="35"/>
        <v>0</v>
      </c>
      <c r="O78" s="931">
        <f t="shared" ca="1" si="35"/>
        <v>0</v>
      </c>
      <c r="P78" s="931">
        <f t="shared" ca="1" si="35"/>
        <v>0</v>
      </c>
      <c r="Q78" s="931">
        <f t="shared" ca="1" si="35"/>
        <v>0</v>
      </c>
      <c r="R78" s="931">
        <f t="shared" ca="1" si="35"/>
        <v>0</v>
      </c>
      <c r="T78" s="490" t="str">
        <f t="shared" ca="1" si="25"/>
        <v>-</v>
      </c>
    </row>
    <row r="79" spans="3:20">
      <c r="C79" s="940" t="s">
        <v>2103</v>
      </c>
      <c r="L79" s="931">
        <f t="shared" ref="L79:R79" si="36">L137</f>
        <v>0</v>
      </c>
      <c r="M79" s="931">
        <f t="shared" ca="1" si="36"/>
        <v>0</v>
      </c>
      <c r="N79" s="931">
        <f t="shared" ca="1" si="36"/>
        <v>0</v>
      </c>
      <c r="O79" s="931">
        <f t="shared" ca="1" si="36"/>
        <v>0</v>
      </c>
      <c r="P79" s="931">
        <f t="shared" ca="1" si="36"/>
        <v>0</v>
      </c>
      <c r="Q79" s="931">
        <f t="shared" ca="1" si="36"/>
        <v>0</v>
      </c>
      <c r="R79" s="931">
        <f t="shared" ca="1" si="36"/>
        <v>0</v>
      </c>
      <c r="T79" s="490" t="str">
        <f t="shared" ca="1" si="25"/>
        <v>-</v>
      </c>
    </row>
    <row r="80" spans="3:20">
      <c r="C80" s="940" t="s">
        <v>2104</v>
      </c>
      <c r="L80" s="931">
        <f t="shared" ref="L80:R80" si="37">L158</f>
        <v>0</v>
      </c>
      <c r="M80" s="931">
        <f t="shared" ca="1" si="37"/>
        <v>0</v>
      </c>
      <c r="N80" s="931">
        <f t="shared" ca="1" si="37"/>
        <v>0</v>
      </c>
      <c r="O80" s="931">
        <f t="shared" ca="1" si="37"/>
        <v>0</v>
      </c>
      <c r="P80" s="931">
        <f t="shared" ca="1" si="37"/>
        <v>0</v>
      </c>
      <c r="Q80" s="931">
        <f t="shared" ca="1" si="37"/>
        <v>0</v>
      </c>
      <c r="R80" s="931">
        <f t="shared" ca="1" si="37"/>
        <v>0</v>
      </c>
      <c r="T80" s="490" t="str">
        <f t="shared" ca="1" si="25"/>
        <v>-</v>
      </c>
    </row>
    <row r="81" spans="3:20">
      <c r="C81" s="940" t="s">
        <v>2105</v>
      </c>
      <c r="L81" s="931">
        <f t="shared" ref="L81:R81" si="38">L179</f>
        <v>0</v>
      </c>
      <c r="M81" s="931">
        <f t="shared" ca="1" si="38"/>
        <v>0</v>
      </c>
      <c r="N81" s="931">
        <f t="shared" ca="1" si="38"/>
        <v>0</v>
      </c>
      <c r="O81" s="931">
        <f t="shared" ca="1" si="38"/>
        <v>0</v>
      </c>
      <c r="P81" s="931">
        <f t="shared" ca="1" si="38"/>
        <v>0</v>
      </c>
      <c r="Q81" s="931">
        <f t="shared" ca="1" si="38"/>
        <v>0</v>
      </c>
      <c r="R81" s="931">
        <f t="shared" ca="1" si="38"/>
        <v>0</v>
      </c>
      <c r="T81" s="490" t="str">
        <f t="shared" ca="1" si="25"/>
        <v>-</v>
      </c>
    </row>
    <row r="82" spans="3:20">
      <c r="C82" s="941" t="s">
        <v>2106</v>
      </c>
      <c r="D82" s="565"/>
      <c r="E82" s="565"/>
      <c r="F82" s="565"/>
      <c r="G82" s="565"/>
      <c r="H82" s="565"/>
      <c r="I82" s="565"/>
      <c r="J82" s="565"/>
      <c r="K82" s="565"/>
      <c r="L82" s="942">
        <f t="shared" ref="L82:R82" si="39">SUM(L78:L81)</f>
        <v>0</v>
      </c>
      <c r="M82" s="942">
        <f t="shared" ca="1" si="39"/>
        <v>0</v>
      </c>
      <c r="N82" s="942">
        <f t="shared" ca="1" si="39"/>
        <v>0</v>
      </c>
      <c r="O82" s="942">
        <f t="shared" ca="1" si="39"/>
        <v>0</v>
      </c>
      <c r="P82" s="942">
        <f t="shared" ca="1" si="39"/>
        <v>0</v>
      </c>
      <c r="Q82" s="942">
        <f t="shared" ca="1" si="39"/>
        <v>0</v>
      </c>
      <c r="R82" s="942">
        <f t="shared" ca="1" si="39"/>
        <v>0</v>
      </c>
      <c r="T82" s="490" t="str">
        <f t="shared" ca="1" si="25"/>
        <v>-</v>
      </c>
    </row>
    <row r="83" spans="3:20">
      <c r="C83" s="940"/>
      <c r="T83" s="490" t="str">
        <f t="shared" si="25"/>
        <v>-</v>
      </c>
    </row>
    <row r="84" spans="3:20">
      <c r="C84" s="939" t="s">
        <v>2107</v>
      </c>
      <c r="T84" s="490" t="str">
        <f t="shared" si="25"/>
        <v>-</v>
      </c>
    </row>
    <row r="85" spans="3:20">
      <c r="C85" s="940" t="s">
        <v>2102</v>
      </c>
      <c r="L85" s="931">
        <f t="shared" ref="L85:R85" si="40">L117</f>
        <v>0</v>
      </c>
      <c r="M85" s="931">
        <f t="shared" ca="1" si="40"/>
        <v>0</v>
      </c>
      <c r="N85" s="931">
        <f t="shared" ca="1" si="40"/>
        <v>0</v>
      </c>
      <c r="O85" s="931">
        <f t="shared" ca="1" si="40"/>
        <v>0</v>
      </c>
      <c r="P85" s="931">
        <f t="shared" ca="1" si="40"/>
        <v>0</v>
      </c>
      <c r="Q85" s="931">
        <f t="shared" ca="1" si="40"/>
        <v>0</v>
      </c>
      <c r="R85" s="931">
        <f t="shared" ca="1" si="40"/>
        <v>0</v>
      </c>
      <c r="T85" s="490" t="str">
        <f t="shared" ca="1" si="25"/>
        <v>-</v>
      </c>
    </row>
    <row r="86" spans="3:20">
      <c r="C86" s="940" t="s">
        <v>2103</v>
      </c>
      <c r="L86" s="931">
        <f t="shared" ref="L86:R86" si="41">L138</f>
        <v>0</v>
      </c>
      <c r="M86" s="931">
        <f t="shared" ca="1" si="41"/>
        <v>0</v>
      </c>
      <c r="N86" s="931">
        <f t="shared" ca="1" si="41"/>
        <v>0</v>
      </c>
      <c r="O86" s="931">
        <f t="shared" ca="1" si="41"/>
        <v>0</v>
      </c>
      <c r="P86" s="931">
        <f t="shared" ca="1" si="41"/>
        <v>0</v>
      </c>
      <c r="Q86" s="931">
        <f t="shared" ca="1" si="41"/>
        <v>0</v>
      </c>
      <c r="R86" s="931">
        <f t="shared" ca="1" si="41"/>
        <v>0</v>
      </c>
      <c r="T86" s="490" t="str">
        <f t="shared" ca="1" si="25"/>
        <v>-</v>
      </c>
    </row>
    <row r="87" spans="3:20">
      <c r="C87" s="940" t="s">
        <v>2104</v>
      </c>
      <c r="L87" s="931">
        <f t="shared" ref="L87:R87" si="42">L159</f>
        <v>0</v>
      </c>
      <c r="M87" s="931">
        <f t="shared" ca="1" si="42"/>
        <v>0</v>
      </c>
      <c r="N87" s="931">
        <f t="shared" ca="1" si="42"/>
        <v>0</v>
      </c>
      <c r="O87" s="931">
        <f t="shared" ca="1" si="42"/>
        <v>0</v>
      </c>
      <c r="P87" s="931">
        <f t="shared" ca="1" si="42"/>
        <v>0</v>
      </c>
      <c r="Q87" s="931">
        <f t="shared" ca="1" si="42"/>
        <v>0</v>
      </c>
      <c r="R87" s="931">
        <f t="shared" ca="1" si="42"/>
        <v>0</v>
      </c>
      <c r="T87" s="490" t="str">
        <f t="shared" ca="1" si="25"/>
        <v>-</v>
      </c>
    </row>
    <row r="88" spans="3:20">
      <c r="C88" s="940" t="s">
        <v>2105</v>
      </c>
      <c r="L88" s="931">
        <f t="shared" ref="L88:R88" si="43">L180</f>
        <v>0</v>
      </c>
      <c r="M88" s="931">
        <f t="shared" ca="1" si="43"/>
        <v>0</v>
      </c>
      <c r="N88" s="931">
        <f t="shared" ca="1" si="43"/>
        <v>0</v>
      </c>
      <c r="O88" s="931">
        <f t="shared" ca="1" si="43"/>
        <v>0</v>
      </c>
      <c r="P88" s="931">
        <f t="shared" ca="1" si="43"/>
        <v>0</v>
      </c>
      <c r="Q88" s="931">
        <f t="shared" ca="1" si="43"/>
        <v>0</v>
      </c>
      <c r="R88" s="931">
        <f t="shared" ca="1" si="43"/>
        <v>0</v>
      </c>
      <c r="T88" s="490" t="str">
        <f t="shared" ca="1" si="25"/>
        <v>-</v>
      </c>
    </row>
    <row r="89" spans="3:20">
      <c r="C89" s="941" t="s">
        <v>2108</v>
      </c>
      <c r="D89" s="565"/>
      <c r="E89" s="565"/>
      <c r="F89" s="565"/>
      <c r="G89" s="565"/>
      <c r="H89" s="565"/>
      <c r="I89" s="565"/>
      <c r="J89" s="565"/>
      <c r="K89" s="565"/>
      <c r="L89" s="942">
        <f t="shared" ref="L89:R89" si="44">SUM(L85:L88)</f>
        <v>0</v>
      </c>
      <c r="M89" s="942">
        <f t="shared" ca="1" si="44"/>
        <v>0</v>
      </c>
      <c r="N89" s="942">
        <f t="shared" ca="1" si="44"/>
        <v>0</v>
      </c>
      <c r="O89" s="942">
        <f t="shared" ca="1" si="44"/>
        <v>0</v>
      </c>
      <c r="P89" s="942">
        <f t="shared" ca="1" si="44"/>
        <v>0</v>
      </c>
      <c r="Q89" s="942">
        <f t="shared" ca="1" si="44"/>
        <v>0</v>
      </c>
      <c r="R89" s="942">
        <f t="shared" ca="1" si="44"/>
        <v>0</v>
      </c>
      <c r="T89" s="490" t="str">
        <f t="shared" ca="1" si="25"/>
        <v>-</v>
      </c>
    </row>
    <row r="90" spans="3:20">
      <c r="C90" s="940"/>
      <c r="T90" s="490" t="str">
        <f t="shared" si="25"/>
        <v>-</v>
      </c>
    </row>
    <row r="91" spans="3:20">
      <c r="C91" s="939" t="s">
        <v>2109</v>
      </c>
      <c r="T91" s="490" t="str">
        <f t="shared" si="25"/>
        <v>-</v>
      </c>
    </row>
    <row r="92" spans="3:20">
      <c r="C92" s="940" t="s">
        <v>2102</v>
      </c>
      <c r="L92" s="931">
        <f t="shared" ref="L92:R92" si="45">L115</f>
        <v>0</v>
      </c>
      <c r="M92" s="931">
        <f t="shared" ca="1" si="45"/>
        <v>0</v>
      </c>
      <c r="N92" s="931">
        <f t="shared" ca="1" si="45"/>
        <v>0</v>
      </c>
      <c r="O92" s="931">
        <f t="shared" ca="1" si="45"/>
        <v>0</v>
      </c>
      <c r="P92" s="931">
        <f t="shared" ca="1" si="45"/>
        <v>0</v>
      </c>
      <c r="Q92" s="931">
        <f t="shared" ca="1" si="45"/>
        <v>0</v>
      </c>
      <c r="R92" s="931">
        <f t="shared" ca="1" si="45"/>
        <v>0</v>
      </c>
      <c r="T92" s="490" t="str">
        <f t="shared" ca="1" si="25"/>
        <v>-</v>
      </c>
    </row>
    <row r="93" spans="3:20">
      <c r="C93" s="940" t="s">
        <v>2103</v>
      </c>
      <c r="L93" s="931">
        <f t="shared" ref="L93:R93" si="46">L136</f>
        <v>0</v>
      </c>
      <c r="M93" s="931">
        <f t="shared" ca="1" si="46"/>
        <v>0</v>
      </c>
      <c r="N93" s="931">
        <f t="shared" ca="1" si="46"/>
        <v>0</v>
      </c>
      <c r="O93" s="931">
        <f t="shared" ca="1" si="46"/>
        <v>0</v>
      </c>
      <c r="P93" s="931">
        <f t="shared" ca="1" si="46"/>
        <v>0</v>
      </c>
      <c r="Q93" s="931">
        <f t="shared" ca="1" si="46"/>
        <v>0</v>
      </c>
      <c r="R93" s="931">
        <f t="shared" ca="1" si="46"/>
        <v>0</v>
      </c>
      <c r="T93" s="490" t="str">
        <f t="shared" ca="1" si="25"/>
        <v>-</v>
      </c>
    </row>
    <row r="94" spans="3:20">
      <c r="C94" s="940" t="s">
        <v>2104</v>
      </c>
      <c r="L94" s="931">
        <f t="shared" ref="L94:R94" si="47">L157</f>
        <v>0</v>
      </c>
      <c r="M94" s="931">
        <f t="shared" ca="1" si="47"/>
        <v>0</v>
      </c>
      <c r="N94" s="931">
        <f t="shared" ca="1" si="47"/>
        <v>0</v>
      </c>
      <c r="O94" s="931">
        <f t="shared" ca="1" si="47"/>
        <v>0</v>
      </c>
      <c r="P94" s="931">
        <f t="shared" ca="1" si="47"/>
        <v>0</v>
      </c>
      <c r="Q94" s="931">
        <f t="shared" ca="1" si="47"/>
        <v>0</v>
      </c>
      <c r="R94" s="931">
        <f t="shared" ca="1" si="47"/>
        <v>0</v>
      </c>
      <c r="T94" s="490" t="str">
        <f t="shared" ca="1" si="25"/>
        <v>-</v>
      </c>
    </row>
    <row r="95" spans="3:20">
      <c r="C95" s="940" t="s">
        <v>2105</v>
      </c>
      <c r="L95" s="931">
        <f t="shared" ref="L95:R95" si="48">L178</f>
        <v>0</v>
      </c>
      <c r="M95" s="931">
        <f t="shared" ca="1" si="48"/>
        <v>0</v>
      </c>
      <c r="N95" s="931">
        <f t="shared" ca="1" si="48"/>
        <v>0</v>
      </c>
      <c r="O95" s="931">
        <f t="shared" ca="1" si="48"/>
        <v>0</v>
      </c>
      <c r="P95" s="931">
        <f t="shared" ca="1" si="48"/>
        <v>0</v>
      </c>
      <c r="Q95" s="931">
        <f t="shared" ca="1" si="48"/>
        <v>0</v>
      </c>
      <c r="R95" s="931">
        <f t="shared" ca="1" si="48"/>
        <v>0</v>
      </c>
      <c r="T95" s="490" t="str">
        <f t="shared" ca="1" si="25"/>
        <v>-</v>
      </c>
    </row>
    <row r="96" spans="3:20">
      <c r="C96" s="941" t="s">
        <v>2110</v>
      </c>
      <c r="D96" s="565"/>
      <c r="E96" s="565"/>
      <c r="F96" s="565"/>
      <c r="G96" s="565"/>
      <c r="H96" s="565"/>
      <c r="I96" s="565"/>
      <c r="J96" s="565"/>
      <c r="K96" s="565"/>
      <c r="L96" s="942">
        <f t="shared" ref="L96:R96" si="49">SUM(L92:L95)</f>
        <v>0</v>
      </c>
      <c r="M96" s="942">
        <f t="shared" ca="1" si="49"/>
        <v>0</v>
      </c>
      <c r="N96" s="942">
        <f t="shared" ca="1" si="49"/>
        <v>0</v>
      </c>
      <c r="O96" s="942">
        <f t="shared" ca="1" si="49"/>
        <v>0</v>
      </c>
      <c r="P96" s="942">
        <f t="shared" ca="1" si="49"/>
        <v>0</v>
      </c>
      <c r="Q96" s="942">
        <f t="shared" ca="1" si="49"/>
        <v>0</v>
      </c>
      <c r="R96" s="942">
        <f t="shared" ca="1" si="49"/>
        <v>0</v>
      </c>
      <c r="T96" s="490" t="str">
        <f t="shared" ref="T96:T126" ca="1" si="50">IFERROR((R96/N96)^(1/5)-1,"-")</f>
        <v>-</v>
      </c>
    </row>
    <row r="97" spans="1:20">
      <c r="T97" s="490" t="str">
        <f t="shared" si="50"/>
        <v>-</v>
      </c>
    </row>
    <row r="98" spans="1:20">
      <c r="B98" s="940"/>
      <c r="C98" s="943" t="s">
        <v>2121</v>
      </c>
      <c r="D98" s="944"/>
      <c r="T98" s="490" t="str">
        <f t="shared" si="50"/>
        <v>-</v>
      </c>
    </row>
    <row r="99" spans="1:20">
      <c r="A99" s="940"/>
      <c r="B99" s="940"/>
      <c r="C99" s="940" t="s">
        <v>1544</v>
      </c>
      <c r="D99" s="945">
        <v>30</v>
      </c>
      <c r="E99" s="946"/>
      <c r="F99" s="946"/>
      <c r="G99" s="946"/>
      <c r="H99" s="947" t="s">
        <v>2111</v>
      </c>
      <c r="I99" s="947" t="s">
        <v>2111</v>
      </c>
      <c r="T99" s="490" t="str">
        <f t="shared" si="50"/>
        <v>-</v>
      </c>
    </row>
    <row r="100" spans="1:20">
      <c r="A100" s="940"/>
      <c r="B100" s="940"/>
      <c r="C100" s="940"/>
      <c r="D100" s="948"/>
      <c r="E100" s="940"/>
      <c r="F100" s="940"/>
      <c r="G100" s="940"/>
      <c r="H100" s="949"/>
      <c r="I100" s="949"/>
      <c r="T100" s="490" t="str">
        <f t="shared" si="50"/>
        <v>-</v>
      </c>
    </row>
    <row r="101" spans="1:20">
      <c r="A101" s="940"/>
      <c r="B101" s="940"/>
      <c r="C101" s="938" t="s">
        <v>2097</v>
      </c>
      <c r="D101" s="948"/>
      <c r="E101" s="940"/>
      <c r="F101" s="940"/>
      <c r="G101" s="940"/>
      <c r="H101" s="949"/>
      <c r="I101" s="949"/>
      <c r="T101" s="490" t="str">
        <f t="shared" si="50"/>
        <v>-</v>
      </c>
    </row>
    <row r="102" spans="1:20">
      <c r="A102" s="940"/>
      <c r="B102" s="940"/>
      <c r="C102" s="940" t="s">
        <v>2112</v>
      </c>
      <c r="D102" s="938"/>
      <c r="E102" s="946"/>
      <c r="F102" s="946"/>
      <c r="G102" s="946"/>
      <c r="H102" s="950" t="str">
        <f>currency.heading1</f>
        <v>USD 'Units</v>
      </c>
      <c r="I102" s="950"/>
      <c r="J102" s="951"/>
      <c r="K102" s="951"/>
      <c r="L102" s="952">
        <f>Inputs!J209</f>
        <v>0</v>
      </c>
      <c r="M102" s="931">
        <f t="shared" ref="M102:R102" si="51">L104</f>
        <v>0</v>
      </c>
      <c r="N102" s="931">
        <f t="shared" si="51"/>
        <v>0</v>
      </c>
      <c r="O102" s="931">
        <f t="shared" si="51"/>
        <v>0</v>
      </c>
      <c r="P102" s="931">
        <f t="shared" si="51"/>
        <v>0</v>
      </c>
      <c r="Q102" s="931">
        <f t="shared" si="51"/>
        <v>0</v>
      </c>
      <c r="R102" s="931">
        <f t="shared" si="51"/>
        <v>0</v>
      </c>
      <c r="T102" s="490" t="str">
        <f t="shared" si="50"/>
        <v>-</v>
      </c>
    </row>
    <row r="103" spans="1:20">
      <c r="A103" s="940"/>
      <c r="B103" s="940"/>
      <c r="C103" s="940" t="s">
        <v>2073</v>
      </c>
      <c r="D103" s="948"/>
      <c r="E103" s="946"/>
      <c r="F103" s="946"/>
      <c r="G103" s="946"/>
      <c r="H103" s="950" t="str">
        <f>currency.heading1</f>
        <v>USD 'Units</v>
      </c>
      <c r="I103" s="950"/>
      <c r="J103" s="951"/>
      <c r="K103" s="951"/>
      <c r="L103" s="953">
        <f>Inputs!K210</f>
        <v>0</v>
      </c>
      <c r="M103" s="953">
        <f>Inputs!L210</f>
        <v>0</v>
      </c>
      <c r="N103" s="471">
        <f>Inputs!M210</f>
        <v>0</v>
      </c>
      <c r="O103" s="471">
        <f>Inputs!N210</f>
        <v>0</v>
      </c>
      <c r="P103" s="471">
        <f>Inputs!O210</f>
        <v>0</v>
      </c>
      <c r="Q103" s="471">
        <f>Inputs!P210</f>
        <v>0</v>
      </c>
      <c r="R103" s="471">
        <f>Inputs!Q210</f>
        <v>0</v>
      </c>
      <c r="T103" s="490" t="str">
        <f t="shared" si="50"/>
        <v>-</v>
      </c>
    </row>
    <row r="104" spans="1:20">
      <c r="A104" s="940"/>
      <c r="B104" s="940"/>
      <c r="C104" s="941" t="s">
        <v>2100</v>
      </c>
      <c r="D104" s="954"/>
      <c r="E104" s="955"/>
      <c r="F104" s="955"/>
      <c r="G104" s="955"/>
      <c r="H104" s="956" t="str">
        <f>currency.heading1</f>
        <v>USD 'Units</v>
      </c>
      <c r="I104" s="956"/>
      <c r="J104" s="957"/>
      <c r="K104" s="957"/>
      <c r="L104" s="958">
        <f t="shared" ref="L104:R104" si="52">SUM(L102:L103)</f>
        <v>0</v>
      </c>
      <c r="M104" s="958">
        <f t="shared" si="52"/>
        <v>0</v>
      </c>
      <c r="N104" s="958">
        <f t="shared" si="52"/>
        <v>0</v>
      </c>
      <c r="O104" s="958">
        <f t="shared" si="52"/>
        <v>0</v>
      </c>
      <c r="P104" s="958">
        <f t="shared" si="52"/>
        <v>0</v>
      </c>
      <c r="Q104" s="958">
        <f t="shared" si="52"/>
        <v>0</v>
      </c>
      <c r="R104" s="958">
        <f t="shared" si="52"/>
        <v>0</v>
      </c>
      <c r="T104" s="490" t="str">
        <f t="shared" si="50"/>
        <v>-</v>
      </c>
    </row>
    <row r="105" spans="1:20">
      <c r="A105" s="940"/>
      <c r="B105" s="940"/>
      <c r="C105" s="940"/>
      <c r="D105" s="948"/>
      <c r="E105" s="940"/>
      <c r="F105" s="940"/>
      <c r="G105" s="940"/>
      <c r="H105" s="949"/>
      <c r="I105" s="949"/>
      <c r="T105" s="490" t="str">
        <f t="shared" si="50"/>
        <v>-</v>
      </c>
    </row>
    <row r="106" spans="1:20">
      <c r="A106" s="940"/>
      <c r="B106" s="940"/>
      <c r="C106" s="938" t="s">
        <v>2113</v>
      </c>
      <c r="D106" s="938"/>
      <c r="E106" s="940"/>
      <c r="F106" s="940"/>
      <c r="G106" s="940"/>
      <c r="H106" s="949"/>
      <c r="I106" s="949"/>
      <c r="T106" s="490" t="str">
        <f t="shared" si="50"/>
        <v>-</v>
      </c>
    </row>
    <row r="107" spans="1:20">
      <c r="A107" s="940"/>
      <c r="B107" s="940"/>
      <c r="C107" s="940" t="s">
        <v>1541</v>
      </c>
      <c r="D107" s="940"/>
      <c r="E107" s="946"/>
      <c r="F107" s="946"/>
      <c r="G107" s="946"/>
      <c r="H107" s="950" t="str">
        <f t="shared" ref="H107:H117" si="53">currency.heading1</f>
        <v>USD 'Units</v>
      </c>
      <c r="I107" s="950"/>
      <c r="J107" s="951"/>
      <c r="K107" s="951"/>
      <c r="L107" s="959">
        <v>0</v>
      </c>
      <c r="M107" s="959">
        <v>0</v>
      </c>
      <c r="N107" s="402">
        <f ca="1">M116</f>
        <v>0</v>
      </c>
      <c r="O107" s="402">
        <f ca="1">N116</f>
        <v>0</v>
      </c>
      <c r="P107" s="402">
        <f ca="1">O116</f>
        <v>0</v>
      </c>
      <c r="Q107" s="402">
        <f ca="1">P116</f>
        <v>0</v>
      </c>
      <c r="R107" s="402">
        <f ca="1">Q116</f>
        <v>0</v>
      </c>
      <c r="T107" s="490" t="str">
        <f t="shared" ca="1" si="50"/>
        <v>-</v>
      </c>
    </row>
    <row r="108" spans="1:20">
      <c r="A108" s="940"/>
      <c r="B108" s="940"/>
      <c r="C108" s="940" t="s">
        <v>2114</v>
      </c>
      <c r="D108" s="938"/>
      <c r="E108" s="946"/>
      <c r="F108" s="946"/>
      <c r="G108" s="946"/>
      <c r="H108" s="950" t="str">
        <f t="shared" si="53"/>
        <v>USD 'Units</v>
      </c>
      <c r="I108" s="950"/>
      <c r="J108" s="951"/>
      <c r="K108" s="951"/>
      <c r="L108" s="402">
        <f t="shared" ref="L108:R108" si="54">MAX(0,$N102/$D99)</f>
        <v>0</v>
      </c>
      <c r="M108" s="402">
        <f t="shared" si="54"/>
        <v>0</v>
      </c>
      <c r="N108" s="402">
        <f t="shared" si="54"/>
        <v>0</v>
      </c>
      <c r="O108" s="402">
        <f t="shared" si="54"/>
        <v>0</v>
      </c>
      <c r="P108" s="402">
        <f t="shared" si="54"/>
        <v>0</v>
      </c>
      <c r="Q108" s="402">
        <f t="shared" si="54"/>
        <v>0</v>
      </c>
      <c r="R108" s="402">
        <f t="shared" si="54"/>
        <v>0</v>
      </c>
      <c r="T108" s="490" t="str">
        <f t="shared" si="50"/>
        <v>-</v>
      </c>
    </row>
    <row r="109" spans="1:20">
      <c r="A109" s="940"/>
      <c r="B109" s="940"/>
      <c r="C109" s="940" t="s">
        <v>2297</v>
      </c>
      <c r="D109" s="960">
        <f t="array" ref="D109:D114">TRANSPOSE(M103:R103)</f>
        <v>0</v>
      </c>
      <c r="E109" s="946"/>
      <c r="F109" s="946"/>
      <c r="G109" s="946"/>
      <c r="H109" s="950" t="str">
        <f t="shared" si="53"/>
        <v>USD 'Units</v>
      </c>
      <c r="I109" s="950"/>
      <c r="J109" s="951"/>
      <c r="K109" s="951"/>
      <c r="L109" s="961"/>
      <c r="M109" s="402">
        <f ca="1">MIN($D109/$D$99,$D109-SUM(L109:$M109))</f>
        <v>0</v>
      </c>
      <c r="N109" s="402">
        <f ca="1">MIN($D109/$D$99,$D109-SUM($M109:M109))</f>
        <v>0</v>
      </c>
      <c r="O109" s="402">
        <f ca="1">MIN($D109/$D$99,$D109-SUM($M109:N109))</f>
        <v>0</v>
      </c>
      <c r="P109" s="402">
        <f ca="1">MIN($D109/$D$99,$D109-SUM($M109:O109))</f>
        <v>0</v>
      </c>
      <c r="Q109" s="402">
        <f ca="1">MIN($D109/$D$99,$D109-SUM($M109:P109))</f>
        <v>0</v>
      </c>
      <c r="R109" s="402">
        <f ca="1">MIN($D109/$D$99,$D109-SUM($M109:Q109))</f>
        <v>0</v>
      </c>
      <c r="T109" s="490" t="str">
        <f t="shared" ca="1" si="50"/>
        <v>-</v>
      </c>
    </row>
    <row r="110" spans="1:20">
      <c r="A110" s="940"/>
      <c r="B110" s="940"/>
      <c r="C110" s="940" t="s">
        <v>2115</v>
      </c>
      <c r="D110" s="960">
        <v>0</v>
      </c>
      <c r="E110" s="946"/>
      <c r="F110" s="946"/>
      <c r="G110" s="946"/>
      <c r="H110" s="950" t="str">
        <f t="shared" si="53"/>
        <v>USD 'Units</v>
      </c>
      <c r="I110" s="950"/>
      <c r="J110" s="951"/>
      <c r="K110" s="951"/>
      <c r="L110" s="961"/>
      <c r="M110" s="961"/>
      <c r="N110" s="402">
        <f>MIN($D110/$D$99,$D110-SUM($M110:M110))</f>
        <v>0</v>
      </c>
      <c r="O110" s="402">
        <f>MIN($D110/$D$99,$D110-SUM($M110:N110))</f>
        <v>0</v>
      </c>
      <c r="P110" s="402">
        <f>MIN($D110/$D$99,$D110-SUM($M110:O110))</f>
        <v>0</v>
      </c>
      <c r="Q110" s="402">
        <f>MIN($D110/$D$99,$D110-SUM($M110:P110))</f>
        <v>0</v>
      </c>
      <c r="R110" s="402">
        <f>MIN($D110/$D$99,$D110-SUM($M110:Q110))</f>
        <v>0</v>
      </c>
      <c r="T110" s="490" t="str">
        <f t="shared" si="50"/>
        <v>-</v>
      </c>
    </row>
    <row r="111" spans="1:20">
      <c r="A111" s="940"/>
      <c r="B111" s="940"/>
      <c r="C111" s="940" t="s">
        <v>2116</v>
      </c>
      <c r="D111" s="960">
        <v>0</v>
      </c>
      <c r="E111" s="946"/>
      <c r="F111" s="946"/>
      <c r="G111" s="946"/>
      <c r="H111" s="950" t="str">
        <f t="shared" si="53"/>
        <v>USD 'Units</v>
      </c>
      <c r="I111" s="950"/>
      <c r="J111" s="951"/>
      <c r="K111" s="951"/>
      <c r="L111" s="961"/>
      <c r="M111" s="961"/>
      <c r="N111" s="961"/>
      <c r="O111" s="402">
        <f>MIN($D111/$D$99,$D111-SUM($M111:N111))</f>
        <v>0</v>
      </c>
      <c r="P111" s="402">
        <f>MIN($D111/$D$99,$D111-SUM($M111:O111))</f>
        <v>0</v>
      </c>
      <c r="Q111" s="402">
        <f>MIN($D111/$D$99,$D111-SUM($M111:P111))</f>
        <v>0</v>
      </c>
      <c r="R111" s="402">
        <f>MIN($D111/$D$99,$D111-SUM($M111:Q111))</f>
        <v>0</v>
      </c>
      <c r="T111" s="490" t="str">
        <f t="shared" si="50"/>
        <v>-</v>
      </c>
    </row>
    <row r="112" spans="1:20">
      <c r="A112" s="940"/>
      <c r="B112" s="940"/>
      <c r="C112" s="940" t="s">
        <v>2117</v>
      </c>
      <c r="D112" s="960">
        <v>0</v>
      </c>
      <c r="E112" s="946"/>
      <c r="F112" s="946"/>
      <c r="G112" s="946"/>
      <c r="H112" s="950" t="str">
        <f t="shared" si="53"/>
        <v>USD 'Units</v>
      </c>
      <c r="I112" s="950"/>
      <c r="J112" s="951"/>
      <c r="K112" s="951"/>
      <c r="L112" s="961"/>
      <c r="M112" s="961"/>
      <c r="N112" s="961"/>
      <c r="O112" s="961"/>
      <c r="P112" s="402">
        <f>MIN($D112/$D$99,$D112-SUM($M112:O112))</f>
        <v>0</v>
      </c>
      <c r="Q112" s="402">
        <f>MIN($D112/$D$99,$D112-SUM($M112:P112))</f>
        <v>0</v>
      </c>
      <c r="R112" s="402">
        <f>MIN($D112/$D$99,$D112-SUM($M112:Q112))</f>
        <v>0</v>
      </c>
      <c r="T112" s="490" t="str">
        <f t="shared" si="50"/>
        <v>-</v>
      </c>
    </row>
    <row r="113" spans="1:20">
      <c r="A113" s="940"/>
      <c r="B113" s="940"/>
      <c r="C113" s="940" t="s">
        <v>2118</v>
      </c>
      <c r="D113" s="960">
        <v>0</v>
      </c>
      <c r="E113" s="946"/>
      <c r="F113" s="946"/>
      <c r="G113" s="946"/>
      <c r="H113" s="950" t="str">
        <f t="shared" si="53"/>
        <v>USD 'Units</v>
      </c>
      <c r="I113" s="950"/>
      <c r="J113" s="951"/>
      <c r="K113" s="951"/>
      <c r="L113" s="961"/>
      <c r="M113" s="961"/>
      <c r="N113" s="961"/>
      <c r="O113" s="961"/>
      <c r="P113" s="961"/>
      <c r="Q113" s="402">
        <f>MIN($D113/$D$99,$D113-SUM($M113:P113))</f>
        <v>0</v>
      </c>
      <c r="R113" s="402">
        <f>MIN($D113/$D$99,$D113-SUM($M113:Q113))</f>
        <v>0</v>
      </c>
      <c r="T113" s="490" t="str">
        <f t="shared" si="50"/>
        <v>-</v>
      </c>
    </row>
    <row r="114" spans="1:20">
      <c r="A114" s="940"/>
      <c r="B114" s="940"/>
      <c r="C114" s="940" t="s">
        <v>2119</v>
      </c>
      <c r="D114" s="960">
        <v>0</v>
      </c>
      <c r="E114" s="946"/>
      <c r="F114" s="946"/>
      <c r="G114" s="946"/>
      <c r="H114" s="950" t="str">
        <f t="shared" si="53"/>
        <v>USD 'Units</v>
      </c>
      <c r="I114" s="950"/>
      <c r="J114" s="951"/>
      <c r="K114" s="951"/>
      <c r="L114" s="961"/>
      <c r="M114" s="961"/>
      <c r="N114" s="961"/>
      <c r="O114" s="961"/>
      <c r="P114" s="961"/>
      <c r="Q114" s="961"/>
      <c r="R114" s="402">
        <f>MIN($D114/$D$99,$D114-SUM($M114:Q114))</f>
        <v>0</v>
      </c>
      <c r="T114" s="490" t="str">
        <f t="shared" si="50"/>
        <v>-</v>
      </c>
    </row>
    <row r="115" spans="1:20">
      <c r="A115" s="940"/>
      <c r="B115" s="940"/>
      <c r="C115" s="962" t="s">
        <v>2129</v>
      </c>
      <c r="D115" s="941"/>
      <c r="E115" s="963"/>
      <c r="F115" s="963"/>
      <c r="G115" s="963"/>
      <c r="H115" s="964" t="str">
        <f t="shared" si="53"/>
        <v>USD 'Units</v>
      </c>
      <c r="I115" s="964"/>
      <c r="J115" s="965"/>
      <c r="K115" s="965"/>
      <c r="L115" s="966">
        <f t="shared" ref="L115:R115" si="55">SUM(L108:L114)</f>
        <v>0</v>
      </c>
      <c r="M115" s="966">
        <f t="shared" ca="1" si="55"/>
        <v>0</v>
      </c>
      <c r="N115" s="966">
        <f t="shared" ca="1" si="55"/>
        <v>0</v>
      </c>
      <c r="O115" s="966">
        <f t="shared" ca="1" si="55"/>
        <v>0</v>
      </c>
      <c r="P115" s="966">
        <f t="shared" ca="1" si="55"/>
        <v>0</v>
      </c>
      <c r="Q115" s="966">
        <f t="shared" ca="1" si="55"/>
        <v>0</v>
      </c>
      <c r="R115" s="966">
        <f t="shared" ca="1" si="55"/>
        <v>0</v>
      </c>
      <c r="T115" s="490" t="str">
        <f t="shared" ca="1" si="50"/>
        <v>-</v>
      </c>
    </row>
    <row r="116" spans="1:20">
      <c r="A116" s="940"/>
      <c r="B116" s="940"/>
      <c r="C116" s="941" t="s">
        <v>2128</v>
      </c>
      <c r="D116" s="941"/>
      <c r="E116" s="967"/>
      <c r="F116" s="967"/>
      <c r="G116" s="967"/>
      <c r="H116" s="964" t="str">
        <f t="shared" si="53"/>
        <v>USD 'Units</v>
      </c>
      <c r="I116" s="964"/>
      <c r="J116" s="968"/>
      <c r="K116" s="968"/>
      <c r="L116" s="969">
        <f t="shared" ref="L116:R116" si="56">L107+L115</f>
        <v>0</v>
      </c>
      <c r="M116" s="969">
        <f t="shared" ca="1" si="56"/>
        <v>0</v>
      </c>
      <c r="N116" s="969">
        <f t="shared" ca="1" si="56"/>
        <v>0</v>
      </c>
      <c r="O116" s="969">
        <f t="shared" ca="1" si="56"/>
        <v>0</v>
      </c>
      <c r="P116" s="969">
        <f t="shared" ca="1" si="56"/>
        <v>0</v>
      </c>
      <c r="Q116" s="969">
        <f t="shared" ca="1" si="56"/>
        <v>0</v>
      </c>
      <c r="R116" s="969">
        <f t="shared" ca="1" si="56"/>
        <v>0</v>
      </c>
      <c r="T116" s="490" t="str">
        <f t="shared" ca="1" si="50"/>
        <v>-</v>
      </c>
    </row>
    <row r="117" spans="1:20">
      <c r="A117" s="940"/>
      <c r="B117" s="940"/>
      <c r="C117" s="941" t="s">
        <v>2120</v>
      </c>
      <c r="D117" s="941"/>
      <c r="E117" s="970"/>
      <c r="F117" s="970"/>
      <c r="G117" s="970"/>
      <c r="H117" s="956" t="str">
        <f t="shared" si="53"/>
        <v>USD 'Units</v>
      </c>
      <c r="I117" s="956"/>
      <c r="J117" s="971"/>
      <c r="K117" s="971"/>
      <c r="L117" s="972">
        <f t="shared" ref="L117:R117" si="57">L104-L116</f>
        <v>0</v>
      </c>
      <c r="M117" s="972">
        <f t="shared" ca="1" si="57"/>
        <v>0</v>
      </c>
      <c r="N117" s="972">
        <f t="shared" ca="1" si="57"/>
        <v>0</v>
      </c>
      <c r="O117" s="972">
        <f t="shared" ca="1" si="57"/>
        <v>0</v>
      </c>
      <c r="P117" s="972">
        <f t="shared" ca="1" si="57"/>
        <v>0</v>
      </c>
      <c r="Q117" s="972">
        <f t="shared" ca="1" si="57"/>
        <v>0</v>
      </c>
      <c r="R117" s="972">
        <f t="shared" ca="1" si="57"/>
        <v>0</v>
      </c>
      <c r="T117" s="490" t="str">
        <f t="shared" ca="1" si="50"/>
        <v>-</v>
      </c>
    </row>
    <row r="118" spans="1:20">
      <c r="L118" s="402"/>
      <c r="M118" s="402"/>
      <c r="N118" s="402"/>
      <c r="O118" s="402"/>
      <c r="P118" s="402"/>
      <c r="Q118" s="402"/>
      <c r="R118" s="402"/>
      <c r="T118" s="490" t="str">
        <f t="shared" si="50"/>
        <v>-</v>
      </c>
    </row>
    <row r="119" spans="1:20">
      <c r="C119" s="943" t="s">
        <v>2122</v>
      </c>
      <c r="D119" s="944"/>
      <c r="T119" s="490" t="str">
        <f t="shared" si="50"/>
        <v>-</v>
      </c>
    </row>
    <row r="120" spans="1:20">
      <c r="C120" s="940" t="s">
        <v>1544</v>
      </c>
      <c r="D120" s="945">
        <v>20</v>
      </c>
      <c r="E120" s="946"/>
      <c r="F120" s="946"/>
      <c r="G120" s="946"/>
      <c r="H120" s="947" t="s">
        <v>2111</v>
      </c>
      <c r="I120" s="947"/>
      <c r="T120" s="490" t="str">
        <f t="shared" si="50"/>
        <v>-</v>
      </c>
    </row>
    <row r="121" spans="1:20">
      <c r="C121" s="940"/>
      <c r="D121" s="948"/>
      <c r="E121" s="940"/>
      <c r="F121" s="940"/>
      <c r="G121" s="940"/>
      <c r="H121" s="949"/>
      <c r="I121" s="949"/>
      <c r="T121" s="490" t="str">
        <f t="shared" si="50"/>
        <v>-</v>
      </c>
    </row>
    <row r="122" spans="1:20">
      <c r="C122" s="938" t="s">
        <v>2097</v>
      </c>
      <c r="D122" s="948"/>
      <c r="E122" s="940"/>
      <c r="F122" s="940"/>
      <c r="G122" s="940"/>
      <c r="H122" s="949"/>
      <c r="I122" s="949"/>
      <c r="T122" s="490" t="str">
        <f t="shared" si="50"/>
        <v>-</v>
      </c>
    </row>
    <row r="123" spans="1:20">
      <c r="C123" s="940" t="s">
        <v>2112</v>
      </c>
      <c r="D123" s="938"/>
      <c r="E123" s="946"/>
      <c r="F123" s="946"/>
      <c r="G123" s="946"/>
      <c r="H123" s="950" t="str">
        <f>currency.heading1</f>
        <v>USD 'Units</v>
      </c>
      <c r="I123" s="950"/>
      <c r="J123" s="951"/>
      <c r="K123" s="951"/>
      <c r="L123" s="952">
        <f>Inputs!J212</f>
        <v>0</v>
      </c>
      <c r="M123" s="931">
        <f t="shared" ref="M123:R123" si="58">L125</f>
        <v>0</v>
      </c>
      <c r="N123" s="931">
        <f t="shared" si="58"/>
        <v>0</v>
      </c>
      <c r="O123" s="931">
        <f t="shared" si="58"/>
        <v>0</v>
      </c>
      <c r="P123" s="931">
        <f t="shared" si="58"/>
        <v>0</v>
      </c>
      <c r="Q123" s="931">
        <f t="shared" si="58"/>
        <v>0</v>
      </c>
      <c r="R123" s="931">
        <f t="shared" si="58"/>
        <v>0</v>
      </c>
      <c r="T123" s="490" t="str">
        <f t="shared" si="50"/>
        <v>-</v>
      </c>
    </row>
    <row r="124" spans="1:20">
      <c r="C124" s="940" t="s">
        <v>2073</v>
      </c>
      <c r="D124" s="948"/>
      <c r="E124" s="946"/>
      <c r="F124" s="946"/>
      <c r="G124" s="946"/>
      <c r="H124" s="950" t="str">
        <f>currency.heading1</f>
        <v>USD 'Units</v>
      </c>
      <c r="I124" s="950"/>
      <c r="J124" s="951"/>
      <c r="K124" s="951"/>
      <c r="L124" s="953">
        <f>Inputs!K213</f>
        <v>0</v>
      </c>
      <c r="M124" s="953">
        <f>Inputs!L213</f>
        <v>0</v>
      </c>
      <c r="N124" s="471">
        <f>Inputs!M213</f>
        <v>0</v>
      </c>
      <c r="O124" s="471">
        <f>Inputs!N213</f>
        <v>0</v>
      </c>
      <c r="P124" s="471">
        <f>Inputs!O213</f>
        <v>0</v>
      </c>
      <c r="Q124" s="471">
        <f>Inputs!P213</f>
        <v>0</v>
      </c>
      <c r="R124" s="471">
        <f>Inputs!Q213</f>
        <v>0</v>
      </c>
      <c r="T124" s="490" t="str">
        <f t="shared" si="50"/>
        <v>-</v>
      </c>
    </row>
    <row r="125" spans="1:20">
      <c r="C125" s="941" t="s">
        <v>2100</v>
      </c>
      <c r="D125" s="954"/>
      <c r="E125" s="955"/>
      <c r="F125" s="955"/>
      <c r="G125" s="955"/>
      <c r="H125" s="956" t="str">
        <f>currency.heading1</f>
        <v>USD 'Units</v>
      </c>
      <c r="I125" s="956"/>
      <c r="J125" s="957"/>
      <c r="K125" s="957"/>
      <c r="L125" s="958">
        <f t="shared" ref="L125:R125" si="59">SUM(L123:L124)</f>
        <v>0</v>
      </c>
      <c r="M125" s="958">
        <f t="shared" si="59"/>
        <v>0</v>
      </c>
      <c r="N125" s="958">
        <f t="shared" si="59"/>
        <v>0</v>
      </c>
      <c r="O125" s="958">
        <f t="shared" si="59"/>
        <v>0</v>
      </c>
      <c r="P125" s="958">
        <f t="shared" si="59"/>
        <v>0</v>
      </c>
      <c r="Q125" s="958">
        <f t="shared" si="59"/>
        <v>0</v>
      </c>
      <c r="R125" s="958">
        <f t="shared" si="59"/>
        <v>0</v>
      </c>
      <c r="T125" s="490" t="str">
        <f t="shared" si="50"/>
        <v>-</v>
      </c>
    </row>
    <row r="126" spans="1:20">
      <c r="C126" s="940"/>
      <c r="D126" s="948"/>
      <c r="E126" s="940"/>
      <c r="F126" s="940"/>
      <c r="G126" s="940"/>
      <c r="H126" s="949"/>
      <c r="I126" s="949"/>
      <c r="T126" s="490" t="str">
        <f t="shared" si="50"/>
        <v>-</v>
      </c>
    </row>
    <row r="127" spans="1:20">
      <c r="C127" s="938" t="s">
        <v>2113</v>
      </c>
      <c r="D127" s="938"/>
      <c r="E127" s="940"/>
      <c r="F127" s="940"/>
      <c r="G127" s="940"/>
      <c r="H127" s="949"/>
      <c r="I127" s="949"/>
      <c r="T127" s="490" t="str">
        <f t="shared" ref="T127:T156" si="60">IFERROR((R127/N127)^(1/5)-1,"-")</f>
        <v>-</v>
      </c>
    </row>
    <row r="128" spans="1:20">
      <c r="C128" s="940" t="s">
        <v>1541</v>
      </c>
      <c r="D128" s="940"/>
      <c r="E128" s="946"/>
      <c r="F128" s="946"/>
      <c r="G128" s="946"/>
      <c r="H128" s="950" t="str">
        <f t="shared" ref="H128:H138" si="61">currency.heading1</f>
        <v>USD 'Units</v>
      </c>
      <c r="I128" s="950"/>
      <c r="J128" s="951"/>
      <c r="K128" s="951"/>
      <c r="L128" s="959">
        <v>0</v>
      </c>
      <c r="M128" s="959">
        <v>0</v>
      </c>
      <c r="N128" s="402">
        <f ca="1">M137</f>
        <v>0</v>
      </c>
      <c r="O128" s="402">
        <f ca="1">N137</f>
        <v>0</v>
      </c>
      <c r="P128" s="402">
        <f ca="1">O137</f>
        <v>0</v>
      </c>
      <c r="Q128" s="402">
        <f ca="1">P137</f>
        <v>0</v>
      </c>
      <c r="R128" s="402">
        <f ca="1">Q137</f>
        <v>0</v>
      </c>
      <c r="T128" s="490" t="str">
        <f t="shared" ca="1" si="60"/>
        <v>-</v>
      </c>
    </row>
    <row r="129" spans="3:20">
      <c r="C129" s="940" t="s">
        <v>2114</v>
      </c>
      <c r="D129" s="938"/>
      <c r="E129" s="946"/>
      <c r="F129" s="946"/>
      <c r="G129" s="946"/>
      <c r="H129" s="950" t="str">
        <f t="shared" si="61"/>
        <v>USD 'Units</v>
      </c>
      <c r="I129" s="950"/>
      <c r="J129" s="951"/>
      <c r="K129" s="951"/>
      <c r="L129" s="402">
        <f t="shared" ref="L129:R129" si="62">MAX(0,$N123/$D120)</f>
        <v>0</v>
      </c>
      <c r="M129" s="402">
        <f t="shared" si="62"/>
        <v>0</v>
      </c>
      <c r="N129" s="402">
        <f t="shared" si="62"/>
        <v>0</v>
      </c>
      <c r="O129" s="402">
        <f t="shared" si="62"/>
        <v>0</v>
      </c>
      <c r="P129" s="402">
        <f t="shared" si="62"/>
        <v>0</v>
      </c>
      <c r="Q129" s="402">
        <f t="shared" si="62"/>
        <v>0</v>
      </c>
      <c r="R129" s="402">
        <f t="shared" si="62"/>
        <v>0</v>
      </c>
      <c r="T129" s="490" t="str">
        <f t="shared" si="60"/>
        <v>-</v>
      </c>
    </row>
    <row r="130" spans="3:20">
      <c r="C130" s="940" t="s">
        <v>2297</v>
      </c>
      <c r="D130" s="960">
        <f t="array" ref="D130:D135">TRANSPOSE(M124:R124)</f>
        <v>0</v>
      </c>
      <c r="E130" s="946"/>
      <c r="F130" s="946"/>
      <c r="G130" s="946"/>
      <c r="H130" s="950" t="str">
        <f t="shared" si="61"/>
        <v>USD 'Units</v>
      </c>
      <c r="I130" s="950"/>
      <c r="J130" s="951"/>
      <c r="K130" s="951"/>
      <c r="L130" s="961"/>
      <c r="M130" s="402">
        <f ca="1">MIN($D130/$D$99,$D130-SUM(L130:$M130))</f>
        <v>0</v>
      </c>
      <c r="N130" s="402">
        <f ca="1">MIN($D130/$D$99,$D130-SUM($M130:M130))</f>
        <v>0</v>
      </c>
      <c r="O130" s="402">
        <f ca="1">MIN($D130/$D$99,$D130-SUM($M130:N130))</f>
        <v>0</v>
      </c>
      <c r="P130" s="402">
        <f ca="1">MIN($D130/$D$99,$D130-SUM($M130:O130))</f>
        <v>0</v>
      </c>
      <c r="Q130" s="402">
        <f ca="1">MIN($D130/$D$99,$D130-SUM($M130:P130))</f>
        <v>0</v>
      </c>
      <c r="R130" s="402">
        <f ca="1">MIN($D130/$D$99,$D130-SUM($M130:Q130))</f>
        <v>0</v>
      </c>
      <c r="T130" s="490" t="str">
        <f t="shared" ca="1" si="60"/>
        <v>-</v>
      </c>
    </row>
    <row r="131" spans="3:20">
      <c r="C131" s="940" t="s">
        <v>2115</v>
      </c>
      <c r="D131" s="960">
        <v>0</v>
      </c>
      <c r="E131" s="946"/>
      <c r="F131" s="946"/>
      <c r="G131" s="946"/>
      <c r="H131" s="950" t="str">
        <f t="shared" si="61"/>
        <v>USD 'Units</v>
      </c>
      <c r="I131" s="950"/>
      <c r="J131" s="951"/>
      <c r="K131" s="951"/>
      <c r="L131" s="961"/>
      <c r="M131" s="961"/>
      <c r="N131" s="402">
        <f>MIN($D131/$D$99,$D131-SUM($M131:M131))</f>
        <v>0</v>
      </c>
      <c r="O131" s="402">
        <f>MIN($D131/$D$99,$D131-SUM($M131:N131))</f>
        <v>0</v>
      </c>
      <c r="P131" s="402">
        <f>MIN($D131/$D$99,$D131-SUM($M131:O131))</f>
        <v>0</v>
      </c>
      <c r="Q131" s="402">
        <f>MIN($D131/$D$99,$D131-SUM($M131:P131))</f>
        <v>0</v>
      </c>
      <c r="R131" s="402">
        <f>MIN($D131/$D$99,$D131-SUM($M131:Q131))</f>
        <v>0</v>
      </c>
      <c r="T131" s="490" t="str">
        <f t="shared" si="60"/>
        <v>-</v>
      </c>
    </row>
    <row r="132" spans="3:20">
      <c r="C132" s="940" t="s">
        <v>2116</v>
      </c>
      <c r="D132" s="960">
        <v>0</v>
      </c>
      <c r="E132" s="946"/>
      <c r="F132" s="946"/>
      <c r="G132" s="946"/>
      <c r="H132" s="950" t="str">
        <f t="shared" si="61"/>
        <v>USD 'Units</v>
      </c>
      <c r="I132" s="950"/>
      <c r="J132" s="951"/>
      <c r="K132" s="951"/>
      <c r="L132" s="961"/>
      <c r="M132" s="961"/>
      <c r="N132" s="961"/>
      <c r="O132" s="402">
        <f>MIN($D132/$D$99,$D132-SUM($M132:N132))</f>
        <v>0</v>
      </c>
      <c r="P132" s="402">
        <f>MIN($D132/$D$99,$D132-SUM($M132:O132))</f>
        <v>0</v>
      </c>
      <c r="Q132" s="402">
        <f>MIN($D132/$D$99,$D132-SUM($M132:P132))</f>
        <v>0</v>
      </c>
      <c r="R132" s="402">
        <f>MIN($D132/$D$99,$D132-SUM($M132:Q132))</f>
        <v>0</v>
      </c>
      <c r="T132" s="490" t="str">
        <f t="shared" si="60"/>
        <v>-</v>
      </c>
    </row>
    <row r="133" spans="3:20">
      <c r="C133" s="940" t="s">
        <v>2117</v>
      </c>
      <c r="D133" s="960">
        <v>0</v>
      </c>
      <c r="E133" s="946"/>
      <c r="F133" s="946"/>
      <c r="G133" s="946"/>
      <c r="H133" s="950" t="str">
        <f t="shared" si="61"/>
        <v>USD 'Units</v>
      </c>
      <c r="I133" s="950"/>
      <c r="J133" s="951"/>
      <c r="K133" s="951"/>
      <c r="L133" s="961"/>
      <c r="M133" s="961"/>
      <c r="N133" s="961"/>
      <c r="O133" s="961"/>
      <c r="P133" s="402">
        <f>MIN($D133/$D$99,$D133-SUM($M133:O133))</f>
        <v>0</v>
      </c>
      <c r="Q133" s="402">
        <f>MIN($D133/$D$99,$D133-SUM($M133:P133))</f>
        <v>0</v>
      </c>
      <c r="R133" s="402">
        <f>MIN($D133/$D$99,$D133-SUM($M133:Q133))</f>
        <v>0</v>
      </c>
      <c r="T133" s="490" t="str">
        <f t="shared" si="60"/>
        <v>-</v>
      </c>
    </row>
    <row r="134" spans="3:20">
      <c r="C134" s="940" t="s">
        <v>2118</v>
      </c>
      <c r="D134" s="960">
        <v>0</v>
      </c>
      <c r="E134" s="946"/>
      <c r="F134" s="946"/>
      <c r="G134" s="946"/>
      <c r="H134" s="950" t="str">
        <f t="shared" si="61"/>
        <v>USD 'Units</v>
      </c>
      <c r="I134" s="950"/>
      <c r="J134" s="951"/>
      <c r="K134" s="951"/>
      <c r="L134" s="961"/>
      <c r="M134" s="961"/>
      <c r="N134" s="961"/>
      <c r="O134" s="961"/>
      <c r="P134" s="961"/>
      <c r="Q134" s="402">
        <f>MIN($D134/$D$99,$D134-SUM($M134:P134))</f>
        <v>0</v>
      </c>
      <c r="R134" s="402">
        <f>MIN($D134/$D$99,$D134-SUM($M134:Q134))</f>
        <v>0</v>
      </c>
      <c r="T134" s="490" t="str">
        <f t="shared" si="60"/>
        <v>-</v>
      </c>
    </row>
    <row r="135" spans="3:20">
      <c r="C135" s="940" t="s">
        <v>2119</v>
      </c>
      <c r="D135" s="960">
        <v>0</v>
      </c>
      <c r="E135" s="946"/>
      <c r="F135" s="946"/>
      <c r="G135" s="946"/>
      <c r="H135" s="950" t="str">
        <f t="shared" si="61"/>
        <v>USD 'Units</v>
      </c>
      <c r="I135" s="950"/>
      <c r="J135" s="951"/>
      <c r="K135" s="951"/>
      <c r="L135" s="961"/>
      <c r="M135" s="961"/>
      <c r="N135" s="961"/>
      <c r="O135" s="961"/>
      <c r="P135" s="961"/>
      <c r="Q135" s="961"/>
      <c r="R135" s="402">
        <f>MIN($D135/$D$99,$D135-SUM($M135:Q135))</f>
        <v>0</v>
      </c>
      <c r="T135" s="490" t="str">
        <f t="shared" si="60"/>
        <v>-</v>
      </c>
    </row>
    <row r="136" spans="3:20">
      <c r="C136" s="962" t="s">
        <v>2129</v>
      </c>
      <c r="D136" s="941"/>
      <c r="E136" s="963"/>
      <c r="F136" s="963"/>
      <c r="G136" s="963"/>
      <c r="H136" s="964" t="str">
        <f t="shared" si="61"/>
        <v>USD 'Units</v>
      </c>
      <c r="I136" s="964"/>
      <c r="J136" s="965"/>
      <c r="K136" s="965"/>
      <c r="L136" s="966">
        <f t="shared" ref="L136:R136" si="63">SUM(L129:L135)</f>
        <v>0</v>
      </c>
      <c r="M136" s="966">
        <f t="shared" ca="1" si="63"/>
        <v>0</v>
      </c>
      <c r="N136" s="966">
        <f t="shared" ca="1" si="63"/>
        <v>0</v>
      </c>
      <c r="O136" s="966">
        <f t="shared" ca="1" si="63"/>
        <v>0</v>
      </c>
      <c r="P136" s="966">
        <f t="shared" ca="1" si="63"/>
        <v>0</v>
      </c>
      <c r="Q136" s="966">
        <f t="shared" ca="1" si="63"/>
        <v>0</v>
      </c>
      <c r="R136" s="966">
        <f t="shared" ca="1" si="63"/>
        <v>0</v>
      </c>
      <c r="T136" s="490" t="str">
        <f t="shared" ca="1" si="60"/>
        <v>-</v>
      </c>
    </row>
    <row r="137" spans="3:20">
      <c r="C137" s="941" t="s">
        <v>2128</v>
      </c>
      <c r="D137" s="941"/>
      <c r="E137" s="967"/>
      <c r="F137" s="967"/>
      <c r="G137" s="967"/>
      <c r="H137" s="964" t="str">
        <f t="shared" si="61"/>
        <v>USD 'Units</v>
      </c>
      <c r="I137" s="964"/>
      <c r="J137" s="968"/>
      <c r="K137" s="968"/>
      <c r="L137" s="969">
        <f t="shared" ref="L137:R137" si="64">L128+L136</f>
        <v>0</v>
      </c>
      <c r="M137" s="969">
        <f t="shared" ca="1" si="64"/>
        <v>0</v>
      </c>
      <c r="N137" s="969">
        <f t="shared" ca="1" si="64"/>
        <v>0</v>
      </c>
      <c r="O137" s="969">
        <f t="shared" ca="1" si="64"/>
        <v>0</v>
      </c>
      <c r="P137" s="969">
        <f t="shared" ca="1" si="64"/>
        <v>0</v>
      </c>
      <c r="Q137" s="969">
        <f t="shared" ca="1" si="64"/>
        <v>0</v>
      </c>
      <c r="R137" s="969">
        <f t="shared" ca="1" si="64"/>
        <v>0</v>
      </c>
      <c r="T137" s="490" t="str">
        <f t="shared" ca="1" si="60"/>
        <v>-</v>
      </c>
    </row>
    <row r="138" spans="3:20">
      <c r="C138" s="941" t="s">
        <v>2123</v>
      </c>
      <c r="D138" s="941"/>
      <c r="E138" s="970"/>
      <c r="F138" s="970"/>
      <c r="G138" s="970"/>
      <c r="H138" s="956" t="str">
        <f t="shared" si="61"/>
        <v>USD 'Units</v>
      </c>
      <c r="I138" s="956"/>
      <c r="J138" s="971"/>
      <c r="K138" s="971"/>
      <c r="L138" s="972">
        <f t="shared" ref="L138:R138" si="65">L125-L137</f>
        <v>0</v>
      </c>
      <c r="M138" s="972">
        <f t="shared" ca="1" si="65"/>
        <v>0</v>
      </c>
      <c r="N138" s="972">
        <f t="shared" ca="1" si="65"/>
        <v>0</v>
      </c>
      <c r="O138" s="972">
        <f t="shared" ca="1" si="65"/>
        <v>0</v>
      </c>
      <c r="P138" s="972">
        <f t="shared" ca="1" si="65"/>
        <v>0</v>
      </c>
      <c r="Q138" s="972">
        <f t="shared" ca="1" si="65"/>
        <v>0</v>
      </c>
      <c r="R138" s="972">
        <f t="shared" ca="1" si="65"/>
        <v>0</v>
      </c>
      <c r="T138" s="490" t="str">
        <f t="shared" ca="1" si="60"/>
        <v>-</v>
      </c>
    </row>
    <row r="139" spans="3:20">
      <c r="T139" s="490" t="str">
        <f t="shared" si="60"/>
        <v>-</v>
      </c>
    </row>
    <row r="140" spans="3:20">
      <c r="C140" s="943" t="s">
        <v>2124</v>
      </c>
      <c r="D140" s="944"/>
      <c r="T140" s="490" t="str">
        <f t="shared" si="60"/>
        <v>-</v>
      </c>
    </row>
    <row r="141" spans="3:20">
      <c r="C141" s="940" t="s">
        <v>1544</v>
      </c>
      <c r="D141" s="945">
        <v>10</v>
      </c>
      <c r="E141" s="946"/>
      <c r="F141" s="946"/>
      <c r="G141" s="946"/>
      <c r="H141" s="947" t="s">
        <v>2111</v>
      </c>
      <c r="I141" s="947"/>
      <c r="T141" s="490" t="str">
        <f t="shared" si="60"/>
        <v>-</v>
      </c>
    </row>
    <row r="142" spans="3:20">
      <c r="C142" s="940"/>
      <c r="D142" s="948"/>
      <c r="E142" s="940"/>
      <c r="F142" s="940"/>
      <c r="G142" s="940"/>
      <c r="H142" s="949"/>
      <c r="I142" s="949"/>
      <c r="T142" s="490" t="str">
        <f t="shared" si="60"/>
        <v>-</v>
      </c>
    </row>
    <row r="143" spans="3:20">
      <c r="C143" s="938" t="s">
        <v>2097</v>
      </c>
      <c r="D143" s="948"/>
      <c r="E143" s="940"/>
      <c r="F143" s="940"/>
      <c r="G143" s="940"/>
      <c r="H143" s="949"/>
      <c r="I143" s="949"/>
      <c r="T143" s="490" t="str">
        <f t="shared" si="60"/>
        <v>-</v>
      </c>
    </row>
    <row r="144" spans="3:20">
      <c r="C144" s="940" t="s">
        <v>2112</v>
      </c>
      <c r="D144" s="938"/>
      <c r="E144" s="946"/>
      <c r="F144" s="946"/>
      <c r="G144" s="946"/>
      <c r="H144" s="950" t="str">
        <f>currency.heading1</f>
        <v>USD 'Units</v>
      </c>
      <c r="I144" s="950"/>
      <c r="J144" s="951"/>
      <c r="K144" s="951"/>
      <c r="L144" s="952">
        <f>Inputs!J215</f>
        <v>0</v>
      </c>
      <c r="M144" s="931">
        <f t="shared" ref="M144:R144" si="66">L146</f>
        <v>0</v>
      </c>
      <c r="N144" s="931">
        <f t="shared" si="66"/>
        <v>0</v>
      </c>
      <c r="O144" s="931">
        <f t="shared" si="66"/>
        <v>0</v>
      </c>
      <c r="P144" s="931">
        <f t="shared" si="66"/>
        <v>0</v>
      </c>
      <c r="Q144" s="931">
        <f t="shared" si="66"/>
        <v>0</v>
      </c>
      <c r="R144" s="931">
        <f t="shared" si="66"/>
        <v>0</v>
      </c>
      <c r="T144" s="490" t="str">
        <f t="shared" si="60"/>
        <v>-</v>
      </c>
    </row>
    <row r="145" spans="3:20">
      <c r="C145" s="940" t="s">
        <v>2073</v>
      </c>
      <c r="D145" s="948"/>
      <c r="E145" s="946"/>
      <c r="F145" s="946"/>
      <c r="G145" s="946"/>
      <c r="H145" s="950" t="str">
        <f>currency.heading1</f>
        <v>USD 'Units</v>
      </c>
      <c r="I145" s="950"/>
      <c r="J145" s="951"/>
      <c r="K145" s="951"/>
      <c r="L145" s="953">
        <f>Inputs!K216</f>
        <v>0</v>
      </c>
      <c r="M145" s="953">
        <f>Inputs!L216</f>
        <v>0</v>
      </c>
      <c r="N145" s="471">
        <f>Inputs!M216</f>
        <v>0</v>
      </c>
      <c r="O145" s="471">
        <f>Inputs!N216</f>
        <v>0</v>
      </c>
      <c r="P145" s="471">
        <f>Inputs!O216</f>
        <v>0</v>
      </c>
      <c r="Q145" s="471">
        <f>Inputs!P216</f>
        <v>0</v>
      </c>
      <c r="R145" s="471">
        <f>Inputs!Q216</f>
        <v>0</v>
      </c>
      <c r="T145" s="490" t="str">
        <f t="shared" si="60"/>
        <v>-</v>
      </c>
    </row>
    <row r="146" spans="3:20">
      <c r="C146" s="941" t="s">
        <v>2100</v>
      </c>
      <c r="D146" s="954"/>
      <c r="E146" s="955"/>
      <c r="F146" s="955"/>
      <c r="G146" s="955"/>
      <c r="H146" s="956" t="str">
        <f>currency.heading1</f>
        <v>USD 'Units</v>
      </c>
      <c r="I146" s="956"/>
      <c r="J146" s="957"/>
      <c r="K146" s="957"/>
      <c r="L146" s="958">
        <f t="shared" ref="L146:R146" si="67">SUM(L144:L145)</f>
        <v>0</v>
      </c>
      <c r="M146" s="958">
        <f t="shared" si="67"/>
        <v>0</v>
      </c>
      <c r="N146" s="958">
        <f t="shared" si="67"/>
        <v>0</v>
      </c>
      <c r="O146" s="958">
        <f t="shared" si="67"/>
        <v>0</v>
      </c>
      <c r="P146" s="958">
        <f t="shared" si="67"/>
        <v>0</v>
      </c>
      <c r="Q146" s="958">
        <f t="shared" si="67"/>
        <v>0</v>
      </c>
      <c r="R146" s="958">
        <f t="shared" si="67"/>
        <v>0</v>
      </c>
      <c r="T146" s="490" t="str">
        <f t="shared" si="60"/>
        <v>-</v>
      </c>
    </row>
    <row r="147" spans="3:20">
      <c r="C147" s="940"/>
      <c r="D147" s="948"/>
      <c r="E147" s="940"/>
      <c r="F147" s="940"/>
      <c r="G147" s="940"/>
      <c r="H147" s="949"/>
      <c r="I147" s="949"/>
      <c r="T147" s="490" t="str">
        <f t="shared" si="60"/>
        <v>-</v>
      </c>
    </row>
    <row r="148" spans="3:20">
      <c r="C148" s="938" t="s">
        <v>2113</v>
      </c>
      <c r="D148" s="938"/>
      <c r="E148" s="940"/>
      <c r="F148" s="940"/>
      <c r="G148" s="940"/>
      <c r="H148" s="949"/>
      <c r="I148" s="949"/>
      <c r="T148" s="490" t="str">
        <f t="shared" si="60"/>
        <v>-</v>
      </c>
    </row>
    <row r="149" spans="3:20">
      <c r="C149" s="940" t="s">
        <v>1541</v>
      </c>
      <c r="D149" s="940"/>
      <c r="E149" s="946"/>
      <c r="F149" s="946"/>
      <c r="G149" s="946"/>
      <c r="H149" s="950" t="str">
        <f t="shared" ref="H149:H159" si="68">currency.heading1</f>
        <v>USD 'Units</v>
      </c>
      <c r="I149" s="950"/>
      <c r="J149" s="951"/>
      <c r="K149" s="951"/>
      <c r="L149" s="959">
        <v>0</v>
      </c>
      <c r="M149" s="959">
        <v>0</v>
      </c>
      <c r="N149" s="402">
        <f ca="1">M158</f>
        <v>0</v>
      </c>
      <c r="O149" s="402">
        <f ca="1">N158</f>
        <v>0</v>
      </c>
      <c r="P149" s="402">
        <f ca="1">O158</f>
        <v>0</v>
      </c>
      <c r="Q149" s="402">
        <f ca="1">P158</f>
        <v>0</v>
      </c>
      <c r="R149" s="402">
        <f ca="1">Q158</f>
        <v>0</v>
      </c>
      <c r="T149" s="490" t="str">
        <f t="shared" ca="1" si="60"/>
        <v>-</v>
      </c>
    </row>
    <row r="150" spans="3:20">
      <c r="C150" s="940" t="s">
        <v>2114</v>
      </c>
      <c r="D150" s="938"/>
      <c r="E150" s="946"/>
      <c r="F150" s="946"/>
      <c r="G150" s="946"/>
      <c r="H150" s="950" t="str">
        <f t="shared" si="68"/>
        <v>USD 'Units</v>
      </c>
      <c r="I150" s="950"/>
      <c r="J150" s="951"/>
      <c r="K150" s="951"/>
      <c r="L150" s="402">
        <f t="shared" ref="L150:R150" si="69">MAX(0,$N144/$D141)</f>
        <v>0</v>
      </c>
      <c r="M150" s="402">
        <f t="shared" si="69"/>
        <v>0</v>
      </c>
      <c r="N150" s="402">
        <f t="shared" si="69"/>
        <v>0</v>
      </c>
      <c r="O150" s="402">
        <f t="shared" si="69"/>
        <v>0</v>
      </c>
      <c r="P150" s="402">
        <f t="shared" si="69"/>
        <v>0</v>
      </c>
      <c r="Q150" s="402">
        <f t="shared" si="69"/>
        <v>0</v>
      </c>
      <c r="R150" s="402">
        <f t="shared" si="69"/>
        <v>0</v>
      </c>
      <c r="T150" s="490" t="str">
        <f t="shared" si="60"/>
        <v>-</v>
      </c>
    </row>
    <row r="151" spans="3:20">
      <c r="C151" s="940" t="s">
        <v>2297</v>
      </c>
      <c r="D151" s="960">
        <f t="array" ref="D151:D156">TRANSPOSE(M145:R145)</f>
        <v>0</v>
      </c>
      <c r="E151" s="946"/>
      <c r="F151" s="946"/>
      <c r="G151" s="946"/>
      <c r="H151" s="950" t="str">
        <f t="shared" si="68"/>
        <v>USD 'Units</v>
      </c>
      <c r="I151" s="950"/>
      <c r="J151" s="951"/>
      <c r="K151" s="951"/>
      <c r="L151" s="961"/>
      <c r="M151" s="402">
        <f ca="1">MIN($D151/$D$99,$D151-SUM(L151:$M151))</f>
        <v>0</v>
      </c>
      <c r="N151" s="402">
        <f ca="1">MIN($D151/$D$99,$D151-SUM($M151:M151))</f>
        <v>0</v>
      </c>
      <c r="O151" s="402">
        <f ca="1">MIN($D151/$D$99,$D151-SUM($M151:N151))</f>
        <v>0</v>
      </c>
      <c r="P151" s="402">
        <f ca="1">MIN($D151/$D$99,$D151-SUM($M151:O151))</f>
        <v>0</v>
      </c>
      <c r="Q151" s="402">
        <f ca="1">MIN($D151/$D$99,$D151-SUM($M151:P151))</f>
        <v>0</v>
      </c>
      <c r="R151" s="402">
        <f ca="1">MIN($D151/$D$99,$D151-SUM($M151:Q151))</f>
        <v>0</v>
      </c>
      <c r="T151" s="490" t="str">
        <f t="shared" ca="1" si="60"/>
        <v>-</v>
      </c>
    </row>
    <row r="152" spans="3:20">
      <c r="C152" s="940" t="s">
        <v>2115</v>
      </c>
      <c r="D152" s="960">
        <v>0</v>
      </c>
      <c r="E152" s="946"/>
      <c r="F152" s="946"/>
      <c r="G152" s="946"/>
      <c r="H152" s="950" t="str">
        <f t="shared" si="68"/>
        <v>USD 'Units</v>
      </c>
      <c r="I152" s="950"/>
      <c r="J152" s="951"/>
      <c r="K152" s="951"/>
      <c r="L152" s="961"/>
      <c r="M152" s="961"/>
      <c r="N152" s="402">
        <f>MIN($D152/$D$99,$D152-SUM($M152:M152))</f>
        <v>0</v>
      </c>
      <c r="O152" s="402">
        <f>MIN($D152/$D$99,$D152-SUM($M152:N152))</f>
        <v>0</v>
      </c>
      <c r="P152" s="402">
        <f>MIN($D152/$D$99,$D152-SUM($M152:O152))</f>
        <v>0</v>
      </c>
      <c r="Q152" s="402">
        <f>MIN($D152/$D$99,$D152-SUM($M152:P152))</f>
        <v>0</v>
      </c>
      <c r="R152" s="402">
        <f>MIN($D152/$D$99,$D152-SUM($M152:Q152))</f>
        <v>0</v>
      </c>
      <c r="T152" s="490" t="str">
        <f t="shared" si="60"/>
        <v>-</v>
      </c>
    </row>
    <row r="153" spans="3:20">
      <c r="C153" s="940" t="s">
        <v>2116</v>
      </c>
      <c r="D153" s="960">
        <v>0</v>
      </c>
      <c r="E153" s="946"/>
      <c r="F153" s="946"/>
      <c r="G153" s="946"/>
      <c r="H153" s="950" t="str">
        <f t="shared" si="68"/>
        <v>USD 'Units</v>
      </c>
      <c r="I153" s="950"/>
      <c r="J153" s="951"/>
      <c r="K153" s="951"/>
      <c r="L153" s="961"/>
      <c r="M153" s="961"/>
      <c r="N153" s="961"/>
      <c r="O153" s="402">
        <f>MIN($D153/$D$99,$D153-SUM($M153:N153))</f>
        <v>0</v>
      </c>
      <c r="P153" s="402">
        <f>MIN($D153/$D$99,$D153-SUM($M153:O153))</f>
        <v>0</v>
      </c>
      <c r="Q153" s="402">
        <f>MIN($D153/$D$99,$D153-SUM($M153:P153))</f>
        <v>0</v>
      </c>
      <c r="R153" s="402">
        <f>MIN($D153/$D$99,$D153-SUM($M153:Q153))</f>
        <v>0</v>
      </c>
      <c r="T153" s="490" t="str">
        <f t="shared" si="60"/>
        <v>-</v>
      </c>
    </row>
    <row r="154" spans="3:20">
      <c r="C154" s="940" t="s">
        <v>2117</v>
      </c>
      <c r="D154" s="960">
        <v>0</v>
      </c>
      <c r="E154" s="946"/>
      <c r="F154" s="946"/>
      <c r="G154" s="946"/>
      <c r="H154" s="950" t="str">
        <f t="shared" si="68"/>
        <v>USD 'Units</v>
      </c>
      <c r="I154" s="950"/>
      <c r="J154" s="951"/>
      <c r="K154" s="951"/>
      <c r="L154" s="961"/>
      <c r="M154" s="961"/>
      <c r="N154" s="961"/>
      <c r="O154" s="961"/>
      <c r="P154" s="402">
        <f>MIN($D154/$D$99,$D154-SUM($M154:O154))</f>
        <v>0</v>
      </c>
      <c r="Q154" s="402">
        <f>MIN($D154/$D$99,$D154-SUM($M154:P154))</f>
        <v>0</v>
      </c>
      <c r="R154" s="402">
        <f>MIN($D154/$D$99,$D154-SUM($M154:Q154))</f>
        <v>0</v>
      </c>
      <c r="T154" s="490" t="str">
        <f t="shared" si="60"/>
        <v>-</v>
      </c>
    </row>
    <row r="155" spans="3:20">
      <c r="C155" s="940" t="s">
        <v>2118</v>
      </c>
      <c r="D155" s="960">
        <v>0</v>
      </c>
      <c r="E155" s="946"/>
      <c r="F155" s="946"/>
      <c r="G155" s="946"/>
      <c r="H155" s="950" t="str">
        <f t="shared" si="68"/>
        <v>USD 'Units</v>
      </c>
      <c r="I155" s="950"/>
      <c r="J155" s="951"/>
      <c r="K155" s="951"/>
      <c r="L155" s="961"/>
      <c r="M155" s="961"/>
      <c r="N155" s="961"/>
      <c r="O155" s="961"/>
      <c r="P155" s="961"/>
      <c r="Q155" s="402">
        <f>MIN($D155/$D$99,$D155-SUM($M155:P155))</f>
        <v>0</v>
      </c>
      <c r="R155" s="402">
        <f>MIN($D155/$D$99,$D155-SUM($M155:Q155))</f>
        <v>0</v>
      </c>
      <c r="T155" s="490" t="str">
        <f t="shared" si="60"/>
        <v>-</v>
      </c>
    </row>
    <row r="156" spans="3:20">
      <c r="C156" s="940" t="s">
        <v>2119</v>
      </c>
      <c r="D156" s="960">
        <v>0</v>
      </c>
      <c r="E156" s="946"/>
      <c r="F156" s="946"/>
      <c r="G156" s="946"/>
      <c r="H156" s="950" t="str">
        <f t="shared" si="68"/>
        <v>USD 'Units</v>
      </c>
      <c r="I156" s="950"/>
      <c r="J156" s="951"/>
      <c r="K156" s="951"/>
      <c r="L156" s="961"/>
      <c r="M156" s="961"/>
      <c r="N156" s="961"/>
      <c r="O156" s="961"/>
      <c r="P156" s="961"/>
      <c r="Q156" s="961"/>
      <c r="R156" s="402">
        <f>MIN($D156/$D$99,$D156-SUM($M156:Q156))</f>
        <v>0</v>
      </c>
      <c r="T156" s="490" t="str">
        <f t="shared" si="60"/>
        <v>-</v>
      </c>
    </row>
    <row r="157" spans="3:20">
      <c r="C157" s="962" t="s">
        <v>2129</v>
      </c>
      <c r="D157" s="941"/>
      <c r="E157" s="963"/>
      <c r="F157" s="963"/>
      <c r="G157" s="963"/>
      <c r="H157" s="964" t="str">
        <f t="shared" si="68"/>
        <v>USD 'Units</v>
      </c>
      <c r="I157" s="964"/>
      <c r="J157" s="965"/>
      <c r="K157" s="965"/>
      <c r="L157" s="966">
        <f t="shared" ref="L157:R157" si="70">SUM(L150:L156)</f>
        <v>0</v>
      </c>
      <c r="M157" s="966">
        <f t="shared" ca="1" si="70"/>
        <v>0</v>
      </c>
      <c r="N157" s="966">
        <f t="shared" ca="1" si="70"/>
        <v>0</v>
      </c>
      <c r="O157" s="966">
        <f t="shared" ca="1" si="70"/>
        <v>0</v>
      </c>
      <c r="P157" s="966">
        <f t="shared" ca="1" si="70"/>
        <v>0</v>
      </c>
      <c r="Q157" s="966">
        <f t="shared" ca="1" si="70"/>
        <v>0</v>
      </c>
      <c r="R157" s="966">
        <f t="shared" ca="1" si="70"/>
        <v>0</v>
      </c>
      <c r="T157" s="490" t="str">
        <f t="shared" ref="T157:T180" ca="1" si="71">IFERROR((R157/N157)^(1/5)-1,"-")</f>
        <v>-</v>
      </c>
    </row>
    <row r="158" spans="3:20">
      <c r="C158" s="941" t="s">
        <v>2128</v>
      </c>
      <c r="D158" s="941"/>
      <c r="E158" s="967"/>
      <c r="F158" s="967"/>
      <c r="G158" s="967"/>
      <c r="H158" s="964" t="str">
        <f t="shared" si="68"/>
        <v>USD 'Units</v>
      </c>
      <c r="I158" s="964"/>
      <c r="J158" s="968"/>
      <c r="K158" s="968"/>
      <c r="L158" s="969">
        <f t="shared" ref="L158:R158" si="72">L149+L157</f>
        <v>0</v>
      </c>
      <c r="M158" s="969">
        <f t="shared" ca="1" si="72"/>
        <v>0</v>
      </c>
      <c r="N158" s="969">
        <f t="shared" ca="1" si="72"/>
        <v>0</v>
      </c>
      <c r="O158" s="969">
        <f t="shared" ca="1" si="72"/>
        <v>0</v>
      </c>
      <c r="P158" s="969">
        <f t="shared" ca="1" si="72"/>
        <v>0</v>
      </c>
      <c r="Q158" s="969">
        <f t="shared" ca="1" si="72"/>
        <v>0</v>
      </c>
      <c r="R158" s="969">
        <f t="shared" ca="1" si="72"/>
        <v>0</v>
      </c>
      <c r="T158" s="490" t="str">
        <f t="shared" ca="1" si="71"/>
        <v>-</v>
      </c>
    </row>
    <row r="159" spans="3:20">
      <c r="C159" s="941" t="s">
        <v>2125</v>
      </c>
      <c r="D159" s="941"/>
      <c r="E159" s="970"/>
      <c r="F159" s="970"/>
      <c r="G159" s="970"/>
      <c r="H159" s="956" t="str">
        <f t="shared" si="68"/>
        <v>USD 'Units</v>
      </c>
      <c r="I159" s="956"/>
      <c r="J159" s="971"/>
      <c r="K159" s="971"/>
      <c r="L159" s="972">
        <f t="shared" ref="L159:R159" si="73">L146-L158</f>
        <v>0</v>
      </c>
      <c r="M159" s="972">
        <f t="shared" ca="1" si="73"/>
        <v>0</v>
      </c>
      <c r="N159" s="972">
        <f t="shared" ca="1" si="73"/>
        <v>0</v>
      </c>
      <c r="O159" s="972">
        <f t="shared" ca="1" si="73"/>
        <v>0</v>
      </c>
      <c r="P159" s="972">
        <f t="shared" ca="1" si="73"/>
        <v>0</v>
      </c>
      <c r="Q159" s="972">
        <f t="shared" ca="1" si="73"/>
        <v>0</v>
      </c>
      <c r="R159" s="972">
        <f t="shared" ca="1" si="73"/>
        <v>0</v>
      </c>
      <c r="T159" s="490" t="str">
        <f t="shared" ca="1" si="71"/>
        <v>-</v>
      </c>
    </row>
    <row r="160" spans="3:20">
      <c r="T160" s="490" t="str">
        <f t="shared" si="71"/>
        <v>-</v>
      </c>
    </row>
    <row r="161" spans="3:20">
      <c r="C161" s="943" t="s">
        <v>2127</v>
      </c>
      <c r="D161" s="944"/>
      <c r="T161" s="490" t="str">
        <f t="shared" si="71"/>
        <v>-</v>
      </c>
    </row>
    <row r="162" spans="3:20">
      <c r="C162" s="940" t="s">
        <v>1544</v>
      </c>
      <c r="D162" s="945">
        <v>5</v>
      </c>
      <c r="E162" s="946"/>
      <c r="F162" s="946"/>
      <c r="G162" s="946"/>
      <c r="H162" s="947" t="s">
        <v>2111</v>
      </c>
      <c r="I162" s="947"/>
      <c r="T162" s="490" t="str">
        <f t="shared" si="71"/>
        <v>-</v>
      </c>
    </row>
    <row r="163" spans="3:20">
      <c r="C163" s="940"/>
      <c r="D163" s="948"/>
      <c r="E163" s="940"/>
      <c r="F163" s="940"/>
      <c r="G163" s="940"/>
      <c r="H163" s="949"/>
      <c r="I163" s="949"/>
      <c r="T163" s="490" t="str">
        <f t="shared" si="71"/>
        <v>-</v>
      </c>
    </row>
    <row r="164" spans="3:20">
      <c r="C164" s="938" t="s">
        <v>2097</v>
      </c>
      <c r="D164" s="948"/>
      <c r="E164" s="940"/>
      <c r="F164" s="940"/>
      <c r="G164" s="940"/>
      <c r="H164" s="949"/>
      <c r="I164" s="949"/>
      <c r="T164" s="490" t="str">
        <f t="shared" si="71"/>
        <v>-</v>
      </c>
    </row>
    <row r="165" spans="3:20">
      <c r="C165" s="940" t="s">
        <v>2112</v>
      </c>
      <c r="D165" s="938"/>
      <c r="E165" s="946"/>
      <c r="F165" s="946"/>
      <c r="G165" s="946"/>
      <c r="H165" s="950" t="str">
        <f>currency.heading1</f>
        <v>USD 'Units</v>
      </c>
      <c r="I165" s="950"/>
      <c r="J165" s="951"/>
      <c r="K165" s="951"/>
      <c r="L165" s="952">
        <f>Inputs!J218</f>
        <v>0</v>
      </c>
      <c r="M165" s="931">
        <f t="shared" ref="M165:R165" si="74">L167</f>
        <v>0</v>
      </c>
      <c r="N165" s="931">
        <f t="shared" si="74"/>
        <v>0</v>
      </c>
      <c r="O165" s="931">
        <f t="shared" si="74"/>
        <v>0</v>
      </c>
      <c r="P165" s="931">
        <f t="shared" si="74"/>
        <v>0</v>
      </c>
      <c r="Q165" s="931">
        <f t="shared" si="74"/>
        <v>0</v>
      </c>
      <c r="R165" s="931">
        <f t="shared" si="74"/>
        <v>0</v>
      </c>
      <c r="T165" s="490" t="str">
        <f t="shared" si="71"/>
        <v>-</v>
      </c>
    </row>
    <row r="166" spans="3:20">
      <c r="C166" s="940" t="s">
        <v>2073</v>
      </c>
      <c r="D166" s="948"/>
      <c r="E166" s="946"/>
      <c r="F166" s="946"/>
      <c r="G166" s="946"/>
      <c r="H166" s="950" t="str">
        <f>currency.heading1</f>
        <v>USD 'Units</v>
      </c>
      <c r="I166" s="950"/>
      <c r="J166" s="951"/>
      <c r="K166" s="951"/>
      <c r="L166" s="953">
        <f>Inputs!K219</f>
        <v>0</v>
      </c>
      <c r="M166" s="953">
        <f>Inputs!L219</f>
        <v>0</v>
      </c>
      <c r="N166" s="953">
        <f>Inputs!M219</f>
        <v>0</v>
      </c>
      <c r="O166" s="953">
        <f>Inputs!N219</f>
        <v>0</v>
      </c>
      <c r="P166" s="953">
        <f>Inputs!O219</f>
        <v>0</v>
      </c>
      <c r="Q166" s="953">
        <f>Inputs!P219</f>
        <v>0</v>
      </c>
      <c r="R166" s="953">
        <f>Inputs!Q219</f>
        <v>0</v>
      </c>
      <c r="T166" s="490" t="str">
        <f t="shared" si="71"/>
        <v>-</v>
      </c>
    </row>
    <row r="167" spans="3:20">
      <c r="C167" s="941" t="s">
        <v>2100</v>
      </c>
      <c r="D167" s="954"/>
      <c r="E167" s="955"/>
      <c r="F167" s="955"/>
      <c r="G167" s="955"/>
      <c r="H167" s="956" t="str">
        <f>currency.heading1</f>
        <v>USD 'Units</v>
      </c>
      <c r="I167" s="956"/>
      <c r="J167" s="957"/>
      <c r="K167" s="957"/>
      <c r="L167" s="958">
        <f t="shared" ref="L167:R167" si="75">SUM(L165:L166)</f>
        <v>0</v>
      </c>
      <c r="M167" s="958">
        <f t="shared" si="75"/>
        <v>0</v>
      </c>
      <c r="N167" s="958">
        <f t="shared" si="75"/>
        <v>0</v>
      </c>
      <c r="O167" s="958">
        <f t="shared" si="75"/>
        <v>0</v>
      </c>
      <c r="P167" s="958">
        <f t="shared" si="75"/>
        <v>0</v>
      </c>
      <c r="Q167" s="958">
        <f t="shared" si="75"/>
        <v>0</v>
      </c>
      <c r="R167" s="958">
        <f t="shared" si="75"/>
        <v>0</v>
      </c>
      <c r="T167" s="490" t="str">
        <f t="shared" si="71"/>
        <v>-</v>
      </c>
    </row>
    <row r="168" spans="3:20">
      <c r="C168" s="940"/>
      <c r="D168" s="948"/>
      <c r="E168" s="940"/>
      <c r="F168" s="940"/>
      <c r="G168" s="940"/>
      <c r="H168" s="949"/>
      <c r="I168" s="949"/>
      <c r="T168" s="490" t="str">
        <f t="shared" si="71"/>
        <v>-</v>
      </c>
    </row>
    <row r="169" spans="3:20">
      <c r="C169" s="938" t="s">
        <v>2113</v>
      </c>
      <c r="D169" s="938"/>
      <c r="E169" s="940"/>
      <c r="F169" s="940"/>
      <c r="G169" s="940"/>
      <c r="H169" s="949"/>
      <c r="I169" s="949"/>
      <c r="T169" s="490" t="str">
        <f t="shared" si="71"/>
        <v>-</v>
      </c>
    </row>
    <row r="170" spans="3:20">
      <c r="C170" s="940" t="s">
        <v>1541</v>
      </c>
      <c r="D170" s="940"/>
      <c r="E170" s="946"/>
      <c r="F170" s="946"/>
      <c r="G170" s="946"/>
      <c r="H170" s="950" t="str">
        <f t="shared" ref="H170:H180" si="76">currency.heading1</f>
        <v>USD 'Units</v>
      </c>
      <c r="I170" s="950"/>
      <c r="J170" s="951"/>
      <c r="K170" s="951"/>
      <c r="L170" s="959">
        <v>0</v>
      </c>
      <c r="M170" s="959">
        <v>0</v>
      </c>
      <c r="N170" s="402">
        <f ca="1">M179</f>
        <v>0</v>
      </c>
      <c r="O170" s="402">
        <f ca="1">N179</f>
        <v>0</v>
      </c>
      <c r="P170" s="402">
        <f ca="1">O179</f>
        <v>0</v>
      </c>
      <c r="Q170" s="402">
        <f ca="1">P179</f>
        <v>0</v>
      </c>
      <c r="R170" s="402">
        <f ca="1">Q179</f>
        <v>0</v>
      </c>
      <c r="T170" s="490" t="str">
        <f t="shared" ca="1" si="71"/>
        <v>-</v>
      </c>
    </row>
    <row r="171" spans="3:20">
      <c r="C171" s="940" t="s">
        <v>2114</v>
      </c>
      <c r="D171" s="938"/>
      <c r="E171" s="946"/>
      <c r="F171" s="946"/>
      <c r="G171" s="946"/>
      <c r="H171" s="950" t="str">
        <f t="shared" si="76"/>
        <v>USD 'Units</v>
      </c>
      <c r="I171" s="950"/>
      <c r="J171" s="951"/>
      <c r="K171" s="951"/>
      <c r="L171" s="402">
        <f t="shared" ref="L171:R171" si="77">MAX(0,$N165/$D162)</f>
        <v>0</v>
      </c>
      <c r="M171" s="402">
        <f t="shared" si="77"/>
        <v>0</v>
      </c>
      <c r="N171" s="402">
        <f t="shared" si="77"/>
        <v>0</v>
      </c>
      <c r="O171" s="402">
        <f t="shared" si="77"/>
        <v>0</v>
      </c>
      <c r="P171" s="402">
        <f t="shared" si="77"/>
        <v>0</v>
      </c>
      <c r="Q171" s="402">
        <f t="shared" si="77"/>
        <v>0</v>
      </c>
      <c r="R171" s="402">
        <f t="shared" si="77"/>
        <v>0</v>
      </c>
      <c r="T171" s="490" t="str">
        <f t="shared" si="71"/>
        <v>-</v>
      </c>
    </row>
    <row r="172" spans="3:20">
      <c r="C172" s="940" t="s">
        <v>2297</v>
      </c>
      <c r="D172" s="960">
        <f t="array" ref="D172:D177">TRANSPOSE(M166:R166)</f>
        <v>0</v>
      </c>
      <c r="E172" s="946"/>
      <c r="F172" s="946"/>
      <c r="G172" s="946"/>
      <c r="H172" s="950" t="str">
        <f t="shared" si="76"/>
        <v>USD 'Units</v>
      </c>
      <c r="I172" s="950"/>
      <c r="J172" s="951"/>
      <c r="K172" s="951"/>
      <c r="L172" s="961"/>
      <c r="M172" s="402">
        <f ca="1">MIN($D172/$D$99,$D172-SUM(L172:$M172))</f>
        <v>0</v>
      </c>
      <c r="N172" s="402">
        <f ca="1">MIN($D172/$D$99,$D172-SUM($M172:M172))</f>
        <v>0</v>
      </c>
      <c r="O172" s="402">
        <f ca="1">MIN($D172/$D$99,$D172-SUM($M172:N172))</f>
        <v>0</v>
      </c>
      <c r="P172" s="402">
        <f ca="1">MIN($D172/$D$99,$D172-SUM($M172:O172))</f>
        <v>0</v>
      </c>
      <c r="Q172" s="402">
        <f ca="1">MIN($D172/$D$99,$D172-SUM($M172:P172))</f>
        <v>0</v>
      </c>
      <c r="R172" s="402">
        <f ca="1">MIN($D172/$D$99,$D172-SUM($M172:Q172))</f>
        <v>0</v>
      </c>
      <c r="T172" s="490" t="str">
        <f t="shared" ca="1" si="71"/>
        <v>-</v>
      </c>
    </row>
    <row r="173" spans="3:20">
      <c r="C173" s="940" t="s">
        <v>2115</v>
      </c>
      <c r="D173" s="960">
        <v>0</v>
      </c>
      <c r="E173" s="946"/>
      <c r="F173" s="946"/>
      <c r="G173" s="946"/>
      <c r="H173" s="950" t="str">
        <f t="shared" si="76"/>
        <v>USD 'Units</v>
      </c>
      <c r="I173" s="950"/>
      <c r="J173" s="951"/>
      <c r="K173" s="951"/>
      <c r="L173" s="961"/>
      <c r="M173" s="961"/>
      <c r="N173" s="402">
        <f>MIN($D173/$D$99,$D173-SUM($M173:M173))</f>
        <v>0</v>
      </c>
      <c r="O173" s="402">
        <f>MIN($D173/$D$99,$D173-SUM($M173:N173))</f>
        <v>0</v>
      </c>
      <c r="P173" s="402">
        <f>MIN($D173/$D$99,$D173-SUM($M173:O173))</f>
        <v>0</v>
      </c>
      <c r="Q173" s="402">
        <f>MIN($D173/$D$99,$D173-SUM($M173:P173))</f>
        <v>0</v>
      </c>
      <c r="R173" s="402">
        <f>MIN($D173/$D$99,$D173-SUM($M173:Q173))</f>
        <v>0</v>
      </c>
      <c r="T173" s="490" t="str">
        <f t="shared" si="71"/>
        <v>-</v>
      </c>
    </row>
    <row r="174" spans="3:20">
      <c r="C174" s="940" t="s">
        <v>2116</v>
      </c>
      <c r="D174" s="960">
        <v>0</v>
      </c>
      <c r="E174" s="946"/>
      <c r="F174" s="946"/>
      <c r="G174" s="946"/>
      <c r="H174" s="950" t="str">
        <f t="shared" si="76"/>
        <v>USD 'Units</v>
      </c>
      <c r="I174" s="950"/>
      <c r="J174" s="951"/>
      <c r="K174" s="951"/>
      <c r="L174" s="961"/>
      <c r="M174" s="961"/>
      <c r="N174" s="961"/>
      <c r="O174" s="402">
        <f>MIN($D174/$D$99,$D174-SUM($M174:N174))</f>
        <v>0</v>
      </c>
      <c r="P174" s="402">
        <f>MIN($D174/$D$99,$D174-SUM($M174:O174))</f>
        <v>0</v>
      </c>
      <c r="Q174" s="402">
        <f>MIN($D174/$D$99,$D174-SUM($M174:P174))</f>
        <v>0</v>
      </c>
      <c r="R174" s="402">
        <f>MIN($D174/$D$99,$D174-SUM($M174:Q174))</f>
        <v>0</v>
      </c>
      <c r="T174" s="490" t="str">
        <f t="shared" si="71"/>
        <v>-</v>
      </c>
    </row>
    <row r="175" spans="3:20">
      <c r="C175" s="940" t="s">
        <v>2117</v>
      </c>
      <c r="D175" s="960">
        <v>0</v>
      </c>
      <c r="E175" s="946"/>
      <c r="F175" s="946"/>
      <c r="G175" s="946"/>
      <c r="H175" s="950" t="str">
        <f t="shared" si="76"/>
        <v>USD 'Units</v>
      </c>
      <c r="I175" s="950"/>
      <c r="J175" s="951"/>
      <c r="K175" s="951"/>
      <c r="L175" s="961"/>
      <c r="M175" s="961"/>
      <c r="N175" s="961"/>
      <c r="O175" s="961"/>
      <c r="P175" s="402">
        <f>MIN($D175/$D$99,$D175-SUM($M175:O175))</f>
        <v>0</v>
      </c>
      <c r="Q175" s="402">
        <f>MIN($D175/$D$99,$D175-SUM($M175:P175))</f>
        <v>0</v>
      </c>
      <c r="R175" s="402">
        <f>MIN($D175/$D$99,$D175-SUM($M175:Q175))</f>
        <v>0</v>
      </c>
      <c r="T175" s="490" t="str">
        <f t="shared" si="71"/>
        <v>-</v>
      </c>
    </row>
    <row r="176" spans="3:20">
      <c r="C176" s="940" t="s">
        <v>2118</v>
      </c>
      <c r="D176" s="960">
        <v>0</v>
      </c>
      <c r="E176" s="946"/>
      <c r="F176" s="946"/>
      <c r="G176" s="946"/>
      <c r="H176" s="950" t="str">
        <f t="shared" si="76"/>
        <v>USD 'Units</v>
      </c>
      <c r="I176" s="950"/>
      <c r="J176" s="951"/>
      <c r="K176" s="951"/>
      <c r="L176" s="961"/>
      <c r="M176" s="961"/>
      <c r="N176" s="961"/>
      <c r="O176" s="961"/>
      <c r="P176" s="961"/>
      <c r="Q176" s="402">
        <f>MIN($D176/$D$99,$D176-SUM($M176:P176))</f>
        <v>0</v>
      </c>
      <c r="R176" s="402">
        <f>MIN($D176/$D$99,$D176-SUM($M176:Q176))</f>
        <v>0</v>
      </c>
      <c r="T176" s="490" t="str">
        <f t="shared" si="71"/>
        <v>-</v>
      </c>
    </row>
    <row r="177" spans="3:20">
      <c r="C177" s="940" t="s">
        <v>2119</v>
      </c>
      <c r="D177" s="960">
        <v>0</v>
      </c>
      <c r="E177" s="946"/>
      <c r="F177" s="946"/>
      <c r="G177" s="946"/>
      <c r="H177" s="950" t="str">
        <f t="shared" si="76"/>
        <v>USD 'Units</v>
      </c>
      <c r="I177" s="950"/>
      <c r="J177" s="951"/>
      <c r="K177" s="951"/>
      <c r="L177" s="961"/>
      <c r="M177" s="961"/>
      <c r="N177" s="961"/>
      <c r="O177" s="961"/>
      <c r="P177" s="961"/>
      <c r="Q177" s="961"/>
      <c r="R177" s="402">
        <f>MIN($D177/$D$99,$D177-SUM($M177:Q177))</f>
        <v>0</v>
      </c>
      <c r="T177" s="490" t="str">
        <f t="shared" si="71"/>
        <v>-</v>
      </c>
    </row>
    <row r="178" spans="3:20">
      <c r="C178" s="962" t="s">
        <v>2129</v>
      </c>
      <c r="D178" s="941"/>
      <c r="E178" s="963"/>
      <c r="F178" s="963"/>
      <c r="G178" s="963"/>
      <c r="H178" s="964" t="str">
        <f t="shared" si="76"/>
        <v>USD 'Units</v>
      </c>
      <c r="I178" s="964"/>
      <c r="J178" s="965"/>
      <c r="K178" s="965"/>
      <c r="L178" s="966">
        <f t="shared" ref="L178:R178" si="78">SUM(L171:L177)</f>
        <v>0</v>
      </c>
      <c r="M178" s="966">
        <f t="shared" ca="1" si="78"/>
        <v>0</v>
      </c>
      <c r="N178" s="966">
        <f t="shared" ca="1" si="78"/>
        <v>0</v>
      </c>
      <c r="O178" s="966">
        <f t="shared" ca="1" si="78"/>
        <v>0</v>
      </c>
      <c r="P178" s="966">
        <f t="shared" ca="1" si="78"/>
        <v>0</v>
      </c>
      <c r="Q178" s="966">
        <f t="shared" ca="1" si="78"/>
        <v>0</v>
      </c>
      <c r="R178" s="966">
        <f t="shared" ca="1" si="78"/>
        <v>0</v>
      </c>
      <c r="T178" s="490" t="str">
        <f t="shared" ca="1" si="71"/>
        <v>-</v>
      </c>
    </row>
    <row r="179" spans="3:20">
      <c r="C179" s="941" t="s">
        <v>2128</v>
      </c>
      <c r="D179" s="941"/>
      <c r="E179" s="967"/>
      <c r="F179" s="967"/>
      <c r="G179" s="967"/>
      <c r="H179" s="964" t="str">
        <f t="shared" si="76"/>
        <v>USD 'Units</v>
      </c>
      <c r="I179" s="964"/>
      <c r="J179" s="968"/>
      <c r="K179" s="968"/>
      <c r="L179" s="969">
        <f t="shared" ref="L179:R179" si="79">L170+L178</f>
        <v>0</v>
      </c>
      <c r="M179" s="969">
        <f t="shared" ca="1" si="79"/>
        <v>0</v>
      </c>
      <c r="N179" s="969">
        <f t="shared" ca="1" si="79"/>
        <v>0</v>
      </c>
      <c r="O179" s="969">
        <f t="shared" ca="1" si="79"/>
        <v>0</v>
      </c>
      <c r="P179" s="969">
        <f t="shared" ca="1" si="79"/>
        <v>0</v>
      </c>
      <c r="Q179" s="969">
        <f t="shared" ca="1" si="79"/>
        <v>0</v>
      </c>
      <c r="R179" s="969">
        <f t="shared" ca="1" si="79"/>
        <v>0</v>
      </c>
      <c r="T179" s="490" t="str">
        <f t="shared" ca="1" si="71"/>
        <v>-</v>
      </c>
    </row>
    <row r="180" spans="3:20">
      <c r="C180" s="941" t="s">
        <v>2126</v>
      </c>
      <c r="D180" s="941"/>
      <c r="E180" s="970"/>
      <c r="F180" s="970"/>
      <c r="G180" s="970"/>
      <c r="H180" s="956" t="str">
        <f t="shared" si="76"/>
        <v>USD 'Units</v>
      </c>
      <c r="I180" s="956"/>
      <c r="J180" s="971"/>
      <c r="K180" s="971"/>
      <c r="L180" s="972">
        <f t="shared" ref="L180:R180" si="80">L167-L179</f>
        <v>0</v>
      </c>
      <c r="M180" s="972">
        <f t="shared" ca="1" si="80"/>
        <v>0</v>
      </c>
      <c r="N180" s="972">
        <f t="shared" ca="1" si="80"/>
        <v>0</v>
      </c>
      <c r="O180" s="972">
        <f t="shared" ca="1" si="80"/>
        <v>0</v>
      </c>
      <c r="P180" s="972">
        <f t="shared" ca="1" si="80"/>
        <v>0</v>
      </c>
      <c r="Q180" s="972">
        <f t="shared" ca="1" si="80"/>
        <v>0</v>
      </c>
      <c r="R180" s="972">
        <f t="shared" ca="1" si="80"/>
        <v>0</v>
      </c>
      <c r="T180" s="490" t="str">
        <f t="shared" ca="1" si="71"/>
        <v>-</v>
      </c>
    </row>
  </sheetData>
  <pageMargins left="0.7" right="0.7" top="0.75" bottom="0.75" header="0.3" footer="0.3"/>
  <pageSetup scale="54" orientation="portrait" r:id="rId1"/>
  <ignoredErrors>
    <ignoredError sqref="O27:R27"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8161B-93E0-481A-8307-5F54D133778F}">
  <sheetPr>
    <tabColor theme="9" tint="-0.499984740745262"/>
  </sheetPr>
  <dimension ref="A1:H15"/>
  <sheetViews>
    <sheetView showGridLines="0" workbookViewId="0">
      <selection activeCell="B4" sqref="B4"/>
    </sheetView>
  </sheetViews>
  <sheetFormatPr defaultColWidth="0" defaultRowHeight="10.5" zeroHeight="1"/>
  <cols>
    <col min="1" max="1" width="2.3828125" style="246" customWidth="1"/>
    <col min="2" max="8" width="8.69140625" style="246" customWidth="1"/>
    <col min="9" max="16384" width="8.69140625" style="246" hidden="1"/>
  </cols>
  <sheetData>
    <row r="1" spans="2:8"/>
    <row r="2" spans="2:8">
      <c r="B2" s="245" t="s">
        <v>2328</v>
      </c>
    </row>
    <row r="3" spans="2:8">
      <c r="B3" s="247" t="str">
        <f>Inputs!$B$3</f>
        <v>Aerial Arts India XXXXXXXXXXXXXXXXX - Self Valuation using DCF Method, Transaction Multiples Method, &amp; Market Multiples Method as at September 30, 2024</v>
      </c>
    </row>
    <row r="4" spans="2:8">
      <c r="B4" s="285" t="s">
        <v>2292</v>
      </c>
    </row>
    <row r="5" spans="2:8" ht="5" customHeight="1" thickBot="1">
      <c r="B5" s="283"/>
      <c r="C5" s="249"/>
      <c r="D5" s="249"/>
      <c r="E5" s="249"/>
      <c r="F5" s="249"/>
      <c r="G5" s="249"/>
      <c r="H5" s="249"/>
    </row>
    <row r="6" spans="2:8" ht="11" thickTop="1"/>
    <row r="7" spans="2:8">
      <c r="B7" s="245" t="s">
        <v>2293</v>
      </c>
    </row>
    <row r="8" spans="2:8"/>
    <row r="9" spans="2:8"/>
    <row r="10" spans="2:8"/>
    <row r="11" spans="2:8"/>
    <row r="12" spans="2:8"/>
    <row r="13" spans="2:8"/>
    <row r="14" spans="2:8"/>
    <row r="15" spans="2:8"/>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1EEBF-81F3-4673-8E39-FEE0F8250695}">
  <dimension ref="A1:IV5"/>
  <sheetViews>
    <sheetView workbookViewId="0"/>
  </sheetViews>
  <sheetFormatPr defaultRowHeight="15.5"/>
  <sheetData>
    <row r="1" spans="1:256">
      <c r="A1">
        <v>1125</v>
      </c>
      <c r="B1" t="s">
        <v>244</v>
      </c>
      <c r="C1" t="s">
        <v>245</v>
      </c>
      <c r="D1" t="s">
        <v>246</v>
      </c>
      <c r="E1" t="s">
        <v>247</v>
      </c>
      <c r="F1" t="s">
        <v>248</v>
      </c>
      <c r="G1" t="s">
        <v>249</v>
      </c>
      <c r="H1" t="s">
        <v>250</v>
      </c>
      <c r="I1" t="s">
        <v>251</v>
      </c>
      <c r="J1" t="s">
        <v>252</v>
      </c>
      <c r="K1" t="s">
        <v>253</v>
      </c>
      <c r="L1" t="s">
        <v>254</v>
      </c>
      <c r="M1" t="s">
        <v>255</v>
      </c>
      <c r="N1" t="s">
        <v>256</v>
      </c>
      <c r="O1" t="s">
        <v>257</v>
      </c>
      <c r="P1" t="s">
        <v>258</v>
      </c>
      <c r="Q1" t="s">
        <v>259</v>
      </c>
      <c r="R1" t="s">
        <v>260</v>
      </c>
      <c r="S1" t="s">
        <v>261</v>
      </c>
      <c r="T1" t="s">
        <v>262</v>
      </c>
      <c r="U1" t="s">
        <v>263</v>
      </c>
      <c r="V1" t="s">
        <v>264</v>
      </c>
      <c r="W1" t="s">
        <v>265</v>
      </c>
      <c r="X1" t="s">
        <v>266</v>
      </c>
      <c r="Y1" t="s">
        <v>267</v>
      </c>
      <c r="Z1" t="s">
        <v>268</v>
      </c>
      <c r="AA1" t="s">
        <v>269</v>
      </c>
      <c r="AB1" t="s">
        <v>270</v>
      </c>
      <c r="AC1" t="s">
        <v>271</v>
      </c>
      <c r="AD1" t="s">
        <v>272</v>
      </c>
      <c r="AE1" t="s">
        <v>273</v>
      </c>
      <c r="AF1" t="s">
        <v>274</v>
      </c>
      <c r="AG1" t="s">
        <v>275</v>
      </c>
      <c r="AH1" t="s">
        <v>276</v>
      </c>
      <c r="AI1" t="s">
        <v>277</v>
      </c>
      <c r="AJ1" t="s">
        <v>278</v>
      </c>
      <c r="AK1" t="s">
        <v>279</v>
      </c>
      <c r="AL1" t="s">
        <v>280</v>
      </c>
      <c r="AM1" t="s">
        <v>281</v>
      </c>
      <c r="AN1" t="s">
        <v>282</v>
      </c>
      <c r="AO1" t="s">
        <v>283</v>
      </c>
      <c r="AP1" t="s">
        <v>284</v>
      </c>
      <c r="AQ1" t="s">
        <v>285</v>
      </c>
      <c r="AR1" t="s">
        <v>286</v>
      </c>
      <c r="AS1" t="s">
        <v>287</v>
      </c>
      <c r="AT1" t="s">
        <v>288</v>
      </c>
      <c r="AU1" t="s">
        <v>289</v>
      </c>
      <c r="AV1" t="s">
        <v>290</v>
      </c>
      <c r="AW1" t="s">
        <v>291</v>
      </c>
      <c r="AX1" t="s">
        <v>292</v>
      </c>
      <c r="AY1" t="s">
        <v>293</v>
      </c>
      <c r="AZ1" t="s">
        <v>294</v>
      </c>
      <c r="BA1" t="s">
        <v>295</v>
      </c>
      <c r="BB1" t="s">
        <v>296</v>
      </c>
      <c r="BC1" t="s">
        <v>297</v>
      </c>
      <c r="BD1" t="s">
        <v>298</v>
      </c>
      <c r="BE1" t="s">
        <v>299</v>
      </c>
      <c r="BF1" t="s">
        <v>300</v>
      </c>
      <c r="BG1" t="s">
        <v>301</v>
      </c>
      <c r="BH1" t="s">
        <v>302</v>
      </c>
      <c r="BI1" t="s">
        <v>303</v>
      </c>
      <c r="BJ1" t="s">
        <v>304</v>
      </c>
      <c r="BK1" t="s">
        <v>305</v>
      </c>
      <c r="BL1" t="s">
        <v>306</v>
      </c>
      <c r="BM1" t="s">
        <v>307</v>
      </c>
      <c r="BN1" t="s">
        <v>308</v>
      </c>
      <c r="BO1" t="s">
        <v>309</v>
      </c>
      <c r="BP1" t="s">
        <v>310</v>
      </c>
      <c r="BQ1" t="s">
        <v>311</v>
      </c>
      <c r="BR1" t="s">
        <v>312</v>
      </c>
      <c r="BS1" t="s">
        <v>313</v>
      </c>
      <c r="BT1" t="s">
        <v>314</v>
      </c>
      <c r="BU1" t="s">
        <v>315</v>
      </c>
      <c r="BV1" t="s">
        <v>316</v>
      </c>
      <c r="BW1" t="s">
        <v>317</v>
      </c>
      <c r="BX1" t="s">
        <v>318</v>
      </c>
      <c r="BY1" t="s">
        <v>319</v>
      </c>
      <c r="BZ1" t="s">
        <v>320</v>
      </c>
      <c r="CA1" t="s">
        <v>321</v>
      </c>
      <c r="CB1" t="s">
        <v>322</v>
      </c>
      <c r="CC1" t="s">
        <v>323</v>
      </c>
      <c r="CD1" t="s">
        <v>324</v>
      </c>
      <c r="CE1" t="s">
        <v>325</v>
      </c>
      <c r="CF1" t="s">
        <v>326</v>
      </c>
      <c r="CG1" t="s">
        <v>327</v>
      </c>
      <c r="CH1" t="s">
        <v>328</v>
      </c>
      <c r="CI1" t="s">
        <v>329</v>
      </c>
      <c r="CJ1" t="s">
        <v>330</v>
      </c>
      <c r="CK1" t="s">
        <v>331</v>
      </c>
      <c r="CL1" t="s">
        <v>332</v>
      </c>
      <c r="CM1" t="s">
        <v>333</v>
      </c>
      <c r="CN1" t="s">
        <v>334</v>
      </c>
      <c r="CO1" t="s">
        <v>335</v>
      </c>
      <c r="CP1" t="s">
        <v>336</v>
      </c>
      <c r="CQ1" t="s">
        <v>337</v>
      </c>
      <c r="CR1" t="s">
        <v>338</v>
      </c>
      <c r="CS1" t="s">
        <v>339</v>
      </c>
      <c r="CT1" t="s">
        <v>340</v>
      </c>
      <c r="CU1" t="s">
        <v>341</v>
      </c>
      <c r="CV1" t="s">
        <v>342</v>
      </c>
      <c r="CW1" t="s">
        <v>343</v>
      </c>
      <c r="CX1" t="s">
        <v>344</v>
      </c>
      <c r="CY1" t="s">
        <v>345</v>
      </c>
      <c r="CZ1" t="s">
        <v>346</v>
      </c>
      <c r="DA1" t="s">
        <v>347</v>
      </c>
      <c r="DB1" t="s">
        <v>348</v>
      </c>
      <c r="DC1" t="s">
        <v>349</v>
      </c>
      <c r="DD1" t="s">
        <v>350</v>
      </c>
      <c r="DE1" t="s">
        <v>351</v>
      </c>
      <c r="DF1" t="s">
        <v>352</v>
      </c>
      <c r="DG1" t="s">
        <v>353</v>
      </c>
      <c r="DH1" t="s">
        <v>354</v>
      </c>
      <c r="DI1" t="s">
        <v>355</v>
      </c>
      <c r="DJ1" t="s">
        <v>356</v>
      </c>
      <c r="DK1" t="s">
        <v>357</v>
      </c>
      <c r="DL1" t="s">
        <v>358</v>
      </c>
      <c r="DM1" t="s">
        <v>359</v>
      </c>
      <c r="DN1" t="s">
        <v>360</v>
      </c>
      <c r="DO1" t="s">
        <v>361</v>
      </c>
      <c r="DP1" t="s">
        <v>362</v>
      </c>
      <c r="DQ1" t="s">
        <v>363</v>
      </c>
      <c r="DR1" t="s">
        <v>364</v>
      </c>
      <c r="DS1" t="s">
        <v>365</v>
      </c>
      <c r="DT1" t="s">
        <v>366</v>
      </c>
      <c r="DU1" t="s">
        <v>367</v>
      </c>
      <c r="DV1" t="s">
        <v>368</v>
      </c>
      <c r="DW1" t="s">
        <v>369</v>
      </c>
      <c r="DX1" t="s">
        <v>370</v>
      </c>
      <c r="DY1" t="s">
        <v>371</v>
      </c>
      <c r="DZ1" t="s">
        <v>372</v>
      </c>
      <c r="EA1" t="s">
        <v>373</v>
      </c>
      <c r="EB1" t="s">
        <v>374</v>
      </c>
      <c r="EC1" t="s">
        <v>375</v>
      </c>
      <c r="ED1" t="s">
        <v>376</v>
      </c>
      <c r="EE1" t="s">
        <v>377</v>
      </c>
      <c r="EF1" t="s">
        <v>378</v>
      </c>
      <c r="EG1" t="s">
        <v>379</v>
      </c>
      <c r="EH1" t="s">
        <v>380</v>
      </c>
      <c r="EI1" t="s">
        <v>381</v>
      </c>
      <c r="EJ1" t="s">
        <v>382</v>
      </c>
      <c r="EK1" t="s">
        <v>383</v>
      </c>
      <c r="EL1" t="s">
        <v>384</v>
      </c>
      <c r="EM1" t="s">
        <v>385</v>
      </c>
      <c r="EN1" t="s">
        <v>386</v>
      </c>
      <c r="EO1" t="s">
        <v>387</v>
      </c>
      <c r="EP1" t="s">
        <v>388</v>
      </c>
      <c r="EQ1" t="s">
        <v>389</v>
      </c>
      <c r="ER1" t="s">
        <v>390</v>
      </c>
      <c r="ES1" t="s">
        <v>391</v>
      </c>
      <c r="ET1" t="s">
        <v>392</v>
      </c>
      <c r="EU1" t="s">
        <v>393</v>
      </c>
      <c r="EV1" t="s">
        <v>394</v>
      </c>
      <c r="EW1" t="s">
        <v>395</v>
      </c>
      <c r="EX1" t="s">
        <v>396</v>
      </c>
      <c r="EY1" t="s">
        <v>397</v>
      </c>
      <c r="EZ1" t="s">
        <v>398</v>
      </c>
      <c r="FA1" t="s">
        <v>399</v>
      </c>
      <c r="FB1" t="s">
        <v>400</v>
      </c>
      <c r="FC1" t="s">
        <v>401</v>
      </c>
      <c r="FD1" t="s">
        <v>402</v>
      </c>
      <c r="FE1" t="s">
        <v>403</v>
      </c>
      <c r="FF1" t="s">
        <v>404</v>
      </c>
      <c r="FG1" t="s">
        <v>405</v>
      </c>
      <c r="FH1" t="s">
        <v>406</v>
      </c>
      <c r="FI1" t="s">
        <v>407</v>
      </c>
      <c r="FJ1" t="s">
        <v>408</v>
      </c>
      <c r="FK1" t="s">
        <v>409</v>
      </c>
      <c r="FL1" t="s">
        <v>410</v>
      </c>
      <c r="FM1" t="s">
        <v>411</v>
      </c>
      <c r="FN1" t="s">
        <v>412</v>
      </c>
      <c r="FO1" t="s">
        <v>413</v>
      </c>
      <c r="FP1" t="s">
        <v>414</v>
      </c>
      <c r="FQ1" t="s">
        <v>415</v>
      </c>
      <c r="FR1" t="s">
        <v>416</v>
      </c>
      <c r="FS1" t="s">
        <v>417</v>
      </c>
      <c r="FT1" t="s">
        <v>418</v>
      </c>
      <c r="FU1" t="s">
        <v>419</v>
      </c>
      <c r="FV1" t="s">
        <v>420</v>
      </c>
      <c r="FW1" t="s">
        <v>421</v>
      </c>
      <c r="FX1" t="s">
        <v>422</v>
      </c>
      <c r="FY1" t="s">
        <v>423</v>
      </c>
      <c r="FZ1" t="s">
        <v>424</v>
      </c>
      <c r="GA1" t="s">
        <v>425</v>
      </c>
      <c r="GB1" t="s">
        <v>426</v>
      </c>
      <c r="GC1" t="s">
        <v>427</v>
      </c>
      <c r="GD1" t="s">
        <v>428</v>
      </c>
      <c r="GE1" t="s">
        <v>429</v>
      </c>
      <c r="GF1" t="s">
        <v>430</v>
      </c>
      <c r="GG1" t="s">
        <v>431</v>
      </c>
      <c r="GH1" t="s">
        <v>432</v>
      </c>
      <c r="GI1" t="s">
        <v>433</v>
      </c>
      <c r="GJ1" t="s">
        <v>434</v>
      </c>
      <c r="GK1" t="s">
        <v>435</v>
      </c>
      <c r="GL1" t="s">
        <v>436</v>
      </c>
      <c r="GM1" t="s">
        <v>437</v>
      </c>
      <c r="GN1" t="s">
        <v>438</v>
      </c>
      <c r="GO1" t="s">
        <v>439</v>
      </c>
      <c r="GP1" t="s">
        <v>440</v>
      </c>
      <c r="GQ1" t="s">
        <v>441</v>
      </c>
      <c r="GR1" t="s">
        <v>442</v>
      </c>
      <c r="GS1" t="s">
        <v>443</v>
      </c>
      <c r="GT1" t="s">
        <v>444</v>
      </c>
      <c r="GU1" t="s">
        <v>445</v>
      </c>
      <c r="GV1" t="s">
        <v>446</v>
      </c>
      <c r="GW1" t="s">
        <v>447</v>
      </c>
      <c r="GX1" t="s">
        <v>448</v>
      </c>
      <c r="GY1" t="s">
        <v>449</v>
      </c>
      <c r="GZ1" t="s">
        <v>450</v>
      </c>
      <c r="HA1" t="s">
        <v>451</v>
      </c>
      <c r="HB1" t="s">
        <v>452</v>
      </c>
      <c r="HC1" t="s">
        <v>453</v>
      </c>
      <c r="HD1" t="s">
        <v>454</v>
      </c>
      <c r="HE1" t="s">
        <v>455</v>
      </c>
      <c r="HF1" t="s">
        <v>456</v>
      </c>
      <c r="HG1" t="s">
        <v>457</v>
      </c>
      <c r="HH1" t="s">
        <v>458</v>
      </c>
      <c r="HI1" t="s">
        <v>459</v>
      </c>
      <c r="HJ1" t="s">
        <v>460</v>
      </c>
      <c r="HK1" t="s">
        <v>461</v>
      </c>
      <c r="HL1" t="s">
        <v>462</v>
      </c>
      <c r="HM1" t="s">
        <v>463</v>
      </c>
      <c r="HN1" t="s">
        <v>464</v>
      </c>
      <c r="HO1" t="s">
        <v>465</v>
      </c>
      <c r="HP1" t="s">
        <v>466</v>
      </c>
      <c r="HQ1" t="s">
        <v>467</v>
      </c>
      <c r="HR1" t="s">
        <v>468</v>
      </c>
      <c r="HS1" t="s">
        <v>469</v>
      </c>
      <c r="HT1" t="s">
        <v>470</v>
      </c>
      <c r="HU1" t="s">
        <v>471</v>
      </c>
      <c r="HV1" t="s">
        <v>472</v>
      </c>
      <c r="HW1" t="s">
        <v>473</v>
      </c>
      <c r="HX1" t="s">
        <v>474</v>
      </c>
      <c r="HY1" t="s">
        <v>475</v>
      </c>
      <c r="HZ1" t="s">
        <v>476</v>
      </c>
      <c r="IA1" t="s">
        <v>477</v>
      </c>
      <c r="IB1" t="s">
        <v>478</v>
      </c>
      <c r="IC1" t="s">
        <v>479</v>
      </c>
      <c r="ID1" t="s">
        <v>480</v>
      </c>
      <c r="IE1" t="s">
        <v>481</v>
      </c>
      <c r="IF1" t="s">
        <v>482</v>
      </c>
      <c r="IG1" t="s">
        <v>483</v>
      </c>
      <c r="IH1" t="s">
        <v>484</v>
      </c>
      <c r="II1" t="s">
        <v>485</v>
      </c>
      <c r="IJ1" t="s">
        <v>486</v>
      </c>
      <c r="IK1" t="s">
        <v>487</v>
      </c>
      <c r="IL1" t="s">
        <v>488</v>
      </c>
      <c r="IM1" t="s">
        <v>489</v>
      </c>
      <c r="IN1" t="s">
        <v>490</v>
      </c>
      <c r="IO1" t="s">
        <v>491</v>
      </c>
      <c r="IP1" t="s">
        <v>492</v>
      </c>
      <c r="IQ1" t="s">
        <v>493</v>
      </c>
      <c r="IR1" t="s">
        <v>494</v>
      </c>
      <c r="IS1" t="s">
        <v>495</v>
      </c>
      <c r="IT1" t="s">
        <v>496</v>
      </c>
      <c r="IU1" t="s">
        <v>497</v>
      </c>
      <c r="IV1" t="s">
        <v>498</v>
      </c>
    </row>
    <row r="2" spans="1:256">
      <c r="A2" t="s">
        <v>499</v>
      </c>
      <c r="B2" t="s">
        <v>500</v>
      </c>
      <c r="C2" t="s">
        <v>501</v>
      </c>
      <c r="D2" t="s">
        <v>502</v>
      </c>
      <c r="E2" t="s">
        <v>503</v>
      </c>
      <c r="F2" t="s">
        <v>504</v>
      </c>
      <c r="G2" t="s">
        <v>505</v>
      </c>
      <c r="H2" t="s">
        <v>506</v>
      </c>
      <c r="I2" t="s">
        <v>507</v>
      </c>
      <c r="J2" t="s">
        <v>508</v>
      </c>
      <c r="K2" t="s">
        <v>509</v>
      </c>
      <c r="L2" t="s">
        <v>510</v>
      </c>
      <c r="M2" t="s">
        <v>511</v>
      </c>
      <c r="N2" t="s">
        <v>512</v>
      </c>
      <c r="O2" t="s">
        <v>513</v>
      </c>
      <c r="P2" t="s">
        <v>514</v>
      </c>
      <c r="Q2" t="s">
        <v>515</v>
      </c>
      <c r="R2" t="s">
        <v>516</v>
      </c>
      <c r="S2" t="s">
        <v>517</v>
      </c>
      <c r="T2" t="s">
        <v>518</v>
      </c>
      <c r="U2" t="s">
        <v>519</v>
      </c>
      <c r="V2" t="s">
        <v>520</v>
      </c>
      <c r="W2" t="s">
        <v>521</v>
      </c>
      <c r="X2" t="s">
        <v>522</v>
      </c>
      <c r="Y2" t="s">
        <v>523</v>
      </c>
      <c r="Z2" t="s">
        <v>524</v>
      </c>
      <c r="AA2" t="s">
        <v>525</v>
      </c>
      <c r="AB2" t="s">
        <v>526</v>
      </c>
      <c r="AC2" t="s">
        <v>527</v>
      </c>
      <c r="AD2" t="s">
        <v>528</v>
      </c>
      <c r="AE2" t="s">
        <v>529</v>
      </c>
      <c r="AF2" t="s">
        <v>530</v>
      </c>
      <c r="AG2" t="s">
        <v>531</v>
      </c>
      <c r="AH2" t="s">
        <v>532</v>
      </c>
      <c r="AI2" t="s">
        <v>533</v>
      </c>
      <c r="AJ2" t="s">
        <v>534</v>
      </c>
      <c r="AK2" t="s">
        <v>535</v>
      </c>
      <c r="AL2" t="s">
        <v>536</v>
      </c>
      <c r="AM2" t="s">
        <v>537</v>
      </c>
      <c r="AN2" t="s">
        <v>538</v>
      </c>
      <c r="AO2" t="s">
        <v>539</v>
      </c>
      <c r="AP2" t="s">
        <v>540</v>
      </c>
      <c r="AQ2" t="s">
        <v>541</v>
      </c>
      <c r="AR2" t="s">
        <v>542</v>
      </c>
      <c r="AS2" t="s">
        <v>543</v>
      </c>
      <c r="AT2" t="s">
        <v>544</v>
      </c>
      <c r="AU2" t="s">
        <v>545</v>
      </c>
      <c r="AV2" t="s">
        <v>546</v>
      </c>
      <c r="AW2" t="s">
        <v>547</v>
      </c>
      <c r="AX2" t="s">
        <v>548</v>
      </c>
      <c r="AY2" t="s">
        <v>549</v>
      </c>
      <c r="AZ2" t="s">
        <v>550</v>
      </c>
      <c r="BA2" t="s">
        <v>551</v>
      </c>
      <c r="BB2" t="s">
        <v>552</v>
      </c>
      <c r="BC2" t="s">
        <v>553</v>
      </c>
      <c r="BD2" t="s">
        <v>554</v>
      </c>
      <c r="BE2" t="s">
        <v>555</v>
      </c>
      <c r="BF2" t="s">
        <v>556</v>
      </c>
      <c r="BG2" t="s">
        <v>557</v>
      </c>
      <c r="BH2" t="s">
        <v>558</v>
      </c>
      <c r="BI2" t="s">
        <v>559</v>
      </c>
      <c r="BJ2" t="s">
        <v>560</v>
      </c>
      <c r="BK2" t="s">
        <v>561</v>
      </c>
      <c r="BL2" t="s">
        <v>562</v>
      </c>
      <c r="BM2" t="s">
        <v>563</v>
      </c>
      <c r="BN2" t="s">
        <v>564</v>
      </c>
      <c r="BO2" t="s">
        <v>565</v>
      </c>
      <c r="BP2" t="s">
        <v>566</v>
      </c>
      <c r="BQ2" t="s">
        <v>567</v>
      </c>
      <c r="BR2" t="s">
        <v>568</v>
      </c>
      <c r="BS2" t="s">
        <v>569</v>
      </c>
      <c r="BT2" t="s">
        <v>570</v>
      </c>
      <c r="BU2" t="s">
        <v>571</v>
      </c>
      <c r="BV2" t="s">
        <v>572</v>
      </c>
      <c r="BW2" t="s">
        <v>573</v>
      </c>
      <c r="BX2" t="s">
        <v>574</v>
      </c>
      <c r="BY2" t="s">
        <v>575</v>
      </c>
      <c r="BZ2" t="s">
        <v>576</v>
      </c>
      <c r="CA2" t="s">
        <v>577</v>
      </c>
      <c r="CB2" t="s">
        <v>578</v>
      </c>
      <c r="CC2" t="s">
        <v>579</v>
      </c>
      <c r="CD2" t="s">
        <v>580</v>
      </c>
      <c r="CE2" t="s">
        <v>581</v>
      </c>
      <c r="CF2" t="s">
        <v>582</v>
      </c>
      <c r="CG2" t="s">
        <v>583</v>
      </c>
      <c r="CH2" t="s">
        <v>584</v>
      </c>
      <c r="CI2" t="s">
        <v>585</v>
      </c>
      <c r="CJ2" t="s">
        <v>586</v>
      </c>
      <c r="CK2" t="s">
        <v>587</v>
      </c>
      <c r="CL2" t="s">
        <v>588</v>
      </c>
      <c r="CM2" t="s">
        <v>589</v>
      </c>
      <c r="CN2" t="s">
        <v>590</v>
      </c>
      <c r="CO2" t="s">
        <v>591</v>
      </c>
      <c r="CP2" t="s">
        <v>592</v>
      </c>
      <c r="CQ2" t="s">
        <v>593</v>
      </c>
      <c r="CR2" t="s">
        <v>594</v>
      </c>
      <c r="CS2" t="s">
        <v>595</v>
      </c>
      <c r="CT2" t="s">
        <v>596</v>
      </c>
      <c r="CU2" t="s">
        <v>597</v>
      </c>
      <c r="CV2" t="s">
        <v>598</v>
      </c>
      <c r="CW2" t="s">
        <v>599</v>
      </c>
      <c r="CX2" t="s">
        <v>600</v>
      </c>
      <c r="CY2" t="s">
        <v>601</v>
      </c>
      <c r="CZ2" t="s">
        <v>602</v>
      </c>
      <c r="DA2" t="s">
        <v>603</v>
      </c>
      <c r="DB2" t="s">
        <v>604</v>
      </c>
      <c r="DC2" t="s">
        <v>605</v>
      </c>
      <c r="DD2" t="s">
        <v>606</v>
      </c>
      <c r="DE2" t="s">
        <v>607</v>
      </c>
      <c r="DF2" t="s">
        <v>608</v>
      </c>
      <c r="DG2" t="s">
        <v>609</v>
      </c>
      <c r="DH2" t="s">
        <v>610</v>
      </c>
      <c r="DI2" t="s">
        <v>611</v>
      </c>
      <c r="DJ2" t="s">
        <v>612</v>
      </c>
      <c r="DK2" t="s">
        <v>613</v>
      </c>
      <c r="DL2" t="s">
        <v>614</v>
      </c>
      <c r="DM2" t="s">
        <v>615</v>
      </c>
      <c r="DN2" t="s">
        <v>616</v>
      </c>
      <c r="DO2" t="s">
        <v>617</v>
      </c>
      <c r="DP2" t="s">
        <v>618</v>
      </c>
      <c r="DQ2" t="s">
        <v>619</v>
      </c>
      <c r="DR2" t="s">
        <v>620</v>
      </c>
      <c r="DS2" t="s">
        <v>621</v>
      </c>
      <c r="DT2" t="s">
        <v>622</v>
      </c>
      <c r="DU2" t="s">
        <v>623</v>
      </c>
      <c r="DV2" t="s">
        <v>624</v>
      </c>
      <c r="DW2" t="s">
        <v>625</v>
      </c>
      <c r="DX2" t="s">
        <v>626</v>
      </c>
      <c r="DY2" t="s">
        <v>627</v>
      </c>
      <c r="DZ2" t="s">
        <v>628</v>
      </c>
      <c r="EA2" t="s">
        <v>629</v>
      </c>
      <c r="EB2" t="s">
        <v>630</v>
      </c>
      <c r="EC2" t="s">
        <v>631</v>
      </c>
      <c r="ED2" t="s">
        <v>632</v>
      </c>
      <c r="EE2" t="s">
        <v>633</v>
      </c>
      <c r="EF2" t="s">
        <v>634</v>
      </c>
      <c r="EG2" t="s">
        <v>635</v>
      </c>
      <c r="EH2" t="s">
        <v>636</v>
      </c>
      <c r="EI2" t="s">
        <v>637</v>
      </c>
      <c r="EJ2" t="s">
        <v>638</v>
      </c>
      <c r="EK2" t="s">
        <v>639</v>
      </c>
      <c r="EL2" t="s">
        <v>640</v>
      </c>
      <c r="EM2" t="s">
        <v>641</v>
      </c>
      <c r="EN2" t="s">
        <v>642</v>
      </c>
      <c r="EO2" t="s">
        <v>643</v>
      </c>
      <c r="EP2" t="s">
        <v>644</v>
      </c>
      <c r="EQ2" t="s">
        <v>645</v>
      </c>
      <c r="ER2" t="s">
        <v>646</v>
      </c>
      <c r="ES2" t="s">
        <v>647</v>
      </c>
      <c r="ET2" t="s">
        <v>648</v>
      </c>
      <c r="EU2" t="s">
        <v>649</v>
      </c>
      <c r="EV2" t="s">
        <v>650</v>
      </c>
      <c r="EW2" t="s">
        <v>651</v>
      </c>
      <c r="EX2" t="s">
        <v>652</v>
      </c>
      <c r="EY2" t="s">
        <v>653</v>
      </c>
      <c r="EZ2" t="s">
        <v>654</v>
      </c>
      <c r="FA2" t="s">
        <v>655</v>
      </c>
      <c r="FB2" t="s">
        <v>656</v>
      </c>
      <c r="FC2" t="s">
        <v>657</v>
      </c>
      <c r="FD2" t="s">
        <v>658</v>
      </c>
      <c r="FE2" t="s">
        <v>659</v>
      </c>
      <c r="FF2" t="s">
        <v>660</v>
      </c>
      <c r="FG2" t="s">
        <v>661</v>
      </c>
      <c r="FH2" t="s">
        <v>662</v>
      </c>
      <c r="FI2" t="s">
        <v>663</v>
      </c>
      <c r="FJ2" t="s">
        <v>664</v>
      </c>
      <c r="FK2" t="s">
        <v>665</v>
      </c>
      <c r="FL2" t="s">
        <v>666</v>
      </c>
      <c r="FM2" t="s">
        <v>667</v>
      </c>
      <c r="FN2" t="s">
        <v>668</v>
      </c>
      <c r="FO2" t="s">
        <v>669</v>
      </c>
      <c r="FP2" t="s">
        <v>670</v>
      </c>
      <c r="FQ2" t="s">
        <v>671</v>
      </c>
      <c r="FR2" t="s">
        <v>672</v>
      </c>
      <c r="FS2" t="s">
        <v>673</v>
      </c>
      <c r="FT2" t="s">
        <v>674</v>
      </c>
      <c r="FU2" t="s">
        <v>675</v>
      </c>
      <c r="FV2" t="s">
        <v>676</v>
      </c>
      <c r="FW2" t="s">
        <v>677</v>
      </c>
      <c r="FX2" t="s">
        <v>678</v>
      </c>
      <c r="FY2" t="s">
        <v>679</v>
      </c>
      <c r="FZ2" t="s">
        <v>680</v>
      </c>
      <c r="GA2" t="s">
        <v>681</v>
      </c>
      <c r="GB2" t="s">
        <v>682</v>
      </c>
      <c r="GC2" t="s">
        <v>683</v>
      </c>
      <c r="GD2" t="s">
        <v>684</v>
      </c>
      <c r="GE2" t="s">
        <v>685</v>
      </c>
      <c r="GF2" t="s">
        <v>686</v>
      </c>
      <c r="GG2" t="s">
        <v>687</v>
      </c>
      <c r="GH2" t="s">
        <v>688</v>
      </c>
      <c r="GI2" t="s">
        <v>689</v>
      </c>
      <c r="GJ2" t="s">
        <v>690</v>
      </c>
      <c r="GK2" t="s">
        <v>691</v>
      </c>
      <c r="GL2" t="s">
        <v>692</v>
      </c>
      <c r="GM2" t="s">
        <v>693</v>
      </c>
      <c r="GN2" t="s">
        <v>694</v>
      </c>
      <c r="GO2" t="s">
        <v>695</v>
      </c>
      <c r="GP2" t="s">
        <v>696</v>
      </c>
      <c r="GQ2" t="s">
        <v>697</v>
      </c>
      <c r="GR2" t="s">
        <v>698</v>
      </c>
      <c r="GS2" t="s">
        <v>699</v>
      </c>
      <c r="GT2" t="s">
        <v>700</v>
      </c>
      <c r="GU2" t="s">
        <v>701</v>
      </c>
      <c r="GV2" t="s">
        <v>702</v>
      </c>
      <c r="GW2" t="s">
        <v>703</v>
      </c>
      <c r="GX2" t="s">
        <v>704</v>
      </c>
      <c r="GY2" t="s">
        <v>705</v>
      </c>
      <c r="GZ2" t="s">
        <v>706</v>
      </c>
      <c r="HA2" t="s">
        <v>707</v>
      </c>
      <c r="HB2" t="s">
        <v>708</v>
      </c>
      <c r="HC2" t="s">
        <v>709</v>
      </c>
      <c r="HD2" t="s">
        <v>710</v>
      </c>
      <c r="HE2" t="s">
        <v>711</v>
      </c>
      <c r="HF2" t="s">
        <v>712</v>
      </c>
      <c r="HG2" t="s">
        <v>713</v>
      </c>
      <c r="HH2" t="s">
        <v>714</v>
      </c>
      <c r="HI2" t="s">
        <v>715</v>
      </c>
      <c r="HJ2" t="s">
        <v>716</v>
      </c>
      <c r="HK2" t="s">
        <v>717</v>
      </c>
      <c r="HL2" t="s">
        <v>718</v>
      </c>
      <c r="HM2" t="s">
        <v>719</v>
      </c>
      <c r="HN2" t="s">
        <v>720</v>
      </c>
      <c r="HO2" t="s">
        <v>721</v>
      </c>
      <c r="HP2" t="s">
        <v>722</v>
      </c>
      <c r="HQ2" t="s">
        <v>723</v>
      </c>
      <c r="HR2" t="s">
        <v>724</v>
      </c>
      <c r="HS2" t="s">
        <v>725</v>
      </c>
      <c r="HT2" t="s">
        <v>726</v>
      </c>
      <c r="HU2" t="s">
        <v>727</v>
      </c>
      <c r="HV2" t="s">
        <v>728</v>
      </c>
      <c r="HW2" t="s">
        <v>729</v>
      </c>
      <c r="HX2" t="s">
        <v>730</v>
      </c>
      <c r="HY2" t="s">
        <v>731</v>
      </c>
      <c r="HZ2" t="s">
        <v>732</v>
      </c>
      <c r="IA2" t="s">
        <v>733</v>
      </c>
      <c r="IB2" t="s">
        <v>734</v>
      </c>
      <c r="IC2" t="s">
        <v>735</v>
      </c>
      <c r="ID2" t="s">
        <v>736</v>
      </c>
      <c r="IE2" t="s">
        <v>737</v>
      </c>
      <c r="IF2" t="s">
        <v>738</v>
      </c>
      <c r="IG2" t="s">
        <v>739</v>
      </c>
      <c r="IH2" t="s">
        <v>740</v>
      </c>
      <c r="II2" t="s">
        <v>741</v>
      </c>
      <c r="IJ2" t="s">
        <v>742</v>
      </c>
      <c r="IK2" t="s">
        <v>743</v>
      </c>
      <c r="IL2" t="s">
        <v>744</v>
      </c>
      <c r="IM2" t="s">
        <v>745</v>
      </c>
      <c r="IN2" t="s">
        <v>746</v>
      </c>
      <c r="IO2" t="s">
        <v>747</v>
      </c>
      <c r="IP2" t="s">
        <v>748</v>
      </c>
      <c r="IQ2" t="s">
        <v>749</v>
      </c>
      <c r="IR2" t="s">
        <v>750</v>
      </c>
      <c r="IS2" t="s">
        <v>751</v>
      </c>
      <c r="IT2" t="s">
        <v>752</v>
      </c>
      <c r="IU2" t="s">
        <v>753</v>
      </c>
      <c r="IV2" t="s">
        <v>754</v>
      </c>
    </row>
    <row r="3" spans="1:256">
      <c r="A3" t="s">
        <v>755</v>
      </c>
      <c r="B3" t="s">
        <v>756</v>
      </c>
      <c r="C3" t="s">
        <v>757</v>
      </c>
      <c r="D3" t="s">
        <v>758</v>
      </c>
      <c r="E3" t="s">
        <v>759</v>
      </c>
      <c r="F3" t="s">
        <v>760</v>
      </c>
      <c r="G3" t="s">
        <v>761</v>
      </c>
      <c r="H3" t="s">
        <v>762</v>
      </c>
      <c r="I3" t="s">
        <v>763</v>
      </c>
      <c r="J3" t="s">
        <v>764</v>
      </c>
      <c r="K3" t="s">
        <v>765</v>
      </c>
      <c r="L3" t="s">
        <v>766</v>
      </c>
      <c r="M3" t="s">
        <v>767</v>
      </c>
      <c r="N3" t="s">
        <v>768</v>
      </c>
      <c r="O3" t="s">
        <v>769</v>
      </c>
      <c r="P3" t="s">
        <v>770</v>
      </c>
      <c r="Q3" t="s">
        <v>771</v>
      </c>
      <c r="R3" t="s">
        <v>772</v>
      </c>
      <c r="S3" t="s">
        <v>773</v>
      </c>
      <c r="T3" t="s">
        <v>774</v>
      </c>
      <c r="U3" t="s">
        <v>775</v>
      </c>
      <c r="V3" t="s">
        <v>776</v>
      </c>
      <c r="W3" t="s">
        <v>777</v>
      </c>
      <c r="X3" t="s">
        <v>778</v>
      </c>
      <c r="Y3" t="s">
        <v>779</v>
      </c>
      <c r="Z3" t="s">
        <v>780</v>
      </c>
      <c r="AA3" t="s">
        <v>781</v>
      </c>
      <c r="AB3" t="s">
        <v>782</v>
      </c>
      <c r="AC3" t="s">
        <v>783</v>
      </c>
      <c r="AD3" t="s">
        <v>784</v>
      </c>
      <c r="AE3" t="s">
        <v>785</v>
      </c>
      <c r="AF3" t="s">
        <v>786</v>
      </c>
      <c r="AG3" t="s">
        <v>787</v>
      </c>
      <c r="AH3" t="s">
        <v>788</v>
      </c>
      <c r="AI3" t="s">
        <v>789</v>
      </c>
      <c r="AJ3" t="s">
        <v>790</v>
      </c>
      <c r="AK3" t="s">
        <v>791</v>
      </c>
      <c r="AL3" t="s">
        <v>792</v>
      </c>
      <c r="AM3" t="s">
        <v>793</v>
      </c>
      <c r="AN3" t="s">
        <v>794</v>
      </c>
      <c r="AO3" t="s">
        <v>795</v>
      </c>
      <c r="AP3" t="s">
        <v>796</v>
      </c>
      <c r="AQ3" t="s">
        <v>797</v>
      </c>
      <c r="AR3" t="s">
        <v>798</v>
      </c>
      <c r="AS3" t="s">
        <v>799</v>
      </c>
      <c r="AT3" t="s">
        <v>800</v>
      </c>
      <c r="AU3" t="s">
        <v>801</v>
      </c>
      <c r="AV3" t="s">
        <v>802</v>
      </c>
      <c r="AW3" t="s">
        <v>803</v>
      </c>
      <c r="AX3" t="s">
        <v>804</v>
      </c>
      <c r="AY3" t="s">
        <v>805</v>
      </c>
      <c r="AZ3" t="s">
        <v>806</v>
      </c>
      <c r="BA3" t="s">
        <v>807</v>
      </c>
      <c r="BB3" t="s">
        <v>808</v>
      </c>
      <c r="BC3" t="s">
        <v>809</v>
      </c>
      <c r="BD3" t="s">
        <v>810</v>
      </c>
      <c r="BE3" t="s">
        <v>811</v>
      </c>
      <c r="BF3" t="s">
        <v>812</v>
      </c>
      <c r="BG3" t="s">
        <v>813</v>
      </c>
      <c r="BH3" t="s">
        <v>814</v>
      </c>
      <c r="BI3" t="s">
        <v>815</v>
      </c>
      <c r="BJ3" t="s">
        <v>816</v>
      </c>
      <c r="BK3" t="s">
        <v>817</v>
      </c>
      <c r="BL3" t="s">
        <v>818</v>
      </c>
      <c r="BM3" t="s">
        <v>819</v>
      </c>
      <c r="BN3" t="s">
        <v>820</v>
      </c>
      <c r="BO3" t="s">
        <v>821</v>
      </c>
      <c r="BP3" t="s">
        <v>822</v>
      </c>
      <c r="BQ3" t="s">
        <v>823</v>
      </c>
      <c r="BR3" t="s">
        <v>824</v>
      </c>
      <c r="BS3" t="s">
        <v>825</v>
      </c>
      <c r="BT3" t="s">
        <v>826</v>
      </c>
      <c r="BU3" t="s">
        <v>827</v>
      </c>
      <c r="BV3" t="s">
        <v>828</v>
      </c>
      <c r="BW3" t="s">
        <v>829</v>
      </c>
      <c r="BX3" t="s">
        <v>830</v>
      </c>
      <c r="BY3" t="s">
        <v>831</v>
      </c>
      <c r="BZ3" t="s">
        <v>832</v>
      </c>
      <c r="CA3" t="s">
        <v>833</v>
      </c>
      <c r="CB3" t="s">
        <v>834</v>
      </c>
      <c r="CC3" t="s">
        <v>835</v>
      </c>
      <c r="CD3" t="s">
        <v>836</v>
      </c>
      <c r="CE3" t="s">
        <v>837</v>
      </c>
      <c r="CF3" t="s">
        <v>838</v>
      </c>
      <c r="CG3" t="s">
        <v>839</v>
      </c>
      <c r="CH3" t="s">
        <v>840</v>
      </c>
      <c r="CI3" t="s">
        <v>841</v>
      </c>
      <c r="CJ3" t="s">
        <v>842</v>
      </c>
      <c r="CK3" t="s">
        <v>843</v>
      </c>
      <c r="CL3" t="s">
        <v>844</v>
      </c>
      <c r="CM3" t="s">
        <v>845</v>
      </c>
      <c r="CN3" t="s">
        <v>846</v>
      </c>
      <c r="CO3" t="s">
        <v>847</v>
      </c>
      <c r="CP3" t="s">
        <v>848</v>
      </c>
      <c r="CQ3" t="s">
        <v>849</v>
      </c>
      <c r="CR3" t="s">
        <v>850</v>
      </c>
      <c r="CS3" t="s">
        <v>851</v>
      </c>
      <c r="CT3" t="s">
        <v>852</v>
      </c>
      <c r="CU3" t="s">
        <v>853</v>
      </c>
      <c r="CV3" t="s">
        <v>854</v>
      </c>
      <c r="CW3" t="s">
        <v>855</v>
      </c>
      <c r="CX3" t="s">
        <v>856</v>
      </c>
      <c r="CY3" t="s">
        <v>857</v>
      </c>
      <c r="CZ3" t="s">
        <v>858</v>
      </c>
      <c r="DA3" t="s">
        <v>859</v>
      </c>
      <c r="DB3" t="s">
        <v>860</v>
      </c>
      <c r="DC3" t="s">
        <v>861</v>
      </c>
      <c r="DD3" t="s">
        <v>862</v>
      </c>
      <c r="DE3" t="s">
        <v>863</v>
      </c>
      <c r="DF3" t="s">
        <v>864</v>
      </c>
      <c r="DG3" t="s">
        <v>865</v>
      </c>
      <c r="DH3" t="s">
        <v>866</v>
      </c>
      <c r="DI3" t="s">
        <v>867</v>
      </c>
      <c r="DJ3" t="s">
        <v>868</v>
      </c>
      <c r="DK3" t="s">
        <v>869</v>
      </c>
      <c r="DL3" t="s">
        <v>870</v>
      </c>
      <c r="DM3" t="s">
        <v>871</v>
      </c>
      <c r="DN3" t="s">
        <v>872</v>
      </c>
      <c r="DO3" t="s">
        <v>873</v>
      </c>
      <c r="DP3" t="s">
        <v>874</v>
      </c>
      <c r="DQ3" t="s">
        <v>875</v>
      </c>
      <c r="DR3" t="s">
        <v>876</v>
      </c>
      <c r="DS3" t="s">
        <v>877</v>
      </c>
      <c r="DT3" t="s">
        <v>878</v>
      </c>
      <c r="DU3" t="s">
        <v>879</v>
      </c>
      <c r="DV3" t="s">
        <v>880</v>
      </c>
      <c r="DW3" t="s">
        <v>881</v>
      </c>
      <c r="DX3" t="s">
        <v>882</v>
      </c>
      <c r="DY3" t="s">
        <v>883</v>
      </c>
      <c r="DZ3" t="s">
        <v>884</v>
      </c>
      <c r="EA3" t="s">
        <v>885</v>
      </c>
      <c r="EB3" t="s">
        <v>886</v>
      </c>
      <c r="EC3" t="s">
        <v>887</v>
      </c>
      <c r="ED3" t="s">
        <v>888</v>
      </c>
      <c r="EE3" t="s">
        <v>889</v>
      </c>
      <c r="EF3" t="s">
        <v>890</v>
      </c>
      <c r="EG3" t="s">
        <v>891</v>
      </c>
      <c r="EH3" t="s">
        <v>892</v>
      </c>
      <c r="EI3" t="s">
        <v>893</v>
      </c>
      <c r="EJ3" t="s">
        <v>894</v>
      </c>
      <c r="EK3" t="s">
        <v>895</v>
      </c>
      <c r="EL3" t="s">
        <v>896</v>
      </c>
      <c r="EM3" t="s">
        <v>897</v>
      </c>
      <c r="EN3" t="s">
        <v>898</v>
      </c>
      <c r="EO3" t="s">
        <v>899</v>
      </c>
      <c r="EP3" t="s">
        <v>900</v>
      </c>
      <c r="EQ3" t="s">
        <v>901</v>
      </c>
      <c r="ER3" t="s">
        <v>902</v>
      </c>
      <c r="ES3" t="s">
        <v>903</v>
      </c>
      <c r="ET3" t="s">
        <v>904</v>
      </c>
      <c r="EU3" t="s">
        <v>905</v>
      </c>
      <c r="EV3" t="s">
        <v>906</v>
      </c>
      <c r="EW3" t="s">
        <v>907</v>
      </c>
      <c r="EX3" t="s">
        <v>908</v>
      </c>
      <c r="EY3" t="s">
        <v>909</v>
      </c>
      <c r="EZ3" t="s">
        <v>910</v>
      </c>
      <c r="FA3" t="s">
        <v>911</v>
      </c>
      <c r="FB3" t="s">
        <v>912</v>
      </c>
      <c r="FC3" t="s">
        <v>913</v>
      </c>
      <c r="FD3" t="s">
        <v>914</v>
      </c>
      <c r="FE3" t="s">
        <v>915</v>
      </c>
      <c r="FF3" t="s">
        <v>916</v>
      </c>
      <c r="FG3" t="s">
        <v>917</v>
      </c>
      <c r="FH3" t="s">
        <v>918</v>
      </c>
      <c r="FI3" t="s">
        <v>919</v>
      </c>
      <c r="FJ3" t="s">
        <v>920</v>
      </c>
      <c r="FK3" t="s">
        <v>921</v>
      </c>
      <c r="FL3" t="s">
        <v>922</v>
      </c>
      <c r="FM3" t="s">
        <v>923</v>
      </c>
      <c r="FN3" t="s">
        <v>924</v>
      </c>
      <c r="FO3" t="s">
        <v>925</v>
      </c>
      <c r="FP3" t="s">
        <v>926</v>
      </c>
      <c r="FQ3" t="s">
        <v>927</v>
      </c>
      <c r="FR3" t="s">
        <v>928</v>
      </c>
      <c r="FS3" t="s">
        <v>929</v>
      </c>
      <c r="FT3" t="s">
        <v>930</v>
      </c>
      <c r="FU3" t="s">
        <v>931</v>
      </c>
      <c r="FV3" t="s">
        <v>932</v>
      </c>
      <c r="FW3" t="s">
        <v>933</v>
      </c>
      <c r="FX3" t="s">
        <v>934</v>
      </c>
      <c r="FY3" t="s">
        <v>935</v>
      </c>
      <c r="FZ3" t="s">
        <v>936</v>
      </c>
      <c r="GA3" t="s">
        <v>937</v>
      </c>
      <c r="GB3" t="s">
        <v>938</v>
      </c>
      <c r="GC3" t="s">
        <v>939</v>
      </c>
      <c r="GD3" t="s">
        <v>940</v>
      </c>
      <c r="GE3" t="s">
        <v>941</v>
      </c>
      <c r="GF3" t="s">
        <v>942</v>
      </c>
      <c r="GG3" t="s">
        <v>943</v>
      </c>
      <c r="GH3" t="s">
        <v>944</v>
      </c>
      <c r="GI3" t="s">
        <v>945</v>
      </c>
      <c r="GJ3" t="s">
        <v>946</v>
      </c>
      <c r="GK3" t="s">
        <v>947</v>
      </c>
      <c r="GL3" t="s">
        <v>948</v>
      </c>
      <c r="GM3" t="s">
        <v>949</v>
      </c>
      <c r="GN3" t="s">
        <v>950</v>
      </c>
      <c r="GO3" t="s">
        <v>951</v>
      </c>
      <c r="GP3" t="s">
        <v>952</v>
      </c>
      <c r="GQ3" t="s">
        <v>953</v>
      </c>
      <c r="GR3" t="s">
        <v>954</v>
      </c>
      <c r="GS3" t="s">
        <v>955</v>
      </c>
      <c r="GT3" t="s">
        <v>956</v>
      </c>
      <c r="GU3" t="s">
        <v>957</v>
      </c>
      <c r="GV3" t="s">
        <v>958</v>
      </c>
      <c r="GW3" t="s">
        <v>959</v>
      </c>
      <c r="GX3" t="s">
        <v>960</v>
      </c>
      <c r="GY3" t="s">
        <v>961</v>
      </c>
      <c r="GZ3" t="s">
        <v>962</v>
      </c>
      <c r="HA3" t="s">
        <v>963</v>
      </c>
      <c r="HB3" t="s">
        <v>964</v>
      </c>
      <c r="HC3" t="s">
        <v>965</v>
      </c>
      <c r="HD3" t="s">
        <v>966</v>
      </c>
      <c r="HE3" t="s">
        <v>967</v>
      </c>
      <c r="HF3" t="s">
        <v>968</v>
      </c>
      <c r="HG3" t="s">
        <v>969</v>
      </c>
      <c r="HH3" t="s">
        <v>970</v>
      </c>
      <c r="HI3" t="s">
        <v>971</v>
      </c>
      <c r="HJ3" t="s">
        <v>972</v>
      </c>
      <c r="HK3" t="s">
        <v>973</v>
      </c>
      <c r="HL3" t="s">
        <v>974</v>
      </c>
      <c r="HM3" t="s">
        <v>975</v>
      </c>
      <c r="HN3" t="s">
        <v>976</v>
      </c>
      <c r="HO3" t="s">
        <v>977</v>
      </c>
      <c r="HP3" t="s">
        <v>978</v>
      </c>
      <c r="HQ3" t="s">
        <v>979</v>
      </c>
      <c r="HR3" t="s">
        <v>980</v>
      </c>
      <c r="HS3" t="s">
        <v>981</v>
      </c>
      <c r="HT3" t="s">
        <v>982</v>
      </c>
      <c r="HU3" t="s">
        <v>983</v>
      </c>
      <c r="HV3" t="s">
        <v>984</v>
      </c>
      <c r="HW3" t="s">
        <v>985</v>
      </c>
      <c r="HX3" t="s">
        <v>986</v>
      </c>
      <c r="HY3" t="s">
        <v>987</v>
      </c>
      <c r="HZ3" t="s">
        <v>988</v>
      </c>
      <c r="IA3" t="s">
        <v>989</v>
      </c>
      <c r="IB3" t="s">
        <v>990</v>
      </c>
      <c r="IC3" t="s">
        <v>991</v>
      </c>
      <c r="ID3" t="s">
        <v>992</v>
      </c>
      <c r="IE3" t="s">
        <v>993</v>
      </c>
      <c r="IF3" t="s">
        <v>994</v>
      </c>
      <c r="IG3" t="s">
        <v>995</v>
      </c>
      <c r="IH3" t="s">
        <v>996</v>
      </c>
      <c r="II3" t="s">
        <v>997</v>
      </c>
      <c r="IJ3" t="s">
        <v>998</v>
      </c>
      <c r="IK3" t="s">
        <v>999</v>
      </c>
      <c r="IL3" t="s">
        <v>1000</v>
      </c>
      <c r="IM3" t="s">
        <v>1001</v>
      </c>
      <c r="IN3" t="s">
        <v>1002</v>
      </c>
      <c r="IO3" t="s">
        <v>1003</v>
      </c>
      <c r="IP3" t="s">
        <v>1004</v>
      </c>
      <c r="IQ3" t="s">
        <v>1005</v>
      </c>
      <c r="IR3" t="s">
        <v>1006</v>
      </c>
      <c r="IS3" t="s">
        <v>1007</v>
      </c>
      <c r="IT3" t="s">
        <v>1008</v>
      </c>
      <c r="IU3" t="s">
        <v>1009</v>
      </c>
      <c r="IV3" t="s">
        <v>1010</v>
      </c>
    </row>
    <row r="4" spans="1:256">
      <c r="A4" t="s">
        <v>1011</v>
      </c>
      <c r="B4" t="s">
        <v>1012</v>
      </c>
      <c r="C4" t="s">
        <v>1013</v>
      </c>
      <c r="D4" t="s">
        <v>1014</v>
      </c>
      <c r="E4" t="s">
        <v>1015</v>
      </c>
      <c r="F4" t="s">
        <v>1016</v>
      </c>
      <c r="G4" t="s">
        <v>1017</v>
      </c>
      <c r="H4" t="s">
        <v>1018</v>
      </c>
      <c r="I4" t="s">
        <v>1019</v>
      </c>
      <c r="J4" t="s">
        <v>1020</v>
      </c>
      <c r="K4" t="s">
        <v>1021</v>
      </c>
      <c r="L4" t="s">
        <v>1022</v>
      </c>
      <c r="M4" t="s">
        <v>1023</v>
      </c>
      <c r="N4" t="s">
        <v>1024</v>
      </c>
      <c r="O4" t="s">
        <v>1025</v>
      </c>
      <c r="P4" t="s">
        <v>1026</v>
      </c>
      <c r="Q4" t="s">
        <v>1027</v>
      </c>
      <c r="R4" t="s">
        <v>1028</v>
      </c>
      <c r="S4" t="s">
        <v>1029</v>
      </c>
      <c r="T4" t="s">
        <v>1030</v>
      </c>
      <c r="U4" t="s">
        <v>1031</v>
      </c>
      <c r="V4" t="s">
        <v>1032</v>
      </c>
      <c r="W4" t="s">
        <v>1033</v>
      </c>
      <c r="X4" t="s">
        <v>1034</v>
      </c>
      <c r="Y4" t="s">
        <v>1035</v>
      </c>
      <c r="Z4" t="s">
        <v>1036</v>
      </c>
      <c r="AA4" t="s">
        <v>1037</v>
      </c>
      <c r="AB4" t="s">
        <v>1038</v>
      </c>
      <c r="AC4" t="s">
        <v>1039</v>
      </c>
      <c r="AD4" t="s">
        <v>1040</v>
      </c>
      <c r="AE4" t="s">
        <v>1041</v>
      </c>
      <c r="AF4" t="s">
        <v>1042</v>
      </c>
      <c r="AG4" t="s">
        <v>1043</v>
      </c>
      <c r="AH4" t="s">
        <v>1044</v>
      </c>
      <c r="AI4" t="s">
        <v>1045</v>
      </c>
      <c r="AJ4" t="s">
        <v>1046</v>
      </c>
      <c r="AK4" t="s">
        <v>1047</v>
      </c>
      <c r="AL4" t="s">
        <v>1048</v>
      </c>
      <c r="AM4" t="s">
        <v>1049</v>
      </c>
      <c r="AN4" t="s">
        <v>1050</v>
      </c>
      <c r="AO4" t="s">
        <v>1051</v>
      </c>
      <c r="AP4" t="s">
        <v>1052</v>
      </c>
      <c r="AQ4" t="s">
        <v>1053</v>
      </c>
      <c r="AR4" t="s">
        <v>1054</v>
      </c>
      <c r="AS4" t="s">
        <v>1055</v>
      </c>
      <c r="AT4" t="s">
        <v>1056</v>
      </c>
      <c r="AU4" t="s">
        <v>1057</v>
      </c>
      <c r="AV4" t="s">
        <v>1058</v>
      </c>
      <c r="AW4" t="s">
        <v>1059</v>
      </c>
      <c r="AX4" t="s">
        <v>1060</v>
      </c>
      <c r="AY4" t="s">
        <v>1061</v>
      </c>
      <c r="AZ4" t="s">
        <v>1062</v>
      </c>
      <c r="BA4" t="s">
        <v>1063</v>
      </c>
      <c r="BB4" t="s">
        <v>1064</v>
      </c>
      <c r="BC4" t="s">
        <v>1065</v>
      </c>
      <c r="BD4" t="s">
        <v>1066</v>
      </c>
      <c r="BE4" t="s">
        <v>1067</v>
      </c>
      <c r="BF4" t="s">
        <v>1068</v>
      </c>
      <c r="BG4" t="s">
        <v>1069</v>
      </c>
      <c r="BH4" t="s">
        <v>1070</v>
      </c>
      <c r="BI4" t="s">
        <v>1071</v>
      </c>
      <c r="BJ4" t="s">
        <v>1072</v>
      </c>
      <c r="BK4" t="s">
        <v>1073</v>
      </c>
      <c r="BL4" t="s">
        <v>1074</v>
      </c>
      <c r="BM4" t="s">
        <v>1075</v>
      </c>
      <c r="BN4" t="s">
        <v>1076</v>
      </c>
      <c r="BO4" t="s">
        <v>1077</v>
      </c>
      <c r="BP4" t="s">
        <v>1078</v>
      </c>
      <c r="BQ4" t="s">
        <v>1079</v>
      </c>
      <c r="BR4" t="s">
        <v>1080</v>
      </c>
      <c r="BS4" t="s">
        <v>1081</v>
      </c>
      <c r="BT4" t="s">
        <v>1082</v>
      </c>
      <c r="BU4" t="s">
        <v>1083</v>
      </c>
      <c r="BV4" t="s">
        <v>1084</v>
      </c>
      <c r="BW4" t="s">
        <v>1085</v>
      </c>
      <c r="BX4" t="s">
        <v>1086</v>
      </c>
      <c r="BY4" t="s">
        <v>1087</v>
      </c>
      <c r="BZ4" t="s">
        <v>1088</v>
      </c>
      <c r="CA4" t="s">
        <v>1089</v>
      </c>
      <c r="CB4" t="s">
        <v>1090</v>
      </c>
      <c r="CC4" t="s">
        <v>1091</v>
      </c>
      <c r="CD4" t="s">
        <v>1092</v>
      </c>
      <c r="CE4" t="s">
        <v>1093</v>
      </c>
      <c r="CF4" t="s">
        <v>1094</v>
      </c>
      <c r="CG4" t="s">
        <v>1095</v>
      </c>
      <c r="CH4" t="s">
        <v>1096</v>
      </c>
      <c r="CI4" t="s">
        <v>1097</v>
      </c>
      <c r="CJ4" t="s">
        <v>1098</v>
      </c>
      <c r="CK4" t="s">
        <v>1099</v>
      </c>
      <c r="CL4" t="s">
        <v>1100</v>
      </c>
      <c r="CM4" t="s">
        <v>1101</v>
      </c>
      <c r="CN4" t="s">
        <v>1102</v>
      </c>
      <c r="CO4" t="s">
        <v>1103</v>
      </c>
      <c r="CP4" t="s">
        <v>1104</v>
      </c>
      <c r="CQ4" t="s">
        <v>1105</v>
      </c>
      <c r="CR4" t="s">
        <v>1106</v>
      </c>
      <c r="CS4" t="s">
        <v>1107</v>
      </c>
      <c r="CT4" t="s">
        <v>1108</v>
      </c>
      <c r="CU4" t="s">
        <v>1109</v>
      </c>
      <c r="CV4" t="s">
        <v>1110</v>
      </c>
      <c r="CW4" t="s">
        <v>1111</v>
      </c>
      <c r="CX4" t="s">
        <v>1112</v>
      </c>
      <c r="CY4" t="s">
        <v>1113</v>
      </c>
      <c r="CZ4" t="s">
        <v>1114</v>
      </c>
      <c r="DA4" t="s">
        <v>1115</v>
      </c>
      <c r="DB4" t="s">
        <v>1116</v>
      </c>
      <c r="DC4" t="s">
        <v>1117</v>
      </c>
      <c r="DD4" t="s">
        <v>1118</v>
      </c>
      <c r="DE4" t="s">
        <v>1119</v>
      </c>
      <c r="DF4" t="s">
        <v>1120</v>
      </c>
      <c r="DG4" t="s">
        <v>1121</v>
      </c>
      <c r="DH4" t="s">
        <v>1122</v>
      </c>
      <c r="DI4" t="s">
        <v>1123</v>
      </c>
      <c r="DJ4" t="s">
        <v>1124</v>
      </c>
      <c r="DK4" t="s">
        <v>1125</v>
      </c>
      <c r="DL4" t="s">
        <v>1126</v>
      </c>
      <c r="DM4" t="s">
        <v>1127</v>
      </c>
      <c r="DN4" t="s">
        <v>1128</v>
      </c>
      <c r="DO4" t="s">
        <v>1129</v>
      </c>
      <c r="DP4" t="s">
        <v>1130</v>
      </c>
      <c r="DQ4" t="s">
        <v>1131</v>
      </c>
      <c r="DR4" t="s">
        <v>1132</v>
      </c>
      <c r="DS4" t="s">
        <v>1133</v>
      </c>
      <c r="DT4" t="s">
        <v>1134</v>
      </c>
      <c r="DU4" t="s">
        <v>1135</v>
      </c>
      <c r="DV4" t="s">
        <v>1136</v>
      </c>
      <c r="DW4" t="s">
        <v>1137</v>
      </c>
      <c r="DX4" t="s">
        <v>1138</v>
      </c>
      <c r="DY4" t="s">
        <v>1139</v>
      </c>
      <c r="DZ4" t="s">
        <v>1140</v>
      </c>
      <c r="EA4" t="s">
        <v>1141</v>
      </c>
      <c r="EB4" t="s">
        <v>1142</v>
      </c>
      <c r="EC4" t="s">
        <v>1143</v>
      </c>
      <c r="ED4" t="s">
        <v>1144</v>
      </c>
      <c r="EE4" t="s">
        <v>1145</v>
      </c>
      <c r="EF4" t="s">
        <v>1146</v>
      </c>
      <c r="EG4" t="s">
        <v>1147</v>
      </c>
      <c r="EH4" t="s">
        <v>1148</v>
      </c>
      <c r="EI4" t="s">
        <v>1149</v>
      </c>
      <c r="EJ4" t="s">
        <v>1150</v>
      </c>
      <c r="EK4" t="s">
        <v>1151</v>
      </c>
      <c r="EL4" t="s">
        <v>1152</v>
      </c>
      <c r="EM4" t="s">
        <v>1153</v>
      </c>
      <c r="EN4" t="s">
        <v>1154</v>
      </c>
      <c r="EO4" t="s">
        <v>1155</v>
      </c>
      <c r="EP4" t="s">
        <v>1156</v>
      </c>
      <c r="EQ4" t="s">
        <v>1157</v>
      </c>
      <c r="ER4" t="s">
        <v>1158</v>
      </c>
      <c r="ES4" t="s">
        <v>1159</v>
      </c>
      <c r="ET4" t="s">
        <v>1160</v>
      </c>
      <c r="EU4" t="s">
        <v>1161</v>
      </c>
      <c r="EV4" t="s">
        <v>1162</v>
      </c>
      <c r="EW4" t="s">
        <v>1163</v>
      </c>
      <c r="EX4" t="s">
        <v>1164</v>
      </c>
      <c r="EY4" t="s">
        <v>1165</v>
      </c>
      <c r="EZ4" t="s">
        <v>1166</v>
      </c>
      <c r="FA4" t="s">
        <v>1167</v>
      </c>
      <c r="FB4" t="s">
        <v>1168</v>
      </c>
      <c r="FC4" t="s">
        <v>1169</v>
      </c>
      <c r="FD4" t="s">
        <v>1170</v>
      </c>
      <c r="FE4" t="s">
        <v>1171</v>
      </c>
      <c r="FF4" t="s">
        <v>1172</v>
      </c>
      <c r="FG4" t="s">
        <v>1173</v>
      </c>
      <c r="FH4" t="s">
        <v>1174</v>
      </c>
      <c r="FI4" t="s">
        <v>1175</v>
      </c>
      <c r="FJ4" t="s">
        <v>1176</v>
      </c>
      <c r="FK4" t="s">
        <v>1177</v>
      </c>
      <c r="FL4" t="s">
        <v>1178</v>
      </c>
      <c r="FM4" t="s">
        <v>1179</v>
      </c>
      <c r="FN4" t="s">
        <v>1180</v>
      </c>
      <c r="FO4" t="s">
        <v>1181</v>
      </c>
      <c r="FP4" t="s">
        <v>1182</v>
      </c>
      <c r="FQ4" t="s">
        <v>1183</v>
      </c>
      <c r="FR4" t="s">
        <v>1184</v>
      </c>
      <c r="FS4" t="s">
        <v>1185</v>
      </c>
      <c r="FT4" t="s">
        <v>1186</v>
      </c>
      <c r="FU4" t="s">
        <v>1187</v>
      </c>
      <c r="FV4" t="s">
        <v>1188</v>
      </c>
      <c r="FW4" t="s">
        <v>1189</v>
      </c>
      <c r="FX4" t="s">
        <v>1190</v>
      </c>
      <c r="FY4" t="s">
        <v>1191</v>
      </c>
      <c r="FZ4" t="s">
        <v>1192</v>
      </c>
      <c r="GA4" t="s">
        <v>1193</v>
      </c>
      <c r="GB4" t="s">
        <v>1194</v>
      </c>
      <c r="GC4" t="s">
        <v>1195</v>
      </c>
      <c r="GD4" t="s">
        <v>1196</v>
      </c>
      <c r="GE4" t="s">
        <v>1197</v>
      </c>
      <c r="GF4" t="s">
        <v>1198</v>
      </c>
      <c r="GG4" t="s">
        <v>1199</v>
      </c>
      <c r="GH4" t="s">
        <v>1200</v>
      </c>
      <c r="GI4" t="s">
        <v>1201</v>
      </c>
      <c r="GJ4" t="s">
        <v>1202</v>
      </c>
      <c r="GK4" t="s">
        <v>1203</v>
      </c>
      <c r="GL4" t="s">
        <v>1204</v>
      </c>
      <c r="GM4" t="s">
        <v>1205</v>
      </c>
      <c r="GN4" t="s">
        <v>1206</v>
      </c>
      <c r="GO4" t="s">
        <v>1207</v>
      </c>
      <c r="GP4" t="s">
        <v>1208</v>
      </c>
      <c r="GQ4" t="s">
        <v>1209</v>
      </c>
      <c r="GR4" t="s">
        <v>1210</v>
      </c>
      <c r="GS4" t="s">
        <v>1211</v>
      </c>
      <c r="GT4" t="s">
        <v>1212</v>
      </c>
      <c r="GU4" t="s">
        <v>1213</v>
      </c>
      <c r="GV4" t="s">
        <v>1214</v>
      </c>
      <c r="GW4" t="s">
        <v>1215</v>
      </c>
      <c r="GX4" t="s">
        <v>1216</v>
      </c>
      <c r="GY4" t="s">
        <v>1217</v>
      </c>
      <c r="GZ4" t="s">
        <v>1218</v>
      </c>
      <c r="HA4" t="s">
        <v>1219</v>
      </c>
      <c r="HB4" t="s">
        <v>1220</v>
      </c>
      <c r="HC4" t="s">
        <v>1221</v>
      </c>
      <c r="HD4" t="s">
        <v>1222</v>
      </c>
      <c r="HE4" t="s">
        <v>1223</v>
      </c>
      <c r="HF4" t="s">
        <v>1224</v>
      </c>
      <c r="HG4" t="s">
        <v>1225</v>
      </c>
      <c r="HH4" t="s">
        <v>1226</v>
      </c>
      <c r="HI4" t="s">
        <v>1227</v>
      </c>
      <c r="HJ4" t="s">
        <v>1228</v>
      </c>
      <c r="HK4" t="s">
        <v>1229</v>
      </c>
      <c r="HL4" t="s">
        <v>1230</v>
      </c>
      <c r="HM4" t="s">
        <v>1231</v>
      </c>
      <c r="HN4" t="s">
        <v>1232</v>
      </c>
      <c r="HO4" t="s">
        <v>1233</v>
      </c>
      <c r="HP4" t="s">
        <v>1234</v>
      </c>
      <c r="HQ4" t="s">
        <v>1235</v>
      </c>
      <c r="HR4" t="s">
        <v>1236</v>
      </c>
      <c r="HS4" t="s">
        <v>1237</v>
      </c>
      <c r="HT4" t="s">
        <v>1238</v>
      </c>
      <c r="HU4" t="s">
        <v>1239</v>
      </c>
      <c r="HV4" t="s">
        <v>1240</v>
      </c>
      <c r="HW4" t="s">
        <v>1241</v>
      </c>
      <c r="HX4" t="s">
        <v>1242</v>
      </c>
      <c r="HY4" t="s">
        <v>1243</v>
      </c>
      <c r="HZ4" t="s">
        <v>1244</v>
      </c>
      <c r="IA4" t="s">
        <v>1245</v>
      </c>
      <c r="IB4" t="s">
        <v>1246</v>
      </c>
      <c r="IC4" t="s">
        <v>1247</v>
      </c>
      <c r="ID4" t="s">
        <v>1248</v>
      </c>
      <c r="IE4" t="s">
        <v>1249</v>
      </c>
      <c r="IF4" t="s">
        <v>1250</v>
      </c>
      <c r="IG4" t="s">
        <v>1251</v>
      </c>
      <c r="IH4" t="s">
        <v>1252</v>
      </c>
      <c r="II4" t="s">
        <v>1253</v>
      </c>
      <c r="IJ4" t="s">
        <v>1254</v>
      </c>
      <c r="IK4" t="s">
        <v>1255</v>
      </c>
      <c r="IL4" t="s">
        <v>1256</v>
      </c>
      <c r="IM4" t="s">
        <v>1257</v>
      </c>
      <c r="IN4" t="s">
        <v>1258</v>
      </c>
      <c r="IO4" t="s">
        <v>1259</v>
      </c>
      <c r="IP4" t="s">
        <v>1260</v>
      </c>
      <c r="IQ4" t="s">
        <v>1261</v>
      </c>
      <c r="IR4" t="s">
        <v>1262</v>
      </c>
      <c r="IS4" t="s">
        <v>1263</v>
      </c>
      <c r="IT4" t="s">
        <v>1264</v>
      </c>
      <c r="IU4" t="s">
        <v>1265</v>
      </c>
      <c r="IV4" t="s">
        <v>1266</v>
      </c>
    </row>
    <row r="5" spans="1:256">
      <c r="A5" t="s">
        <v>1267</v>
      </c>
      <c r="B5" t="s">
        <v>1268</v>
      </c>
      <c r="C5" t="s">
        <v>1269</v>
      </c>
      <c r="D5" t="s">
        <v>1270</v>
      </c>
      <c r="E5" t="s">
        <v>1271</v>
      </c>
      <c r="F5" t="s">
        <v>1272</v>
      </c>
      <c r="G5" t="s">
        <v>1273</v>
      </c>
      <c r="H5" t="s">
        <v>1274</v>
      </c>
      <c r="I5" t="s">
        <v>1275</v>
      </c>
      <c r="J5" t="s">
        <v>1276</v>
      </c>
      <c r="K5" t="s">
        <v>1277</v>
      </c>
      <c r="L5" t="s">
        <v>1278</v>
      </c>
      <c r="M5" t="s">
        <v>1279</v>
      </c>
      <c r="N5" t="s">
        <v>1280</v>
      </c>
      <c r="O5" t="s">
        <v>1281</v>
      </c>
      <c r="P5" t="s">
        <v>1282</v>
      </c>
      <c r="Q5" t="s">
        <v>1283</v>
      </c>
      <c r="R5" t="s">
        <v>1284</v>
      </c>
      <c r="S5" t="s">
        <v>1285</v>
      </c>
      <c r="T5" t="s">
        <v>1286</v>
      </c>
      <c r="U5" t="s">
        <v>1287</v>
      </c>
      <c r="V5" t="s">
        <v>1288</v>
      </c>
      <c r="W5" t="s">
        <v>1289</v>
      </c>
      <c r="X5" t="s">
        <v>1290</v>
      </c>
      <c r="Y5" t="s">
        <v>1291</v>
      </c>
      <c r="Z5" t="s">
        <v>1292</v>
      </c>
      <c r="AA5" t="s">
        <v>1293</v>
      </c>
      <c r="AB5" t="s">
        <v>1294</v>
      </c>
      <c r="AC5" t="s">
        <v>1295</v>
      </c>
      <c r="AD5" t="s">
        <v>1296</v>
      </c>
      <c r="AE5" t="s">
        <v>1297</v>
      </c>
      <c r="AF5" t="s">
        <v>1298</v>
      </c>
      <c r="AG5" t="s">
        <v>1299</v>
      </c>
      <c r="AH5" t="s">
        <v>1300</v>
      </c>
      <c r="AI5" t="s">
        <v>1301</v>
      </c>
      <c r="AJ5" t="s">
        <v>1302</v>
      </c>
      <c r="AK5" t="s">
        <v>1303</v>
      </c>
      <c r="AL5" t="s">
        <v>1304</v>
      </c>
      <c r="AM5" t="s">
        <v>1305</v>
      </c>
      <c r="AN5" t="s">
        <v>1306</v>
      </c>
      <c r="AO5" t="s">
        <v>1307</v>
      </c>
      <c r="AP5" t="s">
        <v>1308</v>
      </c>
      <c r="AQ5" t="s">
        <v>1309</v>
      </c>
      <c r="AR5" t="s">
        <v>1310</v>
      </c>
      <c r="AS5" t="s">
        <v>1311</v>
      </c>
      <c r="AT5" t="s">
        <v>1312</v>
      </c>
      <c r="AU5" t="s">
        <v>1313</v>
      </c>
      <c r="AV5" t="s">
        <v>1314</v>
      </c>
      <c r="AW5" t="s">
        <v>1315</v>
      </c>
      <c r="AX5" t="s">
        <v>1316</v>
      </c>
      <c r="AY5" t="s">
        <v>1317</v>
      </c>
      <c r="AZ5" t="s">
        <v>1318</v>
      </c>
      <c r="BA5" t="s">
        <v>1319</v>
      </c>
      <c r="BB5" t="s">
        <v>1320</v>
      </c>
      <c r="BC5" t="s">
        <v>1321</v>
      </c>
      <c r="BD5" t="s">
        <v>1322</v>
      </c>
      <c r="BE5" t="s">
        <v>1323</v>
      </c>
      <c r="BF5" t="s">
        <v>1324</v>
      </c>
      <c r="BG5" t="s">
        <v>1325</v>
      </c>
      <c r="BH5" t="s">
        <v>1326</v>
      </c>
      <c r="BI5" t="s">
        <v>1327</v>
      </c>
      <c r="BJ5" t="s">
        <v>1328</v>
      </c>
      <c r="BK5" t="s">
        <v>1329</v>
      </c>
      <c r="BL5" t="s">
        <v>1330</v>
      </c>
      <c r="BM5" t="s">
        <v>1331</v>
      </c>
      <c r="BN5" t="s">
        <v>1332</v>
      </c>
      <c r="BO5" t="s">
        <v>1333</v>
      </c>
      <c r="BP5" t="s">
        <v>1334</v>
      </c>
      <c r="BQ5" t="s">
        <v>1335</v>
      </c>
      <c r="BR5" t="s">
        <v>1336</v>
      </c>
      <c r="BS5" t="s">
        <v>1337</v>
      </c>
      <c r="BT5" t="s">
        <v>1338</v>
      </c>
      <c r="BU5" t="s">
        <v>1339</v>
      </c>
      <c r="BV5" t="s">
        <v>1340</v>
      </c>
      <c r="BW5" t="s">
        <v>1341</v>
      </c>
      <c r="BX5" t="s">
        <v>1342</v>
      </c>
      <c r="BY5" t="s">
        <v>1343</v>
      </c>
      <c r="BZ5" t="s">
        <v>1344</v>
      </c>
      <c r="CA5" t="s">
        <v>1345</v>
      </c>
      <c r="CB5" t="s">
        <v>1346</v>
      </c>
      <c r="CC5" t="s">
        <v>1347</v>
      </c>
      <c r="CD5" t="s">
        <v>1348</v>
      </c>
      <c r="CE5" t="s">
        <v>1349</v>
      </c>
      <c r="CF5" t="s">
        <v>1350</v>
      </c>
      <c r="CG5" t="s">
        <v>1351</v>
      </c>
      <c r="CH5" t="s">
        <v>1352</v>
      </c>
      <c r="CI5" t="s">
        <v>1353</v>
      </c>
      <c r="CJ5" t="s">
        <v>1354</v>
      </c>
      <c r="CK5" t="s">
        <v>1355</v>
      </c>
      <c r="CL5" t="s">
        <v>1356</v>
      </c>
      <c r="CM5" t="s">
        <v>1357</v>
      </c>
      <c r="CN5" t="s">
        <v>1358</v>
      </c>
      <c r="CO5" t="s">
        <v>1359</v>
      </c>
      <c r="CP5" t="s">
        <v>1360</v>
      </c>
      <c r="CQ5" t="s">
        <v>1361</v>
      </c>
      <c r="CR5" t="s">
        <v>1362</v>
      </c>
      <c r="CS5" t="s">
        <v>1363</v>
      </c>
      <c r="CT5" t="s">
        <v>1364</v>
      </c>
      <c r="CU5" t="s">
        <v>1365</v>
      </c>
      <c r="CV5" t="s">
        <v>1366</v>
      </c>
      <c r="CW5" t="s">
        <v>1367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O43"/>
  <sheetViews>
    <sheetView showGridLines="0" view="pageBreakPreview" zoomScale="90" zoomScaleSheetLayoutView="90" workbookViewId="0">
      <selection activeCell="D42" sqref="D42"/>
    </sheetView>
  </sheetViews>
  <sheetFormatPr defaultColWidth="8.84375" defaultRowHeight="10"/>
  <cols>
    <col min="1" max="1" width="3" style="61" customWidth="1"/>
    <col min="2" max="2" width="4.15234375" style="61" customWidth="1"/>
    <col min="3" max="3" width="2.84375" style="61" customWidth="1"/>
    <col min="4" max="4" width="32.84375" style="61" customWidth="1"/>
    <col min="5" max="8" width="10.84375" style="61" customWidth="1"/>
    <col min="9" max="14" width="11.84375" style="61" customWidth="1"/>
    <col min="15" max="15" width="2.84375" style="61" customWidth="1"/>
    <col min="16" max="16384" width="8.84375" style="61"/>
  </cols>
  <sheetData>
    <row r="1" spans="2:15" s="107" customFormat="1"/>
    <row r="2" spans="2:15" s="72" customFormat="1" ht="11.5">
      <c r="B2" s="51" t="str">
        <f>client.name.long</f>
        <v>Aerial Arts India XXXXXXXXXXXXXXXXX</v>
      </c>
      <c r="C2" s="167"/>
      <c r="D2" s="167"/>
      <c r="E2" s="167"/>
      <c r="F2" s="167"/>
      <c r="G2" s="167"/>
      <c r="H2" s="167"/>
      <c r="I2" s="167"/>
      <c r="J2" s="167"/>
      <c r="K2" s="167"/>
      <c r="L2" s="167"/>
      <c r="M2" s="167"/>
      <c r="N2" s="168"/>
      <c r="O2" s="5" t="s">
        <v>212</v>
      </c>
    </row>
    <row r="3" spans="2:15" s="114" customFormat="1" ht="15.75" customHeight="1">
      <c r="B3" s="49" t="str">
        <f>project.title&amp;": "&amp;value.premise</f>
        <v>Aerial Arts India XXXXXXXXXXXXXXXXX - Self Valuation using DCF Method, Transaction Multiples Method, &amp; Market Multiples Method: Fair Value</v>
      </c>
      <c r="C3" s="169"/>
      <c r="D3" s="169"/>
      <c r="E3" s="169"/>
      <c r="F3" s="169"/>
      <c r="G3" s="169"/>
      <c r="H3" s="169"/>
      <c r="I3" s="169"/>
      <c r="J3" s="169"/>
      <c r="K3" s="169"/>
      <c r="L3" s="169"/>
      <c r="M3" s="169"/>
      <c r="N3" s="170"/>
      <c r="O3" s="50" t="e">
        <f>draft.toggle</f>
        <v>#NAME?</v>
      </c>
    </row>
    <row r="4" spans="2:15" s="114" customFormat="1" ht="11.5">
      <c r="B4" s="62" t="s">
        <v>1399</v>
      </c>
      <c r="C4" s="171"/>
      <c r="D4" s="171"/>
      <c r="E4" s="171"/>
      <c r="F4" s="171"/>
      <c r="G4" s="171"/>
      <c r="H4" s="171"/>
      <c r="I4" s="171"/>
      <c r="J4" s="171"/>
      <c r="K4" s="171"/>
      <c r="L4" s="171"/>
      <c r="M4" s="171"/>
      <c r="N4" s="172"/>
      <c r="O4" s="63" t="str">
        <f>valuation.date.header</f>
        <v>Valuation Date:  September 30, 2024</v>
      </c>
    </row>
    <row r="5" spans="2:15" s="114" customFormat="1" ht="10.5">
      <c r="C5" s="155"/>
      <c r="D5" s="155"/>
      <c r="E5" s="155"/>
      <c r="F5" s="155"/>
      <c r="G5" s="155"/>
      <c r="H5" s="155"/>
      <c r="I5" s="155"/>
      <c r="J5" s="155"/>
      <c r="K5" s="155"/>
      <c r="L5" s="155"/>
      <c r="M5" s="155"/>
      <c r="N5" s="155"/>
    </row>
    <row r="6" spans="2:15">
      <c r="C6" s="53"/>
      <c r="D6" s="53"/>
      <c r="E6" s="53"/>
      <c r="F6" s="53"/>
      <c r="G6" s="53"/>
      <c r="H6" s="53"/>
      <c r="I6" s="53"/>
      <c r="K6" s="53"/>
      <c r="L6" s="53"/>
      <c r="M6" s="53"/>
    </row>
    <row r="7" spans="2:15" s="115" customFormat="1" ht="10.5">
      <c r="C7" s="60"/>
      <c r="D7" s="60"/>
      <c r="E7" s="106"/>
      <c r="F7" s="106"/>
      <c r="G7" s="106"/>
      <c r="H7" s="106"/>
      <c r="I7" s="106" t="s">
        <v>1400</v>
      </c>
      <c r="J7" s="106" t="s">
        <v>1401</v>
      </c>
      <c r="K7" s="106" t="s">
        <v>1402</v>
      </c>
      <c r="L7" s="106" t="s">
        <v>1403</v>
      </c>
      <c r="M7" s="106" t="s">
        <v>1404</v>
      </c>
      <c r="N7" s="106" t="s">
        <v>1403</v>
      </c>
    </row>
    <row r="8" spans="2:15" s="115" customFormat="1" ht="10.5">
      <c r="C8" s="60"/>
      <c r="D8" s="60"/>
      <c r="E8" s="106"/>
      <c r="F8" s="106" t="s">
        <v>1405</v>
      </c>
      <c r="G8" s="106" t="s">
        <v>1406</v>
      </c>
      <c r="H8" s="106" t="s">
        <v>1407</v>
      </c>
      <c r="I8" s="106" t="s">
        <v>1408</v>
      </c>
      <c r="J8" s="106" t="s">
        <v>1409</v>
      </c>
      <c r="K8" s="106" t="s">
        <v>1410</v>
      </c>
      <c r="L8" s="106" t="s">
        <v>1409</v>
      </c>
      <c r="M8" s="106" t="s">
        <v>1411</v>
      </c>
      <c r="N8" s="106" t="s">
        <v>1412</v>
      </c>
    </row>
    <row r="9" spans="2:15" s="52" customFormat="1" ht="10.5">
      <c r="C9" s="60" t="s">
        <v>1413</v>
      </c>
      <c r="D9" s="60"/>
      <c r="E9" s="173" t="s">
        <v>1414</v>
      </c>
      <c r="F9" s="173" t="s">
        <v>1415</v>
      </c>
      <c r="G9" s="173" t="s">
        <v>1416</v>
      </c>
      <c r="H9" s="173" t="s">
        <v>1415</v>
      </c>
      <c r="I9" s="173" t="s">
        <v>1417</v>
      </c>
      <c r="J9" s="173" t="s">
        <v>1418</v>
      </c>
      <c r="K9" s="173" t="s">
        <v>1419</v>
      </c>
      <c r="L9" s="173" t="s">
        <v>1420</v>
      </c>
      <c r="M9" s="173" t="s">
        <v>1421</v>
      </c>
      <c r="N9" s="173" t="s">
        <v>1420</v>
      </c>
    </row>
    <row r="10" spans="2:15">
      <c r="C10" s="54"/>
      <c r="D10" s="54"/>
      <c r="E10" s="54"/>
      <c r="F10" s="164"/>
      <c r="G10" s="164"/>
      <c r="H10" s="164"/>
      <c r="I10" s="165"/>
      <c r="J10" s="165"/>
      <c r="K10" s="165"/>
      <c r="L10" s="165"/>
      <c r="M10" s="165"/>
      <c r="N10" s="165"/>
    </row>
    <row r="11" spans="2:15" ht="10.5">
      <c r="C11" s="52" t="s">
        <v>1422</v>
      </c>
      <c r="D11" s="53"/>
      <c r="E11" s="53"/>
      <c r="F11" s="156"/>
      <c r="G11" s="156"/>
      <c r="H11" s="156"/>
      <c r="I11" s="157"/>
      <c r="J11" s="157"/>
      <c r="K11" s="157"/>
      <c r="L11" s="157"/>
      <c r="M11" s="157"/>
      <c r="N11" s="157"/>
    </row>
    <row r="12" spans="2:15">
      <c r="C12" s="53"/>
      <c r="D12" s="53" t="s">
        <v>1423</v>
      </c>
      <c r="E12" s="74">
        <v>0</v>
      </c>
      <c r="F12" s="156">
        <v>10</v>
      </c>
      <c r="G12" s="74">
        <v>0</v>
      </c>
      <c r="H12" s="156">
        <f>IFERROR(F12*(1+G12),"NA")</f>
        <v>10</v>
      </c>
      <c r="I12" s="119" t="e">
        <f>IF(currency.denomination="0s",SUM(IS!#REF!)/1000,IF(currency.denomination="millions",SUM(IS!#REF!)*1000,SUM(IS!#REF!)))</f>
        <v>#REF!</v>
      </c>
      <c r="J12" s="179" t="e">
        <f>IF(H12="NA","NA",H12*I12)</f>
        <v>#REF!</v>
      </c>
      <c r="K12" s="179">
        <f>$K$41</f>
        <v>0</v>
      </c>
      <c r="L12" s="179" t="e">
        <f>SUM(J12,K12)</f>
        <v>#REF!</v>
      </c>
      <c r="M12" s="179">
        <f>$M$41</f>
        <v>0</v>
      </c>
      <c r="N12" s="179" t="e">
        <f>SUM(L12,-M12)</f>
        <v>#REF!</v>
      </c>
    </row>
    <row r="13" spans="2:15">
      <c r="C13" s="53"/>
      <c r="D13" s="53" t="s">
        <v>1424</v>
      </c>
      <c r="E13" s="74">
        <v>0</v>
      </c>
      <c r="F13" s="156">
        <v>10</v>
      </c>
      <c r="G13" s="74">
        <v>0</v>
      </c>
      <c r="H13" s="156">
        <f>IFERROR(F13*(1+G13),"NA")</f>
        <v>10</v>
      </c>
      <c r="I13" s="119" t="e">
        <f>IF(currency.denomination="0s",SUM(IS!#REF!)/1000,IF(currency.denomination="millions",SUM(IS!#REF!)*1000,SUM(IS!#REF!)))</f>
        <v>#REF!</v>
      </c>
      <c r="J13" s="179" t="e">
        <f>IF(H13="NA","NA",H13*I13)</f>
        <v>#REF!</v>
      </c>
      <c r="K13" s="179">
        <f>$K$41</f>
        <v>0</v>
      </c>
      <c r="L13" s="179" t="e">
        <f>SUM(J13,K13)</f>
        <v>#REF!</v>
      </c>
      <c r="M13" s="179">
        <f>$M$41</f>
        <v>0</v>
      </c>
      <c r="N13" s="179" t="e">
        <f>SUM(L13,-M13)</f>
        <v>#REF!</v>
      </c>
    </row>
    <row r="14" spans="2:15">
      <c r="C14" s="53"/>
      <c r="D14" s="53" t="s">
        <v>1425</v>
      </c>
      <c r="E14" s="74">
        <v>0</v>
      </c>
      <c r="F14" s="156">
        <v>10</v>
      </c>
      <c r="G14" s="74">
        <v>0</v>
      </c>
      <c r="H14" s="156">
        <f>IFERROR(F14*(1+G14),"NA")</f>
        <v>10</v>
      </c>
      <c r="I14" s="119" t="e">
        <f>IF(currency.denomination="0s",SUM(IS!#REF!)/1000,IF(currency.denomination="millions",SUM(IS!#REF!)*1000,SUM(IS!#REF!)))</f>
        <v>#REF!</v>
      </c>
      <c r="J14" s="179" t="e">
        <f>IF(H14="NA","NA",H14*I14)</f>
        <v>#REF!</v>
      </c>
      <c r="K14" s="179">
        <f>$K$41</f>
        <v>0</v>
      </c>
      <c r="L14" s="179" t="e">
        <f>SUM(J14,K14)</f>
        <v>#REF!</v>
      </c>
      <c r="M14" s="179">
        <f>$M$41</f>
        <v>0</v>
      </c>
      <c r="N14" s="179" t="e">
        <f>SUM(L14,-M14)</f>
        <v>#REF!</v>
      </c>
    </row>
    <row r="15" spans="2:15" s="53" customFormat="1">
      <c r="E15" s="81"/>
      <c r="F15" s="156"/>
      <c r="G15" s="158"/>
      <c r="H15" s="156"/>
      <c r="I15" s="157"/>
      <c r="J15" s="179"/>
      <c r="K15" s="179"/>
      <c r="L15" s="179"/>
      <c r="M15" s="179"/>
      <c r="N15" s="179"/>
    </row>
    <row r="16" spans="2:15" ht="10.5">
      <c r="C16" s="52" t="s">
        <v>1426</v>
      </c>
      <c r="D16" s="53"/>
      <c r="E16" s="81"/>
      <c r="F16" s="156"/>
      <c r="G16" s="158"/>
      <c r="H16" s="156"/>
      <c r="I16" s="157"/>
      <c r="J16" s="179"/>
      <c r="K16" s="179"/>
      <c r="L16" s="179"/>
      <c r="M16" s="179"/>
      <c r="N16" s="179"/>
    </row>
    <row r="17" spans="3:14">
      <c r="C17" s="53"/>
      <c r="D17" s="53" t="s">
        <v>1423</v>
      </c>
      <c r="E17" s="74">
        <v>0</v>
      </c>
      <c r="F17" s="156">
        <v>10</v>
      </c>
      <c r="G17" s="74">
        <v>0</v>
      </c>
      <c r="H17" s="156">
        <f>IFERROR(F17*(1+G17),"NA")</f>
        <v>10</v>
      </c>
      <c r="I17" s="119" t="e">
        <f>IF(currency.denomination="0s",SUM(IS!#REF!)/1000,IF(currency.denomination="millions",SUM(IS!#REF!)*1000,SUM(IS!#REF!)))</f>
        <v>#REF!</v>
      </c>
      <c r="J17" s="179" t="e">
        <f>IF(H17="NA","NA",H17*I17)</f>
        <v>#REF!</v>
      </c>
      <c r="K17" s="179">
        <f>$K$41</f>
        <v>0</v>
      </c>
      <c r="L17" s="179" t="e">
        <f>SUM(J17,K17)</f>
        <v>#REF!</v>
      </c>
      <c r="M17" s="179">
        <f>$M$41</f>
        <v>0</v>
      </c>
      <c r="N17" s="179" t="e">
        <f>SUM(L17,-M17)</f>
        <v>#REF!</v>
      </c>
    </row>
    <row r="18" spans="3:14">
      <c r="C18" s="53"/>
      <c r="D18" s="53" t="s">
        <v>1424</v>
      </c>
      <c r="E18" s="74">
        <v>0</v>
      </c>
      <c r="F18" s="156">
        <v>10</v>
      </c>
      <c r="G18" s="74">
        <v>0</v>
      </c>
      <c r="H18" s="156">
        <f>IFERROR(F18*(1+G18),"NA")</f>
        <v>10</v>
      </c>
      <c r="I18" s="119" t="e">
        <f>IF(currency.denomination="0s",SUM(IS!#REF!)/1000,IF(currency.denomination="millions",SUM(IS!#REF!)*1000,SUM(IS!#REF!)))</f>
        <v>#REF!</v>
      </c>
      <c r="J18" s="179" t="e">
        <f>IF(H18="NA","NA",H18*I18)</f>
        <v>#REF!</v>
      </c>
      <c r="K18" s="179">
        <f>$K$41</f>
        <v>0</v>
      </c>
      <c r="L18" s="179" t="e">
        <f>SUM(J18,K18)</f>
        <v>#REF!</v>
      </c>
      <c r="M18" s="179">
        <f>$M$41</f>
        <v>0</v>
      </c>
      <c r="N18" s="179" t="e">
        <f>SUM(L18,-M18)</f>
        <v>#REF!</v>
      </c>
    </row>
    <row r="19" spans="3:14" ht="14.25" customHeight="1">
      <c r="C19" s="53"/>
      <c r="D19" s="53" t="s">
        <v>1425</v>
      </c>
      <c r="E19" s="74">
        <v>0</v>
      </c>
      <c r="F19" s="156">
        <v>10</v>
      </c>
      <c r="G19" s="74">
        <v>0</v>
      </c>
      <c r="H19" s="156">
        <f>IFERROR(F19*(1+G19),"NA")</f>
        <v>10</v>
      </c>
      <c r="I19" s="119" t="e">
        <f>IF(currency.denomination="0s",SUM(IS!#REF!)/1000,IF(currency.denomination="millions",SUM(IS!#REF!)*1000,SUM(IS!#REF!)))</f>
        <v>#REF!</v>
      </c>
      <c r="J19" s="179" t="e">
        <f>IF(H19="NA","NA",H19*I19)</f>
        <v>#REF!</v>
      </c>
      <c r="K19" s="179">
        <f>$K$41</f>
        <v>0</v>
      </c>
      <c r="L19" s="179" t="e">
        <f>SUM(J19,K19)</f>
        <v>#REF!</v>
      </c>
      <c r="M19" s="179">
        <f>$M$41</f>
        <v>0</v>
      </c>
      <c r="N19" s="179" t="e">
        <f>SUM(L19,-M19)</f>
        <v>#REF!</v>
      </c>
    </row>
    <row r="20" spans="3:14">
      <c r="C20" s="53"/>
      <c r="D20" s="53"/>
      <c r="E20" s="74"/>
      <c r="F20" s="156"/>
      <c r="G20" s="74"/>
      <c r="H20" s="156"/>
      <c r="I20" s="157"/>
      <c r="J20" s="179"/>
      <c r="K20" s="179"/>
      <c r="L20" s="179"/>
      <c r="M20" s="179"/>
      <c r="N20" s="179"/>
    </row>
    <row r="21" spans="3:14">
      <c r="C21" s="53"/>
      <c r="D21" s="53" t="s">
        <v>1427</v>
      </c>
      <c r="E21" s="74">
        <v>0</v>
      </c>
      <c r="F21" s="156">
        <v>10</v>
      </c>
      <c r="G21" s="74">
        <v>0</v>
      </c>
      <c r="H21" s="156">
        <f>IFERROR(F21*(1+G21),"NA")</f>
        <v>10</v>
      </c>
      <c r="I21" s="119" t="e">
        <f>IF(currency.denomination="0s",SUM(IS!#REF!)/1000,IF(currency.denomination="millions",SUM(IS!#REF!)*1000,SUM(IS!#REF!)))</f>
        <v>#REF!</v>
      </c>
      <c r="J21" s="179"/>
      <c r="K21" s="179"/>
      <c r="L21" s="179"/>
      <c r="M21" s="179"/>
      <c r="N21" s="179" t="e">
        <f>IF(H21="NA","NA",H21*I21)</f>
        <v>#REF!</v>
      </c>
    </row>
    <row r="22" spans="3:14">
      <c r="C22" s="53"/>
      <c r="D22" s="53" t="s">
        <v>1428</v>
      </c>
      <c r="E22" s="74">
        <v>0</v>
      </c>
      <c r="F22" s="156">
        <v>10</v>
      </c>
      <c r="G22" s="74">
        <v>0</v>
      </c>
      <c r="H22" s="156">
        <f>IFERROR(F22*(1+G22),"NA")</f>
        <v>10</v>
      </c>
      <c r="I22" s="119" t="e">
        <f>IF(currency.denomination="0s",SUM(IS!#REF!,IS!#REF!)/1000,IF(currency.denomination="millions",SUM(IS!#REF!,IS!#REF!)*1000,SUM(IS!#REF!,IS!#REF!)))</f>
        <v>#REF!</v>
      </c>
      <c r="J22" s="179"/>
      <c r="K22" s="179"/>
      <c r="L22" s="179"/>
      <c r="M22" s="179"/>
      <c r="N22" s="179" t="e">
        <f>IF(H22="NA","NA",H22*I22)</f>
        <v>#REF!</v>
      </c>
    </row>
    <row r="23" spans="3:14">
      <c r="C23" s="53"/>
      <c r="D23" s="53" t="s">
        <v>1429</v>
      </c>
      <c r="E23" s="74">
        <v>0</v>
      </c>
      <c r="F23" s="156">
        <v>10</v>
      </c>
      <c r="G23" s="74">
        <v>0</v>
      </c>
      <c r="H23" s="156">
        <f>IFERROR(F23*(1+G23),"NA")</f>
        <v>10</v>
      </c>
      <c r="I23" s="119" t="e">
        <f>IF(currency.denomination="0s",SUM(IS!#REF!)/1000,IF(currency.denomination="millions",SUM(IS!#REF!)*1000,SUM(IS!#REF!)))</f>
        <v>#REF!</v>
      </c>
      <c r="J23" s="179"/>
      <c r="K23" s="179"/>
      <c r="L23" s="179"/>
      <c r="M23" s="179"/>
      <c r="N23" s="179" t="e">
        <f>IF(H23="NA","NA",H23*I23)</f>
        <v>#REF!</v>
      </c>
    </row>
    <row r="24" spans="3:14">
      <c r="C24" s="53"/>
      <c r="D24" s="53" t="s">
        <v>1430</v>
      </c>
      <c r="E24" s="74">
        <v>0</v>
      </c>
      <c r="F24" s="156">
        <v>10</v>
      </c>
      <c r="G24" s="74">
        <v>0</v>
      </c>
      <c r="H24" s="156">
        <f>IFERROR(F24*(1+G24),"NA")</f>
        <v>10</v>
      </c>
      <c r="I24" s="119" t="e">
        <f>IF(currency.denomination="0s",SUM(BS!#REF!)/1000,IF(currency.denomination="millions",SUM(BS!#REF!)*1000,SUM(BS!#REF!)))</f>
        <v>#REF!</v>
      </c>
      <c r="J24" s="179"/>
      <c r="K24" s="179"/>
      <c r="L24" s="179"/>
      <c r="M24" s="179"/>
      <c r="N24" s="179" t="e">
        <f>IF(H24="NA","NA",H24*I24)</f>
        <v>#REF!</v>
      </c>
    </row>
    <row r="25" spans="3:14" s="53" customFormat="1">
      <c r="F25" s="156"/>
      <c r="G25" s="156"/>
      <c r="H25" s="156"/>
      <c r="I25" s="157"/>
      <c r="J25" s="157"/>
      <c r="K25" s="157"/>
      <c r="L25" s="157"/>
      <c r="M25" s="157"/>
      <c r="N25" s="157"/>
    </row>
    <row r="26" spans="3:14" ht="10.5">
      <c r="C26" s="52" t="str">
        <f>"Weighted Indicated "&amp;TEXT(value.premise,"")&amp;" - Minority, Marketable Basis"</f>
        <v>Weighted Indicated Fair Value - Minority, Marketable Basis</v>
      </c>
      <c r="D26" s="53"/>
      <c r="E26" s="53"/>
      <c r="F26" s="53"/>
      <c r="G26" s="53"/>
      <c r="H26" s="53"/>
      <c r="I26" s="53"/>
      <c r="J26" s="178" t="e">
        <f>SUMPRODUCT($E$12:$E$19,J12:J19)</f>
        <v>#REF!</v>
      </c>
      <c r="K26" s="120"/>
      <c r="L26" s="178" t="e">
        <f>SUMPRODUCT($E$12:$E$19,L12:L19)</f>
        <v>#REF!</v>
      </c>
      <c r="M26" s="157"/>
      <c r="N26" s="178" t="e">
        <f>SUMPRODUCT($E$12:$E$24,N12:N24)</f>
        <v>#REF!</v>
      </c>
    </row>
    <row r="27" spans="3:14">
      <c r="C27" s="53"/>
      <c r="D27" s="53"/>
      <c r="E27" s="53"/>
      <c r="F27" s="53"/>
      <c r="G27" s="53"/>
      <c r="H27" s="53"/>
      <c r="I27" s="53"/>
      <c r="J27" s="157"/>
      <c r="K27" s="157"/>
      <c r="L27" s="157"/>
      <c r="M27" s="157"/>
      <c r="N27" s="157"/>
    </row>
    <row r="28" spans="3:14">
      <c r="C28" s="53"/>
      <c r="D28" s="53" t="s">
        <v>1431</v>
      </c>
      <c r="E28" s="53"/>
      <c r="F28" s="53"/>
      <c r="G28" s="53"/>
      <c r="H28" s="53"/>
      <c r="I28" s="53"/>
      <c r="J28" s="157"/>
      <c r="K28" s="157"/>
      <c r="L28" s="157"/>
      <c r="M28" s="74">
        <v>0</v>
      </c>
      <c r="N28" s="157" t="e">
        <f>SUM(J26,-M41)*($M$28)</f>
        <v>#REF!</v>
      </c>
    </row>
    <row r="29" spans="3:14" ht="10.5">
      <c r="C29" s="52" t="str">
        <f>"Weighted Adjusted "&amp;TEXT(value.premise,"")&amp;" of Equity - Control, Marketable Basis"</f>
        <v>Weighted Adjusted Fair Value of Equity - Control, Marketable Basis</v>
      </c>
      <c r="D29" s="53"/>
      <c r="E29" s="53"/>
      <c r="F29" s="53"/>
      <c r="G29" s="53"/>
      <c r="H29" s="53"/>
      <c r="I29" s="53"/>
      <c r="J29" s="157"/>
      <c r="K29" s="157"/>
      <c r="L29" s="157"/>
      <c r="M29" s="157"/>
      <c r="N29" s="178" t="e">
        <f>SUM(N26:N28)</f>
        <v>#REF!</v>
      </c>
    </row>
    <row r="30" spans="3:14" ht="10.5">
      <c r="C30" s="52"/>
      <c r="D30" s="53"/>
      <c r="E30" s="53"/>
      <c r="F30" s="53"/>
      <c r="G30" s="53"/>
      <c r="H30" s="53"/>
      <c r="I30" s="53"/>
      <c r="J30" s="157"/>
      <c r="K30" s="157"/>
      <c r="L30" s="157"/>
      <c r="M30" s="157"/>
      <c r="N30" s="157"/>
    </row>
    <row r="31" spans="3:14" ht="10.5">
      <c r="C31" s="52"/>
      <c r="D31" s="53" t="s">
        <v>1432</v>
      </c>
      <c r="E31" s="53"/>
      <c r="F31" s="53"/>
      <c r="G31" s="53"/>
      <c r="H31" s="53"/>
      <c r="I31" s="53"/>
      <c r="J31" s="157"/>
      <c r="K31" s="157"/>
      <c r="L31" s="157"/>
      <c r="M31" s="157"/>
      <c r="N31" s="157">
        <f>$M$41</f>
        <v>0</v>
      </c>
    </row>
    <row r="32" spans="3:14" ht="10.5">
      <c r="C32" s="146" t="str">
        <f>"Weighted Adjusted "&amp;TEXT(value.premise,"")&amp;" of Invested Capital - Control, Marketable Basis"</f>
        <v>Weighted Adjusted Fair Value of Invested Capital - Control, Marketable Basis</v>
      </c>
      <c r="D32" s="55"/>
      <c r="E32" s="55"/>
      <c r="F32" s="55"/>
      <c r="G32" s="55"/>
      <c r="H32" s="55"/>
      <c r="I32" s="55"/>
      <c r="J32" s="166"/>
      <c r="K32" s="166"/>
      <c r="L32" s="166"/>
      <c r="M32" s="166"/>
      <c r="N32" s="178" t="e">
        <f>SUM(N29:N31)</f>
        <v>#REF!</v>
      </c>
    </row>
    <row r="33" spans="3:15" ht="10.5">
      <c r="C33" s="174" t="s">
        <v>1394</v>
      </c>
      <c r="D33" s="54"/>
      <c r="E33" s="54"/>
      <c r="F33" s="54"/>
      <c r="G33" s="54"/>
      <c r="H33" s="54"/>
      <c r="I33" s="54"/>
      <c r="J33" s="165"/>
      <c r="K33" s="165"/>
      <c r="L33" s="165"/>
      <c r="M33" s="165"/>
      <c r="N33" s="165"/>
    </row>
    <row r="34" spans="3:15">
      <c r="C34" s="132">
        <v>1</v>
      </c>
      <c r="D34" s="133" t="s">
        <v>1433</v>
      </c>
      <c r="E34" s="53"/>
      <c r="F34" s="53"/>
      <c r="G34" s="53"/>
      <c r="H34" s="53"/>
      <c r="I34" s="53"/>
      <c r="J34" s="53"/>
      <c r="K34" s="53"/>
      <c r="L34" s="53"/>
      <c r="M34" s="53"/>
      <c r="N34" s="53"/>
      <c r="O34" s="53"/>
    </row>
    <row r="35" spans="3:15" s="159" customFormat="1">
      <c r="C35" s="132">
        <v>2</v>
      </c>
      <c r="D35" s="133" t="s">
        <v>1434</v>
      </c>
      <c r="E35" s="131"/>
      <c r="F35" s="131"/>
      <c r="G35" s="131"/>
      <c r="H35" s="131"/>
      <c r="I35" s="131"/>
      <c r="J35" s="131"/>
      <c r="K35" s="131"/>
      <c r="L35" s="131"/>
      <c r="M35" s="131"/>
      <c r="N35" s="131"/>
      <c r="O35" s="131"/>
    </row>
    <row r="36" spans="3:15" s="159" customFormat="1">
      <c r="C36" s="176"/>
      <c r="D36" s="177"/>
      <c r="E36" s="175"/>
      <c r="F36" s="175"/>
      <c r="G36" s="175"/>
      <c r="H36" s="175"/>
      <c r="I36" s="175"/>
      <c r="J36" s="175"/>
      <c r="K36" s="175"/>
      <c r="L36" s="175"/>
      <c r="M36" s="175"/>
      <c r="N36" s="175"/>
      <c r="O36" s="131"/>
    </row>
    <row r="37" spans="3:15" s="80" customFormat="1">
      <c r="E37" s="79"/>
      <c r="F37" s="79"/>
      <c r="G37" s="79"/>
      <c r="H37" s="79"/>
      <c r="I37" s="79"/>
      <c r="J37" s="79"/>
      <c r="K37" s="79"/>
      <c r="L37" s="79"/>
      <c r="M37" s="79"/>
      <c r="N37" s="79"/>
      <c r="O37" s="79"/>
    </row>
    <row r="38" spans="3:15" s="80" customFormat="1">
      <c r="E38" s="79"/>
      <c r="F38" s="79"/>
      <c r="G38" s="79"/>
      <c r="H38" s="79"/>
      <c r="I38" s="79"/>
      <c r="J38" s="79"/>
      <c r="K38" s="79"/>
      <c r="L38" s="79"/>
      <c r="M38" s="79"/>
      <c r="N38" s="79"/>
      <c r="O38" s="79"/>
    </row>
    <row r="39" spans="3:15" s="80" customFormat="1"/>
    <row r="40" spans="3:15" ht="13.5">
      <c r="E40" s="160"/>
      <c r="F40" s="160"/>
      <c r="G40" s="107"/>
      <c r="H40" s="107"/>
      <c r="I40" s="107"/>
      <c r="J40" s="107"/>
      <c r="K40" s="160"/>
      <c r="L40" s="107"/>
      <c r="M40" s="160"/>
      <c r="N40" s="107"/>
    </row>
    <row r="41" spans="3:15" ht="10.5">
      <c r="E41" s="161"/>
      <c r="F41" s="162"/>
      <c r="G41" s="107"/>
      <c r="H41" s="107"/>
      <c r="I41" s="107"/>
      <c r="J41" s="107"/>
      <c r="K41" s="163"/>
      <c r="L41" s="107"/>
      <c r="M41" s="163"/>
      <c r="N41" s="107"/>
    </row>
    <row r="42" spans="3:15">
      <c r="E42" s="107"/>
      <c r="F42" s="107"/>
      <c r="G42" s="107"/>
      <c r="H42" s="107"/>
      <c r="I42" s="107"/>
      <c r="J42" s="107"/>
      <c r="K42" s="107"/>
      <c r="L42" s="107"/>
      <c r="M42" s="107"/>
      <c r="N42" s="107"/>
    </row>
    <row r="43" spans="3:15">
      <c r="E43" s="107"/>
      <c r="F43" s="107"/>
      <c r="G43" s="107"/>
      <c r="H43" s="107"/>
      <c r="I43" s="107"/>
      <c r="J43" s="107"/>
      <c r="K43" s="107"/>
      <c r="L43" s="107"/>
      <c r="M43" s="107"/>
      <c r="N43" s="107"/>
    </row>
  </sheetData>
  <conditionalFormatting sqref="M28 E12:G14 E17:G19 E21:G24">
    <cfRule type="expression" dxfId="9" priority="1">
      <formula>IF(input.toggle="Yes",TRUE,FALSE)</formula>
    </cfRule>
  </conditionalFormatting>
  <printOptions horizontalCentered="1"/>
  <pageMargins left="0.25" right="0.25" top="0.75" bottom="0.25" header="0.25" footer="0.25"/>
  <pageSetup scale="71" orientation="landscape" horizontalDpi="300" verticalDpi="300" r:id="rId1"/>
  <headerFooter alignWithMargins="0">
    <oddHeader>&amp;R&amp;"Arial"&amp;8&amp;K000000Confidential&amp;1#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6">
    <pageSetUpPr fitToPage="1"/>
  </sheetPr>
  <dimension ref="B1:X41"/>
  <sheetViews>
    <sheetView showGridLines="0" view="pageBreakPreview" zoomScale="90" zoomScaleNormal="100" zoomScaleSheetLayoutView="90" workbookViewId="0">
      <selection activeCell="A10" sqref="A10"/>
    </sheetView>
  </sheetViews>
  <sheetFormatPr defaultColWidth="8.84375" defaultRowHeight="10"/>
  <cols>
    <col min="1" max="2" width="3.4609375" style="40" customWidth="1"/>
    <col min="3" max="4" width="2.84375" style="40" customWidth="1"/>
    <col min="5" max="5" width="29.84375" style="40" customWidth="1"/>
    <col min="6" max="18" width="11.84375" style="40" customWidth="1"/>
    <col min="19" max="19" width="2.84375" style="40" customWidth="1"/>
    <col min="20" max="20" width="11.84375" style="40" customWidth="1"/>
    <col min="21" max="16384" width="8.84375" style="40"/>
  </cols>
  <sheetData>
    <row r="1" spans="2:24" s="45" customFormat="1"/>
    <row r="2" spans="2:24" s="82" customFormat="1" ht="11.5">
      <c r="B2" s="51" t="str">
        <f>client.name.long</f>
        <v>Aerial Arts India XXXXXXXXXXXXXXXXX</v>
      </c>
      <c r="C2" s="36"/>
      <c r="D2" s="36"/>
      <c r="E2" s="36"/>
      <c r="F2" s="36"/>
      <c r="G2" s="36"/>
      <c r="H2" s="36"/>
      <c r="I2" s="36"/>
      <c r="J2" s="36"/>
      <c r="K2" s="36"/>
      <c r="L2" s="36"/>
      <c r="M2" s="36"/>
      <c r="N2" s="36"/>
      <c r="O2" s="36"/>
      <c r="P2" s="36"/>
      <c r="Q2" s="36"/>
      <c r="R2" s="36"/>
      <c r="S2" s="5" t="s">
        <v>212</v>
      </c>
    </row>
    <row r="3" spans="2:24" s="82" customFormat="1" ht="11.5">
      <c r="B3" s="49" t="str">
        <f>project.title</f>
        <v>Aerial Arts India XXXXXXXXXXXXXXXXX - Self Valuation using DCF Method, Transaction Multiples Method, &amp; Market Multiples Method</v>
      </c>
      <c r="C3" s="56"/>
      <c r="D3" s="56"/>
      <c r="E3" s="56"/>
      <c r="F3" s="56"/>
      <c r="G3" s="56"/>
      <c r="H3" s="56"/>
      <c r="I3" s="56"/>
      <c r="J3" s="56"/>
      <c r="K3" s="56"/>
      <c r="L3" s="56"/>
      <c r="M3" s="56"/>
      <c r="N3" s="56"/>
      <c r="O3" s="56"/>
      <c r="P3" s="56"/>
      <c r="Q3" s="56"/>
      <c r="R3" s="56"/>
      <c r="S3" s="50" t="e">
        <f>draft.toggle</f>
        <v>#NAME?</v>
      </c>
    </row>
    <row r="4" spans="2:24" s="82" customFormat="1" ht="11.5">
      <c r="B4" s="88" t="s">
        <v>1435</v>
      </c>
      <c r="C4" s="87"/>
      <c r="D4" s="37"/>
      <c r="E4" s="37"/>
      <c r="F4" s="37"/>
      <c r="G4" s="37"/>
      <c r="H4" s="37"/>
      <c r="I4" s="37"/>
      <c r="J4" s="37"/>
      <c r="K4" s="37"/>
      <c r="L4" s="37"/>
      <c r="M4" s="37"/>
      <c r="N4" s="37"/>
      <c r="O4" s="37"/>
      <c r="P4" s="37"/>
      <c r="Q4" s="37"/>
      <c r="R4" s="37"/>
      <c r="S4" s="9" t="str">
        <f>valuation.date.header</f>
        <v>Valuation Date:  September 30, 2024</v>
      </c>
    </row>
    <row r="5" spans="2:24" s="82" customFormat="1" ht="11.5">
      <c r="B5" s="66" t="str">
        <f>currency.heading1</f>
        <v>USD 'Units</v>
      </c>
      <c r="C5" s="86"/>
      <c r="D5" s="86"/>
      <c r="E5" s="86"/>
      <c r="F5" s="86"/>
      <c r="G5" s="86"/>
      <c r="H5" s="86"/>
      <c r="I5" s="86"/>
      <c r="J5" s="86"/>
      <c r="K5" s="86"/>
      <c r="L5" s="86"/>
      <c r="M5" s="86"/>
      <c r="N5" s="86"/>
      <c r="O5" s="86"/>
      <c r="P5" s="86"/>
      <c r="Q5" s="86"/>
      <c r="R5" s="86"/>
      <c r="S5" s="86"/>
    </row>
    <row r="7" spans="2:24" ht="18" customHeight="1">
      <c r="C7" s="89" t="s">
        <v>1436</v>
      </c>
    </row>
    <row r="8" spans="2:24" ht="10.5">
      <c r="C8" s="43"/>
      <c r="D8" s="43"/>
      <c r="E8" s="43"/>
      <c r="F8" s="43"/>
      <c r="G8" s="44"/>
      <c r="H8" s="44"/>
      <c r="I8" s="44"/>
      <c r="J8" s="44"/>
      <c r="K8" s="44"/>
      <c r="L8" s="44"/>
      <c r="M8" s="90"/>
      <c r="N8" s="91"/>
      <c r="O8" s="91"/>
      <c r="P8" s="91"/>
      <c r="Q8" s="91"/>
      <c r="R8" s="91"/>
      <c r="V8" s="46"/>
      <c r="W8" s="46"/>
      <c r="X8" s="46"/>
    </row>
    <row r="9" spans="2:24" ht="13.5">
      <c r="C9" s="43"/>
      <c r="D9" s="43"/>
      <c r="E9" s="43"/>
      <c r="F9" s="43"/>
      <c r="G9" s="92" t="e">
        <f>BS!#REF!</f>
        <v>#REF!</v>
      </c>
      <c r="H9" s="92" t="e">
        <f>BS!#REF!</f>
        <v>#REF!</v>
      </c>
      <c r="I9" s="92" t="e">
        <f>BS!#REF!</f>
        <v>#REF!</v>
      </c>
      <c r="J9" s="92" t="e">
        <f>BS!#REF!</f>
        <v>#REF!</v>
      </c>
      <c r="K9" s="92" t="e">
        <f>BS!#REF!</f>
        <v>#REF!</v>
      </c>
      <c r="L9" s="92" t="e">
        <f>BS!#REF!</f>
        <v>#REF!</v>
      </c>
      <c r="M9" s="92" t="e">
        <f>BS!#REF!</f>
        <v>#REF!</v>
      </c>
      <c r="N9" s="92" t="e">
        <f>BS!#REF!</f>
        <v>#REF!</v>
      </c>
      <c r="O9" s="92" t="e">
        <f>BS!#REF!</f>
        <v>#REF!</v>
      </c>
      <c r="P9" s="92" t="e">
        <f>BS!#REF!</f>
        <v>#REF!</v>
      </c>
      <c r="Q9" s="92" t="e">
        <f>BS!#REF!</f>
        <v>#REF!</v>
      </c>
      <c r="R9" s="92" t="s">
        <v>232</v>
      </c>
      <c r="U9" s="67"/>
      <c r="V9" s="83"/>
      <c r="W9" s="83"/>
      <c r="X9" s="83"/>
    </row>
    <row r="10" spans="2:24" ht="12" customHeight="1">
      <c r="C10" s="48"/>
      <c r="D10" s="48"/>
      <c r="E10" s="48"/>
      <c r="F10" s="48"/>
      <c r="G10" s="48"/>
      <c r="H10" s="48"/>
      <c r="I10" s="48"/>
      <c r="J10" s="48"/>
      <c r="K10" s="48"/>
      <c r="L10" s="48"/>
      <c r="M10" s="48"/>
      <c r="N10" s="48"/>
      <c r="O10" s="48"/>
      <c r="P10" s="48"/>
      <c r="Q10" s="48"/>
      <c r="R10" s="48"/>
      <c r="V10" s="71"/>
      <c r="W10" s="71"/>
      <c r="X10" s="71"/>
    </row>
    <row r="11" spans="2:24" ht="12" customHeight="1">
      <c r="C11" s="93" t="s">
        <v>1437</v>
      </c>
      <c r="D11" s="42"/>
      <c r="E11" s="42"/>
      <c r="F11" s="42"/>
      <c r="G11" s="42"/>
      <c r="H11" s="42"/>
      <c r="I11" s="42"/>
      <c r="J11" s="42"/>
      <c r="K11" s="42"/>
      <c r="L11" s="42"/>
      <c r="M11" s="42"/>
      <c r="N11" s="42"/>
      <c r="O11" s="42"/>
      <c r="P11" s="42"/>
      <c r="Q11" s="42"/>
      <c r="R11" s="42"/>
      <c r="V11" s="71"/>
      <c r="W11" s="71"/>
      <c r="X11" s="71"/>
    </row>
    <row r="12" spans="2:24" ht="12" customHeight="1">
      <c r="C12" s="42"/>
      <c r="D12" s="42" t="str">
        <f>BS!D33&amp;" (Exc. Related Party)"</f>
        <v>Accounts Receivable, Net (Exc. Related Party)</v>
      </c>
      <c r="E12" s="42"/>
      <c r="F12" s="42"/>
      <c r="G12" s="94" t="e">
        <f>BS!#REF!</f>
        <v>#REF!</v>
      </c>
      <c r="H12" s="94" t="e">
        <f>BS!#REF!</f>
        <v>#REF!</v>
      </c>
      <c r="I12" s="94" t="e">
        <f>BS!#REF!</f>
        <v>#REF!</v>
      </c>
      <c r="J12" s="94" t="e">
        <f>BS!#REF!</f>
        <v>#REF!</v>
      </c>
      <c r="K12" s="94" t="e">
        <f>BS!#REF!</f>
        <v>#REF!</v>
      </c>
      <c r="L12" s="94" t="e">
        <f>BS!#REF!</f>
        <v>#REF!</v>
      </c>
      <c r="M12" s="94" t="e">
        <f>BS!#REF!</f>
        <v>#REF!</v>
      </c>
      <c r="N12" s="94" t="e">
        <f>BS!#REF!</f>
        <v>#REF!</v>
      </c>
      <c r="O12" s="94" t="e">
        <f>BS!#REF!</f>
        <v>#REF!</v>
      </c>
      <c r="P12" s="94" t="e">
        <f>BS!#REF!</f>
        <v>#REF!</v>
      </c>
      <c r="Q12" s="94" t="e">
        <f>BS!#REF!</f>
        <v>#REF!</v>
      </c>
      <c r="R12" s="42"/>
    </row>
    <row r="13" spans="2:24" ht="12" customHeight="1">
      <c r="C13" s="42"/>
      <c r="D13" s="42"/>
      <c r="E13" s="42" t="s">
        <v>1438</v>
      </c>
      <c r="F13" s="42"/>
      <c r="G13" s="95" t="str">
        <f t="shared" ref="G13:Q13" si="0">IF(ISERROR(365/(G29/G12)),"NA",(365/(G29/G12)))</f>
        <v>NA</v>
      </c>
      <c r="H13" s="95" t="str">
        <f t="shared" si="0"/>
        <v>NA</v>
      </c>
      <c r="I13" s="95" t="str">
        <f t="shared" si="0"/>
        <v>NA</v>
      </c>
      <c r="J13" s="95" t="str">
        <f t="shared" si="0"/>
        <v>NA</v>
      </c>
      <c r="K13" s="95" t="str">
        <f t="shared" si="0"/>
        <v>NA</v>
      </c>
      <c r="L13" s="95" t="str">
        <f t="shared" si="0"/>
        <v>NA</v>
      </c>
      <c r="M13" s="95" t="str">
        <f t="shared" si="0"/>
        <v>NA</v>
      </c>
      <c r="N13" s="95" t="str">
        <f t="shared" si="0"/>
        <v>NA</v>
      </c>
      <c r="O13" s="95" t="str">
        <f t="shared" si="0"/>
        <v>NA</v>
      </c>
      <c r="P13" s="95" t="str">
        <f t="shared" si="0"/>
        <v>NA</v>
      </c>
      <c r="Q13" s="95" t="str">
        <f t="shared" si="0"/>
        <v>NA</v>
      </c>
      <c r="R13" s="42"/>
      <c r="V13" s="39"/>
      <c r="W13" s="39"/>
      <c r="X13" s="39"/>
    </row>
    <row r="14" spans="2:24" ht="12" customHeight="1">
      <c r="C14" s="42"/>
      <c r="D14" s="42" t="str">
        <f>BS!D36&amp;" (Exc. Related Party)"</f>
        <v>Notes Receivable, Current Portion (Exc. Related Party)</v>
      </c>
      <c r="E14" s="42"/>
      <c r="F14" s="42"/>
      <c r="G14" s="96" t="e">
        <f>BS!#REF!</f>
        <v>#REF!</v>
      </c>
      <c r="H14" s="96" t="e">
        <f>BS!#REF!</f>
        <v>#REF!</v>
      </c>
      <c r="I14" s="96" t="e">
        <f>BS!#REF!</f>
        <v>#REF!</v>
      </c>
      <c r="J14" s="96" t="e">
        <f>BS!#REF!</f>
        <v>#REF!</v>
      </c>
      <c r="K14" s="96" t="e">
        <f>BS!#REF!</f>
        <v>#REF!</v>
      </c>
      <c r="L14" s="96" t="e">
        <f>BS!#REF!</f>
        <v>#REF!</v>
      </c>
      <c r="M14" s="96" t="e">
        <f>BS!#REF!</f>
        <v>#REF!</v>
      </c>
      <c r="N14" s="96" t="e">
        <f>BS!#REF!</f>
        <v>#REF!</v>
      </c>
      <c r="O14" s="96" t="e">
        <f>BS!#REF!</f>
        <v>#REF!</v>
      </c>
      <c r="P14" s="96" t="e">
        <f>BS!#REF!</f>
        <v>#REF!</v>
      </c>
      <c r="Q14" s="96" t="e">
        <f>BS!#REF!</f>
        <v>#REF!</v>
      </c>
      <c r="R14" s="42"/>
    </row>
    <row r="15" spans="2:24" ht="12" customHeight="1">
      <c r="C15" s="42"/>
      <c r="D15" s="42" t="str">
        <f>BS!D39</f>
        <v>Inventories</v>
      </c>
      <c r="E15" s="42"/>
      <c r="F15" s="42"/>
      <c r="G15" s="96" t="e">
        <f>BS!#REF!</f>
        <v>#REF!</v>
      </c>
      <c r="H15" s="96" t="e">
        <f>BS!#REF!</f>
        <v>#REF!</v>
      </c>
      <c r="I15" s="96" t="e">
        <f>BS!#REF!</f>
        <v>#REF!</v>
      </c>
      <c r="J15" s="96" t="e">
        <f>BS!#REF!</f>
        <v>#REF!</v>
      </c>
      <c r="K15" s="96" t="e">
        <f>BS!#REF!</f>
        <v>#REF!</v>
      </c>
      <c r="L15" s="96" t="e">
        <f>BS!#REF!</f>
        <v>#REF!</v>
      </c>
      <c r="M15" s="96" t="e">
        <f>BS!#REF!</f>
        <v>#REF!</v>
      </c>
      <c r="N15" s="96" t="e">
        <f>BS!#REF!</f>
        <v>#REF!</v>
      </c>
      <c r="O15" s="96" t="e">
        <f>BS!#REF!</f>
        <v>#REF!</v>
      </c>
      <c r="P15" s="96" t="e">
        <f>BS!#REF!</f>
        <v>#REF!</v>
      </c>
      <c r="Q15" s="96" t="e">
        <f>BS!#REF!</f>
        <v>#REF!</v>
      </c>
      <c r="R15" s="42"/>
    </row>
    <row r="16" spans="2:24" ht="12" customHeight="1">
      <c r="C16" s="42"/>
      <c r="D16" s="42"/>
      <c r="E16" s="42" t="s">
        <v>1439</v>
      </c>
      <c r="F16" s="42"/>
      <c r="G16" s="95" t="str">
        <f>IF(ISERROR(365/(IS!#REF!/G15)),"NA",(365/(IS!#REF!/G15)))</f>
        <v>NA</v>
      </c>
      <c r="H16" s="95" t="str">
        <f>IF(ISERROR(365/(IS!#REF!/H15)),"NA",(365/(IS!#REF!/H15)))</f>
        <v>NA</v>
      </c>
      <c r="I16" s="95" t="str">
        <f>IF(ISERROR(365/(IS!#REF!/I15)),"NA",(365/(IS!#REF!/I15)))</f>
        <v>NA</v>
      </c>
      <c r="J16" s="95" t="str">
        <f>IF(ISERROR(365/(IS!#REF!/J15)),"NA",(365/(IS!#REF!/J15)))</f>
        <v>NA</v>
      </c>
      <c r="K16" s="95" t="str">
        <f>IF(ISERROR(365/(IS!#REF!/K15)),"NA",(365/(IS!#REF!/K15)))</f>
        <v>NA</v>
      </c>
      <c r="L16" s="95" t="str">
        <f>IF(ISERROR(365/(IS!#REF!/L15)),"NA",(365/(IS!#REF!/L15)))</f>
        <v>NA</v>
      </c>
      <c r="M16" s="95" t="str">
        <f>IF(ISERROR(365/(IS!#REF!/M15)),"NA",(365/(IS!#REF!/M15)))</f>
        <v>NA</v>
      </c>
      <c r="N16" s="95" t="str">
        <f>IF(ISERROR(365/(IS!#REF!/N15)),"NA",(365/(IS!#REF!/N15)))</f>
        <v>NA</v>
      </c>
      <c r="O16" s="95" t="str">
        <f>IF(ISERROR(365/(IS!#REF!/O15)),"NA",(365/(IS!#REF!/O15)))</f>
        <v>NA</v>
      </c>
      <c r="P16" s="95" t="str">
        <f>IF(ISERROR(365/(IS!#REF!/P15)),"NA",(365/(IS!#REF!/P15)))</f>
        <v>NA</v>
      </c>
      <c r="Q16" s="95" t="str">
        <f>IF(ISERROR(365/(IS!#REF!/Q15)),"NA",(365/(IS!#REF!/Q15)))</f>
        <v>NA</v>
      </c>
      <c r="R16" s="42"/>
      <c r="V16" s="39"/>
      <c r="W16" s="39"/>
      <c r="X16" s="39"/>
    </row>
    <row r="17" spans="3:24" ht="12" customHeight="1">
      <c r="C17" s="42"/>
      <c r="D17" s="42" t="s">
        <v>1440</v>
      </c>
      <c r="E17" s="42"/>
      <c r="F17" s="42"/>
      <c r="G17" s="96" t="e">
        <f>SUM(BS!#REF!)</f>
        <v>#REF!</v>
      </c>
      <c r="H17" s="96" t="e">
        <f>SUM(BS!#REF!)</f>
        <v>#REF!</v>
      </c>
      <c r="I17" s="96" t="e">
        <f>SUM(BS!#REF!)</f>
        <v>#REF!</v>
      </c>
      <c r="J17" s="96" t="e">
        <f>SUM(BS!#REF!)</f>
        <v>#REF!</v>
      </c>
      <c r="K17" s="96" t="e">
        <f>SUM(BS!#REF!)</f>
        <v>#REF!</v>
      </c>
      <c r="L17" s="96" t="e">
        <f>SUM(BS!#REF!)</f>
        <v>#REF!</v>
      </c>
      <c r="M17" s="96" t="e">
        <f>SUM(BS!#REF!)</f>
        <v>#REF!</v>
      </c>
      <c r="N17" s="96" t="e">
        <f>SUM(BS!#REF!)</f>
        <v>#REF!</v>
      </c>
      <c r="O17" s="96" t="e">
        <f>SUM(BS!#REF!)</f>
        <v>#REF!</v>
      </c>
      <c r="P17" s="96" t="e">
        <f>SUM(BS!#REF!)</f>
        <v>#REF!</v>
      </c>
      <c r="Q17" s="96" t="e">
        <f>SUM(BS!#REF!)</f>
        <v>#REF!</v>
      </c>
      <c r="R17" s="42"/>
    </row>
    <row r="18" spans="3:24" ht="12" customHeight="1">
      <c r="C18" s="42" t="str">
        <f>BS!C43</f>
        <v>Total Current Assets</v>
      </c>
      <c r="D18" s="42"/>
      <c r="E18" s="42"/>
      <c r="F18" s="42"/>
      <c r="G18" s="104" t="e">
        <f t="shared" ref="G18:Q18" si="1">SUM(G12,G14,G15,G17)</f>
        <v>#REF!</v>
      </c>
      <c r="H18" s="104" t="e">
        <f t="shared" si="1"/>
        <v>#REF!</v>
      </c>
      <c r="I18" s="104" t="e">
        <f t="shared" si="1"/>
        <v>#REF!</v>
      </c>
      <c r="J18" s="104" t="e">
        <f t="shared" si="1"/>
        <v>#REF!</v>
      </c>
      <c r="K18" s="104" t="e">
        <f t="shared" si="1"/>
        <v>#REF!</v>
      </c>
      <c r="L18" s="104" t="e">
        <f t="shared" si="1"/>
        <v>#REF!</v>
      </c>
      <c r="M18" s="104" t="e">
        <f t="shared" si="1"/>
        <v>#REF!</v>
      </c>
      <c r="N18" s="104" t="e">
        <f t="shared" si="1"/>
        <v>#REF!</v>
      </c>
      <c r="O18" s="104" t="e">
        <f t="shared" si="1"/>
        <v>#REF!</v>
      </c>
      <c r="P18" s="104" t="e">
        <f t="shared" si="1"/>
        <v>#REF!</v>
      </c>
      <c r="Q18" s="104" t="e">
        <f t="shared" si="1"/>
        <v>#REF!</v>
      </c>
      <c r="R18" s="105"/>
    </row>
    <row r="19" spans="3:24" ht="12" customHeight="1">
      <c r="C19" s="42"/>
      <c r="D19" s="42"/>
      <c r="E19" s="42"/>
      <c r="F19" s="42"/>
      <c r="G19" s="96"/>
      <c r="H19" s="96"/>
      <c r="I19" s="96"/>
      <c r="J19" s="96"/>
      <c r="K19" s="96"/>
      <c r="L19" s="96"/>
      <c r="M19" s="96"/>
      <c r="N19" s="96"/>
      <c r="O19" s="96"/>
      <c r="P19" s="96"/>
      <c r="Q19" s="96"/>
      <c r="R19" s="42"/>
    </row>
    <row r="20" spans="3:24" ht="12" customHeight="1">
      <c r="C20" s="93" t="s">
        <v>1441</v>
      </c>
      <c r="D20" s="42"/>
      <c r="E20" s="42"/>
      <c r="F20" s="42"/>
      <c r="G20" s="96"/>
      <c r="H20" s="96"/>
      <c r="I20" s="96"/>
      <c r="J20" s="96"/>
      <c r="K20" s="96"/>
      <c r="L20" s="96"/>
      <c r="M20" s="96"/>
      <c r="N20" s="96"/>
      <c r="O20" s="96"/>
      <c r="P20" s="96"/>
      <c r="Q20" s="96"/>
      <c r="R20" s="42"/>
    </row>
    <row r="21" spans="3:24" ht="12" customHeight="1">
      <c r="C21" s="42"/>
      <c r="D21" s="42"/>
      <c r="E21" s="42"/>
      <c r="F21" s="42"/>
      <c r="G21" s="96" t="e">
        <f>BS!#REF!</f>
        <v>#REF!</v>
      </c>
      <c r="H21" s="96" t="e">
        <f>BS!#REF!</f>
        <v>#REF!</v>
      </c>
      <c r="I21" s="96" t="e">
        <f>BS!#REF!</f>
        <v>#REF!</v>
      </c>
      <c r="J21" s="96" t="e">
        <f>BS!#REF!</f>
        <v>#REF!</v>
      </c>
      <c r="K21" s="96" t="e">
        <f>BS!#REF!</f>
        <v>#REF!</v>
      </c>
      <c r="L21" s="96" t="e">
        <f>BS!#REF!</f>
        <v>#REF!</v>
      </c>
      <c r="M21" s="96" t="e">
        <f>BS!#REF!</f>
        <v>#REF!</v>
      </c>
      <c r="N21" s="96" t="e">
        <f>BS!#REF!</f>
        <v>#REF!</v>
      </c>
      <c r="O21" s="96" t="e">
        <f>BS!#REF!</f>
        <v>#REF!</v>
      </c>
      <c r="P21" s="96" t="e">
        <f>BS!#REF!</f>
        <v>#REF!</v>
      </c>
      <c r="Q21" s="96" t="e">
        <f>BS!#REF!</f>
        <v>#REF!</v>
      </c>
      <c r="R21" s="42"/>
    </row>
    <row r="22" spans="3:24" ht="12" customHeight="1">
      <c r="C22" s="42"/>
      <c r="D22" s="42"/>
      <c r="E22" s="42" t="s">
        <v>1442</v>
      </c>
      <c r="F22" s="42"/>
      <c r="G22" s="95" t="str">
        <f>IF(ISERROR(365/(IS!#REF!/G21)),"NA",(365/(IS!#REF!/G21)))</f>
        <v>NA</v>
      </c>
      <c r="H22" s="95" t="str">
        <f>IF(ISERROR(365/(IS!#REF!/H21)),"NA",(365/(IS!#REF!/H21)))</f>
        <v>NA</v>
      </c>
      <c r="I22" s="95" t="str">
        <f>IF(ISERROR(365/(IS!#REF!/I21)),"NA",(365/(IS!#REF!/I21)))</f>
        <v>NA</v>
      </c>
      <c r="J22" s="95" t="str">
        <f>IF(ISERROR(365/(IS!#REF!/J21)),"NA",(365/(IS!#REF!/J21)))</f>
        <v>NA</v>
      </c>
      <c r="K22" s="95" t="str">
        <f>IF(ISERROR(365/(IS!#REF!/K21)),"NA",(365/(IS!#REF!/K21)))</f>
        <v>NA</v>
      </c>
      <c r="L22" s="95" t="str">
        <f>IF(ISERROR(365/(IS!#REF!/L21)),"NA",(365/(IS!#REF!/L21)))</f>
        <v>NA</v>
      </c>
      <c r="M22" s="95" t="str">
        <f>IF(ISERROR(365/(IS!#REF!/M21)),"NA",(365/(IS!#REF!/M21)))</f>
        <v>NA</v>
      </c>
      <c r="N22" s="95" t="str">
        <f>IF(ISERROR(365/(IS!#REF!/N21)),"NA",(365/(IS!#REF!/N21)))</f>
        <v>NA</v>
      </c>
      <c r="O22" s="95" t="str">
        <f>IF(ISERROR(365/(IS!#REF!/O21)),"NA",(365/(IS!#REF!/O21)))</f>
        <v>NA</v>
      </c>
      <c r="P22" s="95" t="str">
        <f>IF(ISERROR(365/(IS!#REF!/P21)),"NA",(365/(IS!#REF!/P21)))</f>
        <v>NA</v>
      </c>
      <c r="Q22" s="95" t="str">
        <f>IF(ISERROR(365/(IS!#REF!/Q21)),"NA",(365/(IS!#REF!/Q21)))</f>
        <v>NA</v>
      </c>
      <c r="R22" s="42"/>
      <c r="V22" s="39"/>
      <c r="W22" s="39"/>
      <c r="X22" s="39"/>
    </row>
    <row r="23" spans="3:24" ht="12" customHeight="1">
      <c r="C23" s="42"/>
      <c r="D23" s="42" t="s">
        <v>1443</v>
      </c>
      <c r="E23" s="42"/>
      <c r="F23" s="42"/>
      <c r="G23" s="96" t="e">
        <f>SUM(BS!#REF!)</f>
        <v>#REF!</v>
      </c>
      <c r="H23" s="96" t="e">
        <f>SUM(BS!#REF!)</f>
        <v>#REF!</v>
      </c>
      <c r="I23" s="96" t="e">
        <f>SUM(BS!#REF!)</f>
        <v>#REF!</v>
      </c>
      <c r="J23" s="96" t="e">
        <f>SUM(BS!#REF!)</f>
        <v>#REF!</v>
      </c>
      <c r="K23" s="96" t="e">
        <f>SUM(BS!#REF!)</f>
        <v>#REF!</v>
      </c>
      <c r="L23" s="96" t="e">
        <f>SUM(BS!#REF!)</f>
        <v>#REF!</v>
      </c>
      <c r="M23" s="96" t="e">
        <f>SUM(BS!#REF!)</f>
        <v>#REF!</v>
      </c>
      <c r="N23" s="96" t="e">
        <f>SUM(BS!#REF!)</f>
        <v>#REF!</v>
      </c>
      <c r="O23" s="96" t="e">
        <f>SUM(BS!#REF!)</f>
        <v>#REF!</v>
      </c>
      <c r="P23" s="96" t="e">
        <f>SUM(BS!#REF!)</f>
        <v>#REF!</v>
      </c>
      <c r="Q23" s="96" t="e">
        <f>SUM(BS!#REF!)</f>
        <v>#REF!</v>
      </c>
      <c r="R23" s="42"/>
    </row>
    <row r="24" spans="3:24" ht="12" customHeight="1">
      <c r="C24" s="42"/>
      <c r="D24" s="42" t="s">
        <v>1444</v>
      </c>
      <c r="E24" s="42"/>
      <c r="F24" s="42"/>
      <c r="G24" s="96" t="e">
        <f>SUM(BS!#REF!,BS!#REF!,BS!#REF!)</f>
        <v>#REF!</v>
      </c>
      <c r="H24" s="96" t="e">
        <f>SUM(BS!#REF!,BS!#REF!,BS!#REF!)</f>
        <v>#REF!</v>
      </c>
      <c r="I24" s="96" t="e">
        <f>SUM(BS!#REF!,BS!#REF!,BS!#REF!)</f>
        <v>#REF!</v>
      </c>
      <c r="J24" s="96" t="e">
        <f>SUM(BS!#REF!,BS!#REF!,BS!#REF!)</f>
        <v>#REF!</v>
      </c>
      <c r="K24" s="96" t="e">
        <f>SUM(BS!#REF!,BS!#REF!,BS!#REF!)</f>
        <v>#REF!</v>
      </c>
      <c r="L24" s="96" t="e">
        <f>SUM(BS!#REF!,BS!#REF!,BS!#REF!)</f>
        <v>#REF!</v>
      </c>
      <c r="M24" s="96" t="e">
        <f>SUM(BS!#REF!,BS!#REF!,BS!#REF!)</f>
        <v>#REF!</v>
      </c>
      <c r="N24" s="96" t="e">
        <f>SUM(BS!#REF!,BS!#REF!,BS!#REF!)</f>
        <v>#REF!</v>
      </c>
      <c r="O24" s="96" t="e">
        <f>SUM(BS!#REF!,BS!#REF!,BS!#REF!)</f>
        <v>#REF!</v>
      </c>
      <c r="P24" s="96" t="e">
        <f>SUM(BS!#REF!,BS!#REF!,BS!#REF!)</f>
        <v>#REF!</v>
      </c>
      <c r="Q24" s="96" t="e">
        <f>SUM(BS!#REF!,BS!#REF!,BS!#REF!)</f>
        <v>#REF!</v>
      </c>
      <c r="R24" s="42"/>
    </row>
    <row r="25" spans="3:24" ht="12" customHeight="1">
      <c r="C25" s="42" t="s">
        <v>1445</v>
      </c>
      <c r="D25" s="42"/>
      <c r="E25" s="42"/>
      <c r="F25" s="42"/>
      <c r="G25" s="104" t="e">
        <f t="shared" ref="G25:Q25" si="2">SUM(G21,G23,G24)</f>
        <v>#REF!</v>
      </c>
      <c r="H25" s="104" t="e">
        <f t="shared" si="2"/>
        <v>#REF!</v>
      </c>
      <c r="I25" s="104" t="e">
        <f t="shared" si="2"/>
        <v>#REF!</v>
      </c>
      <c r="J25" s="104" t="e">
        <f t="shared" si="2"/>
        <v>#REF!</v>
      </c>
      <c r="K25" s="104" t="e">
        <f t="shared" si="2"/>
        <v>#REF!</v>
      </c>
      <c r="L25" s="104" t="e">
        <f t="shared" si="2"/>
        <v>#REF!</v>
      </c>
      <c r="M25" s="104" t="e">
        <f t="shared" si="2"/>
        <v>#REF!</v>
      </c>
      <c r="N25" s="104" t="e">
        <f t="shared" si="2"/>
        <v>#REF!</v>
      </c>
      <c r="O25" s="104" t="e">
        <f t="shared" si="2"/>
        <v>#REF!</v>
      </c>
      <c r="P25" s="104" t="e">
        <f t="shared" si="2"/>
        <v>#REF!</v>
      </c>
      <c r="Q25" s="104" t="e">
        <f t="shared" si="2"/>
        <v>#REF!</v>
      </c>
      <c r="R25" s="105"/>
    </row>
    <row r="26" spans="3:24" ht="12" customHeight="1">
      <c r="C26" s="42"/>
      <c r="D26" s="42"/>
      <c r="E26" s="42"/>
      <c r="F26" s="42"/>
      <c r="G26" s="96"/>
      <c r="H26" s="96"/>
      <c r="I26" s="96"/>
      <c r="J26" s="96"/>
      <c r="K26" s="96"/>
      <c r="L26" s="96"/>
      <c r="M26" s="96"/>
      <c r="N26" s="96"/>
      <c r="O26" s="96"/>
      <c r="P26" s="96"/>
      <c r="Q26" s="96"/>
      <c r="R26" s="42"/>
    </row>
    <row r="27" spans="3:24" ht="12" customHeight="1">
      <c r="C27" s="93" t="s">
        <v>1446</v>
      </c>
      <c r="D27" s="42"/>
      <c r="E27" s="42"/>
      <c r="F27" s="42" t="s">
        <v>1447</v>
      </c>
      <c r="G27" s="102" t="e">
        <f t="shared" ref="G27:L27" si="3">SUM(G18,-G25)</f>
        <v>#REF!</v>
      </c>
      <c r="H27" s="102" t="e">
        <f t="shared" si="3"/>
        <v>#REF!</v>
      </c>
      <c r="I27" s="102" t="e">
        <f t="shared" si="3"/>
        <v>#REF!</v>
      </c>
      <c r="J27" s="102" t="e">
        <f t="shared" si="3"/>
        <v>#REF!</v>
      </c>
      <c r="K27" s="102" t="e">
        <f t="shared" si="3"/>
        <v>#REF!</v>
      </c>
      <c r="L27" s="102" t="e">
        <f t="shared" si="3"/>
        <v>#REF!</v>
      </c>
      <c r="M27" s="102">
        <f>IF(ISERROR(M29*M30),0,IF(wc.toggle="Forecast",SUM(M18,-M25),M29*M30))</f>
        <v>0</v>
      </c>
      <c r="N27" s="102">
        <f>IF(ISERROR(N29*N30),0,IF(wc.toggle="Forecast",SUM(N18,-N25),N29*N30))</f>
        <v>0</v>
      </c>
      <c r="O27" s="102">
        <f>IF(ISERROR(O29*O30),0,IF(wc.toggle="Forecast",SUM(O18,-O25),O29*O30))</f>
        <v>0</v>
      </c>
      <c r="P27" s="102">
        <f>IF(ISERROR(P29*P30),0,IF(wc.toggle="Forecast",SUM(P18,-P25),P29*P30))</f>
        <v>0</v>
      </c>
      <c r="Q27" s="102">
        <f>IF(ISERROR(Q29*Q30),0,IF(wc.toggle="Forecast",SUM(Q18,-Q25),Q29*Q30))</f>
        <v>0</v>
      </c>
      <c r="R27" s="103">
        <f>IF(ISERROR(R29*R30),0,IF(wc.toggle="Forecast",R29*Q30,R29*R30))</f>
        <v>0</v>
      </c>
      <c r="U27" s="70"/>
      <c r="V27" s="41"/>
      <c r="W27" s="41"/>
      <c r="X27" s="41"/>
    </row>
    <row r="28" spans="3:24" ht="12" customHeight="1">
      <c r="C28" s="42"/>
      <c r="D28" s="42"/>
      <c r="E28" s="42"/>
      <c r="F28" s="42"/>
      <c r="G28" s="96"/>
      <c r="H28" s="96"/>
      <c r="I28" s="96"/>
      <c r="J28" s="96"/>
      <c r="K28" s="96"/>
      <c r="L28" s="96"/>
      <c r="M28" s="96"/>
      <c r="N28" s="96"/>
      <c r="O28" s="96"/>
      <c r="P28" s="96"/>
      <c r="Q28" s="96"/>
      <c r="R28" s="96"/>
      <c r="U28" s="57"/>
    </row>
    <row r="29" spans="3:24" ht="12" customHeight="1">
      <c r="C29" s="42"/>
      <c r="D29" s="42" t="s">
        <v>233</v>
      </c>
      <c r="E29" s="42"/>
      <c r="F29" s="42"/>
      <c r="G29" s="94" t="e">
        <f>IS!#REF!</f>
        <v>#REF!</v>
      </c>
      <c r="H29" s="94" t="e">
        <f>IS!#REF!</f>
        <v>#REF!</v>
      </c>
      <c r="I29" s="94" t="e">
        <f>IS!#REF!</f>
        <v>#REF!</v>
      </c>
      <c r="J29" s="94" t="e">
        <f>IS!#REF!</f>
        <v>#REF!</v>
      </c>
      <c r="K29" s="94" t="e">
        <f>IS!#REF!</f>
        <v>#REF!</v>
      </c>
      <c r="L29" s="94" t="e">
        <f>IS!#REF!</f>
        <v>#REF!</v>
      </c>
      <c r="M29" s="94" t="e">
        <f>IS!#REF!</f>
        <v>#REF!</v>
      </c>
      <c r="N29" s="94" t="e">
        <f>IS!#REF!</f>
        <v>#REF!</v>
      </c>
      <c r="O29" s="94" t="e">
        <f>IS!#REF!</f>
        <v>#REF!</v>
      </c>
      <c r="P29" s="94" t="e">
        <f>IS!#REF!</f>
        <v>#REF!</v>
      </c>
      <c r="Q29" s="94" t="e">
        <f>IS!#REF!</f>
        <v>#REF!</v>
      </c>
      <c r="R29" s="94" t="e">
        <f>IS!#REF!</f>
        <v>#REF!</v>
      </c>
      <c r="U29" s="69"/>
    </row>
    <row r="30" spans="3:24" s="39" customFormat="1" ht="12" customHeight="1">
      <c r="C30" s="42"/>
      <c r="D30" s="42" t="s">
        <v>1448</v>
      </c>
      <c r="E30" s="42"/>
      <c r="F30" s="42"/>
      <c r="G30" s="97" t="str">
        <f t="shared" ref="G30:L30" si="4">IF(ISERROR(G27/G29),"NA",(G27/G29))</f>
        <v>NA</v>
      </c>
      <c r="H30" s="97" t="str">
        <f t="shared" si="4"/>
        <v>NA</v>
      </c>
      <c r="I30" s="97" t="str">
        <f t="shared" si="4"/>
        <v>NA</v>
      </c>
      <c r="J30" s="97" t="str">
        <f t="shared" si="4"/>
        <v>NA</v>
      </c>
      <c r="K30" s="97" t="str">
        <f t="shared" si="4"/>
        <v>NA</v>
      </c>
      <c r="L30" s="97" t="str">
        <f t="shared" si="4"/>
        <v>NA</v>
      </c>
      <c r="M30" s="97">
        <f>IF(wc.toggle="Forecast",(M27/M29),'Capex, Dep, WC'!$J$153)</f>
        <v>0</v>
      </c>
      <c r="N30" s="97">
        <f>IF(wc.toggle="Forecast",(N27/N29),'Capex, Dep, WC'!$J$153)</f>
        <v>0</v>
      </c>
      <c r="O30" s="97">
        <f>IF(wc.toggle="Forecast",(O27/O29),'Capex, Dep, WC'!$J$153)</f>
        <v>0</v>
      </c>
      <c r="P30" s="97">
        <f>IF(wc.toggle="Forecast",(P27/P29),'Capex, Dep, WC'!$J$153)</f>
        <v>0</v>
      </c>
      <c r="Q30" s="97">
        <f>IF(wc.toggle="Forecast",(Q27/Q29),'Capex, Dep, WC'!$J$153)</f>
        <v>0</v>
      </c>
      <c r="R30" s="97">
        <f>IF(wc.toggle="Forecast",(R27/R29),'Capex, Dep, WC'!$J$153)</f>
        <v>0</v>
      </c>
      <c r="U30" s="68"/>
    </row>
    <row r="31" spans="3:24" ht="12" customHeight="1">
      <c r="C31" s="42"/>
      <c r="D31" s="42" t="s">
        <v>1449</v>
      </c>
      <c r="E31" s="42"/>
      <c r="F31" s="42"/>
      <c r="G31" s="94" t="s">
        <v>1450</v>
      </c>
      <c r="H31" s="94" t="e">
        <f>H27-G27</f>
        <v>#REF!</v>
      </c>
      <c r="I31" s="94" t="e">
        <f>I27-H27</f>
        <v>#REF!</v>
      </c>
      <c r="J31" s="94" t="e">
        <f>J27-I27</f>
        <v>#REF!</v>
      </c>
      <c r="K31" s="94" t="e">
        <f>K27-J27</f>
        <v>#REF!</v>
      </c>
      <c r="L31" s="94" t="e">
        <f>L27-K27</f>
        <v>#REF!</v>
      </c>
      <c r="M31" s="94" t="e">
        <f>M27-L35</f>
        <v>#REF!</v>
      </c>
      <c r="N31" s="94">
        <f>N27-M27</f>
        <v>0</v>
      </c>
      <c r="O31" s="94">
        <f>O27-N27</f>
        <v>0</v>
      </c>
      <c r="P31" s="94">
        <f>P27-O27</f>
        <v>0</v>
      </c>
      <c r="Q31" s="94">
        <f>Q27-P27</f>
        <v>0</v>
      </c>
      <c r="R31" s="94">
        <f>R27-Q27</f>
        <v>0</v>
      </c>
      <c r="U31" s="69"/>
    </row>
    <row r="32" spans="3:24" s="39" customFormat="1" ht="12" customHeight="1">
      <c r="C32" s="42"/>
      <c r="D32" s="42" t="s">
        <v>1451</v>
      </c>
      <c r="E32" s="42"/>
      <c r="F32" s="42"/>
      <c r="G32" s="97" t="s">
        <v>1450</v>
      </c>
      <c r="H32" s="97" t="str">
        <f t="shared" ref="H32:Q32" si="5">IF(ISERROR(H31/(H29-G29)),"NA",H31/(H29-G29))</f>
        <v>NA</v>
      </c>
      <c r="I32" s="97" t="str">
        <f t="shared" si="5"/>
        <v>NA</v>
      </c>
      <c r="J32" s="97" t="str">
        <f t="shared" si="5"/>
        <v>NA</v>
      </c>
      <c r="K32" s="97" t="str">
        <f t="shared" si="5"/>
        <v>NA</v>
      </c>
      <c r="L32" s="97" t="str">
        <f t="shared" si="5"/>
        <v>NA</v>
      </c>
      <c r="M32" s="97" t="str">
        <f t="shared" si="5"/>
        <v>NA</v>
      </c>
      <c r="N32" s="97" t="str">
        <f t="shared" si="5"/>
        <v>NA</v>
      </c>
      <c r="O32" s="97" t="str">
        <f t="shared" si="5"/>
        <v>NA</v>
      </c>
      <c r="P32" s="97" t="str">
        <f t="shared" si="5"/>
        <v>NA</v>
      </c>
      <c r="Q32" s="97" t="str">
        <f t="shared" si="5"/>
        <v>NA</v>
      </c>
      <c r="R32" s="97" t="str">
        <f>IF(ISERROR(R31/(R29-Q29)),"NA",R31/(R29-Q29))</f>
        <v>NA</v>
      </c>
    </row>
    <row r="33" spans="3:20" s="39" customFormat="1" ht="12" customHeight="1">
      <c r="C33" s="42"/>
      <c r="D33" s="42"/>
      <c r="E33" s="42"/>
      <c r="F33" s="42"/>
      <c r="G33" s="97"/>
      <c r="H33" s="97"/>
      <c r="I33" s="97"/>
      <c r="J33" s="97"/>
      <c r="K33" s="97"/>
      <c r="L33" s="97"/>
      <c r="M33" s="97"/>
      <c r="N33" s="97"/>
      <c r="O33" s="97"/>
      <c r="P33" s="97"/>
      <c r="Q33" s="97"/>
      <c r="R33" s="97"/>
      <c r="T33" s="68"/>
    </row>
    <row r="34" spans="3:20" ht="12" customHeight="1">
      <c r="C34" s="93" t="str">
        <f>IF(wc.toggle="Guidelines","Working Capital Surplus","")</f>
        <v>Working Capital Surplus</v>
      </c>
      <c r="D34" s="42"/>
      <c r="E34" s="42"/>
      <c r="F34" s="42"/>
      <c r="G34" s="42"/>
      <c r="H34" s="42"/>
      <c r="I34" s="42"/>
      <c r="J34" s="42"/>
      <c r="K34" s="42"/>
      <c r="L34" s="98" t="e">
        <f>L27-L35</f>
        <v>#REF!</v>
      </c>
      <c r="M34" s="42"/>
      <c r="N34" s="42"/>
      <c r="O34" s="42"/>
      <c r="P34" s="42"/>
      <c r="Q34" s="42"/>
      <c r="R34" s="42"/>
    </row>
    <row r="35" spans="3:20" ht="12" customHeight="1">
      <c r="C35" s="99" t="str">
        <f>IF(wc.toggle="Guidelines","Normalized Working Capital Requirement","")</f>
        <v>Normalized Working Capital Requirement</v>
      </c>
      <c r="D35" s="100"/>
      <c r="E35" s="100"/>
      <c r="F35" s="100"/>
      <c r="G35" s="100"/>
      <c r="H35" s="100"/>
      <c r="I35" s="100"/>
      <c r="J35" s="100"/>
      <c r="K35" s="100"/>
      <c r="L35" s="101" t="e">
        <f>IF(wc.toggle="Guidelines",L29*'Capex, Dep, WC'!J153)</f>
        <v>#REF!</v>
      </c>
      <c r="M35" s="100"/>
      <c r="N35" s="100"/>
      <c r="O35" s="100"/>
      <c r="P35" s="100"/>
      <c r="Q35" s="100"/>
      <c r="R35" s="100"/>
    </row>
    <row r="36" spans="3:20" ht="10.5">
      <c r="C36" s="41"/>
      <c r="L36" s="84"/>
    </row>
    <row r="37" spans="3:20">
      <c r="D37" s="47"/>
    </row>
    <row r="41" spans="3:20" ht="10.5">
      <c r="L41" s="41"/>
      <c r="M41" s="85"/>
      <c r="N41" s="85"/>
      <c r="O41" s="85"/>
      <c r="P41" s="85"/>
      <c r="Q41" s="85"/>
      <c r="R41" s="85"/>
    </row>
  </sheetData>
  <dataValidations count="2">
    <dataValidation type="list" allowBlank="1" showInputMessage="1" showErrorMessage="1" sqref="F27" xr:uid="{00000000-0002-0000-1000-000000000000}">
      <formula1>"Forecast, Guidelines"</formula1>
    </dataValidation>
    <dataValidation allowBlank="1" showErrorMessage="1" sqref="G8:R8" xr:uid="{00000000-0002-0000-1000-000001000000}"/>
  </dataValidations>
  <printOptions horizontalCentered="1"/>
  <pageMargins left="0.5" right="0.5" top="0.75" bottom="0.5" header="0.25" footer="0.25"/>
  <pageSetup scale="54" orientation="landscape" r:id="rId1"/>
  <headerFooter alignWithMargins="0">
    <oddHeader>&amp;R&amp;"Arial"&amp;8&amp;K000000Confidential&amp;1#</oddHead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theme="9" tint="-9.9978637043366805E-2"/>
    <pageSetUpPr fitToPage="1"/>
  </sheetPr>
  <dimension ref="A2:AW87"/>
  <sheetViews>
    <sheetView showGridLines="0" topLeftCell="I1" zoomScale="70" zoomScaleNormal="85" zoomScaleSheetLayoutView="85" workbookViewId="0">
      <selection activeCell="I12" sqref="I12"/>
    </sheetView>
  </sheetViews>
  <sheetFormatPr defaultColWidth="8.84375" defaultRowHeight="10.5" outlineLevelRow="1" outlineLevelCol="1"/>
  <cols>
    <col min="1" max="1" width="1.921875" style="463" customWidth="1"/>
    <col min="2" max="2" width="2.84375" style="433" customWidth="1"/>
    <col min="3" max="3" width="21.84375" style="433" customWidth="1"/>
    <col min="4" max="4" width="10.15234375" style="433" customWidth="1"/>
    <col min="5" max="5" width="9.07421875" style="433" customWidth="1"/>
    <col min="6" max="8" width="9.4609375" style="433" customWidth="1"/>
    <col min="9" max="16" width="8.53515625" style="433" customWidth="1" outlineLevel="1"/>
    <col min="17" max="19" width="8.15234375" style="433" customWidth="1" outlineLevel="1"/>
    <col min="20" max="22" width="8.84375" style="433" customWidth="1" outlineLevel="1"/>
    <col min="23" max="25" width="7.84375" style="433" customWidth="1"/>
    <col min="26" max="26" width="8.53515625" style="433" customWidth="1"/>
    <col min="27" max="28" width="7.07421875" style="433" customWidth="1"/>
    <col min="29" max="31" width="7.84375" style="433" customWidth="1"/>
    <col min="32" max="37" width="7.15234375" style="433" hidden="1" customWidth="1" outlineLevel="1"/>
    <col min="38" max="42" width="7.61328125" style="433" hidden="1" customWidth="1" outlineLevel="1"/>
    <col min="43" max="43" width="8.61328125" style="433" hidden="1" customWidth="1" outlineLevel="1"/>
    <col min="44" max="44" width="9.4609375" style="433" hidden="1" customWidth="1" outlineLevel="1"/>
    <col min="45" max="45" width="7.53515625" style="433" customWidth="1" collapsed="1"/>
    <col min="46" max="46" width="3.84375" style="433" customWidth="1"/>
    <col min="47" max="47" width="3.15234375" style="433" customWidth="1"/>
    <col min="48" max="48" width="14" style="433" bestFit="1" customWidth="1"/>
    <col min="49" max="16384" width="8.84375" style="433"/>
  </cols>
  <sheetData>
    <row r="2" spans="1:49" s="618" customFormat="1">
      <c r="A2" s="981"/>
      <c r="B2" s="245" t="str">
        <f>Inputs!$B$2</f>
        <v>Valify - UAE Valuation Services</v>
      </c>
      <c r="C2" s="982"/>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983"/>
      <c r="AG2" s="983"/>
      <c r="AH2" s="983"/>
      <c r="AI2" s="983"/>
      <c r="AJ2" s="983"/>
      <c r="AK2" s="983"/>
      <c r="AL2" s="462"/>
      <c r="AM2" s="462"/>
      <c r="AN2" s="462"/>
      <c r="AO2" s="462"/>
      <c r="AP2" s="462"/>
      <c r="AQ2" s="462"/>
      <c r="AR2" s="462"/>
      <c r="AS2" s="462"/>
      <c r="AT2" s="984"/>
      <c r="AV2" s="433"/>
      <c r="AW2" s="433"/>
    </row>
    <row r="3" spans="1:49" s="618" customFormat="1" ht="13.25" customHeight="1">
      <c r="A3" s="981"/>
      <c r="B3" s="247" t="str">
        <f>Inputs!$B$3</f>
        <v>Aerial Arts India XXXXXXXXXXXXXXXXX - Self Valuation using DCF Method, Transaction Multiples Method, &amp; Market Multiples Method as at September 30, 2024</v>
      </c>
      <c r="C3" s="985"/>
      <c r="D3" s="745"/>
      <c r="E3" s="745"/>
      <c r="F3" s="745"/>
      <c r="G3" s="745"/>
      <c r="H3" s="745"/>
      <c r="I3" s="745"/>
      <c r="J3" s="745"/>
      <c r="K3" s="745"/>
      <c r="L3" s="745"/>
      <c r="M3" s="745"/>
      <c r="N3" s="745"/>
      <c r="O3" s="745"/>
      <c r="P3" s="745"/>
      <c r="Q3" s="745"/>
      <c r="R3" s="745"/>
      <c r="S3" s="745"/>
      <c r="T3" s="745"/>
      <c r="U3" s="745"/>
      <c r="V3" s="745"/>
      <c r="W3" s="986"/>
      <c r="X3" s="987"/>
      <c r="Y3" s="987"/>
      <c r="Z3" s="745"/>
      <c r="AA3" s="745"/>
      <c r="AB3" s="745"/>
      <c r="AC3" s="745"/>
      <c r="AD3" s="745"/>
      <c r="AE3" s="745"/>
      <c r="AF3" s="742"/>
      <c r="AG3" s="742"/>
      <c r="AH3" s="742"/>
      <c r="AI3" s="742"/>
      <c r="AJ3" s="742"/>
      <c r="AK3" s="742"/>
      <c r="AL3" s="462"/>
      <c r="AM3" s="462"/>
      <c r="AN3" s="462"/>
      <c r="AO3" s="462"/>
      <c r="AP3" s="462"/>
      <c r="AQ3" s="462"/>
      <c r="AR3" s="462"/>
      <c r="AS3" s="462"/>
      <c r="AT3" s="988"/>
      <c r="AV3" s="433"/>
      <c r="AW3" s="433"/>
    </row>
    <row r="4" spans="1:49" s="990" customFormat="1">
      <c r="A4" s="989"/>
      <c r="B4" s="248" t="s">
        <v>1466</v>
      </c>
      <c r="C4" s="985"/>
      <c r="D4" s="745"/>
      <c r="E4" s="745"/>
      <c r="F4" s="745"/>
      <c r="G4" s="745"/>
      <c r="H4" s="745"/>
      <c r="I4" s="745"/>
      <c r="J4" s="745"/>
      <c r="K4" s="745"/>
      <c r="L4" s="745"/>
      <c r="M4" s="745"/>
      <c r="N4" s="745"/>
      <c r="O4" s="745"/>
      <c r="P4" s="745"/>
      <c r="Q4" s="745"/>
      <c r="R4" s="745"/>
      <c r="S4" s="745"/>
      <c r="T4" s="745"/>
      <c r="U4" s="745"/>
      <c r="V4" s="745"/>
      <c r="W4" s="745"/>
      <c r="X4" s="745"/>
      <c r="Y4" s="745"/>
      <c r="Z4" s="745"/>
      <c r="AA4" s="745"/>
      <c r="AB4" s="745"/>
      <c r="AC4" s="745"/>
      <c r="AD4" s="745"/>
      <c r="AE4" s="745"/>
      <c r="AF4" s="745"/>
      <c r="AG4" s="745"/>
      <c r="AH4" s="745"/>
      <c r="AI4" s="745"/>
      <c r="AJ4" s="745"/>
      <c r="AK4" s="745"/>
      <c r="AL4" s="745"/>
      <c r="AM4" s="745"/>
      <c r="AN4" s="745"/>
      <c r="AO4" s="745"/>
      <c r="AP4" s="745"/>
      <c r="AQ4" s="745"/>
      <c r="AR4" s="745"/>
      <c r="AS4" s="745"/>
      <c r="AT4" s="988" t="str">
        <f>valuation.date.header</f>
        <v>Valuation Date:  September 30, 2024</v>
      </c>
      <c r="AV4" s="433"/>
      <c r="AW4" s="433"/>
    </row>
    <row r="5" spans="1:49" s="254" customFormat="1" ht="5" customHeight="1" thickBot="1">
      <c r="A5" s="991"/>
      <c r="B5" s="992"/>
      <c r="C5" s="993"/>
      <c r="D5" s="993"/>
      <c r="E5" s="994"/>
      <c r="F5" s="993"/>
      <c r="G5" s="993"/>
      <c r="H5" s="993"/>
      <c r="I5" s="993"/>
      <c r="J5" s="993"/>
      <c r="K5" s="993"/>
      <c r="L5" s="993"/>
      <c r="M5" s="993"/>
      <c r="N5" s="993"/>
      <c r="O5" s="993"/>
      <c r="P5" s="993"/>
      <c r="Q5" s="993"/>
      <c r="R5" s="993"/>
      <c r="S5" s="993"/>
      <c r="T5" s="993"/>
      <c r="U5" s="993"/>
      <c r="V5" s="993"/>
      <c r="W5" s="993"/>
      <c r="X5" s="993"/>
      <c r="Y5" s="993"/>
      <c r="Z5" s="993"/>
      <c r="AA5" s="993"/>
      <c r="AB5" s="993"/>
      <c r="AC5" s="993"/>
      <c r="AD5" s="993"/>
      <c r="AE5" s="993"/>
      <c r="AF5" s="992"/>
      <c r="AG5" s="992"/>
      <c r="AH5" s="992"/>
      <c r="AI5" s="992"/>
      <c r="AJ5" s="992"/>
      <c r="AK5" s="992"/>
      <c r="AL5" s="992"/>
      <c r="AM5" s="992"/>
      <c r="AN5" s="992"/>
      <c r="AO5" s="992"/>
      <c r="AP5" s="992"/>
      <c r="AQ5" s="992"/>
      <c r="AR5" s="992"/>
      <c r="AS5" s="993"/>
      <c r="AT5" s="993"/>
      <c r="AU5" s="993"/>
    </row>
    <row r="6" spans="1:49" s="603" customFormat="1" ht="11" thickTop="1">
      <c r="A6" s="995"/>
      <c r="N6" s="995"/>
      <c r="O6" s="995"/>
      <c r="P6" s="995"/>
      <c r="Q6" s="995"/>
      <c r="R6" s="995"/>
      <c r="S6" s="995"/>
      <c r="T6" s="995"/>
      <c r="U6" s="995"/>
      <c r="V6" s="995"/>
      <c r="W6" s="995"/>
      <c r="X6" s="995"/>
      <c r="Y6" s="995"/>
      <c r="Z6" s="995"/>
      <c r="AA6" s="995"/>
      <c r="AB6" s="995"/>
      <c r="AC6" s="995"/>
      <c r="AD6" s="995"/>
      <c r="AE6" s="995"/>
      <c r="AF6" s="995"/>
      <c r="AG6" s="995"/>
      <c r="AH6" s="995"/>
      <c r="AI6" s="995"/>
      <c r="AJ6" s="995"/>
      <c r="AK6" s="995"/>
      <c r="AL6" s="995"/>
      <c r="AM6" s="995"/>
      <c r="AN6" s="995"/>
      <c r="AO6" s="995"/>
      <c r="AP6" s="995"/>
      <c r="AQ6" s="995"/>
    </row>
    <row r="7" spans="1:49" s="724" customFormat="1">
      <c r="A7" s="996"/>
      <c r="C7" s="1791" t="str">
        <f>"As of "&amp;TEXT(valuation.date,"mmm d, 'yy")</f>
        <v>As of Sep 30, '24</v>
      </c>
      <c r="D7" s="1791"/>
      <c r="E7" s="1791"/>
      <c r="F7" s="1791"/>
      <c r="G7" s="1791"/>
      <c r="H7" s="1791"/>
      <c r="I7" s="1791" t="s">
        <v>2388</v>
      </c>
      <c r="J7" s="997" t="s">
        <v>2389</v>
      </c>
      <c r="K7" s="1791" t="s">
        <v>2005</v>
      </c>
      <c r="L7" s="1791"/>
      <c r="M7" s="1791"/>
      <c r="N7" s="1791" t="s">
        <v>1902</v>
      </c>
      <c r="O7" s="1791"/>
      <c r="P7" s="1791"/>
      <c r="Q7" s="1791" t="s">
        <v>1467</v>
      </c>
      <c r="R7" s="1791"/>
      <c r="S7" s="1791"/>
      <c r="T7" s="1791" t="s">
        <v>1468</v>
      </c>
      <c r="U7" s="1791"/>
      <c r="V7" s="1791"/>
      <c r="W7" s="1791" t="s">
        <v>1469</v>
      </c>
      <c r="X7" s="1791"/>
      <c r="Y7" s="1791"/>
      <c r="Z7" s="1791" t="s">
        <v>1470</v>
      </c>
      <c r="AA7" s="1791"/>
      <c r="AB7" s="1791"/>
      <c r="AC7" s="1791" t="s">
        <v>1471</v>
      </c>
      <c r="AD7" s="1791"/>
      <c r="AE7" s="1791"/>
      <c r="AF7" s="1790" t="s">
        <v>1472</v>
      </c>
      <c r="AG7" s="1790"/>
      <c r="AH7" s="1790"/>
      <c r="AI7" s="1790"/>
      <c r="AJ7" s="1790"/>
      <c r="AK7" s="1790"/>
      <c r="AL7" s="1790" t="s">
        <v>1473</v>
      </c>
      <c r="AM7" s="1790"/>
      <c r="AN7" s="1790"/>
      <c r="AO7" s="1790"/>
      <c r="AP7" s="1790"/>
      <c r="AQ7" s="1790"/>
      <c r="AR7" s="998" t="s">
        <v>1474</v>
      </c>
    </row>
    <row r="8" spans="1:49" ht="40.25" customHeight="1" thickBot="1">
      <c r="C8" s="999" t="s">
        <v>94</v>
      </c>
      <c r="D8" s="1000" t="s">
        <v>96</v>
      </c>
      <c r="E8" s="1001" t="s">
        <v>1475</v>
      </c>
      <c r="F8" s="1001" t="s">
        <v>2384</v>
      </c>
      <c r="G8" s="1001" t="s">
        <v>2385</v>
      </c>
      <c r="H8" s="1002" t="s">
        <v>1476</v>
      </c>
      <c r="I8" s="1001" t="s">
        <v>138</v>
      </c>
      <c r="J8" s="1001" t="s">
        <v>138</v>
      </c>
      <c r="K8" s="999" t="s">
        <v>1477</v>
      </c>
      <c r="L8" s="999" t="s">
        <v>138</v>
      </c>
      <c r="M8" s="1001" t="s">
        <v>136</v>
      </c>
      <c r="N8" s="1001" t="s">
        <v>1477</v>
      </c>
      <c r="O8" s="1001" t="s">
        <v>138</v>
      </c>
      <c r="P8" s="1001" t="s">
        <v>136</v>
      </c>
      <c r="Q8" s="1001" t="s">
        <v>1477</v>
      </c>
      <c r="R8" s="1001" t="s">
        <v>138</v>
      </c>
      <c r="S8" s="1001" t="s">
        <v>136</v>
      </c>
      <c r="T8" s="1001" t="s">
        <v>1477</v>
      </c>
      <c r="U8" s="1001" t="s">
        <v>138</v>
      </c>
      <c r="V8" s="1001" t="s">
        <v>136</v>
      </c>
      <c r="W8" s="1001" t="s">
        <v>1477</v>
      </c>
      <c r="X8" s="1001" t="s">
        <v>138</v>
      </c>
      <c r="Y8" s="1001" t="s">
        <v>136</v>
      </c>
      <c r="Z8" s="1001" t="s">
        <v>1477</v>
      </c>
      <c r="AA8" s="1001" t="s">
        <v>138</v>
      </c>
      <c r="AB8" s="1001" t="s">
        <v>136</v>
      </c>
      <c r="AC8" s="1001" t="s">
        <v>1477</v>
      </c>
      <c r="AD8" s="1001" t="s">
        <v>138</v>
      </c>
      <c r="AE8" s="1001" t="s">
        <v>136</v>
      </c>
      <c r="AF8" s="1003" t="s">
        <v>1477</v>
      </c>
      <c r="AG8" s="1003" t="s">
        <v>138</v>
      </c>
      <c r="AH8" s="1004" t="s">
        <v>136</v>
      </c>
      <c r="AI8" s="1003" t="s">
        <v>156</v>
      </c>
      <c r="AJ8" s="1003" t="s">
        <v>158</v>
      </c>
      <c r="AK8" s="1003" t="s">
        <v>1478</v>
      </c>
      <c r="AL8" s="1003" t="s">
        <v>1477</v>
      </c>
      <c r="AM8" s="1003" t="s">
        <v>138</v>
      </c>
      <c r="AN8" s="1004" t="s">
        <v>136</v>
      </c>
      <c r="AO8" s="1003" t="s">
        <v>156</v>
      </c>
      <c r="AP8" s="1003" t="s">
        <v>158</v>
      </c>
      <c r="AQ8" s="1004" t="s">
        <v>1478</v>
      </c>
      <c r="AR8" s="1004" t="s">
        <v>138</v>
      </c>
      <c r="AV8" s="755" t="s">
        <v>1455</v>
      </c>
    </row>
    <row r="9" spans="1:49" ht="11" thickBot="1">
      <c r="B9" s="669">
        <v>1</v>
      </c>
      <c r="C9" s="689" t="str">
        <f>'GPC Data'!E294</f>
        <v>Comp 1</v>
      </c>
      <c r="D9" s="1005">
        <f>'GPC Data'!H22</f>
        <v>0</v>
      </c>
      <c r="E9" s="1006">
        <f>'GPC Data'!P22</f>
        <v>0</v>
      </c>
      <c r="F9" s="1007">
        <f>'GPC Data'!I22</f>
        <v>0</v>
      </c>
      <c r="G9" s="1007"/>
      <c r="H9" s="1007">
        <f>'GPC Data'!F294</f>
        <v>0</v>
      </c>
      <c r="I9" s="1008">
        <f>'GPC Data'!I124</f>
        <v>0</v>
      </c>
      <c r="J9" s="1008">
        <f>'GPC Data'!Q124</f>
        <v>0</v>
      </c>
      <c r="K9" s="1009">
        <f>'GPC Data'!L158</f>
        <v>0</v>
      </c>
      <c r="L9" s="1008">
        <f>'GPC Data'!M158</f>
        <v>0</v>
      </c>
      <c r="M9" s="1008">
        <f>'GPC Data'!N158</f>
        <v>0</v>
      </c>
      <c r="N9" s="1010">
        <f>'GPC Data'!F192</f>
        <v>0</v>
      </c>
      <c r="O9" s="1011">
        <f>'GPC Data'!G192</f>
        <v>0</v>
      </c>
      <c r="P9" s="1011">
        <f>'GPC Data'!H192</f>
        <v>0</v>
      </c>
      <c r="Q9" s="1010">
        <f>'GPC Data'!O192</f>
        <v>0</v>
      </c>
      <c r="R9" s="1011">
        <f>'GPC Data'!P192</f>
        <v>0</v>
      </c>
      <c r="S9" s="1011">
        <f>'GPC Data'!Q192</f>
        <v>0</v>
      </c>
      <c r="T9" s="1010">
        <f>'GPC Data'!X192</f>
        <v>0</v>
      </c>
      <c r="U9" s="1011">
        <f>'GPC Data'!Y192</f>
        <v>0</v>
      </c>
      <c r="V9" s="1011">
        <f>'GPC Data'!Z192</f>
        <v>0</v>
      </c>
      <c r="W9" s="1012">
        <f>'GPC Data'!F260</f>
        <v>0</v>
      </c>
      <c r="X9" s="1013">
        <f>'GPC Data'!G260</f>
        <v>0</v>
      </c>
      <c r="Y9" s="1013">
        <f>'GPC Data'!H260</f>
        <v>0</v>
      </c>
      <c r="Z9" s="1012">
        <f>'GPC Data'!L260</f>
        <v>0</v>
      </c>
      <c r="AA9" s="1013">
        <f>'GPC Data'!M260</f>
        <v>0</v>
      </c>
      <c r="AB9" s="1013">
        <f>'GPC Data'!N260</f>
        <v>0</v>
      </c>
      <c r="AC9" s="1012">
        <f>'GPC Data'!R260</f>
        <v>0</v>
      </c>
      <c r="AD9" s="1013">
        <f>'GPC Data'!S260</f>
        <v>0</v>
      </c>
      <c r="AE9" s="1013">
        <f>'GPC Data'!T260</f>
        <v>0</v>
      </c>
      <c r="AF9" s="1012" t="str">
        <f>IF(C9="","",IFERROR(IF(#REF!=0,$F9/#REF!,$F9/I9),"NA"))</f>
        <v>NA</v>
      </c>
      <c r="AG9" s="1013" t="str">
        <f>IF(C9="","",IFERROR(IF(#REF!=0,$F9/I9,$F9/#REF!),"NA"))</f>
        <v>NA</v>
      </c>
      <c r="AH9" s="1013" t="e">
        <f>IF(C9="","",$F9/#REF!)</f>
        <v>#REF!</v>
      </c>
      <c r="AI9" s="1013" t="str">
        <f>IF(C9="","",IFERROR(IF(#REF!=0,$F9/#REF!,$F9/#REF!),"NA"))</f>
        <v>NA</v>
      </c>
      <c r="AJ9" s="1013" t="str">
        <f>IF(C9="","",IFERROR(IF(#REF!=0,$F9/#REF!,$F9/#REF!),"NA"))</f>
        <v>NA</v>
      </c>
      <c r="AK9" s="1013" t="str">
        <f>IF(C9="","",IFERROR(IF(#REF!=0,$F9/#REF!,"NA"),"NA"))</f>
        <v>NA</v>
      </c>
      <c r="AL9" s="1012" t="str">
        <f>IF(C9="","",IFERROR(IF(#REF!=0,$F9/K9,$F9/L9),"NA"))</f>
        <v>NA</v>
      </c>
      <c r="AM9" s="1013" t="str">
        <f>IF(C9="","",IFERROR(IF(#REF!=0,$F9/L9,$F9/#REF!),"NA"))</f>
        <v>NA</v>
      </c>
      <c r="AN9" s="1013" t="e">
        <f t="shared" ref="AN9:AN18" si="0">IF(C9="","",F9/M9)</f>
        <v>#DIV/0!</v>
      </c>
      <c r="AO9" s="1013" t="str">
        <f>IF(C9="","",IFERROR(IF(#REF!=0,$F9/#REF!,$F9/#REF!),"NA"))</f>
        <v>NA</v>
      </c>
      <c r="AP9" s="1013" t="str">
        <f>IF(C9="","",IFERROR(IF(#REF!=0,$F9/#REF!,$F9/#REF!),"NA"))</f>
        <v>NA</v>
      </c>
      <c r="AQ9" s="1013" t="str">
        <f>IF(C9="","",IFERROR(IF(#REF!=0,$F9/#REF!,"NA"),"NA"))</f>
        <v>NA</v>
      </c>
      <c r="AR9" s="1012" t="str">
        <f>IFERROR(IF(AV3="Local Currency",($F9/INDEX(#REF!,B9)),($F9/INDEX(#REF!,B9))),"")</f>
        <v/>
      </c>
      <c r="AV9" s="677" t="s">
        <v>1368</v>
      </c>
    </row>
    <row r="10" spans="1:49" ht="11" thickBot="1">
      <c r="B10" s="669">
        <f>B9+1</f>
        <v>2</v>
      </c>
      <c r="C10" s="1014" t="str">
        <f>'GPC Data'!E295</f>
        <v>Comp 2</v>
      </c>
      <c r="D10" s="455">
        <f>'GPC Data'!H23</f>
        <v>0</v>
      </c>
      <c r="E10" s="1015">
        <f t="shared" ref="E10:E18" si="1">$E$9</f>
        <v>0</v>
      </c>
      <c r="F10" s="1016">
        <f>'GPC Data'!I23</f>
        <v>0</v>
      </c>
      <c r="G10" s="1016"/>
      <c r="H10" s="1016">
        <f>'GPC Data'!F295</f>
        <v>0</v>
      </c>
      <c r="I10" s="1017">
        <f>'GPC Data'!I125</f>
        <v>0</v>
      </c>
      <c r="J10" s="1017">
        <f>'GPC Data'!Q125</f>
        <v>0</v>
      </c>
      <c r="K10" s="1019">
        <f t="shared" ref="K10:K18" si="2">K9</f>
        <v>0</v>
      </c>
      <c r="L10" s="1017">
        <f t="shared" ref="L10:L18" si="3">L9</f>
        <v>0</v>
      </c>
      <c r="M10" s="1017">
        <f t="shared" ref="M10:M18" si="4">M9</f>
        <v>0</v>
      </c>
      <c r="N10" s="1020">
        <f>'GPC Data'!F193</f>
        <v>0</v>
      </c>
      <c r="O10" s="1021">
        <f>'GPC Data'!G193</f>
        <v>0</v>
      </c>
      <c r="P10" s="1021">
        <f>'GPC Data'!H193</f>
        <v>0</v>
      </c>
      <c r="Q10" s="1020">
        <f>'GPC Data'!O193</f>
        <v>0</v>
      </c>
      <c r="R10" s="1021">
        <f>'GPC Data'!P193</f>
        <v>0</v>
      </c>
      <c r="S10" s="1021">
        <f>'GPC Data'!Q193</f>
        <v>0</v>
      </c>
      <c r="T10" s="1020">
        <f>'GPC Data'!X193</f>
        <v>0</v>
      </c>
      <c r="U10" s="1021">
        <f>'GPC Data'!Y193</f>
        <v>0</v>
      </c>
      <c r="V10" s="1021">
        <f>'GPC Data'!Z193</f>
        <v>0</v>
      </c>
      <c r="W10" s="1022">
        <f>'GPC Data'!F261</f>
        <v>0</v>
      </c>
      <c r="X10" s="1023">
        <f>'GPC Data'!G261</f>
        <v>0</v>
      </c>
      <c r="Y10" s="1023">
        <f>'GPC Data'!H261</f>
        <v>0</v>
      </c>
      <c r="Z10" s="1022">
        <f>'GPC Data'!L261</f>
        <v>0</v>
      </c>
      <c r="AA10" s="1023">
        <f>'GPC Data'!M261</f>
        <v>0</v>
      </c>
      <c r="AB10" s="1023">
        <f>'GPC Data'!N261</f>
        <v>0</v>
      </c>
      <c r="AC10" s="1022">
        <f>'GPC Data'!R261</f>
        <v>0</v>
      </c>
      <c r="AD10" s="1023">
        <f>'GPC Data'!S261</f>
        <v>0</v>
      </c>
      <c r="AE10" s="1023">
        <f>'GPC Data'!T261</f>
        <v>0</v>
      </c>
      <c r="AF10" s="1022" t="str">
        <f>IF(C10="","",IFERROR(IF(#REF!=0,$F10/#REF!,$F10/I10),"NA"))</f>
        <v>NA</v>
      </c>
      <c r="AG10" s="1023" t="str">
        <f>IF(C10="","",IFERROR(IF(#REF!=0,$F10/I10,$F10/#REF!),"NA"))</f>
        <v>NA</v>
      </c>
      <c r="AH10" s="1023" t="e">
        <f>IF(C10="","",$F10/#REF!)</f>
        <v>#REF!</v>
      </c>
      <c r="AI10" s="1023" t="str">
        <f>IF(C10="","",IFERROR(IF(#REF!=0,$F10/#REF!,$F10/#REF!),"NA"))</f>
        <v>NA</v>
      </c>
      <c r="AJ10" s="1023" t="str">
        <f>IF(C10="","",IFERROR(IF(#REF!=0,$F10/#REF!,$F10/#REF!),"NA"))</f>
        <v>NA</v>
      </c>
      <c r="AK10" s="1023" t="str">
        <f>IF(C10="","",IFERROR(IF(#REF!=0,$F10/#REF!,"NA"),"NA"))</f>
        <v>NA</v>
      </c>
      <c r="AL10" s="1022" t="str">
        <f>IF(C10="","",IFERROR(IF(#REF!=0,$F10/K10,$F10/L10),"NA"))</f>
        <v>NA</v>
      </c>
      <c r="AM10" s="1023" t="str">
        <f>IF(C10="","",IFERROR(IF(#REF!=0,$F10/L10,$F10/#REF!),"NA"))</f>
        <v>NA</v>
      </c>
      <c r="AN10" s="1023" t="e">
        <f t="shared" si="0"/>
        <v>#DIV/0!</v>
      </c>
      <c r="AO10" s="1023" t="str">
        <f>IF(C10="","",IFERROR(IF(#REF!=0,$F10/#REF!,$F10/#REF!),"NA"))</f>
        <v>NA</v>
      </c>
      <c r="AP10" s="1023" t="str">
        <f>IF(C10="","",IFERROR(IF(#REF!=0,$F10/#REF!,$F10/#REF!),"NA"))</f>
        <v>NA</v>
      </c>
      <c r="AQ10" s="1023" t="str">
        <f>IF(C10="","",IFERROR(IF(#REF!=0,$F10/#REF!,"NA"),"NA"))</f>
        <v>NA</v>
      </c>
      <c r="AR10" s="1022" t="str">
        <f>IFERROR(IF(AV4="Local Currency",($F10/INDEX(#REF!,B10)),($F10/INDEX(#REF!,B10))),"")</f>
        <v/>
      </c>
      <c r="AV10" s="677" t="s">
        <v>1368</v>
      </c>
    </row>
    <row r="11" spans="1:49" ht="11" thickBot="1">
      <c r="B11" s="669">
        <f t="shared" ref="B11:B18" si="5">B10+1</f>
        <v>3</v>
      </c>
      <c r="C11" s="1014" t="str">
        <f>'GPC Data'!E296</f>
        <v>Comp 3</v>
      </c>
      <c r="D11" s="455">
        <f>'GPC Data'!H24</f>
        <v>0</v>
      </c>
      <c r="E11" s="1015">
        <f t="shared" si="1"/>
        <v>0</v>
      </c>
      <c r="F11" s="1016">
        <f>'GPC Data'!I24</f>
        <v>0</v>
      </c>
      <c r="G11" s="1016"/>
      <c r="H11" s="1016">
        <f>'GPC Data'!F296</f>
        <v>0</v>
      </c>
      <c r="I11" s="1017">
        <f>'GPC Data'!I126</f>
        <v>0</v>
      </c>
      <c r="J11" s="1017">
        <f>'GPC Data'!Q126</f>
        <v>0</v>
      </c>
      <c r="K11" s="1019">
        <f t="shared" si="2"/>
        <v>0</v>
      </c>
      <c r="L11" s="1017">
        <f t="shared" si="3"/>
        <v>0</v>
      </c>
      <c r="M11" s="1017">
        <f t="shared" si="4"/>
        <v>0</v>
      </c>
      <c r="N11" s="1020">
        <f>'GPC Data'!F194</f>
        <v>0</v>
      </c>
      <c r="O11" s="1021">
        <f>'GPC Data'!G194</f>
        <v>0</v>
      </c>
      <c r="P11" s="1021">
        <f>'GPC Data'!H194</f>
        <v>0</v>
      </c>
      <c r="Q11" s="1020">
        <f>'GPC Data'!O194</f>
        <v>0</v>
      </c>
      <c r="R11" s="1021">
        <f>'GPC Data'!P194</f>
        <v>0</v>
      </c>
      <c r="S11" s="1021">
        <f>'GPC Data'!Q194</f>
        <v>0</v>
      </c>
      <c r="T11" s="1020">
        <f>'GPC Data'!X194</f>
        <v>0</v>
      </c>
      <c r="U11" s="1021">
        <f>'GPC Data'!Y194</f>
        <v>0</v>
      </c>
      <c r="V11" s="1021">
        <f>'GPC Data'!Z194</f>
        <v>0</v>
      </c>
      <c r="W11" s="1022">
        <f>'GPC Data'!F262</f>
        <v>0</v>
      </c>
      <c r="X11" s="1023">
        <f>'GPC Data'!G262</f>
        <v>0</v>
      </c>
      <c r="Y11" s="1023">
        <f>'GPC Data'!H262</f>
        <v>0</v>
      </c>
      <c r="Z11" s="1022">
        <f>'GPC Data'!L262</f>
        <v>0</v>
      </c>
      <c r="AA11" s="1023">
        <f>'GPC Data'!M262</f>
        <v>0</v>
      </c>
      <c r="AB11" s="1023">
        <f>'GPC Data'!N262</f>
        <v>0</v>
      </c>
      <c r="AC11" s="1022">
        <f>'GPC Data'!R262</f>
        <v>0</v>
      </c>
      <c r="AD11" s="1023">
        <f>'GPC Data'!S262</f>
        <v>0</v>
      </c>
      <c r="AE11" s="1023">
        <f>'GPC Data'!T262</f>
        <v>0</v>
      </c>
      <c r="AF11" s="1022" t="str">
        <f>IF(C11="","",IFERROR(IF(#REF!=0,$F11/#REF!,$F11/I11),"NA"))</f>
        <v>NA</v>
      </c>
      <c r="AG11" s="1023" t="str">
        <f>IF(C11="","",IFERROR(IF(#REF!=0,$F11/I11,$F11/#REF!),"NA"))</f>
        <v>NA</v>
      </c>
      <c r="AH11" s="1023" t="e">
        <f>IF(C11="","",$F11/#REF!)</f>
        <v>#REF!</v>
      </c>
      <c r="AI11" s="1023" t="str">
        <f>IF(C11="","",IFERROR(IF(#REF!=0,$F11/#REF!,$F11/#REF!),"NA"))</f>
        <v>NA</v>
      </c>
      <c r="AJ11" s="1023" t="str">
        <f>IF(C11="","",IFERROR(IF(#REF!=0,$F11/#REF!,$F11/#REF!),"NA"))</f>
        <v>NA</v>
      </c>
      <c r="AK11" s="1023" t="str">
        <f>IF(C11="","",IFERROR(IF(#REF!=0,$F11/#REF!,"NA"),"NA"))</f>
        <v>NA</v>
      </c>
      <c r="AL11" s="1022" t="str">
        <f>IF(C11="","",IFERROR(IF(#REF!=0,$F11/K11,$F11/L11),"NA"))</f>
        <v>NA</v>
      </c>
      <c r="AM11" s="1023" t="str">
        <f>IF(C11="","",IFERROR(IF(#REF!=0,$F11/L11,$F11/#REF!),"NA"))</f>
        <v>NA</v>
      </c>
      <c r="AN11" s="1023" t="e">
        <f t="shared" si="0"/>
        <v>#DIV/0!</v>
      </c>
      <c r="AO11" s="1023" t="str">
        <f>IF(C11="","",IFERROR(IF(#REF!=0,$F11/#REF!,$F11/#REF!),"NA"))</f>
        <v>NA</v>
      </c>
      <c r="AP11" s="1023" t="str">
        <f>IF(C11="","",IFERROR(IF(#REF!=0,$F11/#REF!,$F11/#REF!),"NA"))</f>
        <v>NA</v>
      </c>
      <c r="AQ11" s="1023" t="str">
        <f>IF(C11="","",IFERROR(IF(#REF!=0,$F11/#REF!,"NA"),"NA"))</f>
        <v>NA</v>
      </c>
      <c r="AR11" s="1022" t="str">
        <f>IFERROR(IF(#REF!="Local Currency",($F11/INDEX(#REF!,B11)),($F11/INDEX(#REF!,B11))),"")</f>
        <v/>
      </c>
      <c r="AV11" s="677" t="s">
        <v>1368</v>
      </c>
    </row>
    <row r="12" spans="1:49" ht="11" thickBot="1">
      <c r="B12" s="669">
        <f t="shared" si="5"/>
        <v>4</v>
      </c>
      <c r="C12" s="1014" t="str">
        <f>'GPC Data'!E297</f>
        <v>Comp 4</v>
      </c>
      <c r="D12" s="455">
        <f>'GPC Data'!H25</f>
        <v>0</v>
      </c>
      <c r="E12" s="1015">
        <f t="shared" si="1"/>
        <v>0</v>
      </c>
      <c r="F12" s="1016">
        <f>'GPC Data'!I25</f>
        <v>0</v>
      </c>
      <c r="G12" s="1016"/>
      <c r="H12" s="1018">
        <f>'GPC Data'!F297</f>
        <v>0</v>
      </c>
      <c r="I12" s="1017">
        <f>'GPC Data'!I127</f>
        <v>0</v>
      </c>
      <c r="J12" s="1017">
        <f>'GPC Data'!Q127</f>
        <v>0</v>
      </c>
      <c r="K12" s="1019">
        <f t="shared" si="2"/>
        <v>0</v>
      </c>
      <c r="L12" s="1017">
        <f t="shared" si="3"/>
        <v>0</v>
      </c>
      <c r="M12" s="1017">
        <f t="shared" si="4"/>
        <v>0</v>
      </c>
      <c r="N12" s="1020">
        <f>'GPC Data'!F195</f>
        <v>0</v>
      </c>
      <c r="O12" s="1021">
        <f>'GPC Data'!G195</f>
        <v>0</v>
      </c>
      <c r="P12" s="1021">
        <f>'GPC Data'!H195</f>
        <v>0</v>
      </c>
      <c r="Q12" s="1020">
        <f>'GPC Data'!O195</f>
        <v>0</v>
      </c>
      <c r="R12" s="1021">
        <f>'GPC Data'!P195</f>
        <v>0</v>
      </c>
      <c r="S12" s="1021">
        <f>'GPC Data'!Q195</f>
        <v>0</v>
      </c>
      <c r="T12" s="1020">
        <f>'GPC Data'!X195</f>
        <v>0</v>
      </c>
      <c r="U12" s="1021">
        <f>'GPC Data'!Y195</f>
        <v>0</v>
      </c>
      <c r="V12" s="1021">
        <f>'GPC Data'!Z195</f>
        <v>0</v>
      </c>
      <c r="W12" s="1022">
        <f>'GPC Data'!F263</f>
        <v>0</v>
      </c>
      <c r="X12" s="1023">
        <f>'GPC Data'!G263</f>
        <v>0</v>
      </c>
      <c r="Y12" s="1023">
        <f>'GPC Data'!H263</f>
        <v>0</v>
      </c>
      <c r="Z12" s="1022">
        <f>'GPC Data'!L263</f>
        <v>0</v>
      </c>
      <c r="AA12" s="1023">
        <f>'GPC Data'!M263</f>
        <v>0</v>
      </c>
      <c r="AB12" s="1023">
        <f>'GPC Data'!N263</f>
        <v>0</v>
      </c>
      <c r="AC12" s="1022">
        <f>'GPC Data'!R263</f>
        <v>0</v>
      </c>
      <c r="AD12" s="1023">
        <f>'GPC Data'!S263</f>
        <v>0</v>
      </c>
      <c r="AE12" s="1023">
        <f>'GPC Data'!T263</f>
        <v>0</v>
      </c>
      <c r="AF12" s="1022" t="str">
        <f>IF(C12="","",IFERROR(IF(#REF!=0,$F12/#REF!,$F12/I12),"NA"))</f>
        <v>NA</v>
      </c>
      <c r="AG12" s="1023" t="str">
        <f>IF(C12="","",IFERROR(IF(#REF!=0,$F12/I12,$F12/#REF!),"NA"))</f>
        <v>NA</v>
      </c>
      <c r="AH12" s="1023" t="e">
        <f>IF(C12="","",$F12/#REF!)</f>
        <v>#REF!</v>
      </c>
      <c r="AI12" s="1023" t="str">
        <f>IF(C12="","",IFERROR(IF(#REF!=0,$F12/#REF!,$F12/#REF!),"NA"))</f>
        <v>NA</v>
      </c>
      <c r="AJ12" s="1023" t="str">
        <f>IF(C12="","",IFERROR(IF(#REF!=0,$F12/#REF!,$F12/#REF!),"NA"))</f>
        <v>NA</v>
      </c>
      <c r="AK12" s="1023" t="str">
        <f>IF(C12="","",IFERROR(IF(#REF!=0,$F12/#REF!,"NA"),"NA"))</f>
        <v>NA</v>
      </c>
      <c r="AL12" s="1022" t="str">
        <f>IF(C12="","",IFERROR(IF(#REF!=0,$F12/K12,$F12/L12),"NA"))</f>
        <v>NA</v>
      </c>
      <c r="AM12" s="1023" t="str">
        <f>IF(C12="","",IFERROR(IF(#REF!=0,$F12/L12,$F12/#REF!),"NA"))</f>
        <v>NA</v>
      </c>
      <c r="AN12" s="1023" t="e">
        <f t="shared" si="0"/>
        <v>#DIV/0!</v>
      </c>
      <c r="AO12" s="1023" t="str">
        <f>IF(C12="","",IFERROR(IF(#REF!=0,$F12/#REF!,$F12/#REF!),"NA"))</f>
        <v>NA</v>
      </c>
      <c r="AP12" s="1023" t="str">
        <f>IF(C12="","",IFERROR(IF(#REF!=0,$F12/#REF!,$F12/#REF!),"NA"))</f>
        <v>NA</v>
      </c>
      <c r="AQ12" s="1023" t="str">
        <f>IF(C12="","",IFERROR(IF(#REF!=0,$F12/#REF!,"NA"),"NA"))</f>
        <v>NA</v>
      </c>
      <c r="AR12" s="1022" t="str">
        <f>IFERROR(IF(AV5="Local Currency",($F12/INDEX(#REF!,B12)),($F12/INDEX(#REF!,B12))),"")</f>
        <v/>
      </c>
      <c r="AV12" s="677" t="s">
        <v>1368</v>
      </c>
    </row>
    <row r="13" spans="1:49" ht="11" thickBot="1">
      <c r="B13" s="669">
        <f t="shared" si="5"/>
        <v>5</v>
      </c>
      <c r="C13" s="1014" t="str">
        <f>'GPC Data'!E298</f>
        <v>Comp 5</v>
      </c>
      <c r="D13" s="455">
        <f>'GPC Data'!H26</f>
        <v>0</v>
      </c>
      <c r="E13" s="1015">
        <f t="shared" si="1"/>
        <v>0</v>
      </c>
      <c r="F13" s="1016">
        <f>'GPC Data'!I26</f>
        <v>0</v>
      </c>
      <c r="G13" s="1016"/>
      <c r="H13" s="1018">
        <f>'GPC Data'!F298</f>
        <v>0</v>
      </c>
      <c r="I13" s="1017">
        <f>'GPC Data'!I128</f>
        <v>0</v>
      </c>
      <c r="J13" s="1017">
        <f>'GPC Data'!Q128</f>
        <v>0</v>
      </c>
      <c r="K13" s="1019">
        <f t="shared" si="2"/>
        <v>0</v>
      </c>
      <c r="L13" s="1017">
        <f t="shared" si="3"/>
        <v>0</v>
      </c>
      <c r="M13" s="1017">
        <f t="shared" si="4"/>
        <v>0</v>
      </c>
      <c r="N13" s="1020">
        <f>'GPC Data'!F196</f>
        <v>0</v>
      </c>
      <c r="O13" s="1021">
        <f>'GPC Data'!G196</f>
        <v>0</v>
      </c>
      <c r="P13" s="1021">
        <f>'GPC Data'!H196</f>
        <v>0</v>
      </c>
      <c r="Q13" s="1020">
        <f>'GPC Data'!O196</f>
        <v>0</v>
      </c>
      <c r="R13" s="1021">
        <f>'GPC Data'!P196</f>
        <v>0</v>
      </c>
      <c r="S13" s="1021">
        <f>'GPC Data'!Q196</f>
        <v>0</v>
      </c>
      <c r="T13" s="1020">
        <f>'GPC Data'!X196</f>
        <v>0</v>
      </c>
      <c r="U13" s="1021">
        <f>'GPC Data'!Y196</f>
        <v>0</v>
      </c>
      <c r="V13" s="1021">
        <f>'GPC Data'!Z196</f>
        <v>0</v>
      </c>
      <c r="W13" s="1022">
        <f>'GPC Data'!F264</f>
        <v>0</v>
      </c>
      <c r="X13" s="1023">
        <f>'GPC Data'!G264</f>
        <v>0</v>
      </c>
      <c r="Y13" s="1023">
        <f>'GPC Data'!H264</f>
        <v>0</v>
      </c>
      <c r="Z13" s="1022">
        <f>'GPC Data'!L264</f>
        <v>0</v>
      </c>
      <c r="AA13" s="1023">
        <f>'GPC Data'!M264</f>
        <v>0</v>
      </c>
      <c r="AB13" s="1023">
        <f>'GPC Data'!N264</f>
        <v>0</v>
      </c>
      <c r="AC13" s="1022">
        <f>'GPC Data'!R264</f>
        <v>0</v>
      </c>
      <c r="AD13" s="1023">
        <f>'GPC Data'!S264</f>
        <v>0</v>
      </c>
      <c r="AE13" s="1023">
        <f>'GPC Data'!T264</f>
        <v>0</v>
      </c>
      <c r="AF13" s="1022" t="str">
        <f>IF(C13="","",IFERROR(IF(#REF!=0,$F13/#REF!,$F13/I13),"NA"))</f>
        <v>NA</v>
      </c>
      <c r="AG13" s="1023" t="str">
        <f>IF(C13="","",IFERROR(IF(#REF!=0,$F13/I13,$F13/#REF!),"NA"))</f>
        <v>NA</v>
      </c>
      <c r="AH13" s="1023" t="e">
        <f>IF(C13="","",$F13/#REF!)</f>
        <v>#REF!</v>
      </c>
      <c r="AI13" s="1023" t="str">
        <f>IF(C13="","",IFERROR(IF(#REF!=0,$F13/#REF!,$F13/#REF!),"NA"))</f>
        <v>NA</v>
      </c>
      <c r="AJ13" s="1023" t="str">
        <f>IF(C13="","",IFERROR(IF(#REF!=0,$F13/#REF!,$F13/#REF!),"NA"))</f>
        <v>NA</v>
      </c>
      <c r="AK13" s="1023" t="str">
        <f>IF(C13="","",IFERROR(IF(#REF!=0,$F13/#REF!,"NA"),"NA"))</f>
        <v>NA</v>
      </c>
      <c r="AL13" s="1022" t="str">
        <f>IF(C13="","",IFERROR(IF(#REF!=0,$F13/K13,$F13/L13),"NA"))</f>
        <v>NA</v>
      </c>
      <c r="AM13" s="1023" t="str">
        <f>IF(C13="","",IFERROR(IF(#REF!=0,$F13/L13,$F13/#REF!),"NA"))</f>
        <v>NA</v>
      </c>
      <c r="AN13" s="1023" t="e">
        <f t="shared" si="0"/>
        <v>#DIV/0!</v>
      </c>
      <c r="AO13" s="1023" t="str">
        <f>IF(C13="","",IFERROR(IF(#REF!=0,$F13/#REF!,$F13/#REF!),"NA"))</f>
        <v>NA</v>
      </c>
      <c r="AP13" s="1023" t="str">
        <f>IF(C13="","",IFERROR(IF(#REF!=0,$F13/#REF!,$F13/#REF!),"NA"))</f>
        <v>NA</v>
      </c>
      <c r="AQ13" s="1023" t="str">
        <f>IF(C13="","",IFERROR(IF(#REF!=0,$F13/#REF!,"NA"),"NA"))</f>
        <v>NA</v>
      </c>
      <c r="AR13" s="1022" t="str">
        <f>IFERROR(IF(AV6="Local Currency",($F13/INDEX(#REF!,B13)),($F13/INDEX(#REF!,B13))),"")</f>
        <v/>
      </c>
      <c r="AV13" s="677" t="s">
        <v>1368</v>
      </c>
    </row>
    <row r="14" spans="1:49" ht="11" thickBot="1">
      <c r="B14" s="669">
        <f t="shared" si="5"/>
        <v>6</v>
      </c>
      <c r="C14" s="1014" t="str">
        <f>'GPC Data'!E299</f>
        <v>Comp 6</v>
      </c>
      <c r="D14" s="455">
        <f>'GPC Data'!H27</f>
        <v>0</v>
      </c>
      <c r="E14" s="1015">
        <f t="shared" si="1"/>
        <v>0</v>
      </c>
      <c r="F14" s="1016">
        <f>'GPC Data'!I27</f>
        <v>0</v>
      </c>
      <c r="G14" s="1016"/>
      <c r="H14" s="1018">
        <f>'GPC Data'!F299</f>
        <v>0</v>
      </c>
      <c r="I14" s="1017">
        <f>'GPC Data'!I129</f>
        <v>0</v>
      </c>
      <c r="J14" s="1017">
        <f>'GPC Data'!Q129</f>
        <v>0</v>
      </c>
      <c r="K14" s="1019">
        <f t="shared" si="2"/>
        <v>0</v>
      </c>
      <c r="L14" s="1017">
        <f t="shared" si="3"/>
        <v>0</v>
      </c>
      <c r="M14" s="1017">
        <f t="shared" si="4"/>
        <v>0</v>
      </c>
      <c r="N14" s="1020">
        <f>'GPC Data'!F197</f>
        <v>0</v>
      </c>
      <c r="O14" s="1021">
        <f>'GPC Data'!G197</f>
        <v>0</v>
      </c>
      <c r="P14" s="1021">
        <f>'GPC Data'!H197</f>
        <v>0</v>
      </c>
      <c r="Q14" s="1020">
        <f>'GPC Data'!O197</f>
        <v>0</v>
      </c>
      <c r="R14" s="1021">
        <f>'GPC Data'!P197</f>
        <v>0</v>
      </c>
      <c r="S14" s="1021">
        <f>'GPC Data'!Q197</f>
        <v>0</v>
      </c>
      <c r="T14" s="1020">
        <f>'GPC Data'!X197</f>
        <v>0</v>
      </c>
      <c r="U14" s="1021">
        <f>'GPC Data'!Y197</f>
        <v>0</v>
      </c>
      <c r="V14" s="1021">
        <f>'GPC Data'!Z197</f>
        <v>0</v>
      </c>
      <c r="W14" s="1022">
        <f>'GPC Data'!F265</f>
        <v>0</v>
      </c>
      <c r="X14" s="1023">
        <f>'GPC Data'!G265</f>
        <v>0</v>
      </c>
      <c r="Y14" s="1023">
        <f>'GPC Data'!H265</f>
        <v>0</v>
      </c>
      <c r="Z14" s="1022">
        <f>'GPC Data'!L265</f>
        <v>0</v>
      </c>
      <c r="AA14" s="1023">
        <f>'GPC Data'!M265</f>
        <v>0</v>
      </c>
      <c r="AB14" s="1023">
        <f>'GPC Data'!N265</f>
        <v>0</v>
      </c>
      <c r="AC14" s="1022">
        <f>'GPC Data'!R265</f>
        <v>0</v>
      </c>
      <c r="AD14" s="1023">
        <f>'GPC Data'!S265</f>
        <v>0</v>
      </c>
      <c r="AE14" s="1023">
        <f>'GPC Data'!T265</f>
        <v>0</v>
      </c>
      <c r="AF14" s="1022" t="str">
        <f>IF(C14="","",IFERROR(IF(#REF!=0,$F14/#REF!,$F14/I14),"NA"))</f>
        <v>NA</v>
      </c>
      <c r="AG14" s="1023" t="str">
        <f>IF(C14="","",IFERROR(IF(#REF!=0,$F14/I14,$F14/#REF!),"NA"))</f>
        <v>NA</v>
      </c>
      <c r="AH14" s="1023" t="e">
        <f>IF(C14="","",$F14/#REF!)</f>
        <v>#REF!</v>
      </c>
      <c r="AI14" s="1023" t="str">
        <f>IF(C14="","",IFERROR(IF(#REF!=0,$F14/#REF!,$F14/#REF!),"NA"))</f>
        <v>NA</v>
      </c>
      <c r="AJ14" s="1023" t="str">
        <f>IF(C14="","",IFERROR(IF(#REF!=0,$F14/#REF!,$F14/#REF!),"NA"))</f>
        <v>NA</v>
      </c>
      <c r="AK14" s="1023" t="str">
        <f>IF(C14="","",IFERROR(IF(#REF!=0,$F14/#REF!,"NA"),"NA"))</f>
        <v>NA</v>
      </c>
      <c r="AL14" s="1022" t="str">
        <f>IF(C14="","",IFERROR(IF(#REF!=0,$F14/K14,$F14/L14),"NA"))</f>
        <v>NA</v>
      </c>
      <c r="AM14" s="1023" t="str">
        <f>IF(C14="","",IFERROR(IF(#REF!=0,$F14/L14,$F14/#REF!),"NA"))</f>
        <v>NA</v>
      </c>
      <c r="AN14" s="1023" t="e">
        <f t="shared" si="0"/>
        <v>#DIV/0!</v>
      </c>
      <c r="AO14" s="1023" t="str">
        <f>IF(C14="","",IFERROR(IF(#REF!=0,$F14/#REF!,$F14/#REF!),"NA"))</f>
        <v>NA</v>
      </c>
      <c r="AP14" s="1023" t="str">
        <f>IF(C14="","",IFERROR(IF(#REF!=0,$F14/#REF!,$F14/#REF!),"NA"))</f>
        <v>NA</v>
      </c>
      <c r="AQ14" s="1023" t="str">
        <f>IF(C14="","",IFERROR(IF(#REF!=0,$F14/#REF!,"NA"),"NA"))</f>
        <v>NA</v>
      </c>
      <c r="AR14" s="1022" t="str">
        <f>IFERROR(IF(AV7="Local Currency",($F14/INDEX(#REF!,B14)),($F14/INDEX(#REF!,B14))),"")</f>
        <v/>
      </c>
      <c r="AV14" s="677" t="s">
        <v>1368</v>
      </c>
    </row>
    <row r="15" spans="1:49" ht="11" thickBot="1">
      <c r="B15" s="669">
        <f t="shared" si="5"/>
        <v>7</v>
      </c>
      <c r="C15" s="1014" t="str">
        <f>'GPC Data'!E300</f>
        <v>Comp 7</v>
      </c>
      <c r="D15" s="455">
        <f>'GPC Data'!H28</f>
        <v>0</v>
      </c>
      <c r="E15" s="1015">
        <f t="shared" si="1"/>
        <v>0</v>
      </c>
      <c r="F15" s="1016">
        <f>'GPC Data'!I28</f>
        <v>0</v>
      </c>
      <c r="G15" s="1016"/>
      <c r="H15" s="1018">
        <f>'GPC Data'!F300</f>
        <v>0</v>
      </c>
      <c r="I15" s="1017">
        <f>'GPC Data'!I130</f>
        <v>0</v>
      </c>
      <c r="J15" s="1017">
        <f>'GPC Data'!Q130</f>
        <v>0</v>
      </c>
      <c r="K15" s="1019">
        <f t="shared" si="2"/>
        <v>0</v>
      </c>
      <c r="L15" s="1017">
        <f t="shared" si="3"/>
        <v>0</v>
      </c>
      <c r="M15" s="1017">
        <f t="shared" si="4"/>
        <v>0</v>
      </c>
      <c r="N15" s="1020">
        <f>'GPC Data'!F198</f>
        <v>0</v>
      </c>
      <c r="O15" s="1021">
        <f>'GPC Data'!G198</f>
        <v>0</v>
      </c>
      <c r="P15" s="1021">
        <f>'GPC Data'!H198</f>
        <v>0</v>
      </c>
      <c r="Q15" s="1020">
        <f>'GPC Data'!O198</f>
        <v>0</v>
      </c>
      <c r="R15" s="1021">
        <f>'GPC Data'!P198</f>
        <v>0</v>
      </c>
      <c r="S15" s="1021">
        <f>'GPC Data'!Q198</f>
        <v>0</v>
      </c>
      <c r="T15" s="1020">
        <f>'GPC Data'!X198</f>
        <v>0</v>
      </c>
      <c r="U15" s="1021">
        <f>'GPC Data'!Y198</f>
        <v>0</v>
      </c>
      <c r="V15" s="1021">
        <f>'GPC Data'!Z198</f>
        <v>0</v>
      </c>
      <c r="W15" s="1022">
        <f>'GPC Data'!F266</f>
        <v>0</v>
      </c>
      <c r="X15" s="1023">
        <f>'GPC Data'!G266</f>
        <v>0</v>
      </c>
      <c r="Y15" s="1023">
        <f>'GPC Data'!H266</f>
        <v>0</v>
      </c>
      <c r="Z15" s="1022">
        <f>'GPC Data'!L266</f>
        <v>0</v>
      </c>
      <c r="AA15" s="1023">
        <f>'GPC Data'!M266</f>
        <v>0</v>
      </c>
      <c r="AB15" s="1023">
        <f>'GPC Data'!N266</f>
        <v>0</v>
      </c>
      <c r="AC15" s="1022">
        <f>'GPC Data'!R266</f>
        <v>0</v>
      </c>
      <c r="AD15" s="1023">
        <f>'GPC Data'!S266</f>
        <v>0</v>
      </c>
      <c r="AE15" s="1023">
        <f>'GPC Data'!T266</f>
        <v>0</v>
      </c>
      <c r="AF15" s="1022" t="str">
        <f>IF(C15="","",IFERROR(IF(#REF!=0,$F15/#REF!,$F15/I15),"NA"))</f>
        <v>NA</v>
      </c>
      <c r="AG15" s="1023" t="str">
        <f>IF(C15="","",IFERROR(IF(#REF!=0,$F15/I15,$F15/#REF!),"NA"))</f>
        <v>NA</v>
      </c>
      <c r="AH15" s="1023" t="e">
        <f>IF(C15="","",$F15/#REF!)</f>
        <v>#REF!</v>
      </c>
      <c r="AI15" s="1023" t="str">
        <f>IF(C15="","",IFERROR(IF(#REF!=0,$F15/#REF!,$F15/#REF!),"NA"))</f>
        <v>NA</v>
      </c>
      <c r="AJ15" s="1023" t="str">
        <f>IF(C15="","",IFERROR(IF(#REF!=0,$F15/#REF!,$F15/#REF!),"NA"))</f>
        <v>NA</v>
      </c>
      <c r="AK15" s="1023" t="str">
        <f>IF(C15="","",IFERROR(IF(#REF!=0,$F15/#REF!,"NA"),"NA"))</f>
        <v>NA</v>
      </c>
      <c r="AL15" s="1022" t="str">
        <f>IF(C15="","",IFERROR(IF(#REF!=0,$F15/K15,$F15/L15),"NA"))</f>
        <v>NA</v>
      </c>
      <c r="AM15" s="1023" t="str">
        <f>IF(C15="","",IFERROR(IF(#REF!=0,$F15/L15,$F15/#REF!),"NA"))</f>
        <v>NA</v>
      </c>
      <c r="AN15" s="1023" t="e">
        <f t="shared" si="0"/>
        <v>#DIV/0!</v>
      </c>
      <c r="AO15" s="1023" t="str">
        <f>IF(C15="","",IFERROR(IF(#REF!=0,$F15/#REF!,$F15/#REF!),"NA"))</f>
        <v>NA</v>
      </c>
      <c r="AP15" s="1023" t="str">
        <f>IF(C15="","",IFERROR(IF(#REF!=0,$F15/#REF!,$F15/#REF!),"NA"))</f>
        <v>NA</v>
      </c>
      <c r="AQ15" s="1023" t="str">
        <f>IF(C15="","",IFERROR(IF(#REF!=0,$F15/#REF!,"NA"),"NA"))</f>
        <v>NA</v>
      </c>
      <c r="AR15" s="1022" t="str">
        <f>IFERROR(IF(#REF!="Local Currency",($F15/INDEX(#REF!,B15)),($F15/INDEX(#REF!,B15))),"")</f>
        <v/>
      </c>
      <c r="AV15" s="677" t="s">
        <v>1368</v>
      </c>
    </row>
    <row r="16" spans="1:49" ht="11" thickBot="1">
      <c r="B16" s="669">
        <f t="shared" si="5"/>
        <v>8</v>
      </c>
      <c r="C16" s="1014" t="str">
        <f>'GPC Data'!E301</f>
        <v>Comp 8</v>
      </c>
      <c r="D16" s="455">
        <f>'GPC Data'!H29</f>
        <v>0</v>
      </c>
      <c r="E16" s="1015">
        <f t="shared" si="1"/>
        <v>0</v>
      </c>
      <c r="F16" s="1016">
        <f>'GPC Data'!I29</f>
        <v>0</v>
      </c>
      <c r="G16" s="1016"/>
      <c r="H16" s="1018">
        <f>'GPC Data'!F301</f>
        <v>0</v>
      </c>
      <c r="I16" s="1017">
        <f>'GPC Data'!I131</f>
        <v>0</v>
      </c>
      <c r="J16" s="1017">
        <f>'GPC Data'!Q131</f>
        <v>0</v>
      </c>
      <c r="K16" s="1019">
        <f t="shared" si="2"/>
        <v>0</v>
      </c>
      <c r="L16" s="1017">
        <f t="shared" si="3"/>
        <v>0</v>
      </c>
      <c r="M16" s="1017">
        <f t="shared" si="4"/>
        <v>0</v>
      </c>
      <c r="N16" s="1020">
        <f>'GPC Data'!F199</f>
        <v>0</v>
      </c>
      <c r="O16" s="1021">
        <f>'GPC Data'!G199</f>
        <v>0</v>
      </c>
      <c r="P16" s="1021">
        <f>'GPC Data'!H199</f>
        <v>0</v>
      </c>
      <c r="Q16" s="1020">
        <f>'GPC Data'!O199</f>
        <v>0</v>
      </c>
      <c r="R16" s="1021">
        <f>'GPC Data'!P199</f>
        <v>0</v>
      </c>
      <c r="S16" s="1021">
        <f>'GPC Data'!Q199</f>
        <v>0</v>
      </c>
      <c r="T16" s="1020">
        <f>'GPC Data'!X199</f>
        <v>0</v>
      </c>
      <c r="U16" s="1021">
        <f>'GPC Data'!Y199</f>
        <v>0</v>
      </c>
      <c r="V16" s="1021">
        <f>'GPC Data'!Z199</f>
        <v>0</v>
      </c>
      <c r="W16" s="1022">
        <f>'GPC Data'!F267</f>
        <v>0</v>
      </c>
      <c r="X16" s="1023">
        <f>'GPC Data'!G267</f>
        <v>0</v>
      </c>
      <c r="Y16" s="1023">
        <f>'GPC Data'!H267</f>
        <v>0</v>
      </c>
      <c r="Z16" s="1022">
        <f>'GPC Data'!L267</f>
        <v>0</v>
      </c>
      <c r="AA16" s="1023">
        <f>'GPC Data'!M267</f>
        <v>0</v>
      </c>
      <c r="AB16" s="1023">
        <f>'GPC Data'!N267</f>
        <v>0</v>
      </c>
      <c r="AC16" s="1022">
        <f>'GPC Data'!R267</f>
        <v>0</v>
      </c>
      <c r="AD16" s="1023">
        <f>'GPC Data'!S267</f>
        <v>0</v>
      </c>
      <c r="AE16" s="1023">
        <f>'GPC Data'!T267</f>
        <v>0</v>
      </c>
      <c r="AF16" s="1022" t="str">
        <f>IF(C16="","",IFERROR(IF(#REF!=0,$F16/#REF!,$F16/I16),"NA"))</f>
        <v>NA</v>
      </c>
      <c r="AG16" s="1023" t="str">
        <f>IF(C16="","",IFERROR(IF(#REF!=0,$F16/I16,$F16/#REF!),"NA"))</f>
        <v>NA</v>
      </c>
      <c r="AH16" s="1023" t="e">
        <f>IF(C16="","",$F16/#REF!)</f>
        <v>#REF!</v>
      </c>
      <c r="AI16" s="1023" t="str">
        <f>IF(C16="","",IFERROR(IF(#REF!=0,$F16/#REF!,$F16/#REF!),"NA"))</f>
        <v>NA</v>
      </c>
      <c r="AJ16" s="1023" t="str">
        <f>IF(C16="","",IFERROR(IF(#REF!=0,$F16/#REF!,$F16/#REF!),"NA"))</f>
        <v>NA</v>
      </c>
      <c r="AK16" s="1023" t="str">
        <f>IF(C16="","",IFERROR(IF(#REF!=0,$F16/#REF!,"NA"),"NA"))</f>
        <v>NA</v>
      </c>
      <c r="AL16" s="1022" t="str">
        <f>IF(C16="","",IFERROR(IF(#REF!=0,$F16/K16,$F16/L16),"NA"))</f>
        <v>NA</v>
      </c>
      <c r="AM16" s="1023" t="str">
        <f>IF(C16="","",IFERROR(IF(#REF!=0,$F16/L16,$F16/#REF!),"NA"))</f>
        <v>NA</v>
      </c>
      <c r="AN16" s="1023" t="e">
        <f t="shared" si="0"/>
        <v>#DIV/0!</v>
      </c>
      <c r="AO16" s="1023" t="str">
        <f>IF(C16="","",IFERROR(IF(#REF!=0,$F16/#REF!,$F16/#REF!),"NA"))</f>
        <v>NA</v>
      </c>
      <c r="AP16" s="1023" t="str">
        <f>IF(C16="","",IFERROR(IF(#REF!=0,$F16/#REF!,$F16/#REF!),"NA"))</f>
        <v>NA</v>
      </c>
      <c r="AQ16" s="1023" t="str">
        <f>IF(C16="","",IFERROR(IF(#REF!=0,$F16/#REF!,"NA"),"NA"))</f>
        <v>NA</v>
      </c>
      <c r="AR16" s="1022" t="str">
        <f>IFERROR(IF(#REF!="Local Currency",($F16/INDEX(#REF!,B16)),($F16/INDEX(#REF!,B16))),"")</f>
        <v/>
      </c>
      <c r="AV16" s="677" t="s">
        <v>1368</v>
      </c>
    </row>
    <row r="17" spans="2:48" ht="11" thickBot="1">
      <c r="B17" s="669">
        <f t="shared" si="5"/>
        <v>9</v>
      </c>
      <c r="C17" s="1014" t="str">
        <f>'GPC Data'!E302</f>
        <v>Comp 9</v>
      </c>
      <c r="D17" s="455">
        <f>'GPC Data'!H30</f>
        <v>0</v>
      </c>
      <c r="E17" s="1015">
        <f t="shared" si="1"/>
        <v>0</v>
      </c>
      <c r="F17" s="1016">
        <f>'GPC Data'!I30</f>
        <v>0</v>
      </c>
      <c r="G17" s="1016"/>
      <c r="H17" s="1018">
        <f>'GPC Data'!F302</f>
        <v>0</v>
      </c>
      <c r="I17" s="1017">
        <f>'GPC Data'!I132</f>
        <v>0</v>
      </c>
      <c r="J17" s="1017">
        <f>'GPC Data'!Q132</f>
        <v>0</v>
      </c>
      <c r="K17" s="1019">
        <f t="shared" si="2"/>
        <v>0</v>
      </c>
      <c r="L17" s="1017">
        <f t="shared" si="3"/>
        <v>0</v>
      </c>
      <c r="M17" s="1017">
        <f t="shared" si="4"/>
        <v>0</v>
      </c>
      <c r="N17" s="1020">
        <f>'GPC Data'!F200</f>
        <v>0</v>
      </c>
      <c r="O17" s="1021">
        <f>'GPC Data'!G200</f>
        <v>0</v>
      </c>
      <c r="P17" s="1021">
        <f>'GPC Data'!H200</f>
        <v>0</v>
      </c>
      <c r="Q17" s="1020">
        <f>'GPC Data'!O200</f>
        <v>0</v>
      </c>
      <c r="R17" s="1021">
        <f>'GPC Data'!P200</f>
        <v>0</v>
      </c>
      <c r="S17" s="1021">
        <f>'GPC Data'!Q200</f>
        <v>0</v>
      </c>
      <c r="T17" s="1020">
        <f>'GPC Data'!X200</f>
        <v>0</v>
      </c>
      <c r="U17" s="1021">
        <f>'GPC Data'!Y200</f>
        <v>0</v>
      </c>
      <c r="V17" s="1021">
        <f>'GPC Data'!Z200</f>
        <v>0</v>
      </c>
      <c r="W17" s="1022">
        <f>'GPC Data'!F268</f>
        <v>0</v>
      </c>
      <c r="X17" s="1023">
        <f>'GPC Data'!G268</f>
        <v>0</v>
      </c>
      <c r="Y17" s="1023">
        <f>'GPC Data'!H268</f>
        <v>0</v>
      </c>
      <c r="Z17" s="1022">
        <f>'GPC Data'!L268</f>
        <v>0</v>
      </c>
      <c r="AA17" s="1023">
        <f>'GPC Data'!M268</f>
        <v>0</v>
      </c>
      <c r="AB17" s="1023">
        <f>'GPC Data'!N268</f>
        <v>0</v>
      </c>
      <c r="AC17" s="1022">
        <f>'GPC Data'!R268</f>
        <v>0</v>
      </c>
      <c r="AD17" s="1023">
        <f>'GPC Data'!S268</f>
        <v>0</v>
      </c>
      <c r="AE17" s="1023">
        <f>'GPC Data'!T268</f>
        <v>0</v>
      </c>
      <c r="AF17" s="1022" t="str">
        <f>IF(C17="","",IFERROR(IF(#REF!=0,$F17/#REF!,$F17/I17),"NA"))</f>
        <v>NA</v>
      </c>
      <c r="AG17" s="1023" t="str">
        <f>IF(C17="","",IFERROR(IF(#REF!=0,$F17/I17,$F17/#REF!),"NA"))</f>
        <v>NA</v>
      </c>
      <c r="AH17" s="1023" t="e">
        <f>IF(C17="","",$F17/#REF!)</f>
        <v>#REF!</v>
      </c>
      <c r="AI17" s="1023" t="str">
        <f>IF(C17="","",IFERROR(IF(#REF!=0,$F17/#REF!,$F17/#REF!),"NA"))</f>
        <v>NA</v>
      </c>
      <c r="AJ17" s="1023" t="str">
        <f>IF(C17="","",IFERROR(IF(#REF!=0,$F17/#REF!,$F17/#REF!),"NA"))</f>
        <v>NA</v>
      </c>
      <c r="AK17" s="1023" t="str">
        <f>IF(C17="","",IFERROR(IF(#REF!=0,$F17/#REF!,"NA"),"NA"))</f>
        <v>NA</v>
      </c>
      <c r="AL17" s="1022" t="str">
        <f>IF(C17="","",IFERROR(IF(#REF!=0,$F17/K17,$F17/L17),"NA"))</f>
        <v>NA</v>
      </c>
      <c r="AM17" s="1023" t="str">
        <f>IF(C17="","",IFERROR(IF(#REF!=0,$F17/L17,$F17/#REF!),"NA"))</f>
        <v>NA</v>
      </c>
      <c r="AN17" s="1023" t="e">
        <f t="shared" si="0"/>
        <v>#DIV/0!</v>
      </c>
      <c r="AO17" s="1023" t="str">
        <f>IF(C17="","",IFERROR(IF(#REF!=0,$F17/#REF!,$F17/#REF!),"NA"))</f>
        <v>NA</v>
      </c>
      <c r="AP17" s="1023" t="str">
        <f>IF(C17="","",IFERROR(IF(#REF!=0,$F17/#REF!,$F17/#REF!),"NA"))</f>
        <v>NA</v>
      </c>
      <c r="AQ17" s="1023" t="str">
        <f>IF(C17="","",IFERROR(IF(#REF!=0,$F17/#REF!,"NA"),"NA"))</f>
        <v>NA</v>
      </c>
      <c r="AR17" s="1022" t="str">
        <f>IFERROR(IF(#REF!="Local Currency",($F17/INDEX(#REF!,B17)),($F17/INDEX(#REF!,B17))),"")</f>
        <v/>
      </c>
      <c r="AV17" s="677" t="s">
        <v>1368</v>
      </c>
    </row>
    <row r="18" spans="2:48" ht="11" thickBot="1">
      <c r="B18" s="669">
        <f t="shared" si="5"/>
        <v>10</v>
      </c>
      <c r="C18" s="1014" t="str">
        <f>'GPC Data'!E303</f>
        <v>Comp 10</v>
      </c>
      <c r="D18" s="455">
        <f>'GPC Data'!H31</f>
        <v>0</v>
      </c>
      <c r="E18" s="1015">
        <f t="shared" si="1"/>
        <v>0</v>
      </c>
      <c r="F18" s="1016">
        <f>'GPC Data'!I31</f>
        <v>0</v>
      </c>
      <c r="G18" s="1016"/>
      <c r="H18" s="1018">
        <f>'GPC Data'!F303</f>
        <v>0</v>
      </c>
      <c r="I18" s="1017">
        <f>'GPC Data'!I133</f>
        <v>0</v>
      </c>
      <c r="J18" s="1017">
        <f>'GPC Data'!Q133</f>
        <v>0</v>
      </c>
      <c r="K18" s="1019">
        <f t="shared" si="2"/>
        <v>0</v>
      </c>
      <c r="L18" s="1017">
        <f t="shared" si="3"/>
        <v>0</v>
      </c>
      <c r="M18" s="1017">
        <f t="shared" si="4"/>
        <v>0</v>
      </c>
      <c r="N18" s="1020">
        <f>'GPC Data'!F201</f>
        <v>0</v>
      </c>
      <c r="O18" s="1021">
        <f>'GPC Data'!G201</f>
        <v>0</v>
      </c>
      <c r="P18" s="1021">
        <f>'GPC Data'!H201</f>
        <v>0</v>
      </c>
      <c r="Q18" s="1020">
        <f>'GPC Data'!O201</f>
        <v>0</v>
      </c>
      <c r="R18" s="1021">
        <f>'GPC Data'!P201</f>
        <v>0</v>
      </c>
      <c r="S18" s="1021">
        <f>'GPC Data'!Q201</f>
        <v>0</v>
      </c>
      <c r="T18" s="1020">
        <f>'GPC Data'!X201</f>
        <v>0</v>
      </c>
      <c r="U18" s="1021">
        <f>'GPC Data'!Y201</f>
        <v>0</v>
      </c>
      <c r="V18" s="1021">
        <f>'GPC Data'!Z201</f>
        <v>0</v>
      </c>
      <c r="W18" s="1022">
        <f>'GPC Data'!F269</f>
        <v>0</v>
      </c>
      <c r="X18" s="1023">
        <f>'GPC Data'!G269</f>
        <v>0</v>
      </c>
      <c r="Y18" s="1023">
        <f>'GPC Data'!H269</f>
        <v>0</v>
      </c>
      <c r="Z18" s="1022">
        <f>'GPC Data'!L269</f>
        <v>0</v>
      </c>
      <c r="AA18" s="1023">
        <f>'GPC Data'!M269</f>
        <v>0</v>
      </c>
      <c r="AB18" s="1023">
        <f>'GPC Data'!N269</f>
        <v>0</v>
      </c>
      <c r="AC18" s="1022">
        <f>'GPC Data'!R269</f>
        <v>0</v>
      </c>
      <c r="AD18" s="1023">
        <f>'GPC Data'!S269</f>
        <v>0</v>
      </c>
      <c r="AE18" s="1023">
        <f>'GPC Data'!T269</f>
        <v>0</v>
      </c>
      <c r="AF18" s="1022" t="str">
        <f>IF(C18="","",IFERROR(IF(#REF!=0,$F18/#REF!,$F18/I18),"NA"))</f>
        <v>NA</v>
      </c>
      <c r="AG18" s="1023" t="str">
        <f>IF(C18="","",IFERROR(IF(#REF!=0,$F18/I18,$F18/#REF!),"NA"))</f>
        <v>NA</v>
      </c>
      <c r="AH18" s="1023" t="e">
        <f>IF(C18="","",$F18/#REF!)</f>
        <v>#REF!</v>
      </c>
      <c r="AI18" s="1023" t="str">
        <f>IF(C18="","",IFERROR(IF(#REF!=0,$F18/#REF!,$F18/#REF!),"NA"))</f>
        <v>NA</v>
      </c>
      <c r="AJ18" s="1023" t="str">
        <f>IF(C18="","",IFERROR(IF(#REF!=0,$F18/#REF!,$F18/#REF!),"NA"))</f>
        <v>NA</v>
      </c>
      <c r="AK18" s="1023" t="str">
        <f>IF(C18="","",IFERROR(IF(#REF!=0,$F18/#REF!,"NA"),"NA"))</f>
        <v>NA</v>
      </c>
      <c r="AL18" s="1022" t="str">
        <f>IF(C18="","",IFERROR(IF(#REF!=0,$F18/K18,$F18/L18),"NA"))</f>
        <v>NA</v>
      </c>
      <c r="AM18" s="1023" t="str">
        <f>IF(C18="","",IFERROR(IF(#REF!=0,$F18/L18,$F18/#REF!),"NA"))</f>
        <v>NA</v>
      </c>
      <c r="AN18" s="1023" t="e">
        <f t="shared" si="0"/>
        <v>#DIV/0!</v>
      </c>
      <c r="AO18" s="1023" t="str">
        <f>IF(C18="","",IFERROR(IF(#REF!=0,$F18/#REF!,$F18/#REF!),"NA"))</f>
        <v>NA</v>
      </c>
      <c r="AP18" s="1023" t="str">
        <f>IF(C18="","",IFERROR(IF(#REF!=0,$F18/#REF!,$F18/#REF!),"NA"))</f>
        <v>NA</v>
      </c>
      <c r="AQ18" s="1023" t="str">
        <f>IF(C18="","",IFERROR(IF(#REF!=0,$F18/#REF!,"NA"),"NA"))</f>
        <v>NA</v>
      </c>
      <c r="AR18" s="1022" t="str">
        <f>IFERROR(IF(#REF!="Local Currency",($F18/INDEX(#REF!,B18)),($F18/INDEX(#REF!,B18))),"")</f>
        <v/>
      </c>
      <c r="AV18" s="677" t="s">
        <v>1368</v>
      </c>
    </row>
    <row r="19" spans="2:48">
      <c r="C19" s="698"/>
      <c r="E19" s="1024"/>
      <c r="F19" s="1025"/>
      <c r="G19" s="1025"/>
      <c r="H19" s="1025"/>
      <c r="I19" s="1025"/>
      <c r="J19" s="1025"/>
      <c r="K19" s="1025"/>
      <c r="L19" s="1025"/>
      <c r="M19" s="1025"/>
      <c r="T19" s="1025"/>
      <c r="U19" s="1025"/>
      <c r="V19" s="1025"/>
      <c r="Z19" s="1026"/>
      <c r="AA19" s="1026"/>
      <c r="AC19" s="1027"/>
      <c r="AD19" s="1028"/>
      <c r="AL19" s="1027"/>
      <c r="AM19" s="1027"/>
      <c r="AO19" s="1027"/>
      <c r="AP19" s="1027"/>
      <c r="AQ19" s="1027"/>
      <c r="AR19" s="1027"/>
    </row>
    <row r="20" spans="2:48">
      <c r="F20" s="1029" t="s">
        <v>216</v>
      </c>
      <c r="G20" s="1030">
        <f t="shared" ref="G20:AR20" si="6">IFERROR(MAX(G9:G18),"")</f>
        <v>0</v>
      </c>
      <c r="H20" s="1030">
        <f t="shared" si="6"/>
        <v>0</v>
      </c>
      <c r="I20" s="1030">
        <f t="shared" si="6"/>
        <v>0</v>
      </c>
      <c r="J20" s="1030">
        <f t="shared" si="6"/>
        <v>0</v>
      </c>
      <c r="K20" s="1030">
        <f t="shared" si="6"/>
        <v>0</v>
      </c>
      <c r="L20" s="1030">
        <f t="shared" si="6"/>
        <v>0</v>
      </c>
      <c r="M20" s="1030">
        <f t="shared" si="6"/>
        <v>0</v>
      </c>
      <c r="N20" s="1030">
        <f t="shared" si="6"/>
        <v>0</v>
      </c>
      <c r="O20" s="1031">
        <f t="shared" si="6"/>
        <v>0</v>
      </c>
      <c r="P20" s="1031">
        <f t="shared" si="6"/>
        <v>0</v>
      </c>
      <c r="Q20" s="1030">
        <f t="shared" si="6"/>
        <v>0</v>
      </c>
      <c r="R20" s="1031">
        <f t="shared" si="6"/>
        <v>0</v>
      </c>
      <c r="S20" s="1031">
        <f t="shared" si="6"/>
        <v>0</v>
      </c>
      <c r="T20" s="1032">
        <f t="shared" si="6"/>
        <v>0</v>
      </c>
      <c r="U20" s="1031">
        <f t="shared" si="6"/>
        <v>0</v>
      </c>
      <c r="V20" s="1031">
        <f t="shared" si="6"/>
        <v>0</v>
      </c>
      <c r="W20" s="1033">
        <f t="shared" si="6"/>
        <v>0</v>
      </c>
      <c r="X20" s="1034">
        <f t="shared" si="6"/>
        <v>0</v>
      </c>
      <c r="Y20" s="1034">
        <f t="shared" si="6"/>
        <v>0</v>
      </c>
      <c r="Z20" s="1033">
        <f t="shared" si="6"/>
        <v>0</v>
      </c>
      <c r="AA20" s="1034">
        <f t="shared" si="6"/>
        <v>0</v>
      </c>
      <c r="AB20" s="1034">
        <f t="shared" si="6"/>
        <v>0</v>
      </c>
      <c r="AC20" s="1033">
        <f t="shared" si="6"/>
        <v>0</v>
      </c>
      <c r="AD20" s="1034">
        <f t="shared" si="6"/>
        <v>0</v>
      </c>
      <c r="AE20" s="1034">
        <f t="shared" si="6"/>
        <v>0</v>
      </c>
      <c r="AF20" s="1033">
        <f t="shared" si="6"/>
        <v>0</v>
      </c>
      <c r="AG20" s="1034">
        <f t="shared" si="6"/>
        <v>0</v>
      </c>
      <c r="AH20" s="1034" t="str">
        <f t="shared" si="6"/>
        <v/>
      </c>
      <c r="AI20" s="1034">
        <f t="shared" si="6"/>
        <v>0</v>
      </c>
      <c r="AJ20" s="1034">
        <f t="shared" si="6"/>
        <v>0</v>
      </c>
      <c r="AK20" s="1034">
        <f t="shared" si="6"/>
        <v>0</v>
      </c>
      <c r="AL20" s="1033">
        <f t="shared" si="6"/>
        <v>0</v>
      </c>
      <c r="AM20" s="1034">
        <f t="shared" si="6"/>
        <v>0</v>
      </c>
      <c r="AN20" s="1034" t="str">
        <f t="shared" si="6"/>
        <v/>
      </c>
      <c r="AO20" s="1034">
        <f t="shared" si="6"/>
        <v>0</v>
      </c>
      <c r="AP20" s="1034">
        <f t="shared" si="6"/>
        <v>0</v>
      </c>
      <c r="AQ20" s="1034">
        <f t="shared" si="6"/>
        <v>0</v>
      </c>
      <c r="AR20" s="1033">
        <f t="shared" si="6"/>
        <v>0</v>
      </c>
      <c r="AS20" s="455"/>
    </row>
    <row r="21" spans="2:48">
      <c r="F21" s="1035" t="s">
        <v>1479</v>
      </c>
      <c r="G21" s="1036" t="str">
        <f t="shared" ref="G21:AR21" si="7">IFERROR(QUARTILE(G9:G18,3),"")</f>
        <v/>
      </c>
      <c r="H21" s="1036">
        <f t="shared" si="7"/>
        <v>0</v>
      </c>
      <c r="I21" s="1036">
        <f t="shared" si="7"/>
        <v>0</v>
      </c>
      <c r="J21" s="1036">
        <f t="shared" si="7"/>
        <v>0</v>
      </c>
      <c r="K21" s="1036">
        <f t="shared" si="7"/>
        <v>0</v>
      </c>
      <c r="L21" s="1036">
        <f t="shared" si="7"/>
        <v>0</v>
      </c>
      <c r="M21" s="1036">
        <f t="shared" si="7"/>
        <v>0</v>
      </c>
      <c r="N21" s="1036">
        <f t="shared" si="7"/>
        <v>0</v>
      </c>
      <c r="O21" s="1037">
        <f t="shared" si="7"/>
        <v>0</v>
      </c>
      <c r="P21" s="1037">
        <f t="shared" si="7"/>
        <v>0</v>
      </c>
      <c r="Q21" s="1036">
        <f t="shared" si="7"/>
        <v>0</v>
      </c>
      <c r="R21" s="1037">
        <f t="shared" si="7"/>
        <v>0</v>
      </c>
      <c r="S21" s="1037">
        <f t="shared" si="7"/>
        <v>0</v>
      </c>
      <c r="T21" s="1038">
        <f t="shared" si="7"/>
        <v>0</v>
      </c>
      <c r="U21" s="1037">
        <f t="shared" si="7"/>
        <v>0</v>
      </c>
      <c r="V21" s="1037">
        <f t="shared" si="7"/>
        <v>0</v>
      </c>
      <c r="W21" s="1039">
        <f t="shared" si="7"/>
        <v>0</v>
      </c>
      <c r="X21" s="1040">
        <f t="shared" si="7"/>
        <v>0</v>
      </c>
      <c r="Y21" s="1040">
        <f t="shared" si="7"/>
        <v>0</v>
      </c>
      <c r="Z21" s="1039">
        <f t="shared" si="7"/>
        <v>0</v>
      </c>
      <c r="AA21" s="1040">
        <f t="shared" si="7"/>
        <v>0</v>
      </c>
      <c r="AB21" s="1040">
        <f t="shared" si="7"/>
        <v>0</v>
      </c>
      <c r="AC21" s="1039">
        <f t="shared" si="7"/>
        <v>0</v>
      </c>
      <c r="AD21" s="1040">
        <f t="shared" si="7"/>
        <v>0</v>
      </c>
      <c r="AE21" s="1040">
        <f t="shared" si="7"/>
        <v>0</v>
      </c>
      <c r="AF21" s="1039" t="str">
        <f t="shared" si="7"/>
        <v/>
      </c>
      <c r="AG21" s="1040" t="str">
        <f t="shared" si="7"/>
        <v/>
      </c>
      <c r="AH21" s="1040" t="str">
        <f t="shared" si="7"/>
        <v/>
      </c>
      <c r="AI21" s="1040" t="str">
        <f t="shared" si="7"/>
        <v/>
      </c>
      <c r="AJ21" s="1040" t="str">
        <f t="shared" si="7"/>
        <v/>
      </c>
      <c r="AK21" s="1040" t="str">
        <f t="shared" si="7"/>
        <v/>
      </c>
      <c r="AL21" s="1039" t="str">
        <f t="shared" si="7"/>
        <v/>
      </c>
      <c r="AM21" s="1040" t="str">
        <f t="shared" si="7"/>
        <v/>
      </c>
      <c r="AN21" s="1040" t="str">
        <f t="shared" si="7"/>
        <v/>
      </c>
      <c r="AO21" s="1040" t="str">
        <f t="shared" si="7"/>
        <v/>
      </c>
      <c r="AP21" s="1040" t="str">
        <f t="shared" si="7"/>
        <v/>
      </c>
      <c r="AQ21" s="1040" t="str">
        <f t="shared" si="7"/>
        <v/>
      </c>
      <c r="AR21" s="1039" t="str">
        <f t="shared" si="7"/>
        <v/>
      </c>
      <c r="AS21" s="455"/>
    </row>
    <row r="22" spans="2:48">
      <c r="F22" s="1035" t="s">
        <v>1380</v>
      </c>
      <c r="G22" s="1036" t="str">
        <f t="shared" ref="G22:AR22" si="8">IFERROR(AVERAGE(G9:G18),"")</f>
        <v/>
      </c>
      <c r="H22" s="1036">
        <f t="shared" si="8"/>
        <v>0</v>
      </c>
      <c r="I22" s="1036">
        <f t="shared" si="8"/>
        <v>0</v>
      </c>
      <c r="J22" s="1036">
        <f t="shared" si="8"/>
        <v>0</v>
      </c>
      <c r="K22" s="1036">
        <f t="shared" si="8"/>
        <v>0</v>
      </c>
      <c r="L22" s="1036">
        <f t="shared" si="8"/>
        <v>0</v>
      </c>
      <c r="M22" s="1036">
        <f t="shared" si="8"/>
        <v>0</v>
      </c>
      <c r="N22" s="1036">
        <f t="shared" si="8"/>
        <v>0</v>
      </c>
      <c r="O22" s="1037">
        <f t="shared" si="8"/>
        <v>0</v>
      </c>
      <c r="P22" s="1037">
        <f t="shared" si="8"/>
        <v>0</v>
      </c>
      <c r="Q22" s="1036">
        <f t="shared" si="8"/>
        <v>0</v>
      </c>
      <c r="R22" s="1037">
        <f t="shared" si="8"/>
        <v>0</v>
      </c>
      <c r="S22" s="1037">
        <f t="shared" si="8"/>
        <v>0</v>
      </c>
      <c r="T22" s="1038">
        <f t="shared" si="8"/>
        <v>0</v>
      </c>
      <c r="U22" s="1037">
        <f t="shared" si="8"/>
        <v>0</v>
      </c>
      <c r="V22" s="1037">
        <f t="shared" si="8"/>
        <v>0</v>
      </c>
      <c r="W22" s="1039">
        <f t="shared" si="8"/>
        <v>0</v>
      </c>
      <c r="X22" s="1040">
        <f t="shared" si="8"/>
        <v>0</v>
      </c>
      <c r="Y22" s="1040">
        <f t="shared" si="8"/>
        <v>0</v>
      </c>
      <c r="Z22" s="1039">
        <f t="shared" si="8"/>
        <v>0</v>
      </c>
      <c r="AA22" s="1040">
        <f t="shared" si="8"/>
        <v>0</v>
      </c>
      <c r="AB22" s="1040">
        <f t="shared" si="8"/>
        <v>0</v>
      </c>
      <c r="AC22" s="1039">
        <f t="shared" si="8"/>
        <v>0</v>
      </c>
      <c r="AD22" s="1040">
        <f t="shared" si="8"/>
        <v>0</v>
      </c>
      <c r="AE22" s="1040">
        <f t="shared" si="8"/>
        <v>0</v>
      </c>
      <c r="AF22" s="1039" t="str">
        <f t="shared" si="8"/>
        <v/>
      </c>
      <c r="AG22" s="1040" t="str">
        <f t="shared" si="8"/>
        <v/>
      </c>
      <c r="AH22" s="1040" t="str">
        <f t="shared" si="8"/>
        <v/>
      </c>
      <c r="AI22" s="1040" t="str">
        <f t="shared" si="8"/>
        <v/>
      </c>
      <c r="AJ22" s="1040" t="str">
        <f t="shared" si="8"/>
        <v/>
      </c>
      <c r="AK22" s="1040" t="str">
        <f t="shared" si="8"/>
        <v/>
      </c>
      <c r="AL22" s="1039" t="str">
        <f t="shared" si="8"/>
        <v/>
      </c>
      <c r="AM22" s="1040" t="str">
        <f t="shared" si="8"/>
        <v/>
      </c>
      <c r="AN22" s="1040" t="str">
        <f t="shared" si="8"/>
        <v/>
      </c>
      <c r="AO22" s="1040" t="str">
        <f t="shared" si="8"/>
        <v/>
      </c>
      <c r="AP22" s="1040" t="str">
        <f t="shared" si="8"/>
        <v/>
      </c>
      <c r="AQ22" s="1040" t="str">
        <f t="shared" si="8"/>
        <v/>
      </c>
      <c r="AR22" s="1039" t="str">
        <f t="shared" si="8"/>
        <v/>
      </c>
      <c r="AS22" s="455"/>
    </row>
    <row r="23" spans="2:48">
      <c r="F23" s="1041" t="s">
        <v>1381</v>
      </c>
      <c r="G23" s="1042" t="str">
        <f t="shared" ref="G23:AR23" si="9">IFERROR(MEDIAN(G9:G18),"")</f>
        <v/>
      </c>
      <c r="H23" s="1042">
        <f t="shared" si="9"/>
        <v>0</v>
      </c>
      <c r="I23" s="1042">
        <f t="shared" si="9"/>
        <v>0</v>
      </c>
      <c r="J23" s="1042">
        <f t="shared" si="9"/>
        <v>0</v>
      </c>
      <c r="K23" s="1042">
        <f t="shared" si="9"/>
        <v>0</v>
      </c>
      <c r="L23" s="1042">
        <f t="shared" si="9"/>
        <v>0</v>
      </c>
      <c r="M23" s="1042">
        <f t="shared" si="9"/>
        <v>0</v>
      </c>
      <c r="N23" s="1042">
        <f t="shared" si="9"/>
        <v>0</v>
      </c>
      <c r="O23" s="1042">
        <f t="shared" si="9"/>
        <v>0</v>
      </c>
      <c r="P23" s="1042">
        <f t="shared" si="9"/>
        <v>0</v>
      </c>
      <c r="Q23" s="1042">
        <f t="shared" si="9"/>
        <v>0</v>
      </c>
      <c r="R23" s="1042">
        <f t="shared" si="9"/>
        <v>0</v>
      </c>
      <c r="S23" s="1042">
        <f t="shared" si="9"/>
        <v>0</v>
      </c>
      <c r="T23" s="1043">
        <f t="shared" si="9"/>
        <v>0</v>
      </c>
      <c r="U23" s="1042">
        <f t="shared" si="9"/>
        <v>0</v>
      </c>
      <c r="V23" s="1042">
        <f t="shared" si="9"/>
        <v>0</v>
      </c>
      <c r="W23" s="1044">
        <f t="shared" si="9"/>
        <v>0</v>
      </c>
      <c r="X23" s="1045">
        <f t="shared" si="9"/>
        <v>0</v>
      </c>
      <c r="Y23" s="1045">
        <f t="shared" si="9"/>
        <v>0</v>
      </c>
      <c r="Z23" s="1044">
        <f t="shared" si="9"/>
        <v>0</v>
      </c>
      <c r="AA23" s="1045">
        <f t="shared" si="9"/>
        <v>0</v>
      </c>
      <c r="AB23" s="1045">
        <f t="shared" si="9"/>
        <v>0</v>
      </c>
      <c r="AC23" s="1044">
        <f t="shared" si="9"/>
        <v>0</v>
      </c>
      <c r="AD23" s="1045">
        <f t="shared" si="9"/>
        <v>0</v>
      </c>
      <c r="AE23" s="1045">
        <f t="shared" si="9"/>
        <v>0</v>
      </c>
      <c r="AF23" s="1044" t="str">
        <f t="shared" si="9"/>
        <v/>
      </c>
      <c r="AG23" s="1045" t="str">
        <f t="shared" si="9"/>
        <v/>
      </c>
      <c r="AH23" s="1045" t="str">
        <f t="shared" si="9"/>
        <v/>
      </c>
      <c r="AI23" s="1045" t="str">
        <f t="shared" si="9"/>
        <v/>
      </c>
      <c r="AJ23" s="1045" t="str">
        <f t="shared" si="9"/>
        <v/>
      </c>
      <c r="AK23" s="1045" t="str">
        <f t="shared" si="9"/>
        <v/>
      </c>
      <c r="AL23" s="1044" t="str">
        <f t="shared" si="9"/>
        <v/>
      </c>
      <c r="AM23" s="1045" t="str">
        <f t="shared" si="9"/>
        <v/>
      </c>
      <c r="AN23" s="1045" t="str">
        <f t="shared" si="9"/>
        <v/>
      </c>
      <c r="AO23" s="1045" t="str">
        <f t="shared" si="9"/>
        <v/>
      </c>
      <c r="AP23" s="1045" t="str">
        <f t="shared" si="9"/>
        <v/>
      </c>
      <c r="AQ23" s="1045" t="str">
        <f t="shared" si="9"/>
        <v/>
      </c>
      <c r="AR23" s="1044" t="str">
        <f t="shared" si="9"/>
        <v/>
      </c>
      <c r="AS23" s="455"/>
    </row>
    <row r="24" spans="2:48">
      <c r="F24" s="1035" t="s">
        <v>1480</v>
      </c>
      <c r="G24" s="1036" t="str">
        <f t="shared" ref="G24:AR24" si="10">IFERROR(QUARTILE(G9:G18,1),"")</f>
        <v/>
      </c>
      <c r="H24" s="1036">
        <f t="shared" si="10"/>
        <v>0</v>
      </c>
      <c r="I24" s="1036">
        <f t="shared" si="10"/>
        <v>0</v>
      </c>
      <c r="J24" s="1036">
        <f t="shared" si="10"/>
        <v>0</v>
      </c>
      <c r="K24" s="1036">
        <f t="shared" si="10"/>
        <v>0</v>
      </c>
      <c r="L24" s="1036">
        <f t="shared" si="10"/>
        <v>0</v>
      </c>
      <c r="M24" s="1036">
        <f t="shared" si="10"/>
        <v>0</v>
      </c>
      <c r="N24" s="1036">
        <f t="shared" si="10"/>
        <v>0</v>
      </c>
      <c r="O24" s="1037">
        <f t="shared" si="10"/>
        <v>0</v>
      </c>
      <c r="P24" s="1037">
        <f t="shared" si="10"/>
        <v>0</v>
      </c>
      <c r="Q24" s="1036">
        <f t="shared" si="10"/>
        <v>0</v>
      </c>
      <c r="R24" s="1037">
        <f t="shared" si="10"/>
        <v>0</v>
      </c>
      <c r="S24" s="1037">
        <f t="shared" si="10"/>
        <v>0</v>
      </c>
      <c r="T24" s="1038">
        <f t="shared" si="10"/>
        <v>0</v>
      </c>
      <c r="U24" s="1037">
        <f t="shared" si="10"/>
        <v>0</v>
      </c>
      <c r="V24" s="1037">
        <f t="shared" si="10"/>
        <v>0</v>
      </c>
      <c r="W24" s="1039">
        <f t="shared" si="10"/>
        <v>0</v>
      </c>
      <c r="X24" s="1040">
        <f t="shared" si="10"/>
        <v>0</v>
      </c>
      <c r="Y24" s="1040">
        <f t="shared" si="10"/>
        <v>0</v>
      </c>
      <c r="Z24" s="1039">
        <f t="shared" si="10"/>
        <v>0</v>
      </c>
      <c r="AA24" s="1040">
        <f t="shared" si="10"/>
        <v>0</v>
      </c>
      <c r="AB24" s="1040">
        <f t="shared" si="10"/>
        <v>0</v>
      </c>
      <c r="AC24" s="1039">
        <f t="shared" si="10"/>
        <v>0</v>
      </c>
      <c r="AD24" s="1040">
        <f t="shared" si="10"/>
        <v>0</v>
      </c>
      <c r="AE24" s="1040">
        <f t="shared" si="10"/>
        <v>0</v>
      </c>
      <c r="AF24" s="1039" t="str">
        <f t="shared" si="10"/>
        <v/>
      </c>
      <c r="AG24" s="1040" t="str">
        <f t="shared" si="10"/>
        <v/>
      </c>
      <c r="AH24" s="1040" t="str">
        <f t="shared" si="10"/>
        <v/>
      </c>
      <c r="AI24" s="1040" t="str">
        <f t="shared" si="10"/>
        <v/>
      </c>
      <c r="AJ24" s="1040" t="str">
        <f t="shared" si="10"/>
        <v/>
      </c>
      <c r="AK24" s="1040" t="str">
        <f t="shared" si="10"/>
        <v/>
      </c>
      <c r="AL24" s="1039" t="str">
        <f t="shared" si="10"/>
        <v/>
      </c>
      <c r="AM24" s="1040" t="str">
        <f t="shared" si="10"/>
        <v/>
      </c>
      <c r="AN24" s="1040" t="str">
        <f t="shared" si="10"/>
        <v/>
      </c>
      <c r="AO24" s="1040" t="str">
        <f t="shared" si="10"/>
        <v/>
      </c>
      <c r="AP24" s="1040" t="str">
        <f t="shared" si="10"/>
        <v/>
      </c>
      <c r="AQ24" s="1040" t="str">
        <f t="shared" si="10"/>
        <v/>
      </c>
      <c r="AR24" s="1039" t="str">
        <f t="shared" si="10"/>
        <v/>
      </c>
      <c r="AS24" s="455"/>
    </row>
    <row r="25" spans="2:48">
      <c r="F25" s="1046" t="s">
        <v>215</v>
      </c>
      <c r="G25" s="1047">
        <f t="shared" ref="G25:AR25" si="11">IFERROR(MIN(G9:G18),"")</f>
        <v>0</v>
      </c>
      <c r="H25" s="1047">
        <f t="shared" si="11"/>
        <v>0</v>
      </c>
      <c r="I25" s="1047">
        <f t="shared" si="11"/>
        <v>0</v>
      </c>
      <c r="J25" s="1047">
        <f t="shared" si="11"/>
        <v>0</v>
      </c>
      <c r="K25" s="1047">
        <f t="shared" si="11"/>
        <v>0</v>
      </c>
      <c r="L25" s="1047">
        <f t="shared" si="11"/>
        <v>0</v>
      </c>
      <c r="M25" s="1047">
        <f t="shared" si="11"/>
        <v>0</v>
      </c>
      <c r="N25" s="1047">
        <f t="shared" si="11"/>
        <v>0</v>
      </c>
      <c r="O25" s="1048">
        <f t="shared" si="11"/>
        <v>0</v>
      </c>
      <c r="P25" s="1048">
        <f t="shared" si="11"/>
        <v>0</v>
      </c>
      <c r="Q25" s="1047">
        <f t="shared" si="11"/>
        <v>0</v>
      </c>
      <c r="R25" s="1048">
        <f t="shared" si="11"/>
        <v>0</v>
      </c>
      <c r="S25" s="1048">
        <f t="shared" si="11"/>
        <v>0</v>
      </c>
      <c r="T25" s="1049">
        <f t="shared" si="11"/>
        <v>0</v>
      </c>
      <c r="U25" s="1048">
        <f t="shared" si="11"/>
        <v>0</v>
      </c>
      <c r="V25" s="1048">
        <f t="shared" si="11"/>
        <v>0</v>
      </c>
      <c r="W25" s="1050">
        <f t="shared" si="11"/>
        <v>0</v>
      </c>
      <c r="X25" s="1051">
        <f t="shared" si="11"/>
        <v>0</v>
      </c>
      <c r="Y25" s="1051">
        <f t="shared" si="11"/>
        <v>0</v>
      </c>
      <c r="Z25" s="1050">
        <f t="shared" si="11"/>
        <v>0</v>
      </c>
      <c r="AA25" s="1051">
        <f t="shared" si="11"/>
        <v>0</v>
      </c>
      <c r="AB25" s="1051">
        <f t="shared" si="11"/>
        <v>0</v>
      </c>
      <c r="AC25" s="1050">
        <f t="shared" si="11"/>
        <v>0</v>
      </c>
      <c r="AD25" s="1051">
        <f t="shared" si="11"/>
        <v>0</v>
      </c>
      <c r="AE25" s="1051">
        <f t="shared" si="11"/>
        <v>0</v>
      </c>
      <c r="AF25" s="1050">
        <f t="shared" si="11"/>
        <v>0</v>
      </c>
      <c r="AG25" s="1051">
        <f t="shared" si="11"/>
        <v>0</v>
      </c>
      <c r="AH25" s="1051" t="str">
        <f t="shared" si="11"/>
        <v/>
      </c>
      <c r="AI25" s="1051">
        <f t="shared" si="11"/>
        <v>0</v>
      </c>
      <c r="AJ25" s="1051">
        <f t="shared" si="11"/>
        <v>0</v>
      </c>
      <c r="AK25" s="1051">
        <f t="shared" si="11"/>
        <v>0</v>
      </c>
      <c r="AL25" s="1050">
        <f t="shared" si="11"/>
        <v>0</v>
      </c>
      <c r="AM25" s="1051">
        <f t="shared" si="11"/>
        <v>0</v>
      </c>
      <c r="AN25" s="1051" t="str">
        <f t="shared" si="11"/>
        <v/>
      </c>
      <c r="AO25" s="1051">
        <f t="shared" si="11"/>
        <v>0</v>
      </c>
      <c r="AP25" s="1051">
        <f t="shared" si="11"/>
        <v>0</v>
      </c>
      <c r="AQ25" s="1051">
        <f t="shared" si="11"/>
        <v>0</v>
      </c>
      <c r="AR25" s="1050">
        <f t="shared" si="11"/>
        <v>0</v>
      </c>
      <c r="AS25" s="455"/>
    </row>
    <row r="27" spans="2:48">
      <c r="D27" s="1027"/>
      <c r="F27" s="1052"/>
      <c r="G27" s="1027"/>
      <c r="H27" s="1027"/>
      <c r="I27" s="1027"/>
      <c r="J27" s="1027"/>
      <c r="K27" s="1027"/>
      <c r="L27" s="1027"/>
      <c r="M27" s="1027"/>
      <c r="N27" s="1027"/>
      <c r="O27" s="1027"/>
      <c r="P27" s="1027"/>
      <c r="Q27" s="1027"/>
      <c r="R27" s="1027"/>
      <c r="S27" s="1027"/>
      <c r="T27" s="1027"/>
      <c r="U27" s="1027"/>
      <c r="V27" s="1027"/>
      <c r="W27" s="1027"/>
      <c r="X27" s="1027"/>
      <c r="Y27" s="1027"/>
      <c r="Z27" s="1027"/>
      <c r="AA27" s="1027"/>
      <c r="AB27" s="1027"/>
      <c r="AC27" s="1027"/>
      <c r="AD27" s="1027"/>
      <c r="AE27" s="1027"/>
      <c r="AH27" s="1027"/>
      <c r="AN27" s="1027"/>
    </row>
    <row r="28" spans="2:48">
      <c r="D28" s="1027"/>
      <c r="E28" s="1027"/>
      <c r="F28" s="1029" t="s">
        <v>216</v>
      </c>
      <c r="G28" s="1030">
        <f t="array" ref="G28">IFERROR(MAX(IF($AV$9:$AV$18="No",G9:G18)),"")</f>
        <v>0</v>
      </c>
      <c r="H28" s="1030">
        <f t="array" ref="H28">IFERROR(MAX(IF($AV$9:$AV$18="No",H9:H18)),"")</f>
        <v>0</v>
      </c>
      <c r="I28" s="1030">
        <f t="array" ref="I28">IFERROR(MAX(IF($AV$9:$AV$18="No",I9:I18)),"")</f>
        <v>0</v>
      </c>
      <c r="J28" s="1030">
        <f t="array" ref="J28">IFERROR(MAX(IF($AV$9:$AV$18="No",J9:J18)),"")</f>
        <v>0</v>
      </c>
      <c r="K28" s="1030">
        <f t="array" ref="K28">IFERROR(MAX(IF($AV$9:$AV$18="No",K9:K18)),"")</f>
        <v>0</v>
      </c>
      <c r="L28" s="1030">
        <f t="array" ref="L28">IFERROR(MAX(IF($AV$9:$AV$18="No",L9:L18)),"")</f>
        <v>0</v>
      </c>
      <c r="M28" s="1030">
        <f t="array" ref="M28">IFERROR(MAX(IF($AV$9:$AV$18="No",M9:M18)),"")</f>
        <v>0</v>
      </c>
      <c r="N28" s="1030">
        <f t="array" ref="N28">IFERROR(MAX(IF($AV$9:$AV$18="No",N9:N18)),"")</f>
        <v>0</v>
      </c>
      <c r="O28" s="1031">
        <f t="array" ref="O28">IFERROR(MAX(IF($AV$9:$AV$18="No",O9:O18)),"")</f>
        <v>0</v>
      </c>
      <c r="P28" s="1031">
        <f t="array" ref="P28">IFERROR(MAX(IF($AV$9:$AV$18="No",P9:P18)),"")</f>
        <v>0</v>
      </c>
      <c r="Q28" s="1030">
        <f t="array" ref="Q28">IFERROR(MAX(IF($AV$9:$AV$18="No",Q9:Q18)),"")</f>
        <v>0</v>
      </c>
      <c r="R28" s="1031">
        <f t="array" ref="R28">IFERROR(MAX(IF($AV$9:$AV$18="No",R9:R18)),"")</f>
        <v>0</v>
      </c>
      <c r="S28" s="1031">
        <f t="array" ref="S28">IFERROR(MAX(IF($AV$9:$AV$18="No",S9:S18)),"")</f>
        <v>0</v>
      </c>
      <c r="T28" s="1032">
        <f t="array" ref="T28">IFERROR(MAX(IF($AV$9:$AV$18="No",T9:T18)),"")</f>
        <v>0</v>
      </c>
      <c r="U28" s="1031">
        <f t="array" ref="U28">IFERROR(MAX(IF($AV$9:$AV$18="No",U9:U18)),"")</f>
        <v>0</v>
      </c>
      <c r="V28" s="1031">
        <f t="array" ref="V28">IFERROR(MAX(IF($AV$9:$AV$18="No",V9:V18)),"")</f>
        <v>0</v>
      </c>
      <c r="W28" s="1033" cm="1">
        <f t="array" ref="W28">IFERROR(MAX(IF($AV$9:$AV$18="No",W9:W18)),"")</f>
        <v>0</v>
      </c>
      <c r="X28" s="1034">
        <f t="array" ref="X28">IFERROR(MAX(IF($AV$9:$AV$18="No",X9:X18)),"")</f>
        <v>0</v>
      </c>
      <c r="Y28" s="1034">
        <f t="array" ref="Y28">IFERROR(MAX(IF($AV$9:$AV$18="No",Y9:Y18)),"")</f>
        <v>0</v>
      </c>
      <c r="Z28" s="1033" cm="1">
        <f t="array" ref="Z28">IFERROR(MAX(IF($AV$9:$AV$18="No",Z9:Z18)),"")</f>
        <v>0</v>
      </c>
      <c r="AA28" s="1034">
        <f t="array" ref="AA28">IFERROR(MAX(IF($AV$9:$AV$18="No",AA9:AA18)),"")</f>
        <v>0</v>
      </c>
      <c r="AB28" s="1034">
        <f t="array" ref="AB28">IFERROR(MAX(IF($AV$9:$AV$18="No",AB9:AB18)),"")</f>
        <v>0</v>
      </c>
      <c r="AC28" s="1033">
        <f t="array" ref="AC28">IFERROR(MAX(IF($AV$9:$AV$18="No",AC9:AC18)),"")</f>
        <v>0</v>
      </c>
      <c r="AD28" s="1034">
        <f t="array" ref="AD28">IFERROR(MAX(IF($AV$9:$AV$18="No",AD9:AD18)),"")</f>
        <v>0</v>
      </c>
      <c r="AE28" s="1034">
        <f t="array" ref="AE28">IFERROR(MAX(IF($AV$9:$AV$18="No",AE9:AE18)),"")</f>
        <v>0</v>
      </c>
      <c r="AF28" s="1033">
        <f t="array" ref="AF28">IFERROR(MAX(IF($AV$9:$AV$18="No",AF9:AF18)),"")</f>
        <v>0</v>
      </c>
      <c r="AG28" s="1034">
        <f t="array" ref="AG28">IFERROR(MAX(IF($AV$9:$AV$18="No",AG9:AG18)),"")</f>
        <v>0</v>
      </c>
      <c r="AH28" s="1034" t="str">
        <f t="array" ref="AH28">IFERROR(MAX(IF($AV$9:$AV$18="No",AH9:AH18)),"")</f>
        <v/>
      </c>
      <c r="AI28" s="1034">
        <f t="array" ref="AI28">IFERROR(MAX(IF($AV$9:$AV$18="No",AI9:AI18)),"")</f>
        <v>0</v>
      </c>
      <c r="AJ28" s="1034">
        <f t="array" ref="AJ28">IFERROR(MAX(IF($AV$9:$AV$18="No",AJ9:AJ18)),"")</f>
        <v>0</v>
      </c>
      <c r="AK28" s="1034">
        <f t="array" ref="AK28">IFERROR(MAX(IF($AV$9:$AV$18="No",AK9:AK18)),"")</f>
        <v>0</v>
      </c>
      <c r="AL28" s="1033">
        <f t="array" ref="AL28">IFERROR(MAX(IF($AV$9:$AV$18="No",AL9:AL18)),"")</f>
        <v>0</v>
      </c>
      <c r="AM28" s="1034">
        <f t="array" ref="AM28">IFERROR(MAX(IF($AV$9:$AV$18="No",AM9:AM18)),"")</f>
        <v>0</v>
      </c>
      <c r="AN28" s="1034" t="str">
        <f t="array" ref="AN28">IFERROR(MAX(IF($AV$9:$AV$18="No",AN9:AN18)),"")</f>
        <v/>
      </c>
      <c r="AO28" s="1034">
        <f t="array" ref="AO28">IFERROR(MAX(IF($AV$9:$AV$18="No",AO9:AO18)),"")</f>
        <v>0</v>
      </c>
      <c r="AP28" s="1034">
        <f t="array" ref="AP28">IFERROR(MAX(IF($AV$9:$AV$18="No",AP9:AP18)),"")</f>
        <v>0</v>
      </c>
      <c r="AQ28" s="1034">
        <f t="array" ref="AQ28">IFERROR(MAX(IF($AV$9:$AV$18="No",AQ9:AQ18)),"")</f>
        <v>0</v>
      </c>
      <c r="AR28" s="1033">
        <f t="array" ref="AR28">IFERROR(MAX(IF($AV$9:$AV$18="No",AR9:AR18)),"")</f>
        <v>0</v>
      </c>
      <c r="AS28" s="455"/>
    </row>
    <row r="29" spans="2:48">
      <c r="D29" s="1027"/>
      <c r="E29" s="1027"/>
      <c r="F29" s="1035" t="s">
        <v>1479</v>
      </c>
      <c r="G29" s="1036">
        <f t="array" ref="G29">IFERROR(PERCENTILE(IF($AV$9:$AV$18="No",G9:G18),0.75),"")</f>
        <v>0</v>
      </c>
      <c r="H29" s="1036">
        <f t="array" ref="H29">IFERROR(PERCENTILE(IF($AV$9:$AV$18="No",H9:H18),0.75),"")</f>
        <v>0</v>
      </c>
      <c r="I29" s="1036">
        <f t="array" ref="I29">IFERROR(PERCENTILE(IF($AV$9:$AV$18="No",I9:I18),0.75),"")</f>
        <v>0</v>
      </c>
      <c r="J29" s="1036">
        <f t="array" ref="J29">IFERROR(PERCENTILE(IF($AV$9:$AV$18="No",J9:J18),0.75),"")</f>
        <v>0</v>
      </c>
      <c r="K29" s="1036">
        <f t="array" ref="K29">IFERROR(PERCENTILE(IF($AV$9:$AV$18="No",K9:K18),0.75),"")</f>
        <v>0</v>
      </c>
      <c r="L29" s="1036">
        <f t="array" ref="L29">IFERROR(PERCENTILE(IF($AV$9:$AV$18="No",L9:L18),0.75),"")</f>
        <v>0</v>
      </c>
      <c r="M29" s="1036">
        <f t="array" ref="M29">IFERROR(PERCENTILE(IF($AV$9:$AV$18="No",M9:M18),0.75),"")</f>
        <v>0</v>
      </c>
      <c r="N29" s="1036">
        <f t="array" ref="N29">IFERROR(PERCENTILE(IF($AV$9:$AV$18="No",N9:N18),0.75),"")</f>
        <v>0</v>
      </c>
      <c r="O29" s="1037">
        <f t="array" ref="O29">IFERROR(PERCENTILE(IF($AV$9:$AV$18="No",O9:O18),0.75),"")</f>
        <v>0</v>
      </c>
      <c r="P29" s="1037">
        <f t="array" ref="P29">IFERROR(PERCENTILE(IF($AV$9:$AV$18="No",P9:P18),0.75),"")</f>
        <v>0</v>
      </c>
      <c r="Q29" s="1036">
        <f t="array" ref="Q29">IFERROR(PERCENTILE(IF($AV$9:$AV$18="No",Q9:Q18),0.75),"")</f>
        <v>0</v>
      </c>
      <c r="R29" s="1037">
        <f t="array" ref="R29">IFERROR(PERCENTILE(IF($AV$9:$AV$18="No",R9:R18),0.75),"")</f>
        <v>0</v>
      </c>
      <c r="S29" s="1037">
        <f t="array" ref="S29">IFERROR(PERCENTILE(IF($AV$9:$AV$18="No",S9:S18),0.75),"")</f>
        <v>0</v>
      </c>
      <c r="T29" s="1038">
        <f t="array" ref="T29">IFERROR(PERCENTILE(IF($AV$9:$AV$18="No",T9:T18),0.75),"")</f>
        <v>0</v>
      </c>
      <c r="U29" s="1037">
        <f t="array" ref="U29">IFERROR(PERCENTILE(IF($AV$9:$AV$18="No",U9:U18),0.75),"")</f>
        <v>0</v>
      </c>
      <c r="V29" s="1037">
        <f t="array" ref="V29">IFERROR(PERCENTILE(IF($AV$9:$AV$18="No",V9:V18),0.75),"")</f>
        <v>0</v>
      </c>
      <c r="W29" s="1039">
        <f t="array" ref="W29">IFERROR(PERCENTILE(IF($AV$9:$AV$18="No",W9:W18),0.75),"")</f>
        <v>0</v>
      </c>
      <c r="X29" s="1040">
        <f t="array" ref="X29">IFERROR(PERCENTILE(IF($AV$9:$AV$18="No",X9:X18),0.75),"")</f>
        <v>0</v>
      </c>
      <c r="Y29" s="1040">
        <f t="array" ref="Y29">IFERROR(PERCENTILE(IF($AV$9:$AV$18="No",Y9:Y18),0.75),"")</f>
        <v>0</v>
      </c>
      <c r="Z29" s="1039">
        <f t="array" ref="Z29">IFERROR(PERCENTILE(IF($AV$9:$AV$18="No",Z9:Z18),0.75),"")</f>
        <v>0</v>
      </c>
      <c r="AA29" s="1040">
        <f t="array" ref="AA29">IFERROR(PERCENTILE(IF($AV$9:$AV$18="No",AA9:AA18),0.75),"")</f>
        <v>0</v>
      </c>
      <c r="AB29" s="1040">
        <f t="array" ref="AB29">IFERROR(PERCENTILE(IF($AV$9:$AV$18="No",AB9:AB18),0.75),"")</f>
        <v>0</v>
      </c>
      <c r="AC29" s="1039">
        <f t="array" ref="AC29">IFERROR(PERCENTILE(IF($AV$9:$AV$18="No",AC9:AC18),0.75),"")</f>
        <v>0</v>
      </c>
      <c r="AD29" s="1040">
        <f t="array" ref="AD29">IFERROR(PERCENTILE(IF($AV$9:$AV$18="No",AD9:AD18),0.75),"")</f>
        <v>0</v>
      </c>
      <c r="AE29" s="1040">
        <f t="array" ref="AE29">IFERROR(PERCENTILE(IF($AV$9:$AV$18="No",AE9:AE18),0.75),"")</f>
        <v>0</v>
      </c>
      <c r="AF29" s="1039" t="str">
        <f t="array" ref="AF29">IFERROR(PERCENTILE(IF($AV$9:$AV$18="No",AF9:AF18),0.75),"")</f>
        <v/>
      </c>
      <c r="AG29" s="1040" t="str">
        <f t="array" ref="AG29">IFERROR(PERCENTILE(IF($AV$9:$AV$18="No",AG9:AG18),0.75),"")</f>
        <v/>
      </c>
      <c r="AH29" s="1040" t="str">
        <f t="array" ref="AH29">IFERROR(PERCENTILE(IF($AV$9:$AV$18="No",AH9:AH18),0.75),"")</f>
        <v/>
      </c>
      <c r="AI29" s="1040" t="str">
        <f t="array" ref="AI29">IFERROR(PERCENTILE(IF($AV$9:$AV$18="No",AI9:AI18),0.75),"")</f>
        <v/>
      </c>
      <c r="AJ29" s="1040" t="str">
        <f t="array" ref="AJ29">IFERROR(PERCENTILE(IF($AV$9:$AV$18="No",AJ9:AJ18),0.75),"")</f>
        <v/>
      </c>
      <c r="AK29" s="1040" t="str">
        <f t="array" ref="AK29">IFERROR(PERCENTILE(IF($AV$9:$AV$18="No",AK9:AK18),0.75),"")</f>
        <v/>
      </c>
      <c r="AL29" s="1039" t="str">
        <f t="array" ref="AL29">IFERROR(PERCENTILE(IF($AV$9:$AV$18="No",AL9:AL18),0.75),"")</f>
        <v/>
      </c>
      <c r="AM29" s="1040" t="str">
        <f t="array" ref="AM29">IFERROR(PERCENTILE(IF($AV$9:$AV$18="No",AM9:AM18),0.75),"")</f>
        <v/>
      </c>
      <c r="AN29" s="1040" t="str">
        <f t="array" ref="AN29">IFERROR(PERCENTILE(IF($AV$9:$AV$18="No",AN9:AN18),0.75),"")</f>
        <v/>
      </c>
      <c r="AO29" s="1040" t="str">
        <f t="array" ref="AO29">IFERROR(PERCENTILE(IF($AV$9:$AV$18="No",AO9:AO18),0.75),"")</f>
        <v/>
      </c>
      <c r="AP29" s="1040" t="str">
        <f t="array" ref="AP29">IFERROR(PERCENTILE(IF($AV$9:$AV$18="No",AP9:AP18),0.75),"")</f>
        <v/>
      </c>
      <c r="AQ29" s="1040" t="str">
        <f t="array" ref="AQ29">IFERROR(PERCENTILE(IF($AV$9:$AV$18="No",AQ9:AQ18),0.75),"")</f>
        <v/>
      </c>
      <c r="AR29" s="1039" t="str">
        <f t="array" ref="AR29">IFERROR(PERCENTILE(IF($AV$9:$AV$18="No",AR9:AR18),0.75),"")</f>
        <v/>
      </c>
      <c r="AS29" s="455"/>
    </row>
    <row r="30" spans="2:48">
      <c r="D30" s="1027"/>
      <c r="E30" s="1027"/>
      <c r="F30" s="1035" t="s">
        <v>1380</v>
      </c>
      <c r="G30" s="1036" t="str">
        <f t="array" ref="G30">IFERROR(AVERAGEIF($AV$9:$AV$18,"No",G9:G18),"")</f>
        <v/>
      </c>
      <c r="H30" s="1036">
        <f t="array" ref="H30">IFERROR(AVERAGEIF($AV$9:$AV$18,"No",H9:H18),"")</f>
        <v>0</v>
      </c>
      <c r="I30" s="1036">
        <f t="array" ref="I30">IFERROR(AVERAGEIF($AV$9:$AV$18,"No",I9:I18),"")</f>
        <v>0</v>
      </c>
      <c r="J30" s="1036">
        <f t="array" ref="J30">IFERROR(AVERAGEIF($AV$9:$AV$18,"No",J9:J18),"")</f>
        <v>0</v>
      </c>
      <c r="K30" s="1036">
        <f t="array" ref="K30">IFERROR(AVERAGEIF($AV$9:$AV$18,"No",K9:K18),"")</f>
        <v>0</v>
      </c>
      <c r="L30" s="1036">
        <f t="array" ref="L30">IFERROR(AVERAGEIF($AV$9:$AV$18,"No",L9:L18),"")</f>
        <v>0</v>
      </c>
      <c r="M30" s="1036">
        <f t="array" ref="M30">IFERROR(AVERAGEIF($AV$9:$AV$18,"No",M9:M18),"")</f>
        <v>0</v>
      </c>
      <c r="N30" s="1036">
        <f t="array" ref="N30">IFERROR(AVERAGEIF($AV$9:$AV$18,"No",N9:N18),"")</f>
        <v>0</v>
      </c>
      <c r="O30" s="1037">
        <f t="array" ref="O30">IFERROR(AVERAGEIF($AV$9:$AV$18,"No",O9:O18),"")</f>
        <v>0</v>
      </c>
      <c r="P30" s="1037">
        <f t="array" ref="P30">IFERROR(AVERAGEIF($AV$9:$AV$18,"No",P9:P18),"")</f>
        <v>0</v>
      </c>
      <c r="Q30" s="1036">
        <f t="array" ref="Q30">IFERROR(AVERAGEIF($AV$9:$AV$18,"No",Q9:Q18),"")</f>
        <v>0</v>
      </c>
      <c r="R30" s="1037">
        <f t="array" ref="R30">IFERROR(AVERAGEIF($AV$9:$AV$18,"No",R9:R18),"")</f>
        <v>0</v>
      </c>
      <c r="S30" s="1037">
        <f t="array" ref="S30">IFERROR(AVERAGEIF($AV$9:$AV$18,"No",S9:S18),"")</f>
        <v>0</v>
      </c>
      <c r="T30" s="1038">
        <f t="array" ref="T30">IFERROR(AVERAGEIF($AV$9:$AV$18,"No",T9:T18),"")</f>
        <v>0</v>
      </c>
      <c r="U30" s="1037">
        <f t="array" ref="U30">IFERROR(AVERAGEIF($AV$9:$AV$18,"No",U9:U18),"")</f>
        <v>0</v>
      </c>
      <c r="V30" s="1037">
        <f t="array" ref="V30">IFERROR(AVERAGEIF($AV$9:$AV$18,"No",V9:V18),"")</f>
        <v>0</v>
      </c>
      <c r="W30" s="1039">
        <f t="array" ref="W30">IFERROR(AVERAGEIF($AV$9:$AV$18,"No",W9:W18),"")</f>
        <v>0</v>
      </c>
      <c r="X30" s="1040">
        <f t="array" ref="X30">IFERROR(AVERAGEIF($AV$9:$AV$18,"No",X9:X18),"")</f>
        <v>0</v>
      </c>
      <c r="Y30" s="1040">
        <f t="array" ref="Y30">IFERROR(AVERAGEIF($AV$9:$AV$18,"No",Y9:Y18),"")</f>
        <v>0</v>
      </c>
      <c r="Z30" s="1039">
        <f t="array" ref="Z30">IFERROR(AVERAGEIF($AV$9:$AV$18,"No",Z9:Z18),"")</f>
        <v>0</v>
      </c>
      <c r="AA30" s="1040">
        <f t="array" ref="AA30">IFERROR(AVERAGEIF($AV$9:$AV$18,"No",AA9:AA18),"")</f>
        <v>0</v>
      </c>
      <c r="AB30" s="1040">
        <f t="array" ref="AB30">IFERROR(AVERAGEIF($AV$9:$AV$18,"No",AB9:AB18),"")</f>
        <v>0</v>
      </c>
      <c r="AC30" s="1039">
        <f t="array" ref="AC30">IFERROR(AVERAGEIF($AV$9:$AV$18,"No",AC9:AC18),"")</f>
        <v>0</v>
      </c>
      <c r="AD30" s="1040">
        <f t="array" ref="AD30">IFERROR(AVERAGEIF($AV$9:$AV$18,"No",AD9:AD18),"")</f>
        <v>0</v>
      </c>
      <c r="AE30" s="1040">
        <f t="array" ref="AE30">IFERROR(AVERAGEIF($AV$9:$AV$18,"No",AE9:AE18),"")</f>
        <v>0</v>
      </c>
      <c r="AF30" s="1039" t="str">
        <f t="array" ref="AF30">IFERROR(AVERAGEIF($AV$9:$AV$18,"No",AF9:AF18),"")</f>
        <v/>
      </c>
      <c r="AG30" s="1040" t="str">
        <f t="array" ref="AG30">IFERROR(AVERAGEIF($AV$9:$AV$18,"No",AG9:AG18),"")</f>
        <v/>
      </c>
      <c r="AH30" s="1040" t="str">
        <f t="array" ref="AH30">IFERROR(AVERAGEIF($AV$9:$AV$18,"No",AH9:AH18),"")</f>
        <v/>
      </c>
      <c r="AI30" s="1040" t="str">
        <f t="array" ref="AI30">IFERROR(AVERAGEIF($AV$9:$AV$18,"No",AI9:AI18),"")</f>
        <v/>
      </c>
      <c r="AJ30" s="1040" t="str">
        <f t="array" ref="AJ30">IFERROR(AVERAGEIF($AV$9:$AV$18,"No",AJ9:AJ18),"")</f>
        <v/>
      </c>
      <c r="AK30" s="1040" t="str">
        <f t="array" ref="AK30">IFERROR(AVERAGEIF($AV$9:$AV$18,"No",AK9:AK18),"")</f>
        <v/>
      </c>
      <c r="AL30" s="1039" t="str">
        <f t="array" ref="AL30">IFERROR(AVERAGEIF($AV$9:$AV$18,"No",AL9:AL18),"")</f>
        <v/>
      </c>
      <c r="AM30" s="1040" t="str">
        <f t="array" ref="AM30">IFERROR(AVERAGEIF($AV$9:$AV$18,"No",AM9:AM18),"")</f>
        <v/>
      </c>
      <c r="AN30" s="1040" t="str">
        <f t="array" ref="AN30">IFERROR(AVERAGEIF($AV$9:$AV$18,"No",AN9:AN18),"")</f>
        <v/>
      </c>
      <c r="AO30" s="1040" t="str">
        <f t="array" ref="AO30">IFERROR(AVERAGEIF($AV$9:$AV$18,"No",AO9:AO18),"")</f>
        <v/>
      </c>
      <c r="AP30" s="1040" t="str">
        <f t="array" ref="AP30">IFERROR(AVERAGEIF($AV$9:$AV$18,"No",AP9:AP18),"")</f>
        <v/>
      </c>
      <c r="AQ30" s="1040" t="str">
        <f t="array" ref="AQ30">IFERROR(AVERAGEIF($AV$9:$AV$18,"No",AQ9:AQ18),"")</f>
        <v/>
      </c>
      <c r="AR30" s="1039" t="str">
        <f t="array" ref="AR30">IFERROR(AVERAGEIF($AV$9:$AV$18,"No",AR9:AR18),"")</f>
        <v/>
      </c>
      <c r="AS30" s="455"/>
    </row>
    <row r="31" spans="2:48">
      <c r="D31" s="1027"/>
      <c r="E31" s="1027"/>
      <c r="F31" s="1041" t="s">
        <v>1381</v>
      </c>
      <c r="G31" s="1042">
        <f t="array" ref="G31">IFERROR(MEDIAN(IF($AV$9:$AV$18="No",G9:G18)),"")</f>
        <v>0</v>
      </c>
      <c r="H31" s="1042">
        <f t="array" ref="H31">IFERROR(MEDIAN(IF($AV$9:$AV$18="No",H9:H18)),"")</f>
        <v>0</v>
      </c>
      <c r="I31" s="1042">
        <f t="array" ref="I31">IFERROR(MEDIAN(IF($AV$9:$AV$18="No",I9:I18)),"")</f>
        <v>0</v>
      </c>
      <c r="J31" s="1042">
        <f t="array" ref="J31">IFERROR(MEDIAN(IF($AV$9:$AV$18="No",J9:J18)),"")</f>
        <v>0</v>
      </c>
      <c r="K31" s="1042">
        <f t="array" ref="K31">IFERROR(MEDIAN(IF($AV$9:$AV$18="No",K9:K18)),"")</f>
        <v>0</v>
      </c>
      <c r="L31" s="1042">
        <f t="array" ref="L31">IFERROR(MEDIAN(IF($AV$9:$AV$18="No",L9:L18)),"")</f>
        <v>0</v>
      </c>
      <c r="M31" s="1042">
        <f t="array" ref="M31">IFERROR(MEDIAN(IF($AV$9:$AV$18="No",M9:M18)),"")</f>
        <v>0</v>
      </c>
      <c r="N31" s="1042">
        <f t="array" ref="N31">IFERROR(MEDIAN(IF($AV$9:$AV$18="No",N9:N18)),"")</f>
        <v>0</v>
      </c>
      <c r="O31" s="1042">
        <f t="array" ref="O31">IFERROR(MEDIAN(IF($AV$9:$AV$18="No",O9:O18)),"")</f>
        <v>0</v>
      </c>
      <c r="P31" s="1042">
        <f t="array" ref="P31">IFERROR(MEDIAN(IF($AV$9:$AV$18="No",P9:P18)),"")</f>
        <v>0</v>
      </c>
      <c r="Q31" s="1042">
        <f t="array" ref="Q31">IFERROR(MEDIAN(IF($AV$9:$AV$18="No",Q9:Q18)),"")</f>
        <v>0</v>
      </c>
      <c r="R31" s="1042">
        <f t="array" ref="R31">IFERROR(MEDIAN(IF($AV$9:$AV$18="No",R9:R18)),"")</f>
        <v>0</v>
      </c>
      <c r="S31" s="1042">
        <f t="array" ref="S31">IFERROR(MEDIAN(IF($AV$9:$AV$18="No",S9:S18)),"")</f>
        <v>0</v>
      </c>
      <c r="T31" s="1043">
        <f t="array" ref="T31">IFERROR(MEDIAN(IF($AV$9:$AV$18="No",T9:T18)),"")</f>
        <v>0</v>
      </c>
      <c r="U31" s="1042">
        <f t="array" ref="U31">IFERROR(MEDIAN(IF($AV$9:$AV$18="No",U9:U18)),"")</f>
        <v>0</v>
      </c>
      <c r="V31" s="1042">
        <f t="array" ref="V31">IFERROR(MEDIAN(IF($AV$9:$AV$18="No",V9:V18)),"")</f>
        <v>0</v>
      </c>
      <c r="W31" s="1044">
        <f t="array" ref="W31">IFERROR(MEDIAN(IF($AV$9:$AV$18="No",W9:W18)),"")</f>
        <v>0</v>
      </c>
      <c r="X31" s="1045">
        <f t="array" ref="X31">IFERROR(MEDIAN(IF($AV$9:$AV$18="No",X9:X18)),"")</f>
        <v>0</v>
      </c>
      <c r="Y31" s="1045">
        <f t="array" ref="Y31">IFERROR(MEDIAN(IF($AV$9:$AV$18="No",Y9:Y18)),"")</f>
        <v>0</v>
      </c>
      <c r="Z31" s="1044">
        <f t="array" ref="Z31">IFERROR(MEDIAN(IF($AV$9:$AV$18="No",Z9:Z18)),"")</f>
        <v>0</v>
      </c>
      <c r="AA31" s="1045">
        <f t="array" ref="AA31">IFERROR(MEDIAN(IF($AV$9:$AV$18="No",AA9:AA18)),"")</f>
        <v>0</v>
      </c>
      <c r="AB31" s="1045">
        <f t="array" ref="AB31">IFERROR(MEDIAN(IF($AV$9:$AV$18="No",AB9:AB18)),"")</f>
        <v>0</v>
      </c>
      <c r="AC31" s="1044">
        <f t="array" ref="AC31">IFERROR(MEDIAN(IF($AV$9:$AV$18="No",AC9:AC18)),"")</f>
        <v>0</v>
      </c>
      <c r="AD31" s="1045">
        <f t="array" ref="AD31">IFERROR(MEDIAN(IF($AV$9:$AV$18="No",AD9:AD18)),"")</f>
        <v>0</v>
      </c>
      <c r="AE31" s="1045">
        <f t="array" ref="AE31">IFERROR(MEDIAN(IF($AV$9:$AV$18="No",AE9:AE18)),"")</f>
        <v>0</v>
      </c>
      <c r="AF31" s="1044" t="str">
        <f t="array" ref="AF31">IFERROR(MEDIAN(IF($AV$9:$AV$18="No",AF9:AF18)),"")</f>
        <v/>
      </c>
      <c r="AG31" s="1045" t="str">
        <f t="array" ref="AG31">IFERROR(MEDIAN(IF($AV$9:$AV$18="No",AG9:AG18)),"")</f>
        <v/>
      </c>
      <c r="AH31" s="1045" t="str">
        <f t="array" ref="AH31">IFERROR(MEDIAN(IF($AV$9:$AV$18="No",AH9:AH18)),"")</f>
        <v/>
      </c>
      <c r="AI31" s="1045" t="str">
        <f t="array" ref="AI31">IFERROR(MEDIAN(IF($AV$9:$AV$18="No",AI9:AI18)),"")</f>
        <v/>
      </c>
      <c r="AJ31" s="1045" t="str">
        <f t="array" ref="AJ31">IFERROR(MEDIAN(IF($AV$9:$AV$18="No",AJ9:AJ18)),"")</f>
        <v/>
      </c>
      <c r="AK31" s="1045" t="str">
        <f t="array" ref="AK31">IFERROR(MEDIAN(IF($AV$9:$AV$18="No",AK9:AK18)),"")</f>
        <v/>
      </c>
      <c r="AL31" s="1044" t="str">
        <f t="array" ref="AL31">IFERROR(MEDIAN(IF($AV$9:$AV$18="No",AL9:AL18)),"")</f>
        <v/>
      </c>
      <c r="AM31" s="1045" t="str">
        <f t="array" ref="AM31">IFERROR(MEDIAN(IF($AV$9:$AV$18="No",AM9:AM18)),"")</f>
        <v/>
      </c>
      <c r="AN31" s="1045" t="str">
        <f t="array" ref="AN31">IFERROR(MEDIAN(IF($AV$9:$AV$18="No",AN9:AN18)),"")</f>
        <v/>
      </c>
      <c r="AO31" s="1045" t="str">
        <f t="array" ref="AO31">IFERROR(MEDIAN(IF($AV$9:$AV$18="No",AO9:AO18)),"")</f>
        <v/>
      </c>
      <c r="AP31" s="1045" t="str">
        <f t="array" ref="AP31">IFERROR(MEDIAN(IF($AV$9:$AV$18="No",AP9:AP18)),"")</f>
        <v/>
      </c>
      <c r="AQ31" s="1045" t="str">
        <f t="array" ref="AQ31">IFERROR(MEDIAN(IF($AV$9:$AV$18="No",AQ9:AQ18)),"")</f>
        <v/>
      </c>
      <c r="AR31" s="1044" t="str">
        <f t="array" ref="AR31">IFERROR(MEDIAN(IF($AV$9:$AV$18="No",AR9:AR18)),"")</f>
        <v/>
      </c>
      <c r="AS31" s="455"/>
    </row>
    <row r="32" spans="2:48">
      <c r="D32" s="1027"/>
      <c r="E32" s="1027"/>
      <c r="F32" s="1035" t="s">
        <v>1480</v>
      </c>
      <c r="G32" s="1036">
        <f t="array" ref="G32">IFERROR(PERCENTILE(IF($AV$9:$AV$18="No",G9:G18),0.25),"")</f>
        <v>0</v>
      </c>
      <c r="H32" s="1036">
        <f t="array" ref="H32">IFERROR(PERCENTILE(IF($AV$9:$AV$18="No",H9:H18),0.25),"")</f>
        <v>0</v>
      </c>
      <c r="I32" s="1036">
        <f t="array" ref="I32">IFERROR(PERCENTILE(IF($AV$9:$AV$18="No",I9:I18),0.25),"")</f>
        <v>0</v>
      </c>
      <c r="J32" s="1036">
        <f t="array" ref="J32">IFERROR(PERCENTILE(IF($AV$9:$AV$18="No",J9:J18),0.25),"")</f>
        <v>0</v>
      </c>
      <c r="K32" s="1036">
        <f t="array" ref="K32">IFERROR(PERCENTILE(IF($AV$9:$AV$18="No",K9:K18),0.25),"")</f>
        <v>0</v>
      </c>
      <c r="L32" s="1036">
        <f t="array" ref="L32">IFERROR(PERCENTILE(IF($AV$9:$AV$18="No",L9:L18),0.25),"")</f>
        <v>0</v>
      </c>
      <c r="M32" s="1036">
        <f t="array" ref="M32">IFERROR(PERCENTILE(IF($AV$9:$AV$18="No",M9:M18),0.25),"")</f>
        <v>0</v>
      </c>
      <c r="N32" s="1036">
        <f t="array" ref="N32">IFERROR(PERCENTILE(IF($AV$9:$AV$18="No",N9:N18),0.25),"")</f>
        <v>0</v>
      </c>
      <c r="O32" s="1037">
        <f t="array" ref="O32">IFERROR(PERCENTILE(IF($AV$9:$AV$18="No",O9:O18),0.25),"")</f>
        <v>0</v>
      </c>
      <c r="P32" s="1037">
        <f t="array" ref="P32">IFERROR(PERCENTILE(IF($AV$9:$AV$18="No",P9:P18),0.25),"")</f>
        <v>0</v>
      </c>
      <c r="Q32" s="1036">
        <f t="array" ref="Q32">IFERROR(PERCENTILE(IF($AV$9:$AV$18="No",Q9:Q18),0.25),"")</f>
        <v>0</v>
      </c>
      <c r="R32" s="1037">
        <f t="array" ref="R32">IFERROR(PERCENTILE(IF($AV$9:$AV$18="No",R9:R18),0.25),"")</f>
        <v>0</v>
      </c>
      <c r="S32" s="1037">
        <f t="array" ref="S32">IFERROR(PERCENTILE(IF($AV$9:$AV$18="No",S9:S18),0.25),"")</f>
        <v>0</v>
      </c>
      <c r="T32" s="1038">
        <f t="array" ref="T32">IFERROR(PERCENTILE(IF($AV$9:$AV$18="No",T9:T18),0.25),"")</f>
        <v>0</v>
      </c>
      <c r="U32" s="1037">
        <f t="array" ref="U32">IFERROR(PERCENTILE(IF($AV$9:$AV$18="No",U9:U18),0.25),"")</f>
        <v>0</v>
      </c>
      <c r="V32" s="1037">
        <f t="array" ref="V32">IFERROR(PERCENTILE(IF($AV$9:$AV$18="No",V9:V18),0.25),"")</f>
        <v>0</v>
      </c>
      <c r="W32" s="1039">
        <f t="array" ref="W32">IFERROR(PERCENTILE(IF($AV$9:$AV$18="No",W9:W18),0.25),"")</f>
        <v>0</v>
      </c>
      <c r="X32" s="1040">
        <f t="array" ref="X32">IFERROR(PERCENTILE(IF($AV$9:$AV$18="No",X9:X18),0.25),"")</f>
        <v>0</v>
      </c>
      <c r="Y32" s="1040">
        <f t="array" ref="Y32">IFERROR(PERCENTILE(IF($AV$9:$AV$18="No",Y9:Y18),0.25),"")</f>
        <v>0</v>
      </c>
      <c r="Z32" s="1039">
        <f t="array" ref="Z32">IFERROR(PERCENTILE(IF($AV$9:$AV$18="No",Z9:Z18),0.25),"")</f>
        <v>0</v>
      </c>
      <c r="AA32" s="1040">
        <f t="array" ref="AA32">IFERROR(PERCENTILE(IF($AV$9:$AV$18="No",AA9:AA18),0.25),"")</f>
        <v>0</v>
      </c>
      <c r="AB32" s="1040">
        <f t="array" ref="AB32">IFERROR(PERCENTILE(IF($AV$9:$AV$18="No",AB9:AB18),0.25),"")</f>
        <v>0</v>
      </c>
      <c r="AC32" s="1039">
        <f t="array" ref="AC32">IFERROR(PERCENTILE(IF($AV$9:$AV$18="No",AC9:AC18),0.25),"")</f>
        <v>0</v>
      </c>
      <c r="AD32" s="1040">
        <f t="array" ref="AD32">IFERROR(PERCENTILE(IF($AV$9:$AV$18="No",AD9:AD18),0.25),"")</f>
        <v>0</v>
      </c>
      <c r="AE32" s="1040">
        <f t="array" ref="AE32">IFERROR(PERCENTILE(IF($AV$9:$AV$18="No",AE9:AE18),0.25),"")</f>
        <v>0</v>
      </c>
      <c r="AF32" s="1039" t="str">
        <f t="array" ref="AF32">IFERROR(PERCENTILE(IF($AV$9:$AV$18="No",AF9:AF18),0.25),"")</f>
        <v/>
      </c>
      <c r="AG32" s="1040" t="str">
        <f t="array" ref="AG32">IFERROR(PERCENTILE(IF($AV$9:$AV$18="No",AG9:AG18),0.25),"")</f>
        <v/>
      </c>
      <c r="AH32" s="1040" t="str">
        <f t="array" ref="AH32">IFERROR(PERCENTILE(IF($AV$9:$AV$18="No",AH9:AH18),0.25),"")</f>
        <v/>
      </c>
      <c r="AI32" s="1040" t="str">
        <f t="array" ref="AI32">IFERROR(PERCENTILE(IF($AV$9:$AV$18="No",AI9:AI18),0.25),"")</f>
        <v/>
      </c>
      <c r="AJ32" s="1040" t="str">
        <f t="array" ref="AJ32">IFERROR(PERCENTILE(IF($AV$9:$AV$18="No",AJ9:AJ18),0.25),"")</f>
        <v/>
      </c>
      <c r="AK32" s="1040" t="str">
        <f t="array" ref="AK32">IFERROR(PERCENTILE(IF($AV$9:$AV$18="No",AK9:AK18),0.25),"")</f>
        <v/>
      </c>
      <c r="AL32" s="1039" t="str">
        <f t="array" ref="AL32">IFERROR(PERCENTILE(IF($AV$9:$AV$18="No",AL9:AL18),0.25),"")</f>
        <v/>
      </c>
      <c r="AM32" s="1040" t="str">
        <f t="array" ref="AM32">IFERROR(PERCENTILE(IF($AV$9:$AV$18="No",AM9:AM18),0.25),"")</f>
        <v/>
      </c>
      <c r="AN32" s="1040" t="str">
        <f t="array" ref="AN32">IFERROR(PERCENTILE(IF($AV$9:$AV$18="No",AN9:AN18),0.25),"")</f>
        <v/>
      </c>
      <c r="AO32" s="1040" t="str">
        <f t="array" ref="AO32">IFERROR(PERCENTILE(IF($AV$9:$AV$18="No",AO9:AO18),0.25),"")</f>
        <v/>
      </c>
      <c r="AP32" s="1040" t="str">
        <f t="array" ref="AP32">IFERROR(PERCENTILE(IF($AV$9:$AV$18="No",AP9:AP18),0.25),"")</f>
        <v/>
      </c>
      <c r="AQ32" s="1040" t="str">
        <f t="array" ref="AQ32">IFERROR(PERCENTILE(IF($AV$9:$AV$18="No",AQ9:AQ18),0.25),"")</f>
        <v/>
      </c>
      <c r="AR32" s="1039" t="str">
        <f t="array" ref="AR32">IFERROR(PERCENTILE(IF($AV$9:$AV$18="No",AR9:AR18),0.25),"")</f>
        <v/>
      </c>
      <c r="AS32" s="455"/>
    </row>
    <row r="33" spans="2:45">
      <c r="D33" s="1027"/>
      <c r="E33" s="1027"/>
      <c r="F33" s="1046" t="s">
        <v>215</v>
      </c>
      <c r="G33" s="1047">
        <f t="array" ref="G33">IFERROR(MIN(IF($AV$9:$AV$18="No",G9:G18)),"")</f>
        <v>0</v>
      </c>
      <c r="H33" s="1047">
        <f t="array" ref="H33">IFERROR(MIN(IF($AV$9:$AV$18="No",H9:H18)),"")</f>
        <v>0</v>
      </c>
      <c r="I33" s="1047">
        <f t="array" ref="I33">IFERROR(MIN(IF($AV$9:$AV$18="No",I9:I18)),"")</f>
        <v>0</v>
      </c>
      <c r="J33" s="1047">
        <f t="array" ref="J33">IFERROR(MIN(IF($AV$9:$AV$18="No",J9:J18)),"")</f>
        <v>0</v>
      </c>
      <c r="K33" s="1047">
        <f t="array" ref="K33">IFERROR(MIN(IF($AV$9:$AV$18="No",K9:K18)),"")</f>
        <v>0</v>
      </c>
      <c r="L33" s="1047">
        <f t="array" ref="L33">IFERROR(MIN(IF($AV$9:$AV$18="No",L9:L18)),"")</f>
        <v>0</v>
      </c>
      <c r="M33" s="1047">
        <f t="array" ref="M33">IFERROR(MIN(IF($AV$9:$AV$18="No",M9:M18)),"")</f>
        <v>0</v>
      </c>
      <c r="N33" s="1047">
        <f t="array" ref="N33">IFERROR(MIN(IF($AV$9:$AV$18="No",N9:N18)),"")</f>
        <v>0</v>
      </c>
      <c r="O33" s="1048">
        <f t="array" ref="O33">IFERROR(MIN(IF($AV$9:$AV$18="No",O9:O18)),"")</f>
        <v>0</v>
      </c>
      <c r="P33" s="1048">
        <f t="array" ref="P33">IFERROR(MIN(IF($AV$9:$AV$18="No",P9:P18)),"")</f>
        <v>0</v>
      </c>
      <c r="Q33" s="1047">
        <f t="array" ref="Q33">IFERROR(MIN(IF($AV$9:$AV$18="No",Q9:Q18)),"")</f>
        <v>0</v>
      </c>
      <c r="R33" s="1048">
        <f t="array" ref="R33">IFERROR(MIN(IF($AV$9:$AV$18="No",R9:R18)),"")</f>
        <v>0</v>
      </c>
      <c r="S33" s="1048">
        <f t="array" ref="S33">IFERROR(MIN(IF($AV$9:$AV$18="No",S9:S18)),"")</f>
        <v>0</v>
      </c>
      <c r="T33" s="1049">
        <f t="array" ref="T33">IFERROR(MIN(IF($AV$9:$AV$18="No",T9:T18)),"")</f>
        <v>0</v>
      </c>
      <c r="U33" s="1048">
        <f t="array" ref="U33">IFERROR(MIN(IF($AV$9:$AV$18="No",U9:U18)),"")</f>
        <v>0</v>
      </c>
      <c r="V33" s="1048">
        <f t="array" ref="V33">IFERROR(MIN(IF($AV$9:$AV$18="No",V9:V18)),"")</f>
        <v>0</v>
      </c>
      <c r="W33" s="1050">
        <f t="array" ref="W33">IFERROR(MIN(IF($AV$9:$AV$18="No",W9:W18)),"")</f>
        <v>0</v>
      </c>
      <c r="X33" s="1051">
        <f t="array" ref="X33">IFERROR(MIN(IF($AV$9:$AV$18="No",X9:X18)),"")</f>
        <v>0</v>
      </c>
      <c r="Y33" s="1051">
        <f t="array" ref="Y33">IFERROR(MIN(IF($AV$9:$AV$18="No",Y9:Y18)),"")</f>
        <v>0</v>
      </c>
      <c r="Z33" s="1050">
        <f t="array" ref="Z33">IFERROR(MIN(IF($AV$9:$AV$18="No",Z9:Z18)),"")</f>
        <v>0</v>
      </c>
      <c r="AA33" s="1051">
        <f t="array" ref="AA33">IFERROR(MIN(IF($AV$9:$AV$18="No",AA9:AA18)),"")</f>
        <v>0</v>
      </c>
      <c r="AB33" s="1051">
        <f t="array" ref="AB33">IFERROR(MIN(IF($AV$9:$AV$18="No",AB9:AB18)),"")</f>
        <v>0</v>
      </c>
      <c r="AC33" s="1050">
        <f t="array" ref="AC33">IFERROR(MIN(IF($AV$9:$AV$18="No",AC9:AC18)),"")</f>
        <v>0</v>
      </c>
      <c r="AD33" s="1051">
        <f t="array" ref="AD33">IFERROR(MIN(IF($AV$9:$AV$18="No",AD9:AD18)),"")</f>
        <v>0</v>
      </c>
      <c r="AE33" s="1051">
        <f t="array" ref="AE33">IFERROR(MIN(IF($AV$9:$AV$18="No",AE9:AE18)),"")</f>
        <v>0</v>
      </c>
      <c r="AF33" s="1050">
        <f t="array" ref="AF33">IFERROR(MIN(IF($AV$9:$AV$18="No",AF9:AF18)),"")</f>
        <v>0</v>
      </c>
      <c r="AG33" s="1051">
        <f t="array" ref="AG33">IFERROR(MIN(IF($AV$9:$AV$18="No",AG9:AG18)),"")</f>
        <v>0</v>
      </c>
      <c r="AH33" s="1051" t="str">
        <f t="array" ref="AH33">IFERROR(MIN(IF($AV$9:$AV$18="No",AH9:AH18)),"")</f>
        <v/>
      </c>
      <c r="AI33" s="1051">
        <f t="array" ref="AI33">IFERROR(MIN(IF($AV$9:$AV$18="No",AI9:AI18)),"")</f>
        <v>0</v>
      </c>
      <c r="AJ33" s="1051">
        <f t="array" ref="AJ33">IFERROR(MIN(IF($AV$9:$AV$18="No",AJ9:AJ18)),"")</f>
        <v>0</v>
      </c>
      <c r="AK33" s="1051">
        <f t="array" ref="AK33">IFERROR(MIN(IF($AV$9:$AV$18="No",AK9:AK18)),"")</f>
        <v>0</v>
      </c>
      <c r="AL33" s="1050">
        <f t="array" ref="AL33">IFERROR(MIN(IF($AV$9:$AV$18="No",AL9:AL18)),"")</f>
        <v>0</v>
      </c>
      <c r="AM33" s="1051">
        <f t="array" ref="AM33">IFERROR(MIN(IF($AV$9:$AV$18="No",AM9:AM18)),"")</f>
        <v>0</v>
      </c>
      <c r="AN33" s="1051" t="str">
        <f t="array" ref="AN33">IFERROR(MIN(IF($AV$9:$AV$18="No",AN9:AN18)),"")</f>
        <v/>
      </c>
      <c r="AO33" s="1051">
        <f t="array" ref="AO33">IFERROR(MIN(IF($AV$9:$AV$18="No",AO9:AO18)),"")</f>
        <v>0</v>
      </c>
      <c r="AP33" s="1051">
        <f t="array" ref="AP33">IFERROR(MIN(IF($AV$9:$AV$18="No",AP9:AP18)),"")</f>
        <v>0</v>
      </c>
      <c r="AQ33" s="1051">
        <f t="array" ref="AQ33">IFERROR(MIN(IF($AV$9:$AV$18="No",AQ9:AQ18)),"")</f>
        <v>0</v>
      </c>
      <c r="AR33" s="1050">
        <f t="array" ref="AR33">IFERROR(MIN(IF($AV$9:$AV$18="No",AR9:AR18)),"")</f>
        <v>0</v>
      </c>
      <c r="AS33" s="455"/>
    </row>
    <row r="35" spans="2:45">
      <c r="C35" s="718"/>
      <c r="D35" s="1053"/>
      <c r="E35" s="1053"/>
      <c r="F35" s="1053"/>
      <c r="G35" s="1053"/>
      <c r="H35" s="1053"/>
      <c r="I35" s="1053"/>
      <c r="J35" s="1053"/>
      <c r="K35" s="713"/>
      <c r="L35" s="713"/>
      <c r="M35" s="713"/>
      <c r="N35" s="713"/>
      <c r="O35" s="713"/>
      <c r="P35" s="713"/>
      <c r="Q35" s="1054"/>
      <c r="R35" s="1055"/>
      <c r="S35" s="1055"/>
      <c r="T35" s="1056"/>
      <c r="U35" s="1056"/>
      <c r="V35" s="1056"/>
      <c r="W35" s="1055"/>
      <c r="X35" s="1055"/>
      <c r="Y35" s="1055"/>
      <c r="Z35" s="1053"/>
      <c r="AA35" s="1053"/>
      <c r="AB35" s="1053"/>
      <c r="AC35" s="1053"/>
      <c r="AD35" s="1053"/>
      <c r="AE35" s="1053"/>
      <c r="AF35" s="1053"/>
      <c r="AG35" s="1053"/>
      <c r="AH35" s="1053"/>
      <c r="AI35" s="1053"/>
      <c r="AJ35" s="1053"/>
      <c r="AK35" s="1053"/>
      <c r="AL35" s="1017"/>
      <c r="AM35" s="1017"/>
      <c r="AN35" s="1017"/>
      <c r="AO35" s="1017"/>
      <c r="AP35" s="1017"/>
      <c r="AQ35" s="1017"/>
      <c r="AR35" s="1053"/>
      <c r="AS35" s="1053"/>
    </row>
    <row r="36" spans="2:45" hidden="1" outlineLevel="1"/>
    <row r="37" spans="2:45" hidden="1" outlineLevel="1">
      <c r="Z37" s="1057"/>
      <c r="AA37" s="1057"/>
      <c r="AB37" s="1057"/>
      <c r="AC37" s="1792"/>
      <c r="AD37" s="1792"/>
      <c r="AE37" s="1058" t="s">
        <v>1461</v>
      </c>
    </row>
    <row r="38" spans="2:45" ht="42" hidden="1" outlineLevel="1">
      <c r="Z38" s="1059" t="s">
        <v>1481</v>
      </c>
      <c r="AA38" s="1059" t="s">
        <v>1482</v>
      </c>
      <c r="AB38" s="1059" t="s">
        <v>1483</v>
      </c>
      <c r="AC38" s="1060" t="s">
        <v>1485</v>
      </c>
      <c r="AD38" s="1060" t="s">
        <v>1478</v>
      </c>
      <c r="AE38" s="1060" t="s">
        <v>138</v>
      </c>
    </row>
    <row r="39" spans="2:45" hidden="1" outlineLevel="1">
      <c r="B39" s="669"/>
      <c r="Z39" s="1061" t="str">
        <f>IFERROR(INDEX(Growth!$V$10:$V$39,MATCH(Multiples!#REF!,Growth!$D$10:$D$39,0)),"")</f>
        <v/>
      </c>
      <c r="AA39" s="1061" t="str">
        <f>IFERROR(INDEX(Growth!$V$60:$V$69,MATCH(#REF!,Growth!$D$60:$D$69,0)),"")</f>
        <v/>
      </c>
      <c r="AB39" s="1061">
        <f>Margins!I59</f>
        <v>0</v>
      </c>
      <c r="AC39" s="1062" t="e">
        <f>#REF!</f>
        <v>#REF!</v>
      </c>
      <c r="AD39" s="1062" t="e">
        <f>#REF!</f>
        <v>#REF!</v>
      </c>
      <c r="AE39" s="1062">
        <f t="shared" ref="AE39:AE47" si="12">AA9</f>
        <v>0</v>
      </c>
    </row>
    <row r="40" spans="2:45" hidden="1" outlineLevel="1">
      <c r="B40" s="1063"/>
      <c r="Z40" s="1064" t="str">
        <f>IFERROR(INDEX(Growth!$V$10:$V$39,MATCH(Multiples!#REF!,Growth!$D$10:$D$39,0)),"")</f>
        <v/>
      </c>
      <c r="AA40" s="1064" t="str">
        <f>IFERROR(INDEX(Growth!$V$60:$V$69,MATCH(#REF!,Growth!$D$60:$D$69,0)),"")</f>
        <v/>
      </c>
      <c r="AB40" s="1061">
        <f>Margins!I60</f>
        <v>0</v>
      </c>
      <c r="AC40" s="1065" t="e">
        <f>#REF!</f>
        <v>#REF!</v>
      </c>
      <c r="AD40" s="1065" t="e">
        <f>#REF!</f>
        <v>#REF!</v>
      </c>
      <c r="AE40" s="1065">
        <f t="shared" si="12"/>
        <v>0</v>
      </c>
    </row>
    <row r="41" spans="2:45" hidden="1" outlineLevel="1">
      <c r="B41" s="1063"/>
      <c r="Z41" s="1064" t="str">
        <f>IFERROR(INDEX(Growth!$V$10:$V$39,MATCH(Multiples!#REF!,Growth!$D$10:$D$39,0)),"")</f>
        <v/>
      </c>
      <c r="AA41" s="1064" t="str">
        <f>IFERROR(INDEX(Growth!$V$60:$V$69,MATCH(#REF!,Growth!$D$60:$D$69,0)),"")</f>
        <v/>
      </c>
      <c r="AB41" s="1061">
        <f>Margins!I61</f>
        <v>0</v>
      </c>
      <c r="AC41" s="1065" t="e">
        <f>#REF!</f>
        <v>#REF!</v>
      </c>
      <c r="AD41" s="1065" t="e">
        <f>#REF!</f>
        <v>#REF!</v>
      </c>
      <c r="AE41" s="1065">
        <f t="shared" si="12"/>
        <v>0</v>
      </c>
    </row>
    <row r="42" spans="2:45" hidden="1" outlineLevel="1">
      <c r="B42" s="1063"/>
      <c r="Z42" s="1064" t="str">
        <f>IFERROR(INDEX(Growth!$V$10:$V$39,MATCH(Multiples!#REF!,Growth!$D$10:$D$39,0)),"")</f>
        <v/>
      </c>
      <c r="AA42" s="1064" t="str">
        <f>IFERROR(INDEX(Growth!$V$60:$V$69,MATCH(#REF!,Growth!$D$60:$D$69,0)),"")</f>
        <v/>
      </c>
      <c r="AB42" s="1061">
        <f>Margins!I62</f>
        <v>0</v>
      </c>
      <c r="AC42" s="1065" t="e">
        <f>#REF!</f>
        <v>#REF!</v>
      </c>
      <c r="AD42" s="1065" t="e">
        <f>#REF!</f>
        <v>#REF!</v>
      </c>
      <c r="AE42" s="1065">
        <f t="shared" si="12"/>
        <v>0</v>
      </c>
    </row>
    <row r="43" spans="2:45" hidden="1" outlineLevel="1">
      <c r="B43" s="1063"/>
      <c r="Z43" s="1064" t="str">
        <f>IFERROR(INDEX(Growth!$V$10:$V$39,MATCH(Multiples!#REF!,Growth!$D$10:$D$39,0)),"")</f>
        <v/>
      </c>
      <c r="AA43" s="1064" t="str">
        <f>IFERROR(INDEX(Growth!$V$60:$V$69,MATCH(#REF!,Growth!$D$60:$D$69,0)),"")</f>
        <v/>
      </c>
      <c r="AB43" s="1061">
        <f>Margins!I63</f>
        <v>0</v>
      </c>
      <c r="AC43" s="1065" t="e">
        <f>#REF!</f>
        <v>#REF!</v>
      </c>
      <c r="AD43" s="1065" t="e">
        <f>#REF!</f>
        <v>#REF!</v>
      </c>
      <c r="AE43" s="1065">
        <f t="shared" si="12"/>
        <v>0</v>
      </c>
    </row>
    <row r="44" spans="2:45" hidden="1" outlineLevel="1">
      <c r="B44" s="1063"/>
      <c r="Z44" s="1064" t="str">
        <f>IFERROR(INDEX(Growth!$V$10:$V$39,MATCH(Multiples!#REF!,Growth!$D$10:$D$39,0)),"")</f>
        <v/>
      </c>
      <c r="AA44" s="1064" t="str">
        <f>IFERROR(INDEX(Growth!$V$60:$V$69,MATCH(#REF!,Growth!$D$60:$D$69,0)),"")</f>
        <v/>
      </c>
      <c r="AB44" s="1061">
        <f>Margins!I64</f>
        <v>0</v>
      </c>
      <c r="AC44" s="1065" t="e">
        <f>#REF!</f>
        <v>#REF!</v>
      </c>
      <c r="AD44" s="1065" t="e">
        <f>#REF!</f>
        <v>#REF!</v>
      </c>
      <c r="AE44" s="1065">
        <f t="shared" si="12"/>
        <v>0</v>
      </c>
    </row>
    <row r="45" spans="2:45" hidden="1" outlineLevel="1">
      <c r="B45" s="1063"/>
      <c r="Z45" s="1064" t="str">
        <f>IFERROR(INDEX(Growth!$V$10:$V$39,MATCH(Multiples!#REF!,Growth!$D$10:$D$39,0)),"")</f>
        <v/>
      </c>
      <c r="AA45" s="1064" t="str">
        <f>IFERROR(INDEX(Growth!$V$60:$V$69,MATCH(#REF!,Growth!$D$60:$D$69,0)),"")</f>
        <v/>
      </c>
      <c r="AB45" s="1061">
        <f>Margins!I65</f>
        <v>0</v>
      </c>
      <c r="AC45" s="1065" t="e">
        <f>#REF!</f>
        <v>#REF!</v>
      </c>
      <c r="AD45" s="1065" t="e">
        <f>#REF!</f>
        <v>#REF!</v>
      </c>
      <c r="AE45" s="1065">
        <f t="shared" si="12"/>
        <v>0</v>
      </c>
    </row>
    <row r="46" spans="2:45" hidden="1" outlineLevel="1">
      <c r="B46" s="1063"/>
      <c r="Z46" s="1064" t="str">
        <f>IFERROR(INDEX(Growth!$V$10:$V$39,MATCH(Multiples!#REF!,Growth!$D$10:$D$39,0)),"")</f>
        <v/>
      </c>
      <c r="AA46" s="1064" t="str">
        <f>IFERROR(INDEX(Growth!$V$60:$V$69,MATCH(#REF!,Growth!$D$60:$D$69,0)),"")</f>
        <v/>
      </c>
      <c r="AB46" s="1061">
        <f>Margins!I66</f>
        <v>0</v>
      </c>
      <c r="AC46" s="1065" t="e">
        <f>#REF!</f>
        <v>#REF!</v>
      </c>
      <c r="AD46" s="1065" t="e">
        <f>#REF!</f>
        <v>#REF!</v>
      </c>
      <c r="AE46" s="1065">
        <f t="shared" si="12"/>
        <v>0</v>
      </c>
    </row>
    <row r="47" spans="2:45" hidden="1" outlineLevel="1">
      <c r="B47" s="1063"/>
      <c r="Z47" s="1064" t="str">
        <f>IFERROR(INDEX(Growth!$V$10:$V$39,MATCH(Multiples!#REF!,Growth!$D$10:$D$39,0)),"")</f>
        <v/>
      </c>
      <c r="AA47" s="1064" t="str">
        <f>IFERROR(INDEX(Growth!$V$60:$V$69,MATCH(#REF!,Growth!$D$60:$D$69,0)),"")</f>
        <v/>
      </c>
      <c r="AB47" s="1061">
        <f>Margins!I67</f>
        <v>0</v>
      </c>
      <c r="AC47" s="1065" t="e">
        <f>#REF!</f>
        <v>#REF!</v>
      </c>
      <c r="AD47" s="1065" t="e">
        <f>#REF!</f>
        <v>#REF!</v>
      </c>
      <c r="AE47" s="1065">
        <f t="shared" si="12"/>
        <v>0</v>
      </c>
    </row>
    <row r="48" spans="2:45" hidden="1" outlineLevel="1">
      <c r="B48" s="1063"/>
      <c r="Z48" s="1064" t="str">
        <f>IFERROR(INDEX(Growth!$V$10:$V$39,MATCH(Multiples!#REF!,Growth!$D$10:$D$39,0)),"")</f>
        <v/>
      </c>
      <c r="AA48" s="1064" t="str">
        <f>IFERROR(INDEX(Growth!$V$60:$V$69,MATCH(#REF!,Growth!$D$60:$D$69,0)),"")</f>
        <v/>
      </c>
      <c r="AB48" s="1061">
        <f>Margins!I88</f>
        <v>0</v>
      </c>
      <c r="AC48" s="1065" t="e">
        <f>#REF!</f>
        <v>#REF!</v>
      </c>
      <c r="AD48" s="1065" t="e">
        <f>#REF!</f>
        <v>#REF!</v>
      </c>
      <c r="AE48" s="1065" t="e">
        <f>#REF!</f>
        <v>#REF!</v>
      </c>
    </row>
    <row r="49" spans="2:31" hidden="1" outlineLevel="1">
      <c r="B49" s="1063"/>
      <c r="Z49" s="1064" t="str">
        <f>IFERROR(INDEX(Growth!$V$10:$V$39,MATCH(Multiples!#REF!,Growth!$D$10:$D$39,0)),"")</f>
        <v/>
      </c>
      <c r="AA49" s="1064" t="str">
        <f>IFERROR(INDEX(Growth!$V$60:$V$69,MATCH(#REF!,Growth!$D$60:$D$69,0)),"")</f>
        <v/>
      </c>
      <c r="AB49" s="1061" t="e">
        <f>Margins!#REF!</f>
        <v>#REF!</v>
      </c>
      <c r="AC49" s="1065" t="e">
        <f>#REF!</f>
        <v>#REF!</v>
      </c>
      <c r="AD49" s="1065" t="e">
        <f>#REF!</f>
        <v>#REF!</v>
      </c>
      <c r="AE49" s="1065" t="e">
        <f>#REF!</f>
        <v>#REF!</v>
      </c>
    </row>
    <row r="50" spans="2:31" hidden="1" outlineLevel="1">
      <c r="B50" s="1063"/>
      <c r="Z50" s="1064" t="str">
        <f>IFERROR(INDEX(Growth!$V$10:$V$39,MATCH(Multiples!#REF!,Growth!$D$10:$D$39,0)),"")</f>
        <v/>
      </c>
      <c r="AA50" s="1064" t="str">
        <f>IFERROR(INDEX(Growth!$V$60:$V$69,MATCH(#REF!,Growth!$D$60:$D$69,0)),"")</f>
        <v/>
      </c>
      <c r="AB50" s="1061" t="e">
        <f>Margins!#REF!</f>
        <v>#REF!</v>
      </c>
      <c r="AC50" s="1065" t="e">
        <f>#REF!</f>
        <v>#REF!</v>
      </c>
      <c r="AD50" s="1065" t="e">
        <f>#REF!</f>
        <v>#REF!</v>
      </c>
      <c r="AE50" s="1065" t="e">
        <f>#REF!</f>
        <v>#REF!</v>
      </c>
    </row>
    <row r="51" spans="2:31" hidden="1" outlineLevel="1">
      <c r="B51" s="1063"/>
      <c r="Z51" s="1064" t="str">
        <f>IFERROR(INDEX(Growth!$V$10:$V$39,MATCH(Multiples!#REF!,Growth!$D$10:$D$39,0)),"")</f>
        <v/>
      </c>
      <c r="AA51" s="1064" t="str">
        <f>IFERROR(INDEX(Growth!$V$60:$V$69,MATCH(#REF!,Growth!$D$60:$D$69,0)),"")</f>
        <v/>
      </c>
      <c r="AB51" s="1061" t="e">
        <f>Margins!#REF!</f>
        <v>#REF!</v>
      </c>
      <c r="AC51" s="1065" t="e">
        <f>#REF!</f>
        <v>#REF!</v>
      </c>
      <c r="AD51" s="1065" t="e">
        <f>#REF!</f>
        <v>#REF!</v>
      </c>
      <c r="AE51" s="1065" t="e">
        <f>#REF!</f>
        <v>#REF!</v>
      </c>
    </row>
    <row r="52" spans="2:31" hidden="1" outlineLevel="1">
      <c r="B52" s="1063"/>
      <c r="Z52" s="1064" t="str">
        <f>IFERROR(INDEX(Growth!$V$10:$V$39,MATCH(Multiples!#REF!,Growth!$D$10:$D$39,0)),"")</f>
        <v/>
      </c>
      <c r="AA52" s="1064" t="str">
        <f>IFERROR(INDEX(Growth!$V$60:$V$69,MATCH(#REF!,Growth!$D$60:$D$69,0)),"")</f>
        <v/>
      </c>
      <c r="AB52" s="1061" t="e">
        <f>Margins!#REF!</f>
        <v>#REF!</v>
      </c>
      <c r="AC52" s="1065" t="e">
        <f>#REF!</f>
        <v>#REF!</v>
      </c>
      <c r="AD52" s="1065" t="e">
        <f>#REF!</f>
        <v>#REF!</v>
      </c>
      <c r="AE52" s="1065" t="e">
        <f>#REF!</f>
        <v>#REF!</v>
      </c>
    </row>
    <row r="53" spans="2:31" hidden="1" outlineLevel="1">
      <c r="B53" s="1063"/>
      <c r="Z53" s="1064" t="str">
        <f>IFERROR(INDEX(Growth!$V$10:$V$39,MATCH(Multiples!#REF!,Growth!$D$10:$D$39,0)),"")</f>
        <v/>
      </c>
      <c r="AA53" s="1064" t="str">
        <f>IFERROR(INDEX(Growth!$V$60:$V$69,MATCH(#REF!,Growth!$D$60:$D$69,0)),"")</f>
        <v/>
      </c>
      <c r="AB53" s="1061" t="e">
        <f>Margins!#REF!</f>
        <v>#REF!</v>
      </c>
      <c r="AC53" s="1065" t="e">
        <f>#REF!</f>
        <v>#REF!</v>
      </c>
      <c r="AD53" s="1065" t="e">
        <f>#REF!</f>
        <v>#REF!</v>
      </c>
      <c r="AE53" s="1065" t="e">
        <f>#REF!</f>
        <v>#REF!</v>
      </c>
    </row>
    <row r="54" spans="2:31" hidden="1" outlineLevel="1">
      <c r="B54" s="1063"/>
      <c r="Z54" s="1064" t="str">
        <f>IFERROR(INDEX(Growth!$V$10:$V$39,MATCH(Multiples!#REF!,Growth!$D$10:$D$39,0)),"")</f>
        <v/>
      </c>
      <c r="AA54" s="1064" t="str">
        <f>IFERROR(INDEX(Growth!$V$60:$V$69,MATCH(#REF!,Growth!$D$60:$D$69,0)),"")</f>
        <v/>
      </c>
      <c r="AB54" s="1061" t="e">
        <f>Margins!#REF!</f>
        <v>#REF!</v>
      </c>
      <c r="AC54" s="1065" t="e">
        <f>#REF!</f>
        <v>#REF!</v>
      </c>
      <c r="AD54" s="1065" t="e">
        <f>#REF!</f>
        <v>#REF!</v>
      </c>
      <c r="AE54" s="1065" t="e">
        <f>#REF!</f>
        <v>#REF!</v>
      </c>
    </row>
    <row r="55" spans="2:31" hidden="1" outlineLevel="1">
      <c r="B55" s="1063"/>
      <c r="Z55" s="1064" t="str">
        <f>IFERROR(INDEX(Growth!$V$10:$V$39,MATCH(Multiples!#REF!,Growth!$D$10:$D$39,0)),"")</f>
        <v/>
      </c>
      <c r="AA55" s="1064" t="str">
        <f>IFERROR(INDEX(Growth!$V$60:$V$69,MATCH(#REF!,Growth!$D$60:$D$69,0)),"")</f>
        <v/>
      </c>
      <c r="AB55" s="1061" t="e">
        <f>Margins!#REF!</f>
        <v>#REF!</v>
      </c>
      <c r="AC55" s="1065" t="e">
        <f>#REF!</f>
        <v>#REF!</v>
      </c>
      <c r="AD55" s="1065" t="e">
        <f>#REF!</f>
        <v>#REF!</v>
      </c>
      <c r="AE55" s="1065" t="e">
        <f>#REF!</f>
        <v>#REF!</v>
      </c>
    </row>
    <row r="56" spans="2:31" hidden="1" outlineLevel="1">
      <c r="B56" s="1063"/>
      <c r="Z56" s="1064" t="str">
        <f>IFERROR(INDEX(Growth!$V$10:$V$39,MATCH(Multiples!#REF!,Growth!$D$10:$D$39,0)),"")</f>
        <v/>
      </c>
      <c r="AA56" s="1064" t="str">
        <f>IFERROR(INDEX(Growth!$V$60:$V$69,MATCH(#REF!,Growth!$D$60:$D$69,0)),"")</f>
        <v/>
      </c>
      <c r="AB56" s="1061" t="e">
        <f>Margins!#REF!</f>
        <v>#REF!</v>
      </c>
      <c r="AC56" s="1065" t="e">
        <f>#REF!</f>
        <v>#REF!</v>
      </c>
      <c r="AD56" s="1065" t="e">
        <f>#REF!</f>
        <v>#REF!</v>
      </c>
      <c r="AE56" s="1065" t="e">
        <f>#REF!</f>
        <v>#REF!</v>
      </c>
    </row>
    <row r="57" spans="2:31" hidden="1" outlineLevel="1">
      <c r="B57" s="1063"/>
      <c r="Z57" s="1064" t="str">
        <f>IFERROR(INDEX(Growth!$V$10:$V$39,MATCH(Multiples!#REF!,Growth!$D$10:$D$39,0)),"")</f>
        <v/>
      </c>
      <c r="AA57" s="1064" t="str">
        <f>IFERROR(INDEX(Growth!$V$60:$V$69,MATCH(#REF!,Growth!$D$60:$D$69,0)),"")</f>
        <v/>
      </c>
      <c r="AB57" s="1061" t="e">
        <f>Margins!#REF!</f>
        <v>#REF!</v>
      </c>
      <c r="AC57" s="1065" t="e">
        <f>#REF!</f>
        <v>#REF!</v>
      </c>
      <c r="AD57" s="1065" t="e">
        <f>#REF!</f>
        <v>#REF!</v>
      </c>
      <c r="AE57" s="1065" t="e">
        <f>#REF!</f>
        <v>#REF!</v>
      </c>
    </row>
    <row r="58" spans="2:31" hidden="1" outlineLevel="1">
      <c r="B58" s="1063"/>
      <c r="Z58" s="1064" t="str">
        <f>IFERROR(INDEX(Growth!$V$10:$V$39,MATCH(Multiples!#REF!,Growth!$D$10:$D$39,0)),"")</f>
        <v/>
      </c>
      <c r="AA58" s="1064" t="str">
        <f>IFERROR(INDEX(Growth!$V$60:$V$69,MATCH(#REF!,Growth!$D$60:$D$69,0)),"")</f>
        <v/>
      </c>
      <c r="AB58" s="1061" t="e">
        <f>Margins!#REF!</f>
        <v>#REF!</v>
      </c>
      <c r="AC58" s="1065" t="e">
        <f>#REF!</f>
        <v>#REF!</v>
      </c>
      <c r="AD58" s="1065" t="e">
        <f>#REF!</f>
        <v>#REF!</v>
      </c>
      <c r="AE58" s="1065" t="e">
        <f>#REF!</f>
        <v>#REF!</v>
      </c>
    </row>
    <row r="59" spans="2:31" hidden="1" outlineLevel="1">
      <c r="B59" s="1063"/>
      <c r="Z59" s="1064" t="str">
        <f>IFERROR(INDEX(Growth!$V$10:$V$39,MATCH(Multiples!#REF!,Growth!$D$10:$D$39,0)),"")</f>
        <v/>
      </c>
      <c r="AA59" s="1064" t="str">
        <f>IFERROR(INDEX(Growth!$V$60:$V$69,MATCH(#REF!,Growth!$D$60:$D$69,0)),"")</f>
        <v/>
      </c>
      <c r="AB59" s="1061" t="e">
        <f>Margins!#REF!</f>
        <v>#REF!</v>
      </c>
      <c r="AC59" s="1065" t="e">
        <f>#REF!</f>
        <v>#REF!</v>
      </c>
      <c r="AD59" s="1065" t="e">
        <f>#REF!</f>
        <v>#REF!</v>
      </c>
      <c r="AE59" s="1065" t="e">
        <f>#REF!</f>
        <v>#REF!</v>
      </c>
    </row>
    <row r="60" spans="2:31" hidden="1" outlineLevel="1">
      <c r="B60" s="1063"/>
      <c r="Z60" s="1064" t="str">
        <f>IFERROR(INDEX(Growth!$V$10:$V$39,MATCH(Multiples!#REF!,Growth!$D$10:$D$39,0)),"")</f>
        <v/>
      </c>
      <c r="AA60" s="1064" t="str">
        <f>IFERROR(INDEX(Growth!$V$60:$V$69,MATCH(#REF!,Growth!$D$60:$D$69,0)),"")</f>
        <v/>
      </c>
      <c r="AB60" s="1061" t="e">
        <f>Margins!#REF!</f>
        <v>#REF!</v>
      </c>
      <c r="AC60" s="1065" t="e">
        <f>#REF!</f>
        <v>#REF!</v>
      </c>
      <c r="AD60" s="1065" t="e">
        <f>#REF!</f>
        <v>#REF!</v>
      </c>
      <c r="AE60" s="1065" t="e">
        <f>#REF!</f>
        <v>#REF!</v>
      </c>
    </row>
    <row r="61" spans="2:31" hidden="1" outlineLevel="1">
      <c r="B61" s="1063"/>
      <c r="Z61" s="1064" t="str">
        <f>IFERROR(INDEX(Growth!$V$10:$V$39,MATCH(Multiples!#REF!,Growth!$D$10:$D$39,0)),"")</f>
        <v/>
      </c>
      <c r="AA61" s="1064" t="str">
        <f>IFERROR(INDEX(Growth!$V$60:$V$69,MATCH(#REF!,Growth!$D$60:$D$69,0)),"")</f>
        <v/>
      </c>
      <c r="AB61" s="1061" t="e">
        <f>Margins!#REF!</f>
        <v>#REF!</v>
      </c>
      <c r="AC61" s="1065" t="e">
        <f>#REF!</f>
        <v>#REF!</v>
      </c>
      <c r="AD61" s="1065" t="e">
        <f>#REF!</f>
        <v>#REF!</v>
      </c>
      <c r="AE61" s="1065" t="e">
        <f>#REF!</f>
        <v>#REF!</v>
      </c>
    </row>
    <row r="62" spans="2:31" hidden="1" outlineLevel="1">
      <c r="B62" s="1063"/>
      <c r="Z62" s="1064" t="str">
        <f>IFERROR(INDEX(Growth!$V$10:$V$39,MATCH(Multiples!#REF!,Growth!$D$10:$D$39,0)),"")</f>
        <v/>
      </c>
      <c r="AA62" s="1064" t="str">
        <f>IFERROR(INDEX(Growth!$V$60:$V$69,MATCH(#REF!,Growth!$D$60:$D$69,0)),"")</f>
        <v/>
      </c>
      <c r="AB62" s="1061" t="e">
        <f>Margins!#REF!</f>
        <v>#REF!</v>
      </c>
      <c r="AC62" s="1065" t="e">
        <f>#REF!</f>
        <v>#REF!</v>
      </c>
      <c r="AD62" s="1065" t="e">
        <f>#REF!</f>
        <v>#REF!</v>
      </c>
      <c r="AE62" s="1065" t="e">
        <f>#REF!</f>
        <v>#REF!</v>
      </c>
    </row>
    <row r="63" spans="2:31" hidden="1" outlineLevel="1">
      <c r="B63" s="1063"/>
      <c r="Z63" s="1064" t="str">
        <f>IFERROR(INDEX(Growth!$V$10:$V$39,MATCH(Multiples!#REF!,Growth!$D$10:$D$39,0)),"")</f>
        <v/>
      </c>
      <c r="AA63" s="1064" t="str">
        <f>IFERROR(INDEX(Growth!$V$60:$V$69,MATCH(#REF!,Growth!$D$60:$D$69,0)),"")</f>
        <v/>
      </c>
      <c r="AB63" s="1061" t="e">
        <f>Margins!#REF!</f>
        <v>#REF!</v>
      </c>
      <c r="AC63" s="1065" t="e">
        <f>#REF!</f>
        <v>#REF!</v>
      </c>
      <c r="AD63" s="1065" t="e">
        <f>#REF!</f>
        <v>#REF!</v>
      </c>
      <c r="AE63" s="1065" t="e">
        <f>#REF!</f>
        <v>#REF!</v>
      </c>
    </row>
    <row r="64" spans="2:31" hidden="1" outlineLevel="1">
      <c r="B64" s="1063"/>
      <c r="Z64" s="1064" t="str">
        <f>IFERROR(INDEX(Growth!$V$10:$V$39,MATCH(Multiples!#REF!,Growth!$D$10:$D$39,0)),"")</f>
        <v/>
      </c>
      <c r="AA64" s="1064" t="str">
        <f>IFERROR(INDEX(Growth!$V$60:$V$69,MATCH(#REF!,Growth!$D$60:$D$69,0)),"")</f>
        <v/>
      </c>
      <c r="AB64" s="1061" t="e">
        <f>Margins!#REF!</f>
        <v>#REF!</v>
      </c>
      <c r="AC64" s="1065" t="e">
        <f>#REF!</f>
        <v>#REF!</v>
      </c>
      <c r="AD64" s="1065" t="e">
        <f>#REF!</f>
        <v>#REF!</v>
      </c>
      <c r="AE64" s="1065" t="e">
        <f>#REF!</f>
        <v>#REF!</v>
      </c>
    </row>
    <row r="65" spans="2:31" hidden="1" outlineLevel="1">
      <c r="B65" s="1063"/>
      <c r="Z65" s="1064" t="str">
        <f>IFERROR(INDEX(Growth!$V$10:$V$39,MATCH(Multiples!#REF!,Growth!$D$10:$D$39,0)),"")</f>
        <v/>
      </c>
      <c r="AA65" s="1064" t="str">
        <f>IFERROR(INDEX(Growth!$V$60:$V$69,MATCH(#REF!,Growth!$D$60:$D$69,0)),"")</f>
        <v/>
      </c>
      <c r="AB65" s="1061" t="e">
        <f>Margins!#REF!</f>
        <v>#REF!</v>
      </c>
      <c r="AC65" s="1065" t="e">
        <f>#REF!</f>
        <v>#REF!</v>
      </c>
      <c r="AD65" s="1065" t="e">
        <f>#REF!</f>
        <v>#REF!</v>
      </c>
      <c r="AE65" s="1065" t="e">
        <f>#REF!</f>
        <v>#REF!</v>
      </c>
    </row>
    <row r="66" spans="2:31" hidden="1" outlineLevel="1">
      <c r="B66" s="1063"/>
      <c r="Z66" s="1064" t="str">
        <f>IFERROR(INDEX(Growth!$V$10:$V$39,MATCH(Multiples!#REF!,Growth!$D$10:$D$39,0)),"")</f>
        <v/>
      </c>
      <c r="AA66" s="1064" t="str">
        <f>IFERROR(INDEX(Growth!$V$60:$V$69,MATCH(#REF!,Growth!$D$60:$D$69,0)),"")</f>
        <v/>
      </c>
      <c r="AB66" s="1061" t="e">
        <f>Margins!#REF!</f>
        <v>#REF!</v>
      </c>
      <c r="AC66" s="1065" t="e">
        <f>#REF!</f>
        <v>#REF!</v>
      </c>
      <c r="AD66" s="1065" t="e">
        <f>#REF!</f>
        <v>#REF!</v>
      </c>
      <c r="AE66" s="1065" t="e">
        <f>#REF!</f>
        <v>#REF!</v>
      </c>
    </row>
    <row r="67" spans="2:31" hidden="1" outlineLevel="1">
      <c r="B67" s="1063"/>
      <c r="Z67" s="1064" t="str">
        <f>IFERROR(INDEX(Growth!$V$10:$V$39,MATCH(Multiples!#REF!,Growth!$D$10:$D$39,0)),"")</f>
        <v/>
      </c>
      <c r="AA67" s="1064" t="str">
        <f>IFERROR(INDEX(Growth!$V$60:$V$69,MATCH(#REF!,Growth!$D$60:$D$69,0)),"")</f>
        <v/>
      </c>
      <c r="AB67" s="1061" t="e">
        <f>Margins!#REF!</f>
        <v>#REF!</v>
      </c>
      <c r="AC67" s="1065" t="e">
        <f>#REF!</f>
        <v>#REF!</v>
      </c>
      <c r="AD67" s="1065" t="e">
        <f>#REF!</f>
        <v>#REF!</v>
      </c>
      <c r="AE67" s="1065" t="e">
        <f>#REF!</f>
        <v>#REF!</v>
      </c>
    </row>
    <row r="68" spans="2:31" hidden="1" outlineLevel="1">
      <c r="B68" s="1063"/>
      <c r="Z68" s="1066" t="str">
        <f>IFERROR(INDEX(Growth!$V$10:$V$39,MATCH(Multiples!#REF!,Growth!$D$10:$D$39,0)),"")</f>
        <v/>
      </c>
      <c r="AA68" s="1066" t="str">
        <f>IFERROR(INDEX(Growth!$V$60:$V$69,MATCH(#REF!,Growth!$D$60:$D$69,0)),"")</f>
        <v/>
      </c>
      <c r="AB68" s="1066" t="e">
        <f>Margins!#REF!</f>
        <v>#REF!</v>
      </c>
      <c r="AC68" s="1067" t="e">
        <f>#REF!</f>
        <v>#REF!</v>
      </c>
      <c r="AD68" s="1067" t="e">
        <f>#REF!</f>
        <v>#REF!</v>
      </c>
      <c r="AE68" s="1067" t="e">
        <f>#REF!</f>
        <v>#REF!</v>
      </c>
    </row>
    <row r="69" spans="2:31" hidden="1" outlineLevel="1">
      <c r="B69" s="1063"/>
    </row>
    <row r="70" spans="2:31" hidden="1" outlineLevel="1">
      <c r="Z70" s="581" t="s">
        <v>1486</v>
      </c>
    </row>
    <row r="71" spans="2:31" hidden="1" outlineLevel="1"/>
    <row r="72" spans="2:31" hidden="1" outlineLevel="1"/>
    <row r="73" spans="2:31" hidden="1" outlineLevel="1"/>
    <row r="74" spans="2:31" hidden="1" outlineLevel="1"/>
    <row r="75" spans="2:31" hidden="1" outlineLevel="1"/>
    <row r="76" spans="2:31" hidden="1" outlineLevel="1"/>
    <row r="77" spans="2:31" hidden="1" outlineLevel="1"/>
    <row r="78" spans="2:31" hidden="1" outlineLevel="1"/>
    <row r="79" spans="2:31" hidden="1" outlineLevel="1"/>
    <row r="80" spans="2:31" hidden="1" outlineLevel="1"/>
    <row r="81" hidden="1" outlineLevel="1"/>
    <row r="82" hidden="1" outlineLevel="1"/>
    <row r="83" hidden="1" outlineLevel="1"/>
    <row r="84" hidden="1" outlineLevel="1"/>
    <row r="85" hidden="1" outlineLevel="1"/>
    <row r="86" hidden="1" outlineLevel="1"/>
    <row r="87" collapsed="1"/>
  </sheetData>
  <mergeCells count="13">
    <mergeCell ref="AF7:AK7"/>
    <mergeCell ref="AL7:AQ7"/>
    <mergeCell ref="N7:P7"/>
    <mergeCell ref="C7:E7"/>
    <mergeCell ref="AC37:AD37"/>
    <mergeCell ref="F7:H7"/>
    <mergeCell ref="I7"/>
    <mergeCell ref="K7:M7"/>
    <mergeCell ref="Q7:S7"/>
    <mergeCell ref="T7:V7"/>
    <mergeCell ref="W7:Y7"/>
    <mergeCell ref="Z7:AB7"/>
    <mergeCell ref="AC7:AE7"/>
  </mergeCells>
  <phoneticPr fontId="19" type="noConversion"/>
  <conditionalFormatting sqref="AR9:AR18 AQ10:AQ18 C9:AP18">
    <cfRule type="expression" dxfId="8" priority="49">
      <formula>$AV9="Yes"</formula>
    </cfRule>
  </conditionalFormatting>
  <conditionalFormatting sqref="AQ9">
    <cfRule type="expression" dxfId="7" priority="44">
      <formula>$AV9="Yes"</formula>
    </cfRule>
  </conditionalFormatting>
  <conditionalFormatting sqref="E10:E18">
    <cfRule type="expression" dxfId="6" priority="19">
      <formula>IF(valuation.date-E10&gt;365,1,0)</formula>
    </cfRule>
  </conditionalFormatting>
  <conditionalFormatting sqref="E9">
    <cfRule type="expression" dxfId="5" priority="7">
      <formula>IF(valuation.date-E9&gt;365,1,0)</formula>
    </cfRule>
  </conditionalFormatting>
  <conditionalFormatting sqref="Y9:Y33 AB9:AB33 AE9:AE33 AH9:AH33 AN9:AN33">
    <cfRule type="expression" dxfId="4" priority="105">
      <formula>COUNTIF(#REF!,-1)&gt;0</formula>
    </cfRule>
  </conditionalFormatting>
  <dataValidations count="1">
    <dataValidation type="list" allowBlank="1" showInputMessage="1" showErrorMessage="1" sqref="AV9:AV18" xr:uid="{00000000-0002-0000-0900-000000000000}">
      <formula1>"Yes, No"</formula1>
    </dataValidation>
  </dataValidations>
  <printOptions horizontalCentered="1"/>
  <pageMargins left="0.25" right="0.25" top="0.75" bottom="0.25" header="0.25" footer="0.25"/>
  <pageSetup scale="44" orientation="landscape" horizontalDpi="360" verticalDpi="300" r:id="rId1"/>
  <headerFooter alignWithMargins="0">
    <oddHeader>&amp;R&amp;"Arial"&amp;8&amp;K000000Confidential&amp;1#</oddHead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theme="9" tint="-9.9978637043366805E-2"/>
    <pageSetUpPr fitToPage="1"/>
  </sheetPr>
  <dimension ref="B1:T61"/>
  <sheetViews>
    <sheetView showGridLines="0" view="pageBreakPreview" zoomScaleSheetLayoutView="100" workbookViewId="0">
      <selection activeCell="L4" sqref="L4"/>
    </sheetView>
  </sheetViews>
  <sheetFormatPr defaultColWidth="8.84375" defaultRowHeight="10.5"/>
  <cols>
    <col min="1" max="1" width="4.4609375" style="433" customWidth="1"/>
    <col min="2" max="2" width="2.84375" style="433" customWidth="1"/>
    <col min="3" max="3" width="7.84375" style="433" customWidth="1"/>
    <col min="4" max="5" width="29.84375" style="433" customWidth="1"/>
    <col min="6" max="11" width="7.84375" style="433" customWidth="1"/>
    <col min="12" max="12" width="2.84375" style="433" customWidth="1"/>
    <col min="13" max="13" width="1.53515625" style="433" customWidth="1"/>
    <col min="14" max="14" width="12.07421875" style="433" bestFit="1" customWidth="1"/>
    <col min="15" max="16384" width="8.84375" style="433"/>
  </cols>
  <sheetData>
    <row r="1" spans="2:20" s="603" customFormat="1" ht="11" thickBot="1">
      <c r="O1" s="743" t="s">
        <v>106</v>
      </c>
    </row>
    <row r="2" spans="2:20" s="618" customFormat="1">
      <c r="B2" s="744" t="str">
        <f>BS!B2</f>
        <v>Valify - UAE Valuation Services</v>
      </c>
      <c r="C2" s="604"/>
      <c r="D2" s="462"/>
      <c r="E2" s="462"/>
      <c r="F2" s="462"/>
      <c r="G2" s="462"/>
      <c r="H2" s="462"/>
      <c r="I2" s="462"/>
      <c r="J2" s="462"/>
      <c r="K2" s="462"/>
      <c r="L2" s="506"/>
      <c r="O2" s="743" t="s">
        <v>1368</v>
      </c>
      <c r="P2" s="1793" t="s">
        <v>1452</v>
      </c>
      <c r="Q2" s="1794"/>
      <c r="R2" s="1794"/>
      <c r="S2" s="1795"/>
    </row>
    <row r="3" spans="2:20" s="617" customFormat="1" ht="15.75" customHeight="1">
      <c r="B3" s="744" t="str">
        <f>Inputs!$B$3</f>
        <v>Aerial Arts India XXXXXXXXXXXXXXXXX - Self Valuation using DCF Method, Transaction Multiples Method, &amp; Market Multiples Method as at September 30, 2024</v>
      </c>
      <c r="C3" s="745"/>
      <c r="D3" s="745"/>
      <c r="E3" s="745"/>
      <c r="F3" s="745"/>
      <c r="G3" s="745"/>
      <c r="H3" s="745"/>
      <c r="I3" s="745"/>
      <c r="J3" s="745"/>
      <c r="K3" s="745"/>
      <c r="L3" s="514"/>
      <c r="P3" s="1796"/>
      <c r="Q3" s="1797"/>
      <c r="R3" s="1797"/>
      <c r="S3" s="1798"/>
    </row>
    <row r="4" spans="2:20" s="617" customFormat="1">
      <c r="B4" s="746" t="s">
        <v>1453</v>
      </c>
      <c r="C4" s="747"/>
      <c r="D4" s="747"/>
      <c r="E4" s="747"/>
      <c r="F4" s="747"/>
      <c r="G4" s="747"/>
      <c r="H4" s="747"/>
      <c r="I4" s="747"/>
      <c r="J4" s="747"/>
      <c r="K4" s="747"/>
      <c r="L4" s="800" t="str">
        <f>valuation.date.header</f>
        <v>Valuation Date:  September 30, 2024</v>
      </c>
      <c r="P4" s="1796"/>
      <c r="Q4" s="1797"/>
      <c r="R4" s="1797"/>
      <c r="S4" s="1798"/>
    </row>
    <row r="5" spans="2:20" s="617" customFormat="1">
      <c r="B5" s="749"/>
      <c r="C5" s="749"/>
      <c r="D5" s="749"/>
      <c r="E5" s="749"/>
      <c r="F5" s="749"/>
      <c r="G5" s="749"/>
      <c r="H5" s="749"/>
      <c r="I5" s="749"/>
      <c r="J5" s="749"/>
      <c r="K5" s="749"/>
      <c r="P5" s="1796"/>
      <c r="Q5" s="1797"/>
      <c r="R5" s="1797"/>
      <c r="S5" s="1798"/>
    </row>
    <row r="6" spans="2:20">
      <c r="P6" s="1796"/>
      <c r="Q6" s="1797"/>
      <c r="R6" s="1797"/>
      <c r="S6" s="1798"/>
    </row>
    <row r="7" spans="2:20" s="436" customFormat="1" ht="18" customHeight="1" thickBot="1">
      <c r="C7" s="750" t="s">
        <v>1454</v>
      </c>
      <c r="D7" s="751"/>
      <c r="E7" s="751"/>
      <c r="F7" s="751"/>
      <c r="G7" s="751"/>
      <c r="H7" s="751"/>
      <c r="I7" s="752"/>
      <c r="J7" s="752"/>
      <c r="K7" s="753"/>
      <c r="P7" s="1799"/>
      <c r="Q7" s="1800"/>
      <c r="R7" s="1800"/>
      <c r="S7" s="1801"/>
    </row>
    <row r="8" spans="2:20" s="436" customFormat="1" ht="12" customHeight="1">
      <c r="B8" s="665"/>
      <c r="C8" s="754" t="str">
        <f>currency.heading1</f>
        <v>USD 'Units</v>
      </c>
      <c r="D8" s="754"/>
      <c r="E8" s="754"/>
      <c r="F8" s="253"/>
      <c r="G8" s="253"/>
      <c r="H8" s="253"/>
      <c r="I8" s="253"/>
      <c r="J8" s="253"/>
      <c r="K8" s="253"/>
      <c r="N8" s="755" t="s">
        <v>1455</v>
      </c>
    </row>
    <row r="9" spans="2:20" s="436" customFormat="1" ht="25.25" customHeight="1" thickBot="1">
      <c r="B9" s="665"/>
      <c r="C9" s="756" t="s">
        <v>1456</v>
      </c>
      <c r="D9" s="756" t="s">
        <v>1457</v>
      </c>
      <c r="E9" s="756" t="s">
        <v>1458</v>
      </c>
      <c r="F9" s="757" t="s">
        <v>1459</v>
      </c>
      <c r="G9" s="757" t="s">
        <v>1460</v>
      </c>
      <c r="H9" s="757" t="s">
        <v>1461</v>
      </c>
      <c r="I9" s="757" t="s">
        <v>1462</v>
      </c>
      <c r="J9" s="757" t="s">
        <v>1463</v>
      </c>
      <c r="K9" s="757" t="s">
        <v>1464</v>
      </c>
      <c r="N9" s="755"/>
    </row>
    <row r="10" spans="2:20" ht="12" customHeight="1" thickBot="1">
      <c r="B10" s="455"/>
      <c r="C10" s="758">
        <f>'GPC Data'!D328</f>
        <v>0</v>
      </c>
      <c r="D10" s="759">
        <f>'GPC Data'!E328</f>
        <v>0</v>
      </c>
      <c r="E10" s="759">
        <f>'GPC Data'!F328</f>
        <v>0</v>
      </c>
      <c r="F10" s="760">
        <f>'GPC Data'!G328</f>
        <v>0</v>
      </c>
      <c r="G10" s="760">
        <f>'GPC Data'!H328</f>
        <v>0</v>
      </c>
      <c r="H10" s="760">
        <f>'GPC Data'!I328</f>
        <v>0</v>
      </c>
      <c r="I10" s="761">
        <f>'GPC Data'!J328</f>
        <v>0</v>
      </c>
      <c r="J10" s="762">
        <f>'GPC Data'!K328</f>
        <v>0</v>
      </c>
      <c r="K10" s="762">
        <f>'GPC Data'!L328</f>
        <v>0</v>
      </c>
      <c r="N10" s="677" t="s">
        <v>1368</v>
      </c>
      <c r="P10" s="603"/>
      <c r="Q10" s="603"/>
      <c r="R10" s="603"/>
      <c r="S10" s="603"/>
      <c r="T10" s="603"/>
    </row>
    <row r="11" spans="2:20" ht="12" customHeight="1" thickBot="1">
      <c r="B11" s="665"/>
      <c r="C11" s="763">
        <f>'GPC Data'!D329</f>
        <v>0</v>
      </c>
      <c r="D11" s="764">
        <f>'GPC Data'!E329</f>
        <v>0</v>
      </c>
      <c r="E11" s="764">
        <f>'GPC Data'!F329</f>
        <v>0</v>
      </c>
      <c r="F11" s="765">
        <f>'GPC Data'!G329</f>
        <v>0</v>
      </c>
      <c r="G11" s="765">
        <f>'GPC Data'!H329</f>
        <v>0</v>
      </c>
      <c r="H11" s="765">
        <f>'GPC Data'!I329</f>
        <v>0</v>
      </c>
      <c r="I11" s="766">
        <f>'GPC Data'!J329</f>
        <v>0</v>
      </c>
      <c r="J11" s="767">
        <f>'GPC Data'!K329</f>
        <v>0</v>
      </c>
      <c r="K11" s="767">
        <f>'GPC Data'!L329</f>
        <v>0</v>
      </c>
      <c r="N11" s="677" t="s">
        <v>1368</v>
      </c>
      <c r="P11" s="603"/>
      <c r="Q11" s="603"/>
      <c r="R11" s="603"/>
      <c r="S11" s="603"/>
      <c r="T11" s="603"/>
    </row>
    <row r="12" spans="2:20" ht="12" customHeight="1" thickBot="1">
      <c r="B12" s="455"/>
      <c r="C12" s="763">
        <f>'GPC Data'!D330</f>
        <v>0</v>
      </c>
      <c r="D12" s="764">
        <f>'GPC Data'!E330</f>
        <v>0</v>
      </c>
      <c r="E12" s="764">
        <f>'GPC Data'!F330</f>
        <v>0</v>
      </c>
      <c r="F12" s="765">
        <f>'GPC Data'!G330</f>
        <v>0</v>
      </c>
      <c r="G12" s="765">
        <f>'GPC Data'!H330</f>
        <v>0</v>
      </c>
      <c r="H12" s="765">
        <f>'GPC Data'!I330</f>
        <v>0</v>
      </c>
      <c r="I12" s="766">
        <f>'GPC Data'!J330</f>
        <v>0</v>
      </c>
      <c r="J12" s="767">
        <f>'GPC Data'!K330</f>
        <v>0</v>
      </c>
      <c r="K12" s="767">
        <f>'GPC Data'!L330</f>
        <v>0</v>
      </c>
      <c r="N12" s="677" t="s">
        <v>1368</v>
      </c>
      <c r="P12" s="603"/>
      <c r="Q12" s="603"/>
      <c r="R12" s="603"/>
      <c r="S12" s="603"/>
      <c r="T12" s="603"/>
    </row>
    <row r="13" spans="2:20" ht="12" customHeight="1" thickBot="1">
      <c r="B13" s="455"/>
      <c r="C13" s="763">
        <f>'GPC Data'!D331</f>
        <v>0</v>
      </c>
      <c r="D13" s="764">
        <f>'GPC Data'!E331</f>
        <v>0</v>
      </c>
      <c r="E13" s="764">
        <f>'GPC Data'!F331</f>
        <v>0</v>
      </c>
      <c r="F13" s="765">
        <f>'GPC Data'!G331</f>
        <v>0</v>
      </c>
      <c r="G13" s="765">
        <f>'GPC Data'!H331</f>
        <v>0</v>
      </c>
      <c r="H13" s="765">
        <f>'GPC Data'!I331</f>
        <v>0</v>
      </c>
      <c r="I13" s="766">
        <f>'GPC Data'!J331</f>
        <v>0</v>
      </c>
      <c r="J13" s="767">
        <f>'GPC Data'!K331</f>
        <v>0</v>
      </c>
      <c r="K13" s="767">
        <f>'GPC Data'!L331</f>
        <v>0</v>
      </c>
      <c r="N13" s="677" t="s">
        <v>1368</v>
      </c>
      <c r="P13" s="603"/>
      <c r="Q13" s="603"/>
      <c r="R13" s="603"/>
      <c r="S13" s="603"/>
      <c r="T13" s="603"/>
    </row>
    <row r="14" spans="2:20" ht="12" customHeight="1" thickBot="1">
      <c r="B14" s="455"/>
      <c r="C14" s="763">
        <f>'GPC Data'!D332</f>
        <v>0</v>
      </c>
      <c r="D14" s="764">
        <f>'GPC Data'!E332</f>
        <v>0</v>
      </c>
      <c r="E14" s="764">
        <f>'GPC Data'!F332</f>
        <v>0</v>
      </c>
      <c r="F14" s="765">
        <f>'GPC Data'!G332</f>
        <v>0</v>
      </c>
      <c r="G14" s="765">
        <f>'GPC Data'!H332</f>
        <v>0</v>
      </c>
      <c r="H14" s="765">
        <f>'GPC Data'!I332</f>
        <v>0</v>
      </c>
      <c r="I14" s="766">
        <f>'GPC Data'!J332</f>
        <v>0</v>
      </c>
      <c r="J14" s="767">
        <f>'GPC Data'!K332</f>
        <v>0</v>
      </c>
      <c r="K14" s="767">
        <f>'GPC Data'!L332</f>
        <v>0</v>
      </c>
      <c r="N14" s="677" t="s">
        <v>1368</v>
      </c>
      <c r="P14" s="603"/>
      <c r="Q14" s="603"/>
      <c r="R14" s="603"/>
      <c r="S14" s="603"/>
      <c r="T14" s="603"/>
    </row>
    <row r="15" spans="2:20" ht="12" customHeight="1" thickBot="1">
      <c r="B15" s="455"/>
      <c r="C15" s="763">
        <f>'GPC Data'!D333</f>
        <v>0</v>
      </c>
      <c r="D15" s="764">
        <f>'GPC Data'!E333</f>
        <v>0</v>
      </c>
      <c r="E15" s="764">
        <f>'GPC Data'!F333</f>
        <v>0</v>
      </c>
      <c r="F15" s="765">
        <f>'GPC Data'!G333</f>
        <v>0</v>
      </c>
      <c r="G15" s="765">
        <f>'GPC Data'!H333</f>
        <v>0</v>
      </c>
      <c r="H15" s="765">
        <f>'GPC Data'!I333</f>
        <v>0</v>
      </c>
      <c r="I15" s="766">
        <f>'GPC Data'!J333</f>
        <v>0</v>
      </c>
      <c r="J15" s="767">
        <f>'GPC Data'!K333</f>
        <v>0</v>
      </c>
      <c r="K15" s="767">
        <f>'GPC Data'!L333</f>
        <v>0</v>
      </c>
      <c r="N15" s="677" t="s">
        <v>1368</v>
      </c>
      <c r="P15" s="603"/>
      <c r="Q15" s="603"/>
      <c r="R15" s="603"/>
      <c r="S15" s="603"/>
      <c r="T15" s="603"/>
    </row>
    <row r="16" spans="2:20" ht="12" customHeight="1" thickBot="1">
      <c r="B16" s="455"/>
      <c r="C16" s="763">
        <f>'GPC Data'!D334</f>
        <v>0</v>
      </c>
      <c r="D16" s="764">
        <f>'GPC Data'!E334</f>
        <v>0</v>
      </c>
      <c r="E16" s="764">
        <f>'GPC Data'!F334</f>
        <v>0</v>
      </c>
      <c r="F16" s="765">
        <f>'GPC Data'!G334</f>
        <v>0</v>
      </c>
      <c r="G16" s="765">
        <f>'GPC Data'!H334</f>
        <v>0</v>
      </c>
      <c r="H16" s="765">
        <f>'GPC Data'!I334</f>
        <v>0</v>
      </c>
      <c r="I16" s="766">
        <f>'GPC Data'!J334</f>
        <v>0</v>
      </c>
      <c r="J16" s="767">
        <f>'GPC Data'!K334</f>
        <v>0</v>
      </c>
      <c r="K16" s="767">
        <f>'GPC Data'!L334</f>
        <v>0</v>
      </c>
      <c r="N16" s="677" t="s">
        <v>1368</v>
      </c>
      <c r="P16" s="603"/>
      <c r="Q16" s="603"/>
      <c r="R16" s="603"/>
      <c r="S16" s="603"/>
      <c r="T16" s="603"/>
    </row>
    <row r="17" spans="2:20" ht="12" customHeight="1" thickBot="1">
      <c r="B17" s="455"/>
      <c r="C17" s="763">
        <f>'GPC Data'!D335</f>
        <v>0</v>
      </c>
      <c r="D17" s="764">
        <f>'GPC Data'!E335</f>
        <v>0</v>
      </c>
      <c r="E17" s="764">
        <f>'GPC Data'!F335</f>
        <v>0</v>
      </c>
      <c r="F17" s="765">
        <f>'GPC Data'!G335</f>
        <v>0</v>
      </c>
      <c r="G17" s="765">
        <f>'GPC Data'!H335</f>
        <v>0</v>
      </c>
      <c r="H17" s="765">
        <f>'GPC Data'!I335</f>
        <v>0</v>
      </c>
      <c r="I17" s="766">
        <f>'GPC Data'!J335</f>
        <v>0</v>
      </c>
      <c r="J17" s="767">
        <f>'GPC Data'!K335</f>
        <v>0</v>
      </c>
      <c r="K17" s="767">
        <f>'GPC Data'!L335</f>
        <v>0</v>
      </c>
      <c r="N17" s="677" t="s">
        <v>1368</v>
      </c>
      <c r="P17" s="603"/>
      <c r="Q17" s="603"/>
      <c r="R17" s="603"/>
      <c r="S17" s="603"/>
      <c r="T17" s="603"/>
    </row>
    <row r="18" spans="2:20" ht="12" customHeight="1" thickBot="1">
      <c r="B18" s="455"/>
      <c r="C18" s="763">
        <f>'GPC Data'!D336</f>
        <v>0</v>
      </c>
      <c r="D18" s="764">
        <f>'GPC Data'!E336</f>
        <v>0</v>
      </c>
      <c r="E18" s="764">
        <f>'GPC Data'!F336</f>
        <v>0</v>
      </c>
      <c r="F18" s="765">
        <f>'GPC Data'!G336</f>
        <v>0</v>
      </c>
      <c r="G18" s="765">
        <f>'GPC Data'!H336</f>
        <v>0</v>
      </c>
      <c r="H18" s="765">
        <f>'GPC Data'!I336</f>
        <v>0</v>
      </c>
      <c r="I18" s="766">
        <f>'GPC Data'!J336</f>
        <v>0</v>
      </c>
      <c r="J18" s="767">
        <f>'GPC Data'!K336</f>
        <v>0</v>
      </c>
      <c r="K18" s="767">
        <f>'GPC Data'!L336</f>
        <v>0</v>
      </c>
      <c r="N18" s="677" t="s">
        <v>1368</v>
      </c>
      <c r="P18" s="603"/>
      <c r="Q18" s="603"/>
      <c r="R18" s="603"/>
      <c r="S18" s="603"/>
      <c r="T18" s="603"/>
    </row>
    <row r="19" spans="2:20" ht="12" customHeight="1" thickBot="1">
      <c r="B19" s="455"/>
      <c r="C19" s="763">
        <f>'GPC Data'!D337</f>
        <v>0</v>
      </c>
      <c r="D19" s="764">
        <f>'GPC Data'!E337</f>
        <v>0</v>
      </c>
      <c r="E19" s="764">
        <f>'GPC Data'!F337</f>
        <v>0</v>
      </c>
      <c r="F19" s="765">
        <f>'GPC Data'!G337</f>
        <v>0</v>
      </c>
      <c r="G19" s="765">
        <f>'GPC Data'!H337</f>
        <v>0</v>
      </c>
      <c r="H19" s="765">
        <f>'GPC Data'!I337</f>
        <v>0</v>
      </c>
      <c r="I19" s="766">
        <f>'GPC Data'!J337</f>
        <v>0</v>
      </c>
      <c r="J19" s="767">
        <f>'GPC Data'!K337</f>
        <v>0</v>
      </c>
      <c r="K19" s="767">
        <f>'GPC Data'!L337</f>
        <v>0</v>
      </c>
      <c r="N19" s="677"/>
      <c r="P19" s="603"/>
      <c r="Q19" s="603"/>
      <c r="R19" s="603"/>
      <c r="S19" s="603"/>
      <c r="T19" s="603"/>
    </row>
    <row r="20" spans="2:20" ht="12" customHeight="1" thickBot="1">
      <c r="B20" s="455"/>
      <c r="C20" s="763">
        <f>'GPC Data'!D338</f>
        <v>0</v>
      </c>
      <c r="D20" s="764">
        <f>'GPC Data'!E338</f>
        <v>0</v>
      </c>
      <c r="E20" s="764">
        <f>'GPC Data'!F338</f>
        <v>0</v>
      </c>
      <c r="F20" s="765">
        <f>'GPC Data'!G338</f>
        <v>0</v>
      </c>
      <c r="G20" s="765">
        <f>'GPC Data'!H338</f>
        <v>0</v>
      </c>
      <c r="H20" s="765">
        <f>'GPC Data'!I338</f>
        <v>0</v>
      </c>
      <c r="I20" s="766">
        <f>'GPC Data'!J338</f>
        <v>0</v>
      </c>
      <c r="J20" s="767">
        <f>'GPC Data'!K338</f>
        <v>0</v>
      </c>
      <c r="K20" s="767">
        <f>'GPC Data'!L338</f>
        <v>0</v>
      </c>
      <c r="N20" s="677"/>
      <c r="P20" s="603"/>
      <c r="Q20" s="603"/>
      <c r="R20" s="603"/>
      <c r="S20" s="603"/>
      <c r="T20" s="603"/>
    </row>
    <row r="21" spans="2:20" ht="12" customHeight="1" thickBot="1">
      <c r="B21" s="455"/>
      <c r="C21" s="763">
        <f>'GPC Data'!D339</f>
        <v>0</v>
      </c>
      <c r="D21" s="764">
        <f>'GPC Data'!E339</f>
        <v>0</v>
      </c>
      <c r="E21" s="764">
        <f>'GPC Data'!F339</f>
        <v>0</v>
      </c>
      <c r="F21" s="765">
        <f>'GPC Data'!G339</f>
        <v>0</v>
      </c>
      <c r="G21" s="765">
        <f>'GPC Data'!H339</f>
        <v>0</v>
      </c>
      <c r="H21" s="765">
        <f>'GPC Data'!I339</f>
        <v>0</v>
      </c>
      <c r="I21" s="766">
        <f>'GPC Data'!J339</f>
        <v>0</v>
      </c>
      <c r="J21" s="767">
        <f>'GPC Data'!K339</f>
        <v>0</v>
      </c>
      <c r="K21" s="767">
        <f>'GPC Data'!L339</f>
        <v>0</v>
      </c>
      <c r="N21" s="677"/>
      <c r="P21" s="603"/>
      <c r="Q21" s="603"/>
      <c r="R21" s="603"/>
      <c r="S21" s="603"/>
      <c r="T21" s="603"/>
    </row>
    <row r="22" spans="2:20" ht="12" customHeight="1" thickBot="1">
      <c r="B22" s="455"/>
      <c r="C22" s="763">
        <f>'GPC Data'!D340</f>
        <v>0</v>
      </c>
      <c r="D22" s="764">
        <f>'GPC Data'!E340</f>
        <v>0</v>
      </c>
      <c r="E22" s="764">
        <f>'GPC Data'!F340</f>
        <v>0</v>
      </c>
      <c r="F22" s="765">
        <f>'GPC Data'!G340</f>
        <v>0</v>
      </c>
      <c r="G22" s="765">
        <f>'GPC Data'!H340</f>
        <v>0</v>
      </c>
      <c r="H22" s="765">
        <f>'GPC Data'!I340</f>
        <v>0</v>
      </c>
      <c r="I22" s="766">
        <f>'GPC Data'!J340</f>
        <v>0</v>
      </c>
      <c r="J22" s="767">
        <f>'GPC Data'!K340</f>
        <v>0</v>
      </c>
      <c r="K22" s="767">
        <f>'GPC Data'!L340</f>
        <v>0</v>
      </c>
      <c r="N22" s="677"/>
      <c r="P22" s="603"/>
      <c r="Q22" s="603"/>
      <c r="R22" s="603"/>
      <c r="S22" s="603"/>
      <c r="T22" s="603"/>
    </row>
    <row r="23" spans="2:20" ht="12" customHeight="1" thickBot="1">
      <c r="B23" s="455"/>
      <c r="C23" s="763">
        <f>'GPC Data'!D341</f>
        <v>0</v>
      </c>
      <c r="D23" s="764">
        <f>'GPC Data'!E341</f>
        <v>0</v>
      </c>
      <c r="E23" s="764">
        <f>'GPC Data'!F341</f>
        <v>0</v>
      </c>
      <c r="F23" s="765">
        <f>'GPC Data'!G341</f>
        <v>0</v>
      </c>
      <c r="G23" s="765">
        <f>'GPC Data'!H341</f>
        <v>0</v>
      </c>
      <c r="H23" s="765">
        <f>'GPC Data'!I341</f>
        <v>0</v>
      </c>
      <c r="I23" s="766">
        <f>'GPC Data'!J341</f>
        <v>0</v>
      </c>
      <c r="J23" s="767">
        <f>'GPC Data'!K341</f>
        <v>0</v>
      </c>
      <c r="K23" s="767">
        <f>'GPC Data'!L341</f>
        <v>0</v>
      </c>
      <c r="N23" s="677"/>
      <c r="P23" s="603"/>
      <c r="Q23" s="603"/>
      <c r="R23" s="603"/>
      <c r="S23" s="603"/>
      <c r="T23" s="603"/>
    </row>
    <row r="24" spans="2:20" ht="12" customHeight="1" thickBot="1">
      <c r="B24" s="455"/>
      <c r="C24" s="763">
        <f>'GPC Data'!D342</f>
        <v>0</v>
      </c>
      <c r="D24" s="764">
        <f>'GPC Data'!E342</f>
        <v>0</v>
      </c>
      <c r="E24" s="764">
        <f>'GPC Data'!F342</f>
        <v>0</v>
      </c>
      <c r="F24" s="765">
        <f>'GPC Data'!G342</f>
        <v>0</v>
      </c>
      <c r="G24" s="765">
        <f>'GPC Data'!H342</f>
        <v>0</v>
      </c>
      <c r="H24" s="765">
        <f>'GPC Data'!I342</f>
        <v>0</v>
      </c>
      <c r="I24" s="766">
        <f>'GPC Data'!J342</f>
        <v>0</v>
      </c>
      <c r="J24" s="767">
        <f>'GPC Data'!K342</f>
        <v>0</v>
      </c>
      <c r="K24" s="767">
        <f>'GPC Data'!L342</f>
        <v>0</v>
      </c>
      <c r="N24" s="677"/>
      <c r="P24" s="603"/>
      <c r="Q24" s="603"/>
      <c r="R24" s="603"/>
      <c r="S24" s="603"/>
      <c r="T24" s="603"/>
    </row>
    <row r="25" spans="2:20" ht="12" customHeight="1" thickBot="1">
      <c r="B25" s="455"/>
      <c r="C25" s="763">
        <f>'GPC Data'!D343</f>
        <v>0</v>
      </c>
      <c r="D25" s="764">
        <f>'GPC Data'!E343</f>
        <v>0</v>
      </c>
      <c r="E25" s="764">
        <f>'GPC Data'!F343</f>
        <v>0</v>
      </c>
      <c r="F25" s="765">
        <f>'GPC Data'!G343</f>
        <v>0</v>
      </c>
      <c r="G25" s="765">
        <f>'GPC Data'!H343</f>
        <v>0</v>
      </c>
      <c r="H25" s="765">
        <f>'GPC Data'!I343</f>
        <v>0</v>
      </c>
      <c r="I25" s="766">
        <f>'GPC Data'!J343</f>
        <v>0</v>
      </c>
      <c r="J25" s="767">
        <f>'GPC Data'!K343</f>
        <v>0</v>
      </c>
      <c r="K25" s="767">
        <f>'GPC Data'!L343</f>
        <v>0</v>
      </c>
      <c r="N25" s="677"/>
      <c r="P25" s="603"/>
      <c r="Q25" s="603"/>
      <c r="R25" s="603"/>
      <c r="S25" s="603"/>
      <c r="T25" s="603"/>
    </row>
    <row r="26" spans="2:20" ht="12" customHeight="1" thickBot="1">
      <c r="B26" s="455"/>
      <c r="C26" s="763">
        <f>'GPC Data'!D344</f>
        <v>0</v>
      </c>
      <c r="D26" s="764">
        <f>'GPC Data'!E344</f>
        <v>0</v>
      </c>
      <c r="E26" s="764">
        <f>'GPC Data'!F344</f>
        <v>0</v>
      </c>
      <c r="F26" s="765">
        <f>'GPC Data'!G344</f>
        <v>0</v>
      </c>
      <c r="G26" s="765">
        <f>'GPC Data'!H344</f>
        <v>0</v>
      </c>
      <c r="H26" s="765">
        <f>'GPC Data'!I344</f>
        <v>0</v>
      </c>
      <c r="I26" s="766">
        <f>'GPC Data'!J344</f>
        <v>0</v>
      </c>
      <c r="J26" s="767">
        <f>'GPC Data'!K344</f>
        <v>0</v>
      </c>
      <c r="K26" s="767">
        <f>'GPC Data'!L344</f>
        <v>0</v>
      </c>
      <c r="N26" s="677"/>
      <c r="P26" s="603"/>
      <c r="Q26" s="603"/>
      <c r="R26" s="603"/>
      <c r="S26" s="603"/>
      <c r="T26" s="603"/>
    </row>
    <row r="27" spans="2:20" ht="12" customHeight="1" thickBot="1">
      <c r="B27" s="455"/>
      <c r="C27" s="763">
        <f>'GPC Data'!D345</f>
        <v>0</v>
      </c>
      <c r="D27" s="764">
        <f>'GPC Data'!E345</f>
        <v>0</v>
      </c>
      <c r="E27" s="764">
        <f>'GPC Data'!F345</f>
        <v>0</v>
      </c>
      <c r="F27" s="765">
        <f>'GPC Data'!G345</f>
        <v>0</v>
      </c>
      <c r="G27" s="765">
        <f>'GPC Data'!H345</f>
        <v>0</v>
      </c>
      <c r="H27" s="765">
        <f>'GPC Data'!I345</f>
        <v>0</v>
      </c>
      <c r="I27" s="766">
        <f>'GPC Data'!J345</f>
        <v>0</v>
      </c>
      <c r="J27" s="767">
        <f>'GPC Data'!K345</f>
        <v>0</v>
      </c>
      <c r="K27" s="767">
        <f>'GPC Data'!L345</f>
        <v>0</v>
      </c>
      <c r="N27" s="677"/>
      <c r="P27" s="603"/>
      <c r="Q27" s="603"/>
      <c r="R27" s="603"/>
      <c r="S27" s="603"/>
      <c r="T27" s="603"/>
    </row>
    <row r="28" spans="2:20" ht="12" customHeight="1" thickBot="1">
      <c r="B28" s="455"/>
      <c r="C28" s="763">
        <f>'GPC Data'!D346</f>
        <v>0</v>
      </c>
      <c r="D28" s="764">
        <f>'GPC Data'!E346</f>
        <v>0</v>
      </c>
      <c r="E28" s="764">
        <f>'GPC Data'!F346</f>
        <v>0</v>
      </c>
      <c r="F28" s="765">
        <f>'GPC Data'!G346</f>
        <v>0</v>
      </c>
      <c r="G28" s="765">
        <f>'GPC Data'!H346</f>
        <v>0</v>
      </c>
      <c r="H28" s="765">
        <f>'GPC Data'!I346</f>
        <v>0</v>
      </c>
      <c r="I28" s="766">
        <f>'GPC Data'!J346</f>
        <v>0</v>
      </c>
      <c r="J28" s="767">
        <f>'GPC Data'!K346</f>
        <v>0</v>
      </c>
      <c r="K28" s="767">
        <f>'GPC Data'!L346</f>
        <v>0</v>
      </c>
      <c r="N28" s="677"/>
      <c r="P28" s="603"/>
      <c r="Q28" s="603"/>
      <c r="R28" s="603"/>
      <c r="S28" s="603"/>
      <c r="T28" s="603"/>
    </row>
    <row r="29" spans="2:20" ht="12" customHeight="1" thickBot="1">
      <c r="B29" s="455"/>
      <c r="C29" s="763">
        <f>'GPC Data'!D347</f>
        <v>0</v>
      </c>
      <c r="D29" s="764">
        <f>'GPC Data'!E347</f>
        <v>0</v>
      </c>
      <c r="E29" s="764">
        <f>'GPC Data'!F347</f>
        <v>0</v>
      </c>
      <c r="F29" s="765">
        <f>'GPC Data'!G347</f>
        <v>0</v>
      </c>
      <c r="G29" s="765">
        <f>'GPC Data'!H347</f>
        <v>0</v>
      </c>
      <c r="H29" s="765">
        <f>'GPC Data'!I347</f>
        <v>0</v>
      </c>
      <c r="I29" s="766">
        <f>'GPC Data'!J347</f>
        <v>0</v>
      </c>
      <c r="J29" s="767">
        <f>'GPC Data'!K347</f>
        <v>0</v>
      </c>
      <c r="K29" s="767">
        <f>'GPC Data'!L347</f>
        <v>0</v>
      </c>
      <c r="N29" s="677"/>
      <c r="P29" s="603"/>
      <c r="Q29" s="603"/>
      <c r="R29" s="603"/>
      <c r="S29" s="603"/>
      <c r="T29" s="603"/>
    </row>
    <row r="30" spans="2:20" ht="12" customHeight="1" thickBot="1">
      <c r="B30" s="455"/>
      <c r="C30" s="763">
        <f>'GPC Data'!D348</f>
        <v>0</v>
      </c>
      <c r="D30" s="764">
        <f>'GPC Data'!E348</f>
        <v>0</v>
      </c>
      <c r="E30" s="764">
        <f>'GPC Data'!F348</f>
        <v>0</v>
      </c>
      <c r="F30" s="765">
        <f>'GPC Data'!G348</f>
        <v>0</v>
      </c>
      <c r="G30" s="765">
        <f>'GPC Data'!H348</f>
        <v>0</v>
      </c>
      <c r="H30" s="765">
        <f>'GPC Data'!I348</f>
        <v>0</v>
      </c>
      <c r="I30" s="766">
        <f>'GPC Data'!J348</f>
        <v>0</v>
      </c>
      <c r="J30" s="767">
        <f>'GPC Data'!K348</f>
        <v>0</v>
      </c>
      <c r="K30" s="767">
        <f>'GPC Data'!L348</f>
        <v>0</v>
      </c>
      <c r="N30" s="677"/>
      <c r="P30" s="603"/>
      <c r="Q30" s="603"/>
      <c r="R30" s="603"/>
      <c r="S30" s="603"/>
      <c r="T30" s="603"/>
    </row>
    <row r="31" spans="2:20" ht="12" customHeight="1" thickBot="1">
      <c r="B31" s="455"/>
      <c r="C31" s="763">
        <f>'GPC Data'!D349</f>
        <v>0</v>
      </c>
      <c r="D31" s="764">
        <f>'GPC Data'!E349</f>
        <v>0</v>
      </c>
      <c r="E31" s="764">
        <f>'GPC Data'!F349</f>
        <v>0</v>
      </c>
      <c r="F31" s="765">
        <f>'GPC Data'!G349</f>
        <v>0</v>
      </c>
      <c r="G31" s="765">
        <f>'GPC Data'!H349</f>
        <v>0</v>
      </c>
      <c r="H31" s="765">
        <f>'GPC Data'!I349</f>
        <v>0</v>
      </c>
      <c r="I31" s="766">
        <f>'GPC Data'!J349</f>
        <v>0</v>
      </c>
      <c r="J31" s="767">
        <f>'GPC Data'!K349</f>
        <v>0</v>
      </c>
      <c r="K31" s="767">
        <f>'GPC Data'!L349</f>
        <v>0</v>
      </c>
      <c r="N31" s="677"/>
      <c r="P31" s="603"/>
      <c r="Q31" s="603"/>
      <c r="R31" s="603"/>
      <c r="S31" s="603"/>
      <c r="T31" s="603"/>
    </row>
    <row r="32" spans="2:20" ht="12" customHeight="1" thickBot="1">
      <c r="B32" s="455"/>
      <c r="C32" s="763">
        <f>'GPC Data'!D350</f>
        <v>0</v>
      </c>
      <c r="D32" s="764">
        <f>'GPC Data'!E350</f>
        <v>0</v>
      </c>
      <c r="E32" s="764">
        <f>'GPC Data'!F350</f>
        <v>0</v>
      </c>
      <c r="F32" s="765">
        <f>'GPC Data'!G350</f>
        <v>0</v>
      </c>
      <c r="G32" s="765">
        <f>'GPC Data'!H350</f>
        <v>0</v>
      </c>
      <c r="H32" s="765">
        <f>'GPC Data'!I350</f>
        <v>0</v>
      </c>
      <c r="I32" s="766">
        <f>'GPC Data'!J350</f>
        <v>0</v>
      </c>
      <c r="J32" s="767">
        <f>'GPC Data'!K350</f>
        <v>0</v>
      </c>
      <c r="K32" s="767">
        <f>'GPC Data'!L350</f>
        <v>0</v>
      </c>
      <c r="N32" s="677"/>
      <c r="P32" s="603"/>
      <c r="Q32" s="603"/>
      <c r="R32" s="603"/>
      <c r="S32" s="603"/>
      <c r="T32" s="603"/>
    </row>
    <row r="33" spans="2:20" ht="12" customHeight="1" thickBot="1">
      <c r="B33" s="455"/>
      <c r="C33" s="763">
        <f>'GPC Data'!D351</f>
        <v>0</v>
      </c>
      <c r="D33" s="764">
        <f>'GPC Data'!E351</f>
        <v>0</v>
      </c>
      <c r="E33" s="764">
        <f>'GPC Data'!F351</f>
        <v>0</v>
      </c>
      <c r="F33" s="765">
        <f>'GPC Data'!G351</f>
        <v>0</v>
      </c>
      <c r="G33" s="765">
        <f>'GPC Data'!H351</f>
        <v>0</v>
      </c>
      <c r="H33" s="765">
        <f>'GPC Data'!I351</f>
        <v>0</v>
      </c>
      <c r="I33" s="766">
        <f>'GPC Data'!J351</f>
        <v>0</v>
      </c>
      <c r="J33" s="767">
        <f>'GPC Data'!K351</f>
        <v>0</v>
      </c>
      <c r="K33" s="767">
        <f>'GPC Data'!L351</f>
        <v>0</v>
      </c>
      <c r="N33" s="677"/>
      <c r="P33" s="603"/>
      <c r="Q33" s="603"/>
      <c r="R33" s="603"/>
      <c r="S33" s="603"/>
      <c r="T33" s="603"/>
    </row>
    <row r="34" spans="2:20" ht="12" customHeight="1" thickBot="1">
      <c r="B34" s="455"/>
      <c r="C34" s="763">
        <f>'GPC Data'!D352</f>
        <v>0</v>
      </c>
      <c r="D34" s="764">
        <f>'GPC Data'!E352</f>
        <v>0</v>
      </c>
      <c r="E34" s="764">
        <f>'GPC Data'!F352</f>
        <v>0</v>
      </c>
      <c r="F34" s="765">
        <f>'GPC Data'!G352</f>
        <v>0</v>
      </c>
      <c r="G34" s="765">
        <f>'GPC Data'!H352</f>
        <v>0</v>
      </c>
      <c r="H34" s="765">
        <f>'GPC Data'!I352</f>
        <v>0</v>
      </c>
      <c r="I34" s="766">
        <f>'GPC Data'!J352</f>
        <v>0</v>
      </c>
      <c r="J34" s="767">
        <f>'GPC Data'!K352</f>
        <v>0</v>
      </c>
      <c r="K34" s="767">
        <f>'GPC Data'!L352</f>
        <v>0</v>
      </c>
      <c r="N34" s="677"/>
      <c r="P34" s="603"/>
      <c r="Q34" s="603"/>
      <c r="R34" s="603"/>
      <c r="S34" s="603"/>
      <c r="T34" s="603"/>
    </row>
    <row r="35" spans="2:20" ht="12" customHeight="1" thickBot="1">
      <c r="B35" s="455"/>
      <c r="C35" s="763">
        <f>'GPC Data'!D353</f>
        <v>0</v>
      </c>
      <c r="D35" s="764">
        <f>'GPC Data'!E353</f>
        <v>0</v>
      </c>
      <c r="E35" s="764">
        <f>'GPC Data'!F353</f>
        <v>0</v>
      </c>
      <c r="F35" s="765">
        <f>'GPC Data'!G353</f>
        <v>0</v>
      </c>
      <c r="G35" s="765">
        <f>'GPC Data'!H353</f>
        <v>0</v>
      </c>
      <c r="H35" s="765">
        <f>'GPC Data'!I353</f>
        <v>0</v>
      </c>
      <c r="I35" s="766">
        <f>'GPC Data'!J353</f>
        <v>0</v>
      </c>
      <c r="J35" s="767">
        <f>'GPC Data'!K353</f>
        <v>0</v>
      </c>
      <c r="K35" s="767">
        <f>'GPC Data'!L353</f>
        <v>0</v>
      </c>
      <c r="N35" s="677"/>
      <c r="P35" s="603"/>
      <c r="Q35" s="603"/>
      <c r="R35" s="603"/>
      <c r="S35" s="603"/>
      <c r="T35" s="603"/>
    </row>
    <row r="36" spans="2:20" ht="12" customHeight="1" thickBot="1">
      <c r="B36" s="455"/>
      <c r="C36" s="763">
        <f>'GPC Data'!D354</f>
        <v>0</v>
      </c>
      <c r="D36" s="764">
        <f>'GPC Data'!E354</f>
        <v>0</v>
      </c>
      <c r="E36" s="764">
        <f>'GPC Data'!F354</f>
        <v>0</v>
      </c>
      <c r="F36" s="765">
        <f>'GPC Data'!G354</f>
        <v>0</v>
      </c>
      <c r="G36" s="765">
        <f>'GPC Data'!H354</f>
        <v>0</v>
      </c>
      <c r="H36" s="765">
        <f>'GPC Data'!I354</f>
        <v>0</v>
      </c>
      <c r="I36" s="766">
        <f>'GPC Data'!J354</f>
        <v>0</v>
      </c>
      <c r="J36" s="767">
        <f>'GPC Data'!K354</f>
        <v>0</v>
      </c>
      <c r="K36" s="767">
        <f>'GPC Data'!L354</f>
        <v>0</v>
      </c>
      <c r="N36" s="677"/>
      <c r="P36" s="603"/>
      <c r="Q36" s="603"/>
      <c r="R36" s="603"/>
      <c r="S36" s="603"/>
      <c r="T36" s="603"/>
    </row>
    <row r="37" spans="2:20" ht="12" customHeight="1" thickBot="1">
      <c r="B37" s="455"/>
      <c r="C37" s="763">
        <f>'GPC Data'!D355</f>
        <v>0</v>
      </c>
      <c r="D37" s="764">
        <f>'GPC Data'!E355</f>
        <v>0</v>
      </c>
      <c r="E37" s="764">
        <f>'GPC Data'!F355</f>
        <v>0</v>
      </c>
      <c r="F37" s="765">
        <f>'GPC Data'!G355</f>
        <v>0</v>
      </c>
      <c r="G37" s="765">
        <f>'GPC Data'!H355</f>
        <v>0</v>
      </c>
      <c r="H37" s="765">
        <f>'GPC Data'!I355</f>
        <v>0</v>
      </c>
      <c r="I37" s="766">
        <f>'GPC Data'!J355</f>
        <v>0</v>
      </c>
      <c r="J37" s="767">
        <f>'GPC Data'!K355</f>
        <v>0</v>
      </c>
      <c r="K37" s="767">
        <f>'GPC Data'!L355</f>
        <v>0</v>
      </c>
      <c r="N37" s="677"/>
      <c r="P37" s="603"/>
      <c r="Q37" s="603"/>
      <c r="R37" s="603"/>
      <c r="S37" s="603"/>
      <c r="T37" s="603"/>
    </row>
    <row r="38" spans="2:20" ht="12" customHeight="1" thickBot="1">
      <c r="B38" s="455"/>
      <c r="C38" s="763">
        <f>'GPC Data'!D356</f>
        <v>0</v>
      </c>
      <c r="D38" s="764">
        <f>'GPC Data'!E356</f>
        <v>0</v>
      </c>
      <c r="E38" s="764">
        <f>'GPC Data'!F356</f>
        <v>0</v>
      </c>
      <c r="F38" s="765">
        <f>'GPC Data'!G356</f>
        <v>0</v>
      </c>
      <c r="G38" s="765">
        <f>'GPC Data'!H356</f>
        <v>0</v>
      </c>
      <c r="H38" s="765">
        <f>'GPC Data'!I356</f>
        <v>0</v>
      </c>
      <c r="I38" s="766">
        <f>'GPC Data'!J356</f>
        <v>0</v>
      </c>
      <c r="J38" s="767">
        <f>'GPC Data'!K356</f>
        <v>0</v>
      </c>
      <c r="K38" s="767">
        <f>'GPC Data'!L356</f>
        <v>0</v>
      </c>
      <c r="N38" s="677"/>
      <c r="P38" s="603"/>
      <c r="Q38" s="603"/>
      <c r="R38" s="603"/>
      <c r="S38" s="603"/>
      <c r="T38" s="603"/>
    </row>
    <row r="39" spans="2:20" ht="12" customHeight="1" thickBot="1">
      <c r="B39" s="455"/>
      <c r="C39" s="763">
        <f>'GPC Data'!D357</f>
        <v>0</v>
      </c>
      <c r="D39" s="764">
        <f>'GPC Data'!E357</f>
        <v>0</v>
      </c>
      <c r="E39" s="764">
        <f>'GPC Data'!F357</f>
        <v>0</v>
      </c>
      <c r="F39" s="765">
        <f>'GPC Data'!G357</f>
        <v>0</v>
      </c>
      <c r="G39" s="765">
        <f>'GPC Data'!H357</f>
        <v>0</v>
      </c>
      <c r="H39" s="765">
        <f>'GPC Data'!I357</f>
        <v>0</v>
      </c>
      <c r="I39" s="766">
        <f>'GPC Data'!J357</f>
        <v>0</v>
      </c>
      <c r="J39" s="767">
        <f>'GPC Data'!K357</f>
        <v>0</v>
      </c>
      <c r="K39" s="767">
        <f>'GPC Data'!L357</f>
        <v>0</v>
      </c>
      <c r="N39" s="677" t="s">
        <v>1368</v>
      </c>
      <c r="P39" s="603"/>
      <c r="Q39" s="603"/>
      <c r="R39" s="603"/>
      <c r="S39" s="603"/>
      <c r="T39" s="603"/>
    </row>
    <row r="40" spans="2:20" ht="12" customHeight="1" thickBot="1">
      <c r="B40" s="665"/>
      <c r="C40" s="768"/>
      <c r="D40" s="769"/>
      <c r="E40" s="769"/>
      <c r="F40" s="770"/>
      <c r="G40" s="770"/>
      <c r="H40" s="770"/>
      <c r="I40" s="771"/>
      <c r="J40" s="772"/>
      <c r="K40" s="772"/>
      <c r="N40" s="677" t="s">
        <v>1368</v>
      </c>
      <c r="P40" s="603"/>
      <c r="Q40" s="603"/>
      <c r="R40" s="603"/>
      <c r="S40" s="603"/>
      <c r="T40" s="603"/>
    </row>
    <row r="41" spans="2:20" ht="1.25" customHeight="1">
      <c r="B41" s="665"/>
      <c r="C41" s="773"/>
      <c r="D41" s="774"/>
      <c r="E41" s="774"/>
      <c r="F41" s="775"/>
      <c r="G41" s="775"/>
      <c r="H41" s="775"/>
      <c r="I41" s="776"/>
      <c r="J41" s="777"/>
      <c r="K41" s="777"/>
      <c r="N41" s="438"/>
      <c r="P41" s="603"/>
      <c r="Q41" s="603"/>
      <c r="R41" s="603"/>
      <c r="S41" s="603" t="str">
        <f t="array" ref="S41:S59">""</f>
        <v/>
      </c>
      <c r="T41" s="603"/>
    </row>
    <row r="42" spans="2:20">
      <c r="B42" s="455"/>
      <c r="C42" s="455"/>
      <c r="D42" s="455"/>
      <c r="E42" s="455" t="s">
        <v>1378</v>
      </c>
      <c r="F42" s="765">
        <f t="shared" ref="F42:K42" si="0">IFERROR(MAX(F10:F41),"")</f>
        <v>0</v>
      </c>
      <c r="G42" s="765">
        <f t="shared" si="0"/>
        <v>0</v>
      </c>
      <c r="H42" s="765">
        <f t="shared" si="0"/>
        <v>0</v>
      </c>
      <c r="I42" s="766">
        <f>IFERROR(MAX(I10:I41),"")</f>
        <v>0</v>
      </c>
      <c r="J42" s="767">
        <f t="shared" si="0"/>
        <v>0</v>
      </c>
      <c r="K42" s="767">
        <f t="shared" si="0"/>
        <v>0</v>
      </c>
      <c r="P42" s="603"/>
      <c r="Q42" s="603"/>
      <c r="R42" s="603"/>
      <c r="S42" s="603" t="str">
        <v/>
      </c>
      <c r="T42" s="603"/>
    </row>
    <row r="43" spans="2:20">
      <c r="B43" s="455"/>
      <c r="C43" s="455"/>
      <c r="D43" s="455"/>
      <c r="E43" s="455" t="s">
        <v>1380</v>
      </c>
      <c r="F43" s="765">
        <f t="shared" ref="F43:K43" si="1">IFERROR(AVERAGE(F10:F41),"")</f>
        <v>0</v>
      </c>
      <c r="G43" s="765">
        <f t="shared" si="1"/>
        <v>0</v>
      </c>
      <c r="H43" s="765">
        <f t="shared" si="1"/>
        <v>0</v>
      </c>
      <c r="I43" s="766">
        <f t="shared" si="1"/>
        <v>0</v>
      </c>
      <c r="J43" s="767">
        <f t="shared" si="1"/>
        <v>0</v>
      </c>
      <c r="K43" s="767">
        <f t="shared" si="1"/>
        <v>0</v>
      </c>
      <c r="S43" s="433" t="str">
        <v/>
      </c>
    </row>
    <row r="44" spans="2:20">
      <c r="B44" s="665"/>
      <c r="C44" s="665"/>
      <c r="D44" s="455"/>
      <c r="E44" s="462" t="s">
        <v>1381</v>
      </c>
      <c r="F44" s="362">
        <f t="shared" ref="F44:K44" si="2">IFERROR(MEDIAN(F10:F41),"")</f>
        <v>0</v>
      </c>
      <c r="G44" s="362">
        <f t="shared" si="2"/>
        <v>0</v>
      </c>
      <c r="H44" s="362">
        <f t="shared" si="2"/>
        <v>0</v>
      </c>
      <c r="I44" s="778">
        <f t="shared" si="2"/>
        <v>0</v>
      </c>
      <c r="J44" s="779">
        <f t="shared" si="2"/>
        <v>0</v>
      </c>
      <c r="K44" s="779">
        <f t="shared" si="2"/>
        <v>0</v>
      </c>
      <c r="S44" s="433" t="str">
        <v/>
      </c>
    </row>
    <row r="45" spans="2:20">
      <c r="B45" s="455"/>
      <c r="C45" s="455"/>
      <c r="D45" s="455"/>
      <c r="E45" s="462" t="s">
        <v>215</v>
      </c>
      <c r="F45" s="362">
        <f t="shared" ref="F45:K45" si="3">IFERROR(MIN(F10:F41),"")</f>
        <v>0</v>
      </c>
      <c r="G45" s="362">
        <f t="shared" si="3"/>
        <v>0</v>
      </c>
      <c r="H45" s="362">
        <f t="shared" si="3"/>
        <v>0</v>
      </c>
      <c r="I45" s="778">
        <f t="shared" si="3"/>
        <v>0</v>
      </c>
      <c r="J45" s="779">
        <f t="shared" si="3"/>
        <v>0</v>
      </c>
      <c r="K45" s="779">
        <f t="shared" si="3"/>
        <v>0</v>
      </c>
      <c r="M45" s="603"/>
      <c r="N45" s="603"/>
      <c r="O45" s="603"/>
      <c r="P45" s="603"/>
      <c r="S45" s="433" t="str">
        <v/>
      </c>
    </row>
    <row r="46" spans="2:20">
      <c r="B46" s="455"/>
      <c r="C46" s="703" t="s">
        <v>1382</v>
      </c>
      <c r="D46" s="455"/>
      <c r="E46" s="780" t="s">
        <v>1378</v>
      </c>
      <c r="F46" s="781" cm="1">
        <f t="array" ref="F46">IFERROR(MAX(IF($N$10:$N$41="No",F10:F41)),"")</f>
        <v>0</v>
      </c>
      <c r="G46" s="781">
        <f t="array" ref="G46">IFERROR(MAX(IF($N$10:$N$41="No",G10:G41)),"")</f>
        <v>0</v>
      </c>
      <c r="H46" s="781">
        <f t="array" ref="H46">IFERROR(MAX(IF($N$10:$N$41="No",H10:H41)),"")</f>
        <v>0</v>
      </c>
      <c r="I46" s="782">
        <f t="array" ref="I46">IFERROR(MAX(IF($N$10:$N$41="No",I10:I41)),"")</f>
        <v>0</v>
      </c>
      <c r="J46" s="783">
        <f t="array" ref="J46">IFERROR(MAX(IF($N$10:$N$41="No",J10:J41)),"")</f>
        <v>0</v>
      </c>
      <c r="K46" s="783" cm="1">
        <f t="array" ref="K46">IFERROR(MAX(IF($N$10:$N$41="No",K10:K41)),"")</f>
        <v>0</v>
      </c>
      <c r="M46" s="603"/>
      <c r="N46" s="603"/>
      <c r="O46" s="603"/>
      <c r="P46" s="603"/>
      <c r="S46" s="433" t="str">
        <v/>
      </c>
    </row>
    <row r="47" spans="2:20">
      <c r="B47" s="455"/>
      <c r="C47" s="455"/>
      <c r="D47" s="455"/>
      <c r="E47" s="462" t="s">
        <v>1380</v>
      </c>
      <c r="F47" s="362">
        <f t="shared" ref="F47:K47" si="4">IFERROR(AVERAGEIF($N$10:$N$41,"No",F10:F41),"")</f>
        <v>0</v>
      </c>
      <c r="G47" s="362">
        <f t="shared" si="4"/>
        <v>0</v>
      </c>
      <c r="H47" s="362">
        <f t="shared" si="4"/>
        <v>0</v>
      </c>
      <c r="I47" s="778">
        <f t="shared" si="4"/>
        <v>0</v>
      </c>
      <c r="J47" s="779">
        <f t="shared" si="4"/>
        <v>0</v>
      </c>
      <c r="K47" s="779">
        <f t="shared" si="4"/>
        <v>0</v>
      </c>
      <c r="M47" s="603"/>
      <c r="N47" s="603"/>
      <c r="O47" s="603"/>
      <c r="P47" s="603"/>
      <c r="S47" s="433" t="str">
        <v/>
      </c>
    </row>
    <row r="48" spans="2:20">
      <c r="B48" s="455"/>
      <c r="C48" s="665"/>
      <c r="D48" s="455"/>
      <c r="E48" s="462" t="s">
        <v>1381</v>
      </c>
      <c r="F48" s="362">
        <f t="array" ref="F48">IFERROR(MEDIAN(IF($N$10:$N$41="No",F10:F41)),"")</f>
        <v>0</v>
      </c>
      <c r="G48" s="362">
        <f t="array" ref="G48">IFERROR(MEDIAN(IF($N$10:$N$41="No",G10:G41)),"")</f>
        <v>0</v>
      </c>
      <c r="H48" s="362">
        <f t="array" ref="H48">IFERROR(MEDIAN(IF($N$10:$N$41="No",H10:H41)),"")</f>
        <v>0</v>
      </c>
      <c r="I48" s="778">
        <f t="array" ref="I48">IFERROR(MEDIAN(IF($N$10:$N$41="No",I10:I41)),"")</f>
        <v>0</v>
      </c>
      <c r="J48" s="779">
        <f t="array" ref="J48">IFERROR(MEDIAN(IF($N$10:$N$41="No",J10:J41)),"")</f>
        <v>0</v>
      </c>
      <c r="K48" s="779">
        <f t="array" ref="K48">IFERROR(MEDIAN(IF($N$10:$N$41="No",K10:K41)),"")</f>
        <v>0</v>
      </c>
      <c r="M48" s="603"/>
      <c r="N48" s="603"/>
      <c r="O48" s="603"/>
      <c r="P48" s="603"/>
      <c r="S48" s="433" t="str">
        <v/>
      </c>
    </row>
    <row r="49" spans="2:19">
      <c r="B49" s="455"/>
      <c r="C49" s="455"/>
      <c r="D49" s="455"/>
      <c r="E49" s="784" t="s">
        <v>215</v>
      </c>
      <c r="F49" s="785">
        <f t="array" ref="F49">IFERROR(MIN(IF($N$10:$N$41="No",F10:F41)),"")</f>
        <v>0</v>
      </c>
      <c r="G49" s="785">
        <f t="array" ref="G49">IFERROR(MIN(IF($N$10:$N$41="No",G10:G41)),"")</f>
        <v>0</v>
      </c>
      <c r="H49" s="785">
        <f t="array" ref="H49">IFERROR(MIN(IF($N$10:$N$41="No",H10:H41)),"")</f>
        <v>0</v>
      </c>
      <c r="I49" s="786">
        <f t="array" ref="I49">IFERROR(MIN(IF($N$10:$N$41="No",I10:I41)),"")</f>
        <v>0</v>
      </c>
      <c r="J49" s="787">
        <f t="array" ref="J49">IFERROR(MIN(IF($N$10:$N$41="No",J10:J41)),"")</f>
        <v>0</v>
      </c>
      <c r="K49" s="787">
        <f t="array" ref="K49">IFERROR(MIN(IF($N$10:$N$41="No",K10:K41)),"")</f>
        <v>0</v>
      </c>
      <c r="M49" s="603"/>
      <c r="N49" s="603"/>
      <c r="O49" s="603"/>
      <c r="P49" s="603"/>
      <c r="S49" s="433" t="str">
        <v/>
      </c>
    </row>
    <row r="50" spans="2:19" ht="12">
      <c r="B50" s="455"/>
      <c r="C50" s="788" t="s">
        <v>2001</v>
      </c>
      <c r="D50" s="455"/>
      <c r="E50" s="455"/>
      <c r="F50" s="455"/>
      <c r="G50" s="455"/>
      <c r="H50" s="455"/>
      <c r="I50" s="455"/>
      <c r="J50" s="455"/>
      <c r="K50" s="455"/>
      <c r="L50" s="455"/>
      <c r="M50" s="603"/>
      <c r="N50" s="789"/>
      <c r="O50" s="789"/>
      <c r="P50" s="789"/>
      <c r="S50" s="433" t="str">
        <v/>
      </c>
    </row>
    <row r="51" spans="2:19" s="735" customFormat="1">
      <c r="B51" s="790"/>
      <c r="C51" s="790"/>
      <c r="D51" s="790"/>
      <c r="E51" s="790"/>
      <c r="F51" s="790"/>
      <c r="G51" s="790"/>
      <c r="H51" s="790"/>
      <c r="I51" s="790"/>
      <c r="J51" s="790"/>
      <c r="K51" s="790"/>
      <c r="L51" s="790"/>
      <c r="M51" s="791"/>
      <c r="N51" s="792"/>
      <c r="O51" s="793"/>
      <c r="P51" s="794"/>
      <c r="Q51" s="433"/>
      <c r="S51" s="735" t="str">
        <v/>
      </c>
    </row>
    <row r="52" spans="2:19" s="735" customFormat="1">
      <c r="M52" s="791"/>
      <c r="N52" s="792"/>
      <c r="O52" s="793"/>
      <c r="P52" s="794"/>
      <c r="Q52" s="433"/>
      <c r="S52" s="735" t="str">
        <v/>
      </c>
    </row>
    <row r="53" spans="2:19" s="738" customFormat="1">
      <c r="B53" s="795"/>
      <c r="C53" s="795"/>
      <c r="M53" s="796"/>
      <c r="N53" s="792"/>
      <c r="O53" s="793"/>
      <c r="P53" s="794"/>
      <c r="Q53" s="433"/>
      <c r="S53" s="738" t="str">
        <v/>
      </c>
    </row>
    <row r="54" spans="2:19" s="738" customFormat="1">
      <c r="B54" s="795"/>
      <c r="C54" s="795"/>
      <c r="M54" s="796"/>
      <c r="N54" s="792"/>
      <c r="O54" s="793"/>
      <c r="P54" s="794"/>
      <c r="Q54" s="433"/>
      <c r="S54" s="738" t="str">
        <v/>
      </c>
    </row>
    <row r="55" spans="2:19" s="738" customFormat="1">
      <c r="E55" s="796"/>
      <c r="F55" s="796"/>
      <c r="G55" s="796"/>
      <c r="H55" s="796"/>
      <c r="I55" s="796"/>
      <c r="J55" s="796"/>
      <c r="K55" s="796"/>
      <c r="M55" s="796"/>
      <c r="N55" s="724"/>
      <c r="O55" s="724"/>
      <c r="P55" s="794"/>
      <c r="Q55" s="433"/>
      <c r="S55" s="738" t="str">
        <v/>
      </c>
    </row>
    <row r="56" spans="2:19" ht="12">
      <c r="E56" s="789"/>
      <c r="F56" s="797"/>
      <c r="G56" s="603"/>
      <c r="H56" s="603"/>
      <c r="I56" s="603"/>
      <c r="J56" s="603"/>
      <c r="K56" s="789"/>
      <c r="M56" s="603"/>
      <c r="N56" s="603"/>
      <c r="O56" s="794" t="str">
        <f>IF(O55="Other","INPUT %","")</f>
        <v/>
      </c>
      <c r="P56" s="603"/>
      <c r="S56" s="433" t="str">
        <v/>
      </c>
    </row>
    <row r="57" spans="2:19">
      <c r="E57" s="798"/>
      <c r="F57" s="724"/>
      <c r="G57" s="603"/>
      <c r="H57" s="603"/>
      <c r="I57" s="603"/>
      <c r="J57" s="603"/>
      <c r="K57" s="799"/>
      <c r="M57" s="603"/>
      <c r="N57" s="603"/>
      <c r="O57" s="603"/>
      <c r="P57" s="603"/>
      <c r="S57" s="433" t="str">
        <v/>
      </c>
    </row>
    <row r="58" spans="2:19">
      <c r="E58" s="603"/>
      <c r="F58" s="603"/>
      <c r="G58" s="603"/>
      <c r="H58" s="603"/>
      <c r="I58" s="603"/>
      <c r="J58" s="603"/>
      <c r="K58" s="603"/>
      <c r="S58" s="433" t="str">
        <v/>
      </c>
    </row>
    <row r="59" spans="2:19">
      <c r="E59" s="603"/>
      <c r="F59" s="603"/>
      <c r="G59" s="603"/>
      <c r="H59" s="603"/>
      <c r="I59" s="603"/>
      <c r="J59" s="603"/>
      <c r="K59" s="603"/>
      <c r="S59" s="433" t="str">
        <v/>
      </c>
    </row>
    <row r="60" spans="2:19">
      <c r="E60" s="603"/>
      <c r="F60" s="603"/>
      <c r="G60" s="603"/>
      <c r="H60" s="603"/>
      <c r="I60" s="603"/>
      <c r="J60" s="603"/>
      <c r="K60" s="603"/>
    </row>
    <row r="61" spans="2:19">
      <c r="E61" s="603"/>
      <c r="F61" s="603"/>
      <c r="G61" s="603"/>
      <c r="H61" s="603"/>
      <c r="I61" s="603"/>
      <c r="J61" s="603"/>
      <c r="K61" s="603"/>
    </row>
  </sheetData>
  <sheetProtection deleteRows="0"/>
  <dataConsolidate/>
  <mergeCells count="1">
    <mergeCell ref="P2:S7"/>
  </mergeCells>
  <phoneticPr fontId="19" type="noConversion"/>
  <dataValidations count="2">
    <dataValidation type="list" allowBlank="1" showInputMessage="1" showErrorMessage="1" sqref="O55" xr:uid="{00000000-0002-0000-0A00-000000000000}">
      <formula1>"High, Low, Mean, Median, Other"</formula1>
    </dataValidation>
    <dataValidation type="list" allowBlank="1" showInputMessage="1" showErrorMessage="1" sqref="N10:N41" xr:uid="{00000000-0002-0000-0A00-000001000000}">
      <formula1>$O$1:$O$2</formula1>
    </dataValidation>
  </dataValidations>
  <printOptions horizontalCentered="1"/>
  <pageMargins left="0.25" right="0.25" top="0.75" bottom="0.25" header="0.5" footer="0.5"/>
  <pageSetup scale="93" orientation="landscape" horizontalDpi="300" verticalDpi="300" r:id="rId1"/>
  <headerFooter alignWithMargins="0">
    <oddHeader>&amp;R&amp;"Arial"&amp;8&amp;K000000Confidential&amp;1#</oddHead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theme="9" tint="-9.9978637043366805E-2"/>
    <pageSetUpPr fitToPage="1"/>
  </sheetPr>
  <dimension ref="B1:AK96"/>
  <sheetViews>
    <sheetView showGridLines="0" view="pageBreakPreview" zoomScale="60" zoomScaleNormal="100" zoomScaleSheetLayoutView="85" workbookViewId="0">
      <selection activeCell="X4" sqref="X4"/>
    </sheetView>
  </sheetViews>
  <sheetFormatPr defaultColWidth="8.84375" defaultRowHeight="10.5" outlineLevelRow="1" outlineLevelCol="1"/>
  <cols>
    <col min="1" max="1" width="5.84375" style="433" customWidth="1"/>
    <col min="2" max="2" width="3" style="433" customWidth="1"/>
    <col min="3" max="3" width="2" style="433" customWidth="1"/>
    <col min="4" max="4" width="24.3828125" style="433" customWidth="1"/>
    <col min="5" max="5" width="9.61328125" style="433" customWidth="1"/>
    <col min="6" max="13" width="9.61328125" style="433" customWidth="1" outlineLevel="1"/>
    <col min="14" max="23" width="9.61328125" style="433" customWidth="1"/>
    <col min="24" max="24" width="2.84375" style="433" customWidth="1"/>
    <col min="25" max="25" width="2.07421875" style="433" customWidth="1"/>
    <col min="26" max="26" width="11.07421875" style="433" customWidth="1"/>
    <col min="27" max="16384" width="8.84375" style="433"/>
  </cols>
  <sheetData>
    <row r="1" spans="2:34" s="603" customFormat="1"/>
    <row r="2" spans="2:34" s="618" customFormat="1" ht="15.5">
      <c r="B2" s="744" t="str">
        <f>Inputs!B2</f>
        <v>Valify - UAE Valuation Services</v>
      </c>
      <c r="C2" s="604"/>
      <c r="D2" s="604"/>
      <c r="E2" s="604"/>
      <c r="F2" s="604"/>
      <c r="G2" s="604"/>
      <c r="H2" s="604"/>
      <c r="I2" s="604"/>
      <c r="J2" s="604"/>
      <c r="K2" s="604"/>
      <c r="L2" s="604"/>
      <c r="M2" s="604"/>
      <c r="N2" s="604"/>
      <c r="O2" s="604"/>
      <c r="P2" s="604"/>
      <c r="Q2" s="604"/>
      <c r="R2" s="604"/>
      <c r="S2" s="604"/>
      <c r="T2" s="604"/>
      <c r="U2" s="604"/>
      <c r="V2" s="604"/>
      <c r="W2" s="604"/>
      <c r="X2" s="1068"/>
      <c r="AA2"/>
      <c r="AB2"/>
    </row>
    <row r="3" spans="2:34" s="617" customFormat="1" ht="15.5">
      <c r="B3" s="985" t="str">
        <f>Inputs!$B$3</f>
        <v>Aerial Arts India XXXXXXXXXXXXXXXXX - Self Valuation using DCF Method, Transaction Multiples Method, &amp; Market Multiples Method as at September 30, 2024</v>
      </c>
      <c r="C3" s="745"/>
      <c r="D3" s="745"/>
      <c r="E3" s="745"/>
      <c r="F3" s="745"/>
      <c r="G3" s="745"/>
      <c r="H3" s="745"/>
      <c r="I3" s="745"/>
      <c r="J3" s="745"/>
      <c r="K3" s="745"/>
      <c r="L3" s="745"/>
      <c r="M3" s="745"/>
      <c r="N3" s="745"/>
      <c r="O3" s="986"/>
      <c r="P3" s="987"/>
      <c r="Q3" s="987"/>
      <c r="R3" s="987"/>
      <c r="S3" s="987"/>
      <c r="T3" s="987"/>
      <c r="U3" s="987"/>
      <c r="V3" s="987"/>
      <c r="W3" s="987"/>
      <c r="X3" s="1069"/>
      <c r="AA3"/>
      <c r="AB3"/>
    </row>
    <row r="4" spans="2:34" s="749" customFormat="1">
      <c r="B4" s="985" t="s">
        <v>1499</v>
      </c>
      <c r="C4" s="745"/>
      <c r="D4" s="745"/>
      <c r="E4" s="745"/>
      <c r="F4" s="745"/>
      <c r="G4" s="745"/>
      <c r="H4" s="745"/>
      <c r="I4" s="745"/>
      <c r="J4" s="745"/>
      <c r="K4" s="745"/>
      <c r="L4" s="745"/>
      <c r="M4" s="745"/>
      <c r="N4" s="745"/>
      <c r="O4" s="745"/>
      <c r="P4" s="745"/>
      <c r="Q4" s="745"/>
      <c r="R4" s="745"/>
      <c r="S4" s="745"/>
      <c r="T4" s="745"/>
      <c r="U4" s="745"/>
      <c r="V4" s="745"/>
      <c r="W4" s="745"/>
      <c r="X4" s="742" t="str">
        <f>valuation.date.header</f>
        <v>Valuation Date:  September 30, 2024</v>
      </c>
    </row>
    <row r="5" spans="2:34" s="617" customFormat="1" ht="5" customHeight="1" thickBot="1">
      <c r="B5" s="1070"/>
      <c r="C5" s="1071"/>
      <c r="D5" s="1071"/>
      <c r="E5" s="1071"/>
      <c r="F5" s="1071"/>
      <c r="G5" s="1071"/>
      <c r="H5" s="1071"/>
      <c r="I5" s="1071"/>
      <c r="J5" s="1071"/>
      <c r="K5" s="1071"/>
      <c r="L5" s="1071"/>
      <c r="M5" s="1071"/>
      <c r="N5" s="1071"/>
      <c r="O5" s="1071"/>
      <c r="P5" s="1071"/>
      <c r="Q5" s="1071"/>
      <c r="R5" s="1071"/>
      <c r="S5" s="1071"/>
      <c r="T5" s="1071"/>
      <c r="U5" s="1071"/>
      <c r="V5" s="1071"/>
      <c r="W5" s="1071"/>
      <c r="X5" s="1071"/>
    </row>
    <row r="6" spans="2:34" s="436" customFormat="1" ht="11" thickTop="1">
      <c r="O6" s="1072"/>
      <c r="P6" s="1072"/>
      <c r="Q6" s="1072"/>
      <c r="R6" s="1072"/>
      <c r="S6" s="1072"/>
      <c r="T6" s="1072"/>
      <c r="U6" s="1072"/>
      <c r="V6" s="1072"/>
      <c r="W6" s="1072"/>
    </row>
    <row r="7" spans="2:34" s="436" customFormat="1">
      <c r="D7" s="1073" t="s">
        <v>1460</v>
      </c>
      <c r="O7" s="1072"/>
      <c r="P7" s="1072"/>
      <c r="Q7" s="1072"/>
      <c r="R7" s="1072"/>
      <c r="S7" s="1072"/>
      <c r="T7" s="1072"/>
      <c r="U7" s="1072"/>
      <c r="V7" s="1072"/>
      <c r="W7" s="1072"/>
    </row>
    <row r="8" spans="2:34" s="436" customFormat="1" ht="25.5" customHeight="1">
      <c r="B8" s="1074"/>
      <c r="D8" s="1075"/>
      <c r="E8" s="1076"/>
      <c r="F8" s="1802"/>
      <c r="G8" s="1802"/>
      <c r="H8" s="1802"/>
      <c r="I8" s="1802"/>
      <c r="J8" s="1802"/>
      <c r="K8" s="1803" t="s">
        <v>1500</v>
      </c>
      <c r="L8" s="1803"/>
      <c r="M8" s="1078"/>
      <c r="N8" s="1803" t="s">
        <v>1501</v>
      </c>
      <c r="O8" s="1803"/>
      <c r="P8" s="1803"/>
      <c r="Q8" s="1803"/>
      <c r="R8" s="1803"/>
      <c r="S8" s="1804" t="s">
        <v>1502</v>
      </c>
      <c r="T8" s="1804"/>
      <c r="U8" s="1804"/>
      <c r="V8" s="1804"/>
      <c r="W8" s="1079"/>
      <c r="X8" s="662" t="s">
        <v>1503</v>
      </c>
      <c r="Y8" s="662"/>
      <c r="Z8" s="662"/>
      <c r="AA8" s="662"/>
      <c r="AB8" s="662" t="s">
        <v>1503</v>
      </c>
      <c r="AC8" s="1080"/>
      <c r="AD8" s="1081" t="s">
        <v>1504</v>
      </c>
      <c r="AE8" s="1081" t="s">
        <v>1381</v>
      </c>
      <c r="AF8" s="1082"/>
      <c r="AG8" s="662" t="s">
        <v>1503</v>
      </c>
      <c r="AH8" s="662" t="s">
        <v>1503</v>
      </c>
    </row>
    <row r="9" spans="2:34" s="436" customFormat="1" ht="11" thickBot="1">
      <c r="D9" s="1083" t="s">
        <v>94</v>
      </c>
      <c r="E9" s="1084" t="s">
        <v>1505</v>
      </c>
      <c r="F9" s="1085" t="s">
        <v>146</v>
      </c>
      <c r="G9" s="1085" t="s">
        <v>144</v>
      </c>
      <c r="H9" s="1085" t="s">
        <v>141</v>
      </c>
      <c r="I9" s="1085" t="s">
        <v>138</v>
      </c>
      <c r="J9" s="1078" t="s">
        <v>136</v>
      </c>
      <c r="K9" s="1078" t="s">
        <v>1506</v>
      </c>
      <c r="L9" s="1078" t="s">
        <v>1507</v>
      </c>
      <c r="M9" s="1078" t="s">
        <v>1508</v>
      </c>
      <c r="N9" s="1078" t="s">
        <v>1509</v>
      </c>
      <c r="O9" s="1078" t="s">
        <v>1510</v>
      </c>
      <c r="P9" s="1078" t="s">
        <v>1477</v>
      </c>
      <c r="Q9" s="1078" t="s">
        <v>138</v>
      </c>
      <c r="R9" s="1078" t="s">
        <v>1511</v>
      </c>
      <c r="S9" s="1078" t="s">
        <v>1506</v>
      </c>
      <c r="T9" s="1078" t="s">
        <v>1507</v>
      </c>
      <c r="U9" s="1078" t="s">
        <v>1508</v>
      </c>
      <c r="V9" s="1078" t="s">
        <v>1504</v>
      </c>
      <c r="W9" s="1078" t="s">
        <v>1511</v>
      </c>
      <c r="X9" s="660"/>
      <c r="Y9" s="660"/>
      <c r="Z9" s="755" t="s">
        <v>1455</v>
      </c>
      <c r="AA9" s="660"/>
      <c r="AB9" s="660"/>
      <c r="AC9" s="1080" t="str">
        <f>client.name.long</f>
        <v>Aerial Arts India XXXXXXXXXXXXXXXXX</v>
      </c>
      <c r="AD9" s="1086" t="e">
        <f>(#REF!/#REF!)^(1/2)-1</f>
        <v>#REF!</v>
      </c>
      <c r="AE9" s="1086" t="e">
        <f>$V$45</f>
        <v>#DIV/0!</v>
      </c>
      <c r="AF9" s="1082"/>
      <c r="AG9" s="660"/>
      <c r="AH9" s="660"/>
    </row>
    <row r="10" spans="2:34" s="436" customFormat="1" ht="11" thickBot="1">
      <c r="C10" s="1087">
        <v>1</v>
      </c>
      <c r="D10" s="1088" t="str">
        <f>'GPC Data'!E294</f>
        <v>Comp 1</v>
      </c>
      <c r="E10" s="1089">
        <f>'GPC Data'!P22</f>
        <v>0</v>
      </c>
      <c r="F10" s="1090">
        <f>'GPC Data'!F124</f>
        <v>0</v>
      </c>
      <c r="G10" s="1090">
        <f>'GPC Data'!G124</f>
        <v>0</v>
      </c>
      <c r="H10" s="1090">
        <f>'GPC Data'!H124</f>
        <v>0</v>
      </c>
      <c r="I10" s="1090">
        <f>'GPC Data'!I124</f>
        <v>0</v>
      </c>
      <c r="J10" s="1090">
        <f>'GPC Data'!J124</f>
        <v>0</v>
      </c>
      <c r="K10" s="1091">
        <f>'GPC Data'!K124</f>
        <v>0</v>
      </c>
      <c r="L10" s="1091">
        <f>'GPC Data'!L124</f>
        <v>0</v>
      </c>
      <c r="M10" s="1091">
        <f>'GPC Data'!M124</f>
        <v>0</v>
      </c>
      <c r="N10" s="1092"/>
      <c r="O10" s="1093" t="e">
        <f t="shared" ref="O10:O18" si="0">G10/F10-1</f>
        <v>#DIV/0!</v>
      </c>
      <c r="P10" s="1093" t="e">
        <f t="shared" ref="P10:P18" si="1">H10/G10-1</f>
        <v>#DIV/0!</v>
      </c>
      <c r="Q10" s="1093" t="e">
        <f t="shared" ref="Q10:Q18" si="2">I10/H10-1</f>
        <v>#DIV/0!</v>
      </c>
      <c r="R10" s="1094" t="e">
        <f>(I10/F10)^(1/3)-1</f>
        <v>#DIV/0!</v>
      </c>
      <c r="S10" s="1095" t="e">
        <f t="shared" ref="S10:S18" si="3">K10/I10-1</f>
        <v>#DIV/0!</v>
      </c>
      <c r="T10" s="1095" t="e">
        <f t="shared" ref="T10:T18" si="4">L10/J10-1</f>
        <v>#DIV/0!</v>
      </c>
      <c r="U10" s="1095" t="e">
        <f t="shared" ref="U10:U18" si="5">M10/K10-1</f>
        <v>#DIV/0!</v>
      </c>
      <c r="V10" s="1096" t="e">
        <f>(U10/S10)^(1/2)-1</f>
        <v>#DIV/0!</v>
      </c>
      <c r="W10" s="1097" t="e">
        <f t="shared" ref="W10:W18" si="6">(U10/I10)^(1/3)-1</f>
        <v>#DIV/0!</v>
      </c>
      <c r="X10" s="660"/>
      <c r="Y10" s="660"/>
      <c r="Z10" s="677" t="s">
        <v>1368</v>
      </c>
      <c r="AA10" s="660"/>
      <c r="AB10" s="660"/>
      <c r="AC10" s="1080" t="str">
        <f t="shared" ref="AC10:AC18" si="7">D10</f>
        <v>Comp 1</v>
      </c>
      <c r="AD10" s="1098" t="e">
        <f t="shared" ref="AD10:AD18" si="8">V10</f>
        <v>#DIV/0!</v>
      </c>
      <c r="AE10" s="1098" t="e">
        <f>$V$45</f>
        <v>#DIV/0!</v>
      </c>
      <c r="AF10" s="1099">
        <v>0</v>
      </c>
      <c r="AG10" s="660"/>
      <c r="AH10" s="660"/>
    </row>
    <row r="11" spans="2:34" s="436" customFormat="1" ht="11" thickBot="1">
      <c r="C11" s="1087">
        <f>C10+1</f>
        <v>2</v>
      </c>
      <c r="D11" s="1100" t="str">
        <f>'GPC Data'!E295</f>
        <v>Comp 2</v>
      </c>
      <c r="E11" s="1101">
        <f>'GPC Data'!P23</f>
        <v>0</v>
      </c>
      <c r="F11" s="1102">
        <f>'GPC Data'!F125</f>
        <v>0</v>
      </c>
      <c r="G11" s="1102">
        <f>'GPC Data'!G125</f>
        <v>0</v>
      </c>
      <c r="H11" s="1102">
        <f>'GPC Data'!H125</f>
        <v>0</v>
      </c>
      <c r="I11" s="1102">
        <f>'GPC Data'!I125</f>
        <v>0</v>
      </c>
      <c r="J11" s="1102">
        <f>'GPC Data'!J125</f>
        <v>0</v>
      </c>
      <c r="K11" s="1103">
        <f>'GPC Data'!K125</f>
        <v>0</v>
      </c>
      <c r="L11" s="1103">
        <f>'GPC Data'!L125</f>
        <v>0</v>
      </c>
      <c r="M11" s="1103">
        <f>'GPC Data'!M125</f>
        <v>0</v>
      </c>
      <c r="N11" s="1104"/>
      <c r="O11" s="1105" t="e">
        <f t="shared" si="0"/>
        <v>#DIV/0!</v>
      </c>
      <c r="P11" s="1105" t="e">
        <f t="shared" si="1"/>
        <v>#DIV/0!</v>
      </c>
      <c r="Q11" s="1105" t="e">
        <f t="shared" si="2"/>
        <v>#DIV/0!</v>
      </c>
      <c r="R11" s="1106" t="e">
        <f t="shared" ref="R11:R18" si="9">(I11/F11)^(1/3)-1</f>
        <v>#DIV/0!</v>
      </c>
      <c r="S11" s="1107" t="e">
        <f t="shared" si="3"/>
        <v>#DIV/0!</v>
      </c>
      <c r="T11" s="1107" t="e">
        <f t="shared" si="4"/>
        <v>#DIV/0!</v>
      </c>
      <c r="U11" s="1107" t="e">
        <f t="shared" si="5"/>
        <v>#DIV/0!</v>
      </c>
      <c r="V11" s="1108" t="e">
        <f t="shared" ref="V11:V18" si="10">(U11/S11)^(1/2)-1</f>
        <v>#DIV/0!</v>
      </c>
      <c r="W11" s="1108" t="e">
        <f t="shared" si="6"/>
        <v>#DIV/0!</v>
      </c>
      <c r="X11" s="660"/>
      <c r="Y11" s="660"/>
      <c r="Z11" s="677" t="s">
        <v>1368</v>
      </c>
      <c r="AA11" s="660"/>
      <c r="AB11" s="660"/>
      <c r="AC11" s="1080" t="str">
        <f t="shared" si="7"/>
        <v>Comp 2</v>
      </c>
      <c r="AD11" s="1098" t="e">
        <f t="shared" si="8"/>
        <v>#DIV/0!</v>
      </c>
      <c r="AE11" s="1098" t="e">
        <f>$V$45</f>
        <v>#DIV/0!</v>
      </c>
      <c r="AF11" s="1099">
        <v>1.5</v>
      </c>
      <c r="AG11" s="660"/>
      <c r="AH11" s="660"/>
    </row>
    <row r="12" spans="2:34" s="436" customFormat="1" ht="11" thickBot="1">
      <c r="C12" s="1087">
        <f t="shared" ref="C12:C38" si="11">C11+1</f>
        <v>3</v>
      </c>
      <c r="D12" s="1100" t="str">
        <f>'GPC Data'!E296</f>
        <v>Comp 3</v>
      </c>
      <c r="E12" s="1101">
        <f>'GPC Data'!P24</f>
        <v>0</v>
      </c>
      <c r="F12" s="1102">
        <f>'GPC Data'!F126</f>
        <v>0</v>
      </c>
      <c r="G12" s="1102">
        <f>'GPC Data'!G126</f>
        <v>0</v>
      </c>
      <c r="H12" s="1102">
        <f>'GPC Data'!H126</f>
        <v>0</v>
      </c>
      <c r="I12" s="1102">
        <f>'GPC Data'!I126</f>
        <v>0</v>
      </c>
      <c r="J12" s="1102">
        <f>'GPC Data'!J126</f>
        <v>0</v>
      </c>
      <c r="K12" s="1103">
        <f>'GPC Data'!K126</f>
        <v>0</v>
      </c>
      <c r="L12" s="1103">
        <f>'GPC Data'!L126</f>
        <v>0</v>
      </c>
      <c r="M12" s="1103">
        <f>'GPC Data'!M126</f>
        <v>0</v>
      </c>
      <c r="N12" s="1104"/>
      <c r="O12" s="1105" t="e">
        <f t="shared" si="0"/>
        <v>#DIV/0!</v>
      </c>
      <c r="P12" s="1105" t="e">
        <f t="shared" si="1"/>
        <v>#DIV/0!</v>
      </c>
      <c r="Q12" s="1105" t="e">
        <f t="shared" si="2"/>
        <v>#DIV/0!</v>
      </c>
      <c r="R12" s="1106" t="e">
        <f t="shared" si="9"/>
        <v>#DIV/0!</v>
      </c>
      <c r="S12" s="1107" t="e">
        <f t="shared" si="3"/>
        <v>#DIV/0!</v>
      </c>
      <c r="T12" s="1107" t="e">
        <f t="shared" si="4"/>
        <v>#DIV/0!</v>
      </c>
      <c r="U12" s="1107" t="e">
        <f t="shared" si="5"/>
        <v>#DIV/0!</v>
      </c>
      <c r="V12" s="1108" t="e">
        <f t="shared" si="10"/>
        <v>#DIV/0!</v>
      </c>
      <c r="W12" s="1108" t="e">
        <f t="shared" si="6"/>
        <v>#DIV/0!</v>
      </c>
      <c r="X12" s="660" t="s">
        <v>1503</v>
      </c>
      <c r="Y12" s="660"/>
      <c r="Z12" s="677" t="s">
        <v>1368</v>
      </c>
      <c r="AA12" s="660"/>
      <c r="AB12" s="660" t="s">
        <v>1503</v>
      </c>
      <c r="AC12" s="1080" t="str">
        <f t="shared" si="7"/>
        <v>Comp 3</v>
      </c>
      <c r="AD12" s="1098" t="e">
        <f t="shared" si="8"/>
        <v>#DIV/0!</v>
      </c>
      <c r="AE12" s="1082"/>
      <c r="AF12" s="1082"/>
      <c r="AG12" s="660" t="s">
        <v>1503</v>
      </c>
      <c r="AH12" s="660" t="s">
        <v>1503</v>
      </c>
    </row>
    <row r="13" spans="2:34" s="436" customFormat="1" ht="11" thickBot="1">
      <c r="C13" s="1087">
        <f t="shared" si="11"/>
        <v>4</v>
      </c>
      <c r="D13" s="1100" t="str">
        <f>'GPC Data'!E297</f>
        <v>Comp 4</v>
      </c>
      <c r="E13" s="1101">
        <f>'GPC Data'!P25</f>
        <v>0</v>
      </c>
      <c r="F13" s="1102">
        <f>'GPC Data'!F127</f>
        <v>0</v>
      </c>
      <c r="G13" s="1102">
        <f>'GPC Data'!G127</f>
        <v>0</v>
      </c>
      <c r="H13" s="1102">
        <f>'GPC Data'!H127</f>
        <v>0</v>
      </c>
      <c r="I13" s="1102">
        <f>'GPC Data'!I127</f>
        <v>0</v>
      </c>
      <c r="J13" s="1102">
        <f>'GPC Data'!J127</f>
        <v>0</v>
      </c>
      <c r="K13" s="1103">
        <f>'GPC Data'!K127</f>
        <v>0</v>
      </c>
      <c r="L13" s="1103">
        <f>'GPC Data'!L127</f>
        <v>0</v>
      </c>
      <c r="M13" s="1103">
        <f>'GPC Data'!M127</f>
        <v>0</v>
      </c>
      <c r="N13" s="1104"/>
      <c r="O13" s="1105" t="e">
        <f t="shared" si="0"/>
        <v>#DIV/0!</v>
      </c>
      <c r="P13" s="1105" t="e">
        <f t="shared" si="1"/>
        <v>#DIV/0!</v>
      </c>
      <c r="Q13" s="1105" t="e">
        <f t="shared" si="2"/>
        <v>#DIV/0!</v>
      </c>
      <c r="R13" s="1106" t="e">
        <f t="shared" si="9"/>
        <v>#DIV/0!</v>
      </c>
      <c r="S13" s="1107" t="e">
        <f t="shared" si="3"/>
        <v>#DIV/0!</v>
      </c>
      <c r="T13" s="1107" t="e">
        <f t="shared" si="4"/>
        <v>#DIV/0!</v>
      </c>
      <c r="U13" s="1107" t="e">
        <f t="shared" si="5"/>
        <v>#DIV/0!</v>
      </c>
      <c r="V13" s="1108" t="e">
        <f t="shared" si="10"/>
        <v>#DIV/0!</v>
      </c>
      <c r="W13" s="1108" t="e">
        <f t="shared" si="6"/>
        <v>#DIV/0!</v>
      </c>
      <c r="X13" s="660" t="s">
        <v>1503</v>
      </c>
      <c r="Y13" s="660"/>
      <c r="Z13" s="677" t="s">
        <v>1368</v>
      </c>
      <c r="AA13" s="660"/>
      <c r="AB13" s="660" t="s">
        <v>1503</v>
      </c>
      <c r="AC13" s="1080" t="str">
        <f t="shared" si="7"/>
        <v>Comp 4</v>
      </c>
      <c r="AD13" s="1098" t="e">
        <f t="shared" si="8"/>
        <v>#DIV/0!</v>
      </c>
      <c r="AE13" s="1082"/>
      <c r="AF13" s="1082"/>
      <c r="AG13" s="660" t="s">
        <v>1503</v>
      </c>
      <c r="AH13" s="660" t="s">
        <v>1503</v>
      </c>
    </row>
    <row r="14" spans="2:34" s="436" customFormat="1" ht="11" thickBot="1">
      <c r="C14" s="1087">
        <f t="shared" si="11"/>
        <v>5</v>
      </c>
      <c r="D14" s="1100" t="str">
        <f>'GPC Data'!E298</f>
        <v>Comp 5</v>
      </c>
      <c r="E14" s="1101">
        <f>'GPC Data'!P26</f>
        <v>0</v>
      </c>
      <c r="F14" s="1102">
        <f>'GPC Data'!F128</f>
        <v>0</v>
      </c>
      <c r="G14" s="1102">
        <f>'GPC Data'!G128</f>
        <v>0</v>
      </c>
      <c r="H14" s="1102">
        <f>'GPC Data'!H128</f>
        <v>0</v>
      </c>
      <c r="I14" s="1102">
        <f>'GPC Data'!I128</f>
        <v>0</v>
      </c>
      <c r="J14" s="1102">
        <f>'GPC Data'!J128</f>
        <v>0</v>
      </c>
      <c r="K14" s="1103">
        <f>'GPC Data'!K128</f>
        <v>0</v>
      </c>
      <c r="L14" s="1103">
        <f>'GPC Data'!L128</f>
        <v>0</v>
      </c>
      <c r="M14" s="1103">
        <f>'GPC Data'!M128</f>
        <v>0</v>
      </c>
      <c r="N14" s="1104"/>
      <c r="O14" s="1105" t="e">
        <f t="shared" si="0"/>
        <v>#DIV/0!</v>
      </c>
      <c r="P14" s="1105" t="e">
        <f t="shared" si="1"/>
        <v>#DIV/0!</v>
      </c>
      <c r="Q14" s="1105" t="e">
        <f t="shared" si="2"/>
        <v>#DIV/0!</v>
      </c>
      <c r="R14" s="1106" t="e">
        <f t="shared" si="9"/>
        <v>#DIV/0!</v>
      </c>
      <c r="S14" s="1107" t="e">
        <f t="shared" si="3"/>
        <v>#DIV/0!</v>
      </c>
      <c r="T14" s="1107" t="e">
        <f t="shared" si="4"/>
        <v>#DIV/0!</v>
      </c>
      <c r="U14" s="1107" t="e">
        <f t="shared" si="5"/>
        <v>#DIV/0!</v>
      </c>
      <c r="V14" s="1108" t="e">
        <f t="shared" si="10"/>
        <v>#DIV/0!</v>
      </c>
      <c r="W14" s="1108" t="e">
        <f t="shared" si="6"/>
        <v>#DIV/0!</v>
      </c>
      <c r="X14" s="660"/>
      <c r="Y14" s="660"/>
      <c r="Z14" s="677" t="s">
        <v>1368</v>
      </c>
      <c r="AA14" s="660"/>
      <c r="AB14" s="660"/>
      <c r="AC14" s="1080" t="str">
        <f t="shared" si="7"/>
        <v>Comp 5</v>
      </c>
      <c r="AD14" s="1098" t="e">
        <f t="shared" si="8"/>
        <v>#DIV/0!</v>
      </c>
      <c r="AE14" s="1082"/>
      <c r="AF14" s="1082"/>
      <c r="AG14" s="660"/>
      <c r="AH14" s="660"/>
    </row>
    <row r="15" spans="2:34" s="436" customFormat="1" ht="11" thickBot="1">
      <c r="C15" s="1087">
        <f t="shared" si="11"/>
        <v>6</v>
      </c>
      <c r="D15" s="1100" t="str">
        <f>'GPC Data'!E299</f>
        <v>Comp 6</v>
      </c>
      <c r="E15" s="1101">
        <f>'GPC Data'!P27</f>
        <v>0</v>
      </c>
      <c r="F15" s="1102">
        <f>'GPC Data'!F129</f>
        <v>0</v>
      </c>
      <c r="G15" s="1102">
        <f>'GPC Data'!G129</f>
        <v>0</v>
      </c>
      <c r="H15" s="1102">
        <f>'GPC Data'!H129</f>
        <v>0</v>
      </c>
      <c r="I15" s="1102">
        <f>'GPC Data'!I129</f>
        <v>0</v>
      </c>
      <c r="J15" s="1102">
        <f>'GPC Data'!J129</f>
        <v>0</v>
      </c>
      <c r="K15" s="1103">
        <f>'GPC Data'!K129</f>
        <v>0</v>
      </c>
      <c r="L15" s="1103">
        <f>'GPC Data'!L129</f>
        <v>0</v>
      </c>
      <c r="M15" s="1103">
        <f>'GPC Data'!M129</f>
        <v>0</v>
      </c>
      <c r="N15" s="1104"/>
      <c r="O15" s="1105" t="e">
        <f t="shared" si="0"/>
        <v>#DIV/0!</v>
      </c>
      <c r="P15" s="1105" t="e">
        <f t="shared" si="1"/>
        <v>#DIV/0!</v>
      </c>
      <c r="Q15" s="1105" t="e">
        <f t="shared" si="2"/>
        <v>#DIV/0!</v>
      </c>
      <c r="R15" s="1106" t="e">
        <f t="shared" si="9"/>
        <v>#DIV/0!</v>
      </c>
      <c r="S15" s="1107" t="e">
        <f t="shared" si="3"/>
        <v>#DIV/0!</v>
      </c>
      <c r="T15" s="1107" t="e">
        <f t="shared" si="4"/>
        <v>#DIV/0!</v>
      </c>
      <c r="U15" s="1107" t="e">
        <f t="shared" si="5"/>
        <v>#DIV/0!</v>
      </c>
      <c r="V15" s="1108" t="e">
        <f t="shared" si="10"/>
        <v>#DIV/0!</v>
      </c>
      <c r="W15" s="1108" t="e">
        <f t="shared" si="6"/>
        <v>#DIV/0!</v>
      </c>
      <c r="X15" s="660" t="s">
        <v>1503</v>
      </c>
      <c r="Y15" s="660"/>
      <c r="Z15" s="677" t="s">
        <v>1368</v>
      </c>
      <c r="AA15" s="660"/>
      <c r="AB15" s="660" t="s">
        <v>1503</v>
      </c>
      <c r="AC15" s="1080" t="str">
        <f t="shared" si="7"/>
        <v>Comp 6</v>
      </c>
      <c r="AD15" s="1098" t="e">
        <f t="shared" si="8"/>
        <v>#DIV/0!</v>
      </c>
      <c r="AE15" s="1082"/>
      <c r="AF15" s="1082"/>
      <c r="AG15" s="660" t="s">
        <v>1503</v>
      </c>
      <c r="AH15" s="660" t="s">
        <v>1503</v>
      </c>
    </row>
    <row r="16" spans="2:34" s="436" customFormat="1" ht="11" thickBot="1">
      <c r="C16" s="1087">
        <f t="shared" si="11"/>
        <v>7</v>
      </c>
      <c r="D16" s="1100" t="str">
        <f>'GPC Data'!E300</f>
        <v>Comp 7</v>
      </c>
      <c r="E16" s="1101">
        <f>'GPC Data'!P28</f>
        <v>0</v>
      </c>
      <c r="F16" s="1102">
        <f>'GPC Data'!F130</f>
        <v>0</v>
      </c>
      <c r="G16" s="1102">
        <f>'GPC Data'!G130</f>
        <v>0</v>
      </c>
      <c r="H16" s="1102">
        <f>'GPC Data'!H130</f>
        <v>0</v>
      </c>
      <c r="I16" s="1102">
        <f>'GPC Data'!I130</f>
        <v>0</v>
      </c>
      <c r="J16" s="1102">
        <f>'GPC Data'!J130</f>
        <v>0</v>
      </c>
      <c r="K16" s="1103">
        <f>'GPC Data'!K130</f>
        <v>0</v>
      </c>
      <c r="L16" s="1103">
        <f>'GPC Data'!L130</f>
        <v>0</v>
      </c>
      <c r="M16" s="1103">
        <f>'GPC Data'!M130</f>
        <v>0</v>
      </c>
      <c r="N16" s="1104"/>
      <c r="O16" s="1105" t="e">
        <f t="shared" si="0"/>
        <v>#DIV/0!</v>
      </c>
      <c r="P16" s="1105" t="e">
        <f t="shared" si="1"/>
        <v>#DIV/0!</v>
      </c>
      <c r="Q16" s="1105" t="e">
        <f t="shared" si="2"/>
        <v>#DIV/0!</v>
      </c>
      <c r="R16" s="1106" t="e">
        <f t="shared" si="9"/>
        <v>#DIV/0!</v>
      </c>
      <c r="S16" s="1107" t="e">
        <f t="shared" si="3"/>
        <v>#DIV/0!</v>
      </c>
      <c r="T16" s="1107" t="e">
        <f t="shared" si="4"/>
        <v>#DIV/0!</v>
      </c>
      <c r="U16" s="1107" t="e">
        <f t="shared" si="5"/>
        <v>#DIV/0!</v>
      </c>
      <c r="V16" s="1108" t="e">
        <f t="shared" si="10"/>
        <v>#DIV/0!</v>
      </c>
      <c r="W16" s="1108" t="e">
        <f t="shared" si="6"/>
        <v>#DIV/0!</v>
      </c>
      <c r="X16" s="660" t="s">
        <v>1503</v>
      </c>
      <c r="Y16" s="660"/>
      <c r="Z16" s="677" t="s">
        <v>1368</v>
      </c>
      <c r="AA16" s="660"/>
      <c r="AB16" s="660" t="s">
        <v>1503</v>
      </c>
      <c r="AC16" s="1080" t="str">
        <f t="shared" si="7"/>
        <v>Comp 7</v>
      </c>
      <c r="AD16" s="1098" t="e">
        <f t="shared" si="8"/>
        <v>#DIV/0!</v>
      </c>
      <c r="AE16" s="1082"/>
      <c r="AF16" s="1082"/>
      <c r="AG16" s="660" t="s">
        <v>1503</v>
      </c>
      <c r="AH16" s="660" t="s">
        <v>1503</v>
      </c>
    </row>
    <row r="17" spans="3:34" s="436" customFormat="1" ht="11" thickBot="1">
      <c r="C17" s="1087">
        <f t="shared" si="11"/>
        <v>8</v>
      </c>
      <c r="D17" s="1100" t="str">
        <f>'GPC Data'!E301</f>
        <v>Comp 8</v>
      </c>
      <c r="E17" s="1101">
        <f>'GPC Data'!P29</f>
        <v>0</v>
      </c>
      <c r="F17" s="1102">
        <f>'GPC Data'!F131</f>
        <v>0</v>
      </c>
      <c r="G17" s="1102">
        <f>'GPC Data'!G131</f>
        <v>0</v>
      </c>
      <c r="H17" s="1102">
        <f>'GPC Data'!H131</f>
        <v>0</v>
      </c>
      <c r="I17" s="1102">
        <f>'GPC Data'!I131</f>
        <v>0</v>
      </c>
      <c r="J17" s="1102">
        <f>'GPC Data'!J131</f>
        <v>0</v>
      </c>
      <c r="K17" s="1103">
        <f>'GPC Data'!K131</f>
        <v>0</v>
      </c>
      <c r="L17" s="1103">
        <f>'GPC Data'!L131</f>
        <v>0</v>
      </c>
      <c r="M17" s="1103">
        <f>'GPC Data'!M131</f>
        <v>0</v>
      </c>
      <c r="N17" s="1104"/>
      <c r="O17" s="1105" t="e">
        <f t="shared" si="0"/>
        <v>#DIV/0!</v>
      </c>
      <c r="P17" s="1105" t="e">
        <f t="shared" si="1"/>
        <v>#DIV/0!</v>
      </c>
      <c r="Q17" s="1105" t="e">
        <f t="shared" si="2"/>
        <v>#DIV/0!</v>
      </c>
      <c r="R17" s="1106" t="e">
        <f t="shared" si="9"/>
        <v>#DIV/0!</v>
      </c>
      <c r="S17" s="1107" t="e">
        <f t="shared" si="3"/>
        <v>#DIV/0!</v>
      </c>
      <c r="T17" s="1107" t="e">
        <f t="shared" si="4"/>
        <v>#DIV/0!</v>
      </c>
      <c r="U17" s="1107" t="e">
        <f t="shared" si="5"/>
        <v>#DIV/0!</v>
      </c>
      <c r="V17" s="1108" t="e">
        <f t="shared" si="10"/>
        <v>#DIV/0!</v>
      </c>
      <c r="W17" s="1108" t="e">
        <f t="shared" si="6"/>
        <v>#DIV/0!</v>
      </c>
      <c r="X17" s="660"/>
      <c r="Y17" s="660"/>
      <c r="Z17" s="677" t="s">
        <v>1368</v>
      </c>
      <c r="AA17" s="660"/>
      <c r="AB17" s="660"/>
      <c r="AC17" s="1080" t="str">
        <f t="shared" si="7"/>
        <v>Comp 8</v>
      </c>
      <c r="AD17" s="1098" t="e">
        <f t="shared" si="8"/>
        <v>#DIV/0!</v>
      </c>
      <c r="AE17" s="1082"/>
      <c r="AF17" s="1082"/>
      <c r="AG17" s="660"/>
      <c r="AH17" s="660"/>
    </row>
    <row r="18" spans="3:34" s="436" customFormat="1" ht="11" thickBot="1">
      <c r="C18" s="1087">
        <f t="shared" si="11"/>
        <v>9</v>
      </c>
      <c r="D18" s="1100" t="str">
        <f>'GPC Data'!E302</f>
        <v>Comp 9</v>
      </c>
      <c r="E18" s="1101">
        <f>'GPC Data'!P30</f>
        <v>0</v>
      </c>
      <c r="F18" s="1102">
        <f>'GPC Data'!F132</f>
        <v>0</v>
      </c>
      <c r="G18" s="1102">
        <f>'GPC Data'!G132</f>
        <v>0</v>
      </c>
      <c r="H18" s="1102">
        <f>'GPC Data'!H132</f>
        <v>0</v>
      </c>
      <c r="I18" s="1102">
        <f>'GPC Data'!I132</f>
        <v>0</v>
      </c>
      <c r="J18" s="1102">
        <f>'GPC Data'!J132</f>
        <v>0</v>
      </c>
      <c r="K18" s="1103">
        <f>'GPC Data'!K132</f>
        <v>0</v>
      </c>
      <c r="L18" s="1103">
        <f>'GPC Data'!L132</f>
        <v>0</v>
      </c>
      <c r="M18" s="1103">
        <f>'GPC Data'!M132</f>
        <v>0</v>
      </c>
      <c r="N18" s="1104"/>
      <c r="O18" s="1105" t="e">
        <f t="shared" si="0"/>
        <v>#DIV/0!</v>
      </c>
      <c r="P18" s="1105" t="e">
        <f t="shared" si="1"/>
        <v>#DIV/0!</v>
      </c>
      <c r="Q18" s="1105" t="e">
        <f t="shared" si="2"/>
        <v>#DIV/0!</v>
      </c>
      <c r="R18" s="1106" t="e">
        <f t="shared" si="9"/>
        <v>#DIV/0!</v>
      </c>
      <c r="S18" s="1107" t="e">
        <f t="shared" si="3"/>
        <v>#DIV/0!</v>
      </c>
      <c r="T18" s="1107" t="e">
        <f t="shared" si="4"/>
        <v>#DIV/0!</v>
      </c>
      <c r="U18" s="1107" t="e">
        <f t="shared" si="5"/>
        <v>#DIV/0!</v>
      </c>
      <c r="V18" s="1108" t="e">
        <f t="shared" si="10"/>
        <v>#DIV/0!</v>
      </c>
      <c r="W18" s="1108" t="e">
        <f t="shared" si="6"/>
        <v>#DIV/0!</v>
      </c>
      <c r="X18" s="660" t="s">
        <v>1503</v>
      </c>
      <c r="Y18" s="660"/>
      <c r="Z18" s="677" t="s">
        <v>1368</v>
      </c>
      <c r="AA18" s="660"/>
      <c r="AB18" s="660" t="s">
        <v>1503</v>
      </c>
      <c r="AC18" s="1080" t="str">
        <f t="shared" si="7"/>
        <v>Comp 9</v>
      </c>
      <c r="AD18" s="1098" t="e">
        <f t="shared" si="8"/>
        <v>#DIV/0!</v>
      </c>
      <c r="AE18" s="1082"/>
      <c r="AF18" s="1082"/>
      <c r="AG18" s="660" t="s">
        <v>1503</v>
      </c>
      <c r="AH18" s="660" t="s">
        <v>1503</v>
      </c>
    </row>
    <row r="19" spans="3:34" s="436" customFormat="1" ht="11" thickBot="1">
      <c r="C19" s="1087">
        <f t="shared" si="11"/>
        <v>10</v>
      </c>
      <c r="D19" s="1100" t="str">
        <f>'GPC Data'!E303</f>
        <v>Comp 10</v>
      </c>
      <c r="E19" s="1101">
        <f>'GPC Data'!P31</f>
        <v>0</v>
      </c>
      <c r="F19" s="1102">
        <f>'GPC Data'!F133</f>
        <v>0</v>
      </c>
      <c r="G19" s="1102">
        <f>'GPC Data'!G133</f>
        <v>0</v>
      </c>
      <c r="H19" s="1102">
        <f>'GPC Data'!H133</f>
        <v>0</v>
      </c>
      <c r="I19" s="1102">
        <f>'GPC Data'!I133</f>
        <v>0</v>
      </c>
      <c r="J19" s="1102">
        <f>'GPC Data'!J133</f>
        <v>0</v>
      </c>
      <c r="K19" s="1103">
        <f>'GPC Data'!K133</f>
        <v>0</v>
      </c>
      <c r="L19" s="1103">
        <f>'GPC Data'!L133</f>
        <v>0</v>
      </c>
      <c r="M19" s="1103">
        <f>'GPC Data'!M133</f>
        <v>0</v>
      </c>
      <c r="N19" s="1104"/>
      <c r="O19" s="1105" t="e">
        <f t="shared" ref="O19:O38" si="12">G19/F19-1</f>
        <v>#DIV/0!</v>
      </c>
      <c r="P19" s="1105" t="e">
        <f t="shared" ref="P19:P38" si="13">H19/G19-1</f>
        <v>#DIV/0!</v>
      </c>
      <c r="Q19" s="1105" t="e">
        <f t="shared" ref="Q19:Q38" si="14">I19/H19-1</f>
        <v>#DIV/0!</v>
      </c>
      <c r="R19" s="1106" t="e">
        <f t="shared" ref="R19:R38" si="15">(I19/F19)^(1/3)-1</f>
        <v>#DIV/0!</v>
      </c>
      <c r="S19" s="1107" t="e">
        <f t="shared" ref="S19:S38" si="16">K19/I19-1</f>
        <v>#DIV/0!</v>
      </c>
      <c r="T19" s="1107" t="e">
        <f t="shared" ref="T19:T38" si="17">L19/J19-1</f>
        <v>#DIV/0!</v>
      </c>
      <c r="U19" s="1107" t="e">
        <f t="shared" ref="U19:U38" si="18">M19/K19-1</f>
        <v>#DIV/0!</v>
      </c>
      <c r="V19" s="1108" t="e">
        <f t="shared" ref="V19:V38" si="19">(U19/S19)^(1/2)-1</f>
        <v>#DIV/0!</v>
      </c>
      <c r="W19" s="1108" t="e">
        <f t="shared" ref="W19:W38" si="20">(U19/I19)^(1/3)-1</f>
        <v>#DIV/0!</v>
      </c>
      <c r="X19" s="660" t="s">
        <v>1503</v>
      </c>
      <c r="Y19" s="660"/>
      <c r="Z19" s="677" t="s">
        <v>1368</v>
      </c>
      <c r="AA19" s="660"/>
      <c r="AB19" s="660" t="s">
        <v>1503</v>
      </c>
      <c r="AC19" s="1080" t="str">
        <f t="shared" ref="AC19:AC38" si="21">D19</f>
        <v>Comp 10</v>
      </c>
      <c r="AD19" s="1098" t="e">
        <f t="shared" ref="AD19:AD38" si="22">V19</f>
        <v>#DIV/0!</v>
      </c>
      <c r="AE19" s="1082"/>
      <c r="AF19" s="1082"/>
      <c r="AG19" s="660" t="s">
        <v>1503</v>
      </c>
      <c r="AH19" s="660" t="s">
        <v>1503</v>
      </c>
    </row>
    <row r="20" spans="3:34" s="436" customFormat="1" ht="11" outlineLevel="1" thickBot="1">
      <c r="C20" s="1087">
        <f t="shared" si="11"/>
        <v>11</v>
      </c>
      <c r="D20" s="1100" t="str">
        <f>'GPC Data'!E304</f>
        <v>Comp 11</v>
      </c>
      <c r="E20" s="1101">
        <f>'GPC Data'!P32</f>
        <v>0</v>
      </c>
      <c r="F20" s="1102">
        <f>'GPC Data'!F134</f>
        <v>0</v>
      </c>
      <c r="G20" s="1102">
        <f>'GPC Data'!G134</f>
        <v>0</v>
      </c>
      <c r="H20" s="1102">
        <f>'GPC Data'!H134</f>
        <v>0</v>
      </c>
      <c r="I20" s="1102">
        <f>'GPC Data'!I134</f>
        <v>0</v>
      </c>
      <c r="J20" s="1102">
        <f>'GPC Data'!J134</f>
        <v>0</v>
      </c>
      <c r="K20" s="1103">
        <f>'GPC Data'!K134</f>
        <v>0</v>
      </c>
      <c r="L20" s="1103">
        <f>'GPC Data'!L134</f>
        <v>0</v>
      </c>
      <c r="M20" s="1103">
        <f>'GPC Data'!M134</f>
        <v>0</v>
      </c>
      <c r="N20" s="1104"/>
      <c r="O20" s="1105" t="e">
        <f t="shared" si="12"/>
        <v>#DIV/0!</v>
      </c>
      <c r="P20" s="1105" t="e">
        <f t="shared" si="13"/>
        <v>#DIV/0!</v>
      </c>
      <c r="Q20" s="1105" t="e">
        <f t="shared" si="14"/>
        <v>#DIV/0!</v>
      </c>
      <c r="R20" s="1106" t="e">
        <f t="shared" si="15"/>
        <v>#DIV/0!</v>
      </c>
      <c r="S20" s="1107" t="e">
        <f t="shared" si="16"/>
        <v>#DIV/0!</v>
      </c>
      <c r="T20" s="1107" t="e">
        <f t="shared" si="17"/>
        <v>#DIV/0!</v>
      </c>
      <c r="U20" s="1107" t="e">
        <f t="shared" si="18"/>
        <v>#DIV/0!</v>
      </c>
      <c r="V20" s="1108" t="e">
        <f t="shared" si="19"/>
        <v>#DIV/0!</v>
      </c>
      <c r="W20" s="1108" t="e">
        <f t="shared" si="20"/>
        <v>#DIV/0!</v>
      </c>
      <c r="X20" s="660" t="s">
        <v>1503</v>
      </c>
      <c r="Y20" s="660"/>
      <c r="Z20" s="677" t="s">
        <v>106</v>
      </c>
      <c r="AA20" s="660"/>
      <c r="AB20" s="660" t="s">
        <v>1503</v>
      </c>
      <c r="AC20" s="1080" t="str">
        <f t="shared" si="21"/>
        <v>Comp 11</v>
      </c>
      <c r="AD20" s="1098" t="e">
        <f t="shared" si="22"/>
        <v>#DIV/0!</v>
      </c>
      <c r="AE20" s="1082"/>
      <c r="AF20" s="1082"/>
      <c r="AG20" s="660" t="s">
        <v>1503</v>
      </c>
      <c r="AH20" s="660" t="s">
        <v>1503</v>
      </c>
    </row>
    <row r="21" spans="3:34" s="436" customFormat="1" ht="11" outlineLevel="1" thickBot="1">
      <c r="C21" s="1087">
        <f t="shared" si="11"/>
        <v>12</v>
      </c>
      <c r="D21" s="1100" t="str">
        <f>'GPC Data'!E305</f>
        <v>Comp 12</v>
      </c>
      <c r="E21" s="1101">
        <f>'GPC Data'!P33</f>
        <v>0</v>
      </c>
      <c r="F21" s="1102">
        <f>'GPC Data'!F135</f>
        <v>0</v>
      </c>
      <c r="G21" s="1102">
        <f>'GPC Data'!G135</f>
        <v>0</v>
      </c>
      <c r="H21" s="1102">
        <f>'GPC Data'!H135</f>
        <v>0</v>
      </c>
      <c r="I21" s="1102">
        <f>'GPC Data'!I135</f>
        <v>0</v>
      </c>
      <c r="J21" s="1102">
        <f>'GPC Data'!J135</f>
        <v>0</v>
      </c>
      <c r="K21" s="1103">
        <f>'GPC Data'!K135</f>
        <v>0</v>
      </c>
      <c r="L21" s="1103">
        <f>'GPC Data'!L135</f>
        <v>0</v>
      </c>
      <c r="M21" s="1103">
        <f>'GPC Data'!M135</f>
        <v>0</v>
      </c>
      <c r="N21" s="1104"/>
      <c r="O21" s="1105" t="e">
        <f t="shared" si="12"/>
        <v>#DIV/0!</v>
      </c>
      <c r="P21" s="1105" t="e">
        <f t="shared" si="13"/>
        <v>#DIV/0!</v>
      </c>
      <c r="Q21" s="1105" t="e">
        <f t="shared" si="14"/>
        <v>#DIV/0!</v>
      </c>
      <c r="R21" s="1106" t="e">
        <f t="shared" si="15"/>
        <v>#DIV/0!</v>
      </c>
      <c r="S21" s="1107" t="e">
        <f t="shared" si="16"/>
        <v>#DIV/0!</v>
      </c>
      <c r="T21" s="1107" t="e">
        <f t="shared" si="17"/>
        <v>#DIV/0!</v>
      </c>
      <c r="U21" s="1107" t="e">
        <f t="shared" si="18"/>
        <v>#DIV/0!</v>
      </c>
      <c r="V21" s="1108" t="e">
        <f t="shared" si="19"/>
        <v>#DIV/0!</v>
      </c>
      <c r="W21" s="1108" t="e">
        <f t="shared" si="20"/>
        <v>#DIV/0!</v>
      </c>
      <c r="X21" s="660" t="s">
        <v>1503</v>
      </c>
      <c r="Y21" s="660"/>
      <c r="Z21" s="677" t="s">
        <v>106</v>
      </c>
      <c r="AA21" s="660"/>
      <c r="AB21" s="660" t="s">
        <v>1503</v>
      </c>
      <c r="AC21" s="1080" t="str">
        <f t="shared" si="21"/>
        <v>Comp 12</v>
      </c>
      <c r="AD21" s="1098" t="e">
        <f t="shared" si="22"/>
        <v>#DIV/0!</v>
      </c>
      <c r="AE21" s="1082"/>
      <c r="AF21" s="1082"/>
      <c r="AG21" s="660" t="s">
        <v>1503</v>
      </c>
      <c r="AH21" s="660" t="s">
        <v>1503</v>
      </c>
    </row>
    <row r="22" spans="3:34" s="436" customFormat="1" ht="11" outlineLevel="1" thickBot="1">
      <c r="C22" s="1087">
        <f t="shared" si="11"/>
        <v>13</v>
      </c>
      <c r="D22" s="1100" t="str">
        <f>'GPC Data'!E306</f>
        <v>Comp 13</v>
      </c>
      <c r="E22" s="1101">
        <f>'GPC Data'!P34</f>
        <v>0</v>
      </c>
      <c r="F22" s="1102">
        <f>'GPC Data'!F136</f>
        <v>0</v>
      </c>
      <c r="G22" s="1102">
        <f>'GPC Data'!G136</f>
        <v>0</v>
      </c>
      <c r="H22" s="1102">
        <f>'GPC Data'!H136</f>
        <v>0</v>
      </c>
      <c r="I22" s="1102">
        <f>'GPC Data'!I136</f>
        <v>0</v>
      </c>
      <c r="J22" s="1102">
        <f>'GPC Data'!J136</f>
        <v>0</v>
      </c>
      <c r="K22" s="1103">
        <f>'GPC Data'!K136</f>
        <v>0</v>
      </c>
      <c r="L22" s="1103">
        <f>'GPC Data'!L136</f>
        <v>0</v>
      </c>
      <c r="M22" s="1103">
        <f>'GPC Data'!M136</f>
        <v>0</v>
      </c>
      <c r="N22" s="1104"/>
      <c r="O22" s="1105" t="e">
        <f t="shared" si="12"/>
        <v>#DIV/0!</v>
      </c>
      <c r="P22" s="1105" t="e">
        <f t="shared" si="13"/>
        <v>#DIV/0!</v>
      </c>
      <c r="Q22" s="1105" t="e">
        <f t="shared" si="14"/>
        <v>#DIV/0!</v>
      </c>
      <c r="R22" s="1106" t="e">
        <f t="shared" si="15"/>
        <v>#DIV/0!</v>
      </c>
      <c r="S22" s="1107" t="e">
        <f t="shared" si="16"/>
        <v>#DIV/0!</v>
      </c>
      <c r="T22" s="1107" t="e">
        <f t="shared" si="17"/>
        <v>#DIV/0!</v>
      </c>
      <c r="U22" s="1107" t="e">
        <f t="shared" si="18"/>
        <v>#DIV/0!</v>
      </c>
      <c r="V22" s="1108" t="e">
        <f t="shared" si="19"/>
        <v>#DIV/0!</v>
      </c>
      <c r="W22" s="1108" t="e">
        <f t="shared" si="20"/>
        <v>#DIV/0!</v>
      </c>
      <c r="X22" s="660" t="s">
        <v>1503</v>
      </c>
      <c r="Y22" s="660"/>
      <c r="Z22" s="677" t="s">
        <v>106</v>
      </c>
      <c r="AA22" s="660"/>
      <c r="AB22" s="660" t="s">
        <v>1503</v>
      </c>
      <c r="AC22" s="1080" t="str">
        <f t="shared" si="21"/>
        <v>Comp 13</v>
      </c>
      <c r="AD22" s="1098" t="e">
        <f t="shared" si="22"/>
        <v>#DIV/0!</v>
      </c>
      <c r="AE22" s="1082"/>
      <c r="AF22" s="1082"/>
      <c r="AG22" s="660" t="s">
        <v>1503</v>
      </c>
      <c r="AH22" s="660" t="s">
        <v>1503</v>
      </c>
    </row>
    <row r="23" spans="3:34" s="436" customFormat="1" ht="11" outlineLevel="1" thickBot="1">
      <c r="C23" s="1087">
        <f t="shared" si="11"/>
        <v>14</v>
      </c>
      <c r="D23" s="1100" t="str">
        <f>'GPC Data'!E307</f>
        <v>Comp 14</v>
      </c>
      <c r="E23" s="1101">
        <f>'GPC Data'!P35</f>
        <v>0</v>
      </c>
      <c r="F23" s="1102">
        <f>'GPC Data'!F137</f>
        <v>0</v>
      </c>
      <c r="G23" s="1102">
        <f>'GPC Data'!G137</f>
        <v>0</v>
      </c>
      <c r="H23" s="1102">
        <f>'GPC Data'!H137</f>
        <v>0</v>
      </c>
      <c r="I23" s="1102">
        <f>'GPC Data'!I137</f>
        <v>0</v>
      </c>
      <c r="J23" s="1102">
        <f>'GPC Data'!J137</f>
        <v>0</v>
      </c>
      <c r="K23" s="1103">
        <f>'GPC Data'!K137</f>
        <v>0</v>
      </c>
      <c r="L23" s="1103">
        <f>'GPC Data'!L137</f>
        <v>0</v>
      </c>
      <c r="M23" s="1103">
        <f>'GPC Data'!M137</f>
        <v>0</v>
      </c>
      <c r="N23" s="1104"/>
      <c r="O23" s="1105" t="e">
        <f t="shared" si="12"/>
        <v>#DIV/0!</v>
      </c>
      <c r="P23" s="1105" t="e">
        <f t="shared" si="13"/>
        <v>#DIV/0!</v>
      </c>
      <c r="Q23" s="1105" t="e">
        <f t="shared" si="14"/>
        <v>#DIV/0!</v>
      </c>
      <c r="R23" s="1106" t="e">
        <f t="shared" si="15"/>
        <v>#DIV/0!</v>
      </c>
      <c r="S23" s="1107" t="e">
        <f t="shared" si="16"/>
        <v>#DIV/0!</v>
      </c>
      <c r="T23" s="1107" t="e">
        <f t="shared" si="17"/>
        <v>#DIV/0!</v>
      </c>
      <c r="U23" s="1107" t="e">
        <f t="shared" si="18"/>
        <v>#DIV/0!</v>
      </c>
      <c r="V23" s="1108" t="e">
        <f t="shared" si="19"/>
        <v>#DIV/0!</v>
      </c>
      <c r="W23" s="1108" t="e">
        <f t="shared" si="20"/>
        <v>#DIV/0!</v>
      </c>
      <c r="X23" s="660" t="s">
        <v>1503</v>
      </c>
      <c r="Y23" s="660"/>
      <c r="Z23" s="677" t="s">
        <v>106</v>
      </c>
      <c r="AA23" s="660"/>
      <c r="AB23" s="660" t="s">
        <v>1503</v>
      </c>
      <c r="AC23" s="1080" t="str">
        <f t="shared" si="21"/>
        <v>Comp 14</v>
      </c>
      <c r="AD23" s="1098" t="e">
        <f t="shared" si="22"/>
        <v>#DIV/0!</v>
      </c>
      <c r="AE23" s="1082"/>
      <c r="AF23" s="1082"/>
      <c r="AG23" s="660" t="s">
        <v>1503</v>
      </c>
      <c r="AH23" s="660" t="s">
        <v>1503</v>
      </c>
    </row>
    <row r="24" spans="3:34" s="436" customFormat="1" ht="11" outlineLevel="1" thickBot="1">
      <c r="C24" s="1087">
        <f t="shared" si="11"/>
        <v>15</v>
      </c>
      <c r="D24" s="1100" t="str">
        <f>'GPC Data'!E308</f>
        <v>Comp 15</v>
      </c>
      <c r="E24" s="1101">
        <f>'GPC Data'!P36</f>
        <v>0</v>
      </c>
      <c r="F24" s="1102">
        <f>'GPC Data'!F138</f>
        <v>0</v>
      </c>
      <c r="G24" s="1102">
        <f>'GPC Data'!G138</f>
        <v>0</v>
      </c>
      <c r="H24" s="1102">
        <f>'GPC Data'!H138</f>
        <v>0</v>
      </c>
      <c r="I24" s="1102">
        <f>'GPC Data'!I138</f>
        <v>0</v>
      </c>
      <c r="J24" s="1102">
        <f>'GPC Data'!J138</f>
        <v>0</v>
      </c>
      <c r="K24" s="1103">
        <f>'GPC Data'!K138</f>
        <v>0</v>
      </c>
      <c r="L24" s="1103">
        <f>'GPC Data'!L138</f>
        <v>0</v>
      </c>
      <c r="M24" s="1103">
        <f>'GPC Data'!M138</f>
        <v>0</v>
      </c>
      <c r="N24" s="1104"/>
      <c r="O24" s="1105" t="e">
        <f t="shared" si="12"/>
        <v>#DIV/0!</v>
      </c>
      <c r="P24" s="1105" t="e">
        <f t="shared" si="13"/>
        <v>#DIV/0!</v>
      </c>
      <c r="Q24" s="1105" t="e">
        <f t="shared" si="14"/>
        <v>#DIV/0!</v>
      </c>
      <c r="R24" s="1106" t="e">
        <f t="shared" si="15"/>
        <v>#DIV/0!</v>
      </c>
      <c r="S24" s="1107" t="e">
        <f t="shared" si="16"/>
        <v>#DIV/0!</v>
      </c>
      <c r="T24" s="1107" t="e">
        <f t="shared" si="17"/>
        <v>#DIV/0!</v>
      </c>
      <c r="U24" s="1107" t="e">
        <f t="shared" si="18"/>
        <v>#DIV/0!</v>
      </c>
      <c r="V24" s="1108" t="e">
        <f t="shared" si="19"/>
        <v>#DIV/0!</v>
      </c>
      <c r="W24" s="1108" t="e">
        <f t="shared" si="20"/>
        <v>#DIV/0!</v>
      </c>
      <c r="X24" s="660" t="s">
        <v>1503</v>
      </c>
      <c r="Y24" s="660"/>
      <c r="Z24" s="677" t="s">
        <v>106</v>
      </c>
      <c r="AA24" s="660"/>
      <c r="AB24" s="660" t="s">
        <v>1503</v>
      </c>
      <c r="AC24" s="1080" t="str">
        <f t="shared" si="21"/>
        <v>Comp 15</v>
      </c>
      <c r="AD24" s="1098" t="e">
        <f t="shared" si="22"/>
        <v>#DIV/0!</v>
      </c>
      <c r="AE24" s="1082"/>
      <c r="AF24" s="1082"/>
      <c r="AG24" s="660" t="s">
        <v>1503</v>
      </c>
      <c r="AH24" s="660" t="s">
        <v>1503</v>
      </c>
    </row>
    <row r="25" spans="3:34" s="436" customFormat="1" ht="11" outlineLevel="1" thickBot="1">
      <c r="C25" s="1087">
        <f t="shared" si="11"/>
        <v>16</v>
      </c>
      <c r="D25" s="1100" t="str">
        <f>'GPC Data'!E309</f>
        <v>Comp 16</v>
      </c>
      <c r="E25" s="1101">
        <f>'GPC Data'!P37</f>
        <v>0</v>
      </c>
      <c r="F25" s="1102">
        <f>'GPC Data'!F139</f>
        <v>0</v>
      </c>
      <c r="G25" s="1102">
        <f>'GPC Data'!G139</f>
        <v>0</v>
      </c>
      <c r="H25" s="1102">
        <f>'GPC Data'!H139</f>
        <v>0</v>
      </c>
      <c r="I25" s="1102">
        <f>'GPC Data'!I139</f>
        <v>0</v>
      </c>
      <c r="J25" s="1102">
        <f>'GPC Data'!J139</f>
        <v>0</v>
      </c>
      <c r="K25" s="1103">
        <f>'GPC Data'!K139</f>
        <v>0</v>
      </c>
      <c r="L25" s="1103">
        <f>'GPC Data'!L139</f>
        <v>0</v>
      </c>
      <c r="M25" s="1103">
        <f>'GPC Data'!M139</f>
        <v>0</v>
      </c>
      <c r="N25" s="1104"/>
      <c r="O25" s="1105" t="e">
        <f t="shared" si="12"/>
        <v>#DIV/0!</v>
      </c>
      <c r="P25" s="1105" t="e">
        <f t="shared" si="13"/>
        <v>#DIV/0!</v>
      </c>
      <c r="Q25" s="1105" t="e">
        <f t="shared" si="14"/>
        <v>#DIV/0!</v>
      </c>
      <c r="R25" s="1106" t="e">
        <f t="shared" si="15"/>
        <v>#DIV/0!</v>
      </c>
      <c r="S25" s="1107" t="e">
        <f t="shared" si="16"/>
        <v>#DIV/0!</v>
      </c>
      <c r="T25" s="1107" t="e">
        <f t="shared" si="17"/>
        <v>#DIV/0!</v>
      </c>
      <c r="U25" s="1107" t="e">
        <f t="shared" si="18"/>
        <v>#DIV/0!</v>
      </c>
      <c r="V25" s="1108" t="e">
        <f t="shared" si="19"/>
        <v>#DIV/0!</v>
      </c>
      <c r="W25" s="1108" t="e">
        <f t="shared" si="20"/>
        <v>#DIV/0!</v>
      </c>
      <c r="X25" s="660" t="s">
        <v>1503</v>
      </c>
      <c r="Y25" s="660"/>
      <c r="Z25" s="677" t="s">
        <v>106</v>
      </c>
      <c r="AA25" s="660"/>
      <c r="AB25" s="660" t="s">
        <v>1503</v>
      </c>
      <c r="AC25" s="1080" t="str">
        <f t="shared" si="21"/>
        <v>Comp 16</v>
      </c>
      <c r="AD25" s="1098" t="e">
        <f t="shared" si="22"/>
        <v>#DIV/0!</v>
      </c>
      <c r="AE25" s="1082"/>
      <c r="AF25" s="1082"/>
      <c r="AG25" s="660" t="s">
        <v>1503</v>
      </c>
      <c r="AH25" s="660" t="s">
        <v>1503</v>
      </c>
    </row>
    <row r="26" spans="3:34" s="436" customFormat="1" ht="11" outlineLevel="1" thickBot="1">
      <c r="C26" s="1087">
        <f t="shared" si="11"/>
        <v>17</v>
      </c>
      <c r="D26" s="1100" t="str">
        <f>'GPC Data'!E310</f>
        <v>Comp 17</v>
      </c>
      <c r="E26" s="1101">
        <f>'GPC Data'!P38</f>
        <v>0</v>
      </c>
      <c r="F26" s="1102">
        <f>'GPC Data'!F140</f>
        <v>0</v>
      </c>
      <c r="G26" s="1102">
        <f>'GPC Data'!G140</f>
        <v>0</v>
      </c>
      <c r="H26" s="1102">
        <f>'GPC Data'!H140</f>
        <v>0</v>
      </c>
      <c r="I26" s="1102">
        <f>'GPC Data'!I140</f>
        <v>0</v>
      </c>
      <c r="J26" s="1102">
        <f>'GPC Data'!J140</f>
        <v>0</v>
      </c>
      <c r="K26" s="1103">
        <f>'GPC Data'!K140</f>
        <v>0</v>
      </c>
      <c r="L26" s="1103">
        <f>'GPC Data'!L140</f>
        <v>0</v>
      </c>
      <c r="M26" s="1103">
        <f>'GPC Data'!M140</f>
        <v>0</v>
      </c>
      <c r="N26" s="1104"/>
      <c r="O26" s="1105" t="e">
        <f t="shared" si="12"/>
        <v>#DIV/0!</v>
      </c>
      <c r="P26" s="1105" t="e">
        <f t="shared" si="13"/>
        <v>#DIV/0!</v>
      </c>
      <c r="Q26" s="1105" t="e">
        <f t="shared" si="14"/>
        <v>#DIV/0!</v>
      </c>
      <c r="R26" s="1106" t="e">
        <f t="shared" si="15"/>
        <v>#DIV/0!</v>
      </c>
      <c r="S26" s="1107" t="e">
        <f t="shared" si="16"/>
        <v>#DIV/0!</v>
      </c>
      <c r="T26" s="1107" t="e">
        <f t="shared" si="17"/>
        <v>#DIV/0!</v>
      </c>
      <c r="U26" s="1107" t="e">
        <f t="shared" si="18"/>
        <v>#DIV/0!</v>
      </c>
      <c r="V26" s="1108" t="e">
        <f t="shared" si="19"/>
        <v>#DIV/0!</v>
      </c>
      <c r="W26" s="1108" t="e">
        <f t="shared" si="20"/>
        <v>#DIV/0!</v>
      </c>
      <c r="X26" s="660" t="s">
        <v>1503</v>
      </c>
      <c r="Y26" s="660"/>
      <c r="Z26" s="677" t="s">
        <v>106</v>
      </c>
      <c r="AA26" s="660"/>
      <c r="AB26" s="660" t="s">
        <v>1503</v>
      </c>
      <c r="AC26" s="1080" t="str">
        <f t="shared" si="21"/>
        <v>Comp 17</v>
      </c>
      <c r="AD26" s="1098" t="e">
        <f t="shared" si="22"/>
        <v>#DIV/0!</v>
      </c>
      <c r="AE26" s="1082"/>
      <c r="AF26" s="1082"/>
      <c r="AG26" s="660" t="s">
        <v>1503</v>
      </c>
      <c r="AH26" s="660" t="s">
        <v>1503</v>
      </c>
    </row>
    <row r="27" spans="3:34" s="436" customFormat="1" ht="11" outlineLevel="1" thickBot="1">
      <c r="C27" s="1087">
        <f t="shared" si="11"/>
        <v>18</v>
      </c>
      <c r="D27" s="1100" t="str">
        <f>'GPC Data'!E311</f>
        <v>Comp 18</v>
      </c>
      <c r="E27" s="1101">
        <f>'GPC Data'!P39</f>
        <v>0</v>
      </c>
      <c r="F27" s="1102">
        <f>'GPC Data'!F141</f>
        <v>0</v>
      </c>
      <c r="G27" s="1102">
        <f>'GPC Data'!G141</f>
        <v>0</v>
      </c>
      <c r="H27" s="1102">
        <f>'GPC Data'!H141</f>
        <v>0</v>
      </c>
      <c r="I27" s="1102">
        <f>'GPC Data'!I141</f>
        <v>0</v>
      </c>
      <c r="J27" s="1102">
        <f>'GPC Data'!J141</f>
        <v>0</v>
      </c>
      <c r="K27" s="1103">
        <f>'GPC Data'!K141</f>
        <v>0</v>
      </c>
      <c r="L27" s="1103">
        <f>'GPC Data'!L141</f>
        <v>0</v>
      </c>
      <c r="M27" s="1103">
        <f>'GPC Data'!M141</f>
        <v>0</v>
      </c>
      <c r="N27" s="1104"/>
      <c r="O27" s="1105" t="e">
        <f t="shared" si="12"/>
        <v>#DIV/0!</v>
      </c>
      <c r="P27" s="1105" t="e">
        <f t="shared" si="13"/>
        <v>#DIV/0!</v>
      </c>
      <c r="Q27" s="1105" t="e">
        <f t="shared" si="14"/>
        <v>#DIV/0!</v>
      </c>
      <c r="R27" s="1106" t="e">
        <f t="shared" si="15"/>
        <v>#DIV/0!</v>
      </c>
      <c r="S27" s="1107" t="e">
        <f t="shared" si="16"/>
        <v>#DIV/0!</v>
      </c>
      <c r="T27" s="1107" t="e">
        <f t="shared" si="17"/>
        <v>#DIV/0!</v>
      </c>
      <c r="U27" s="1107" t="e">
        <f t="shared" si="18"/>
        <v>#DIV/0!</v>
      </c>
      <c r="V27" s="1108" t="e">
        <f t="shared" si="19"/>
        <v>#DIV/0!</v>
      </c>
      <c r="W27" s="1108" t="e">
        <f t="shared" si="20"/>
        <v>#DIV/0!</v>
      </c>
      <c r="X27" s="660" t="s">
        <v>1503</v>
      </c>
      <c r="Y27" s="660"/>
      <c r="Z27" s="677" t="s">
        <v>106</v>
      </c>
      <c r="AA27" s="660"/>
      <c r="AB27" s="660" t="s">
        <v>1503</v>
      </c>
      <c r="AC27" s="1080" t="str">
        <f t="shared" si="21"/>
        <v>Comp 18</v>
      </c>
      <c r="AD27" s="1098" t="e">
        <f t="shared" si="22"/>
        <v>#DIV/0!</v>
      </c>
      <c r="AE27" s="1082"/>
      <c r="AF27" s="1082"/>
      <c r="AG27" s="660" t="s">
        <v>1503</v>
      </c>
      <c r="AH27" s="660" t="s">
        <v>1503</v>
      </c>
    </row>
    <row r="28" spans="3:34" s="436" customFormat="1" ht="11" outlineLevel="1" thickBot="1">
      <c r="C28" s="1087">
        <f t="shared" si="11"/>
        <v>19</v>
      </c>
      <c r="D28" s="1100" t="str">
        <f>'GPC Data'!E312</f>
        <v>Comp 19</v>
      </c>
      <c r="E28" s="1101">
        <f>'GPC Data'!P40</f>
        <v>0</v>
      </c>
      <c r="F28" s="1102">
        <f>'GPC Data'!F142</f>
        <v>0</v>
      </c>
      <c r="G28" s="1102">
        <f>'GPC Data'!G142</f>
        <v>0</v>
      </c>
      <c r="H28" s="1102">
        <f>'GPC Data'!H142</f>
        <v>0</v>
      </c>
      <c r="I28" s="1102">
        <f>'GPC Data'!I142</f>
        <v>0</v>
      </c>
      <c r="J28" s="1102">
        <f>'GPC Data'!J142</f>
        <v>0</v>
      </c>
      <c r="K28" s="1103">
        <f>'GPC Data'!K142</f>
        <v>0</v>
      </c>
      <c r="L28" s="1103">
        <f>'GPC Data'!L142</f>
        <v>0</v>
      </c>
      <c r="M28" s="1103">
        <f>'GPC Data'!M142</f>
        <v>0</v>
      </c>
      <c r="N28" s="1104"/>
      <c r="O28" s="1105" t="e">
        <f t="shared" si="12"/>
        <v>#DIV/0!</v>
      </c>
      <c r="P28" s="1105" t="e">
        <f t="shared" si="13"/>
        <v>#DIV/0!</v>
      </c>
      <c r="Q28" s="1105" t="e">
        <f t="shared" si="14"/>
        <v>#DIV/0!</v>
      </c>
      <c r="R28" s="1106" t="e">
        <f t="shared" si="15"/>
        <v>#DIV/0!</v>
      </c>
      <c r="S28" s="1107" t="e">
        <f t="shared" si="16"/>
        <v>#DIV/0!</v>
      </c>
      <c r="T28" s="1107" t="e">
        <f t="shared" si="17"/>
        <v>#DIV/0!</v>
      </c>
      <c r="U28" s="1107" t="e">
        <f t="shared" si="18"/>
        <v>#DIV/0!</v>
      </c>
      <c r="V28" s="1108" t="e">
        <f t="shared" si="19"/>
        <v>#DIV/0!</v>
      </c>
      <c r="W28" s="1108" t="e">
        <f t="shared" si="20"/>
        <v>#DIV/0!</v>
      </c>
      <c r="X28" s="660" t="s">
        <v>1503</v>
      </c>
      <c r="Y28" s="660"/>
      <c r="Z28" s="677" t="s">
        <v>106</v>
      </c>
      <c r="AA28" s="660"/>
      <c r="AB28" s="660" t="s">
        <v>1503</v>
      </c>
      <c r="AC28" s="1080" t="str">
        <f t="shared" si="21"/>
        <v>Comp 19</v>
      </c>
      <c r="AD28" s="1098" t="e">
        <f t="shared" si="22"/>
        <v>#DIV/0!</v>
      </c>
      <c r="AE28" s="1082"/>
      <c r="AF28" s="1082"/>
      <c r="AG28" s="660" t="s">
        <v>1503</v>
      </c>
      <c r="AH28" s="660" t="s">
        <v>1503</v>
      </c>
    </row>
    <row r="29" spans="3:34" s="436" customFormat="1" ht="11" outlineLevel="1" thickBot="1">
      <c r="C29" s="1087">
        <f t="shared" si="11"/>
        <v>20</v>
      </c>
      <c r="D29" s="1100" t="str">
        <f>'GPC Data'!E313</f>
        <v>Comp 20</v>
      </c>
      <c r="E29" s="1101">
        <f>'GPC Data'!P41</f>
        <v>0</v>
      </c>
      <c r="F29" s="1102">
        <f>'GPC Data'!F143</f>
        <v>0</v>
      </c>
      <c r="G29" s="1102">
        <f>'GPC Data'!G143</f>
        <v>0</v>
      </c>
      <c r="H29" s="1102">
        <f>'GPC Data'!H143</f>
        <v>0</v>
      </c>
      <c r="I29" s="1102">
        <f>'GPC Data'!I143</f>
        <v>0</v>
      </c>
      <c r="J29" s="1102">
        <f>'GPC Data'!J143</f>
        <v>0</v>
      </c>
      <c r="K29" s="1103">
        <f>'GPC Data'!K143</f>
        <v>0</v>
      </c>
      <c r="L29" s="1103">
        <f>'GPC Data'!L143</f>
        <v>0</v>
      </c>
      <c r="M29" s="1103">
        <f>'GPC Data'!M143</f>
        <v>0</v>
      </c>
      <c r="N29" s="1104"/>
      <c r="O29" s="1105" t="e">
        <f t="shared" si="12"/>
        <v>#DIV/0!</v>
      </c>
      <c r="P29" s="1105" t="e">
        <f t="shared" si="13"/>
        <v>#DIV/0!</v>
      </c>
      <c r="Q29" s="1105" t="e">
        <f t="shared" si="14"/>
        <v>#DIV/0!</v>
      </c>
      <c r="R29" s="1106" t="e">
        <f t="shared" si="15"/>
        <v>#DIV/0!</v>
      </c>
      <c r="S29" s="1107" t="e">
        <f t="shared" si="16"/>
        <v>#DIV/0!</v>
      </c>
      <c r="T29" s="1107" t="e">
        <f t="shared" si="17"/>
        <v>#DIV/0!</v>
      </c>
      <c r="U29" s="1107" t="e">
        <f t="shared" si="18"/>
        <v>#DIV/0!</v>
      </c>
      <c r="V29" s="1108" t="e">
        <f t="shared" si="19"/>
        <v>#DIV/0!</v>
      </c>
      <c r="W29" s="1108" t="e">
        <f t="shared" si="20"/>
        <v>#DIV/0!</v>
      </c>
      <c r="X29" s="660" t="s">
        <v>1503</v>
      </c>
      <c r="Y29" s="660"/>
      <c r="Z29" s="677" t="s">
        <v>106</v>
      </c>
      <c r="AA29" s="660"/>
      <c r="AB29" s="660" t="s">
        <v>1503</v>
      </c>
      <c r="AC29" s="1080" t="str">
        <f t="shared" si="21"/>
        <v>Comp 20</v>
      </c>
      <c r="AD29" s="1098" t="e">
        <f t="shared" si="22"/>
        <v>#DIV/0!</v>
      </c>
      <c r="AE29" s="1082"/>
      <c r="AF29" s="1082"/>
      <c r="AG29" s="660" t="s">
        <v>1503</v>
      </c>
      <c r="AH29" s="660" t="s">
        <v>1503</v>
      </c>
    </row>
    <row r="30" spans="3:34" s="436" customFormat="1" ht="11" outlineLevel="1" thickBot="1">
      <c r="C30" s="1087">
        <f t="shared" si="11"/>
        <v>21</v>
      </c>
      <c r="D30" s="1100" t="str">
        <f>'GPC Data'!E314</f>
        <v>Comp 21</v>
      </c>
      <c r="E30" s="1101">
        <f>'GPC Data'!P42</f>
        <v>0</v>
      </c>
      <c r="F30" s="1102">
        <f>'GPC Data'!F144</f>
        <v>0</v>
      </c>
      <c r="G30" s="1102">
        <f>'GPC Data'!G144</f>
        <v>0</v>
      </c>
      <c r="H30" s="1102">
        <f>'GPC Data'!H144</f>
        <v>0</v>
      </c>
      <c r="I30" s="1102">
        <f>'GPC Data'!I144</f>
        <v>0</v>
      </c>
      <c r="J30" s="1102">
        <f>'GPC Data'!J144</f>
        <v>0</v>
      </c>
      <c r="K30" s="1103">
        <f>'GPC Data'!K144</f>
        <v>0</v>
      </c>
      <c r="L30" s="1103">
        <f>'GPC Data'!L144</f>
        <v>0</v>
      </c>
      <c r="M30" s="1103">
        <f>'GPC Data'!M144</f>
        <v>0</v>
      </c>
      <c r="N30" s="1104"/>
      <c r="O30" s="1105" t="e">
        <f t="shared" si="12"/>
        <v>#DIV/0!</v>
      </c>
      <c r="P30" s="1105" t="e">
        <f t="shared" si="13"/>
        <v>#DIV/0!</v>
      </c>
      <c r="Q30" s="1105" t="e">
        <f t="shared" si="14"/>
        <v>#DIV/0!</v>
      </c>
      <c r="R30" s="1106" t="e">
        <f t="shared" si="15"/>
        <v>#DIV/0!</v>
      </c>
      <c r="S30" s="1107" t="e">
        <f t="shared" si="16"/>
        <v>#DIV/0!</v>
      </c>
      <c r="T30" s="1107" t="e">
        <f t="shared" si="17"/>
        <v>#DIV/0!</v>
      </c>
      <c r="U30" s="1107" t="e">
        <f t="shared" si="18"/>
        <v>#DIV/0!</v>
      </c>
      <c r="V30" s="1108" t="e">
        <f t="shared" si="19"/>
        <v>#DIV/0!</v>
      </c>
      <c r="W30" s="1108" t="e">
        <f t="shared" si="20"/>
        <v>#DIV/0!</v>
      </c>
      <c r="X30" s="660" t="s">
        <v>1503</v>
      </c>
      <c r="Y30" s="660"/>
      <c r="Z30" s="677" t="s">
        <v>106</v>
      </c>
      <c r="AA30" s="660"/>
      <c r="AB30" s="660" t="s">
        <v>1503</v>
      </c>
      <c r="AC30" s="1080" t="str">
        <f t="shared" si="21"/>
        <v>Comp 21</v>
      </c>
      <c r="AD30" s="1098" t="e">
        <f t="shared" si="22"/>
        <v>#DIV/0!</v>
      </c>
      <c r="AE30" s="1082"/>
      <c r="AF30" s="1082"/>
      <c r="AG30" s="660" t="s">
        <v>1503</v>
      </c>
      <c r="AH30" s="660" t="s">
        <v>1503</v>
      </c>
    </row>
    <row r="31" spans="3:34" s="436" customFormat="1" ht="11" outlineLevel="1" thickBot="1">
      <c r="C31" s="1087">
        <f t="shared" si="11"/>
        <v>22</v>
      </c>
      <c r="D31" s="1100" t="str">
        <f>'GPC Data'!E315</f>
        <v>Comp 22</v>
      </c>
      <c r="E31" s="1101">
        <f>'GPC Data'!P43</f>
        <v>0</v>
      </c>
      <c r="F31" s="1102">
        <f>'GPC Data'!F145</f>
        <v>0</v>
      </c>
      <c r="G31" s="1102">
        <f>'GPC Data'!G145</f>
        <v>0</v>
      </c>
      <c r="H31" s="1102">
        <f>'GPC Data'!H145</f>
        <v>0</v>
      </c>
      <c r="I31" s="1102">
        <f>'GPC Data'!I145</f>
        <v>0</v>
      </c>
      <c r="J31" s="1102">
        <f>'GPC Data'!J145</f>
        <v>0</v>
      </c>
      <c r="K31" s="1103">
        <f>'GPC Data'!K145</f>
        <v>0</v>
      </c>
      <c r="L31" s="1103">
        <f>'GPC Data'!L145</f>
        <v>0</v>
      </c>
      <c r="M31" s="1103">
        <f>'GPC Data'!M145</f>
        <v>0</v>
      </c>
      <c r="N31" s="1104"/>
      <c r="O31" s="1105" t="e">
        <f t="shared" si="12"/>
        <v>#DIV/0!</v>
      </c>
      <c r="P31" s="1105" t="e">
        <f t="shared" si="13"/>
        <v>#DIV/0!</v>
      </c>
      <c r="Q31" s="1105" t="e">
        <f t="shared" si="14"/>
        <v>#DIV/0!</v>
      </c>
      <c r="R31" s="1106" t="e">
        <f t="shared" si="15"/>
        <v>#DIV/0!</v>
      </c>
      <c r="S31" s="1107" t="e">
        <f t="shared" si="16"/>
        <v>#DIV/0!</v>
      </c>
      <c r="T31" s="1107" t="e">
        <f t="shared" si="17"/>
        <v>#DIV/0!</v>
      </c>
      <c r="U31" s="1107" t="e">
        <f t="shared" si="18"/>
        <v>#DIV/0!</v>
      </c>
      <c r="V31" s="1108" t="e">
        <f t="shared" si="19"/>
        <v>#DIV/0!</v>
      </c>
      <c r="W31" s="1108" t="e">
        <f t="shared" si="20"/>
        <v>#DIV/0!</v>
      </c>
      <c r="X31" s="660" t="s">
        <v>1503</v>
      </c>
      <c r="Y31" s="660"/>
      <c r="Z31" s="677" t="s">
        <v>106</v>
      </c>
      <c r="AA31" s="660"/>
      <c r="AB31" s="660" t="s">
        <v>1503</v>
      </c>
      <c r="AC31" s="1080" t="str">
        <f t="shared" si="21"/>
        <v>Comp 22</v>
      </c>
      <c r="AD31" s="1098" t="e">
        <f t="shared" si="22"/>
        <v>#DIV/0!</v>
      </c>
      <c r="AE31" s="1082"/>
      <c r="AF31" s="1082"/>
      <c r="AG31" s="660" t="s">
        <v>1503</v>
      </c>
      <c r="AH31" s="660" t="s">
        <v>1503</v>
      </c>
    </row>
    <row r="32" spans="3:34" s="436" customFormat="1" ht="11" outlineLevel="1" thickBot="1">
      <c r="C32" s="1087">
        <f t="shared" si="11"/>
        <v>23</v>
      </c>
      <c r="D32" s="1100" t="str">
        <f>'GPC Data'!E316</f>
        <v>Comp 23</v>
      </c>
      <c r="E32" s="1101">
        <f>'GPC Data'!P44</f>
        <v>0</v>
      </c>
      <c r="F32" s="1102">
        <f>'GPC Data'!F146</f>
        <v>0</v>
      </c>
      <c r="G32" s="1102">
        <f>'GPC Data'!G146</f>
        <v>0</v>
      </c>
      <c r="H32" s="1102">
        <f>'GPC Data'!H146</f>
        <v>0</v>
      </c>
      <c r="I32" s="1102">
        <f>'GPC Data'!I146</f>
        <v>0</v>
      </c>
      <c r="J32" s="1102">
        <f>'GPC Data'!J146</f>
        <v>0</v>
      </c>
      <c r="K32" s="1103">
        <f>'GPC Data'!K146</f>
        <v>0</v>
      </c>
      <c r="L32" s="1103">
        <f>'GPC Data'!L146</f>
        <v>0</v>
      </c>
      <c r="M32" s="1103">
        <f>'GPC Data'!M146</f>
        <v>0</v>
      </c>
      <c r="N32" s="1104"/>
      <c r="O32" s="1105" t="e">
        <f t="shared" si="12"/>
        <v>#DIV/0!</v>
      </c>
      <c r="P32" s="1105" t="e">
        <f t="shared" si="13"/>
        <v>#DIV/0!</v>
      </c>
      <c r="Q32" s="1105" t="e">
        <f t="shared" si="14"/>
        <v>#DIV/0!</v>
      </c>
      <c r="R32" s="1106" t="e">
        <f t="shared" si="15"/>
        <v>#DIV/0!</v>
      </c>
      <c r="S32" s="1107" t="e">
        <f t="shared" si="16"/>
        <v>#DIV/0!</v>
      </c>
      <c r="T32" s="1107" t="e">
        <f t="shared" si="17"/>
        <v>#DIV/0!</v>
      </c>
      <c r="U32" s="1107" t="e">
        <f t="shared" si="18"/>
        <v>#DIV/0!</v>
      </c>
      <c r="V32" s="1108" t="e">
        <f t="shared" si="19"/>
        <v>#DIV/0!</v>
      </c>
      <c r="W32" s="1108" t="e">
        <f t="shared" si="20"/>
        <v>#DIV/0!</v>
      </c>
      <c r="X32" s="660" t="s">
        <v>1503</v>
      </c>
      <c r="Y32" s="660"/>
      <c r="Z32" s="677" t="s">
        <v>106</v>
      </c>
      <c r="AA32" s="660"/>
      <c r="AB32" s="660" t="s">
        <v>1503</v>
      </c>
      <c r="AC32" s="1080" t="str">
        <f t="shared" si="21"/>
        <v>Comp 23</v>
      </c>
      <c r="AD32" s="1098" t="e">
        <f t="shared" si="22"/>
        <v>#DIV/0!</v>
      </c>
      <c r="AE32" s="1082"/>
      <c r="AF32" s="1082"/>
      <c r="AG32" s="660" t="s">
        <v>1503</v>
      </c>
      <c r="AH32" s="660" t="s">
        <v>1503</v>
      </c>
    </row>
    <row r="33" spans="2:34" s="436" customFormat="1" ht="11" outlineLevel="1" thickBot="1">
      <c r="C33" s="1087">
        <f t="shared" si="11"/>
        <v>24</v>
      </c>
      <c r="D33" s="1100" t="str">
        <f>'GPC Data'!E317</f>
        <v>Comp 24</v>
      </c>
      <c r="E33" s="1101">
        <f>'GPC Data'!P45</f>
        <v>0</v>
      </c>
      <c r="F33" s="1102">
        <f>'GPC Data'!F147</f>
        <v>0</v>
      </c>
      <c r="G33" s="1102">
        <f>'GPC Data'!G147</f>
        <v>0</v>
      </c>
      <c r="H33" s="1102">
        <f>'GPC Data'!H147</f>
        <v>0</v>
      </c>
      <c r="I33" s="1102">
        <f>'GPC Data'!I147</f>
        <v>0</v>
      </c>
      <c r="J33" s="1102">
        <f>'GPC Data'!J147</f>
        <v>0</v>
      </c>
      <c r="K33" s="1103">
        <f>'GPC Data'!K147</f>
        <v>0</v>
      </c>
      <c r="L33" s="1103">
        <f>'GPC Data'!L147</f>
        <v>0</v>
      </c>
      <c r="M33" s="1103">
        <f>'GPC Data'!M147</f>
        <v>0</v>
      </c>
      <c r="N33" s="1104"/>
      <c r="O33" s="1105" t="e">
        <f t="shared" si="12"/>
        <v>#DIV/0!</v>
      </c>
      <c r="P33" s="1105" t="e">
        <f t="shared" si="13"/>
        <v>#DIV/0!</v>
      </c>
      <c r="Q33" s="1105" t="e">
        <f t="shared" si="14"/>
        <v>#DIV/0!</v>
      </c>
      <c r="R33" s="1106" t="e">
        <f t="shared" si="15"/>
        <v>#DIV/0!</v>
      </c>
      <c r="S33" s="1107" t="e">
        <f t="shared" si="16"/>
        <v>#DIV/0!</v>
      </c>
      <c r="T33" s="1107" t="e">
        <f t="shared" si="17"/>
        <v>#DIV/0!</v>
      </c>
      <c r="U33" s="1107" t="e">
        <f t="shared" si="18"/>
        <v>#DIV/0!</v>
      </c>
      <c r="V33" s="1108" t="e">
        <f t="shared" si="19"/>
        <v>#DIV/0!</v>
      </c>
      <c r="W33" s="1108" t="e">
        <f t="shared" si="20"/>
        <v>#DIV/0!</v>
      </c>
      <c r="X33" s="660" t="s">
        <v>1503</v>
      </c>
      <c r="Y33" s="660"/>
      <c r="Z33" s="677" t="s">
        <v>106</v>
      </c>
      <c r="AA33" s="660"/>
      <c r="AB33" s="660" t="s">
        <v>1503</v>
      </c>
      <c r="AC33" s="1080" t="str">
        <f t="shared" si="21"/>
        <v>Comp 24</v>
      </c>
      <c r="AD33" s="1098" t="e">
        <f t="shared" si="22"/>
        <v>#DIV/0!</v>
      </c>
      <c r="AE33" s="1082"/>
      <c r="AF33" s="1082"/>
      <c r="AG33" s="660" t="s">
        <v>1503</v>
      </c>
      <c r="AH33" s="660" t="s">
        <v>1503</v>
      </c>
    </row>
    <row r="34" spans="2:34" s="436" customFormat="1" ht="11" outlineLevel="1" thickBot="1">
      <c r="C34" s="1087">
        <f t="shared" si="11"/>
        <v>25</v>
      </c>
      <c r="D34" s="1100" t="str">
        <f>'GPC Data'!E318</f>
        <v>Comp 25</v>
      </c>
      <c r="E34" s="1101">
        <f>'GPC Data'!P46</f>
        <v>0</v>
      </c>
      <c r="F34" s="1102">
        <f>'GPC Data'!F148</f>
        <v>0</v>
      </c>
      <c r="G34" s="1102">
        <f>'GPC Data'!G148</f>
        <v>0</v>
      </c>
      <c r="H34" s="1102">
        <f>'GPC Data'!H148</f>
        <v>0</v>
      </c>
      <c r="I34" s="1102">
        <f>'GPC Data'!I148</f>
        <v>0</v>
      </c>
      <c r="J34" s="1102">
        <f>'GPC Data'!J148</f>
        <v>0</v>
      </c>
      <c r="K34" s="1103">
        <f>'GPC Data'!K148</f>
        <v>0</v>
      </c>
      <c r="L34" s="1103">
        <f>'GPC Data'!L148</f>
        <v>0</v>
      </c>
      <c r="M34" s="1103">
        <f>'GPC Data'!M148</f>
        <v>0</v>
      </c>
      <c r="N34" s="1104"/>
      <c r="O34" s="1105" t="e">
        <f t="shared" si="12"/>
        <v>#DIV/0!</v>
      </c>
      <c r="P34" s="1105" t="e">
        <f t="shared" si="13"/>
        <v>#DIV/0!</v>
      </c>
      <c r="Q34" s="1105" t="e">
        <f t="shared" si="14"/>
        <v>#DIV/0!</v>
      </c>
      <c r="R34" s="1106" t="e">
        <f t="shared" si="15"/>
        <v>#DIV/0!</v>
      </c>
      <c r="S34" s="1107" t="e">
        <f t="shared" si="16"/>
        <v>#DIV/0!</v>
      </c>
      <c r="T34" s="1107" t="e">
        <f t="shared" si="17"/>
        <v>#DIV/0!</v>
      </c>
      <c r="U34" s="1107" t="e">
        <f t="shared" si="18"/>
        <v>#DIV/0!</v>
      </c>
      <c r="V34" s="1108" t="e">
        <f t="shared" si="19"/>
        <v>#DIV/0!</v>
      </c>
      <c r="W34" s="1108" t="e">
        <f t="shared" si="20"/>
        <v>#DIV/0!</v>
      </c>
      <c r="X34" s="660" t="s">
        <v>1503</v>
      </c>
      <c r="Y34" s="660"/>
      <c r="Z34" s="677" t="s">
        <v>106</v>
      </c>
      <c r="AA34" s="660"/>
      <c r="AB34" s="660" t="s">
        <v>1503</v>
      </c>
      <c r="AC34" s="1080" t="str">
        <f t="shared" si="21"/>
        <v>Comp 25</v>
      </c>
      <c r="AD34" s="1098" t="e">
        <f t="shared" si="22"/>
        <v>#DIV/0!</v>
      </c>
      <c r="AE34" s="1082"/>
      <c r="AF34" s="1082"/>
      <c r="AG34" s="660" t="s">
        <v>1503</v>
      </c>
      <c r="AH34" s="660" t="s">
        <v>1503</v>
      </c>
    </row>
    <row r="35" spans="2:34" s="436" customFormat="1" ht="11" outlineLevel="1" thickBot="1">
      <c r="C35" s="1087">
        <f t="shared" si="11"/>
        <v>26</v>
      </c>
      <c r="D35" s="1100" t="str">
        <f>'GPC Data'!E319</f>
        <v>Comp 26</v>
      </c>
      <c r="E35" s="1101">
        <f>'GPC Data'!P47</f>
        <v>0</v>
      </c>
      <c r="F35" s="1102">
        <f>'GPC Data'!F149</f>
        <v>0</v>
      </c>
      <c r="G35" s="1102">
        <f>'GPC Data'!G149</f>
        <v>0</v>
      </c>
      <c r="H35" s="1102">
        <f>'GPC Data'!H149</f>
        <v>0</v>
      </c>
      <c r="I35" s="1102">
        <f>'GPC Data'!I149</f>
        <v>0</v>
      </c>
      <c r="J35" s="1102">
        <f>'GPC Data'!J149</f>
        <v>0</v>
      </c>
      <c r="K35" s="1103">
        <f>'GPC Data'!K149</f>
        <v>0</v>
      </c>
      <c r="L35" s="1103">
        <f>'GPC Data'!L149</f>
        <v>0</v>
      </c>
      <c r="M35" s="1103">
        <f>'GPC Data'!M149</f>
        <v>0</v>
      </c>
      <c r="N35" s="1104"/>
      <c r="O35" s="1105" t="e">
        <f t="shared" si="12"/>
        <v>#DIV/0!</v>
      </c>
      <c r="P35" s="1105" t="e">
        <f t="shared" si="13"/>
        <v>#DIV/0!</v>
      </c>
      <c r="Q35" s="1105" t="e">
        <f t="shared" si="14"/>
        <v>#DIV/0!</v>
      </c>
      <c r="R35" s="1106" t="e">
        <f t="shared" si="15"/>
        <v>#DIV/0!</v>
      </c>
      <c r="S35" s="1107" t="e">
        <f t="shared" si="16"/>
        <v>#DIV/0!</v>
      </c>
      <c r="T35" s="1107" t="e">
        <f t="shared" si="17"/>
        <v>#DIV/0!</v>
      </c>
      <c r="U35" s="1107" t="e">
        <f t="shared" si="18"/>
        <v>#DIV/0!</v>
      </c>
      <c r="V35" s="1108" t="e">
        <f t="shared" si="19"/>
        <v>#DIV/0!</v>
      </c>
      <c r="W35" s="1108" t="e">
        <f t="shared" si="20"/>
        <v>#DIV/0!</v>
      </c>
      <c r="X35" s="660" t="s">
        <v>1503</v>
      </c>
      <c r="Y35" s="660"/>
      <c r="Z35" s="677" t="s">
        <v>106</v>
      </c>
      <c r="AA35" s="660"/>
      <c r="AB35" s="660" t="s">
        <v>1503</v>
      </c>
      <c r="AC35" s="1080" t="str">
        <f t="shared" si="21"/>
        <v>Comp 26</v>
      </c>
      <c r="AD35" s="1098" t="e">
        <f t="shared" si="22"/>
        <v>#DIV/0!</v>
      </c>
      <c r="AE35" s="1082"/>
      <c r="AF35" s="1082"/>
      <c r="AG35" s="660" t="s">
        <v>1503</v>
      </c>
      <c r="AH35" s="660" t="s">
        <v>1503</v>
      </c>
    </row>
    <row r="36" spans="2:34" s="436" customFormat="1" ht="11" outlineLevel="1" thickBot="1">
      <c r="C36" s="1087">
        <f t="shared" si="11"/>
        <v>27</v>
      </c>
      <c r="D36" s="1100" t="str">
        <f>'GPC Data'!E320</f>
        <v>Comp 27</v>
      </c>
      <c r="E36" s="1101">
        <f>'GPC Data'!P48</f>
        <v>0</v>
      </c>
      <c r="F36" s="1102">
        <f>'GPC Data'!F150</f>
        <v>0</v>
      </c>
      <c r="G36" s="1102">
        <f>'GPC Data'!G150</f>
        <v>0</v>
      </c>
      <c r="H36" s="1102">
        <f>'GPC Data'!H150</f>
        <v>0</v>
      </c>
      <c r="I36" s="1102">
        <f>'GPC Data'!I150</f>
        <v>0</v>
      </c>
      <c r="J36" s="1102">
        <f>'GPC Data'!J150</f>
        <v>0</v>
      </c>
      <c r="K36" s="1103">
        <f>'GPC Data'!K150</f>
        <v>0</v>
      </c>
      <c r="L36" s="1103">
        <f>'GPC Data'!L150</f>
        <v>0</v>
      </c>
      <c r="M36" s="1103">
        <f>'GPC Data'!M150</f>
        <v>0</v>
      </c>
      <c r="N36" s="1104"/>
      <c r="O36" s="1105" t="e">
        <f t="shared" si="12"/>
        <v>#DIV/0!</v>
      </c>
      <c r="P36" s="1105" t="e">
        <f t="shared" si="13"/>
        <v>#DIV/0!</v>
      </c>
      <c r="Q36" s="1105" t="e">
        <f t="shared" si="14"/>
        <v>#DIV/0!</v>
      </c>
      <c r="R36" s="1106" t="e">
        <f t="shared" si="15"/>
        <v>#DIV/0!</v>
      </c>
      <c r="S36" s="1107" t="e">
        <f t="shared" si="16"/>
        <v>#DIV/0!</v>
      </c>
      <c r="T36" s="1107" t="e">
        <f t="shared" si="17"/>
        <v>#DIV/0!</v>
      </c>
      <c r="U36" s="1107" t="e">
        <f t="shared" si="18"/>
        <v>#DIV/0!</v>
      </c>
      <c r="V36" s="1108" t="e">
        <f t="shared" si="19"/>
        <v>#DIV/0!</v>
      </c>
      <c r="W36" s="1108" t="e">
        <f t="shared" si="20"/>
        <v>#DIV/0!</v>
      </c>
      <c r="X36" s="660" t="s">
        <v>1503</v>
      </c>
      <c r="Y36" s="660"/>
      <c r="Z36" s="677" t="s">
        <v>106</v>
      </c>
      <c r="AA36" s="660"/>
      <c r="AB36" s="660" t="s">
        <v>1503</v>
      </c>
      <c r="AC36" s="1080" t="str">
        <f t="shared" si="21"/>
        <v>Comp 27</v>
      </c>
      <c r="AD36" s="1098" t="e">
        <f t="shared" si="22"/>
        <v>#DIV/0!</v>
      </c>
      <c r="AE36" s="1082"/>
      <c r="AF36" s="1082"/>
      <c r="AG36" s="660" t="s">
        <v>1503</v>
      </c>
      <c r="AH36" s="660" t="s">
        <v>1503</v>
      </c>
    </row>
    <row r="37" spans="2:34" s="436" customFormat="1" ht="11" outlineLevel="1" thickBot="1">
      <c r="C37" s="1087">
        <f t="shared" si="11"/>
        <v>28</v>
      </c>
      <c r="D37" s="1100" t="str">
        <f>'GPC Data'!E321</f>
        <v>Comp 28</v>
      </c>
      <c r="E37" s="1101">
        <f>'GPC Data'!P49</f>
        <v>0</v>
      </c>
      <c r="F37" s="1102">
        <f>'GPC Data'!F151</f>
        <v>0</v>
      </c>
      <c r="G37" s="1102">
        <f>'GPC Data'!G151</f>
        <v>0</v>
      </c>
      <c r="H37" s="1102">
        <f>'GPC Data'!H151</f>
        <v>0</v>
      </c>
      <c r="I37" s="1102">
        <f>'GPC Data'!I151</f>
        <v>0</v>
      </c>
      <c r="J37" s="1102">
        <f>'GPC Data'!J151</f>
        <v>0</v>
      </c>
      <c r="K37" s="1103">
        <f>'GPC Data'!K151</f>
        <v>0</v>
      </c>
      <c r="L37" s="1103">
        <f>'GPC Data'!L151</f>
        <v>0</v>
      </c>
      <c r="M37" s="1103">
        <f>'GPC Data'!M151</f>
        <v>0</v>
      </c>
      <c r="N37" s="1104"/>
      <c r="O37" s="1105" t="e">
        <f t="shared" si="12"/>
        <v>#DIV/0!</v>
      </c>
      <c r="P37" s="1105" t="e">
        <f t="shared" si="13"/>
        <v>#DIV/0!</v>
      </c>
      <c r="Q37" s="1105" t="e">
        <f t="shared" si="14"/>
        <v>#DIV/0!</v>
      </c>
      <c r="R37" s="1106" t="e">
        <f t="shared" si="15"/>
        <v>#DIV/0!</v>
      </c>
      <c r="S37" s="1107" t="e">
        <f t="shared" si="16"/>
        <v>#DIV/0!</v>
      </c>
      <c r="T37" s="1107" t="e">
        <f t="shared" si="17"/>
        <v>#DIV/0!</v>
      </c>
      <c r="U37" s="1107" t="e">
        <f t="shared" si="18"/>
        <v>#DIV/0!</v>
      </c>
      <c r="V37" s="1108" t="e">
        <f t="shared" si="19"/>
        <v>#DIV/0!</v>
      </c>
      <c r="W37" s="1108" t="e">
        <f t="shared" si="20"/>
        <v>#DIV/0!</v>
      </c>
      <c r="X37" s="660" t="s">
        <v>1503</v>
      </c>
      <c r="Y37" s="660"/>
      <c r="Z37" s="677" t="s">
        <v>106</v>
      </c>
      <c r="AA37" s="660"/>
      <c r="AB37" s="660" t="s">
        <v>1503</v>
      </c>
      <c r="AC37" s="1080" t="str">
        <f t="shared" si="21"/>
        <v>Comp 28</v>
      </c>
      <c r="AD37" s="1098" t="e">
        <f t="shared" si="22"/>
        <v>#DIV/0!</v>
      </c>
      <c r="AE37" s="1082"/>
      <c r="AF37" s="1082"/>
      <c r="AG37" s="660" t="s">
        <v>1503</v>
      </c>
      <c r="AH37" s="660" t="s">
        <v>1503</v>
      </c>
    </row>
    <row r="38" spans="2:34" s="436" customFormat="1" ht="11" outlineLevel="1" thickBot="1">
      <c r="C38" s="1087">
        <f t="shared" si="11"/>
        <v>29</v>
      </c>
      <c r="D38" s="1100" t="str">
        <f>'GPC Data'!E322</f>
        <v>Comp 29</v>
      </c>
      <c r="E38" s="1101">
        <f>'GPC Data'!P50</f>
        <v>0</v>
      </c>
      <c r="F38" s="1102">
        <f>'GPC Data'!F152</f>
        <v>0</v>
      </c>
      <c r="G38" s="1102">
        <f>'GPC Data'!G152</f>
        <v>0</v>
      </c>
      <c r="H38" s="1102">
        <f>'GPC Data'!H152</f>
        <v>0</v>
      </c>
      <c r="I38" s="1102">
        <f>'GPC Data'!I152</f>
        <v>0</v>
      </c>
      <c r="J38" s="1102">
        <f>'GPC Data'!J152</f>
        <v>0</v>
      </c>
      <c r="K38" s="1103">
        <f>'GPC Data'!K152</f>
        <v>0</v>
      </c>
      <c r="L38" s="1103">
        <f>'GPC Data'!L152</f>
        <v>0</v>
      </c>
      <c r="M38" s="1103">
        <f>'GPC Data'!M152</f>
        <v>0</v>
      </c>
      <c r="N38" s="1104"/>
      <c r="O38" s="1105" t="e">
        <f t="shared" si="12"/>
        <v>#DIV/0!</v>
      </c>
      <c r="P38" s="1105" t="e">
        <f t="shared" si="13"/>
        <v>#DIV/0!</v>
      </c>
      <c r="Q38" s="1105" t="e">
        <f t="shared" si="14"/>
        <v>#DIV/0!</v>
      </c>
      <c r="R38" s="1106" t="e">
        <f t="shared" si="15"/>
        <v>#DIV/0!</v>
      </c>
      <c r="S38" s="1107" t="e">
        <f t="shared" si="16"/>
        <v>#DIV/0!</v>
      </c>
      <c r="T38" s="1107" t="e">
        <f t="shared" si="17"/>
        <v>#DIV/0!</v>
      </c>
      <c r="U38" s="1107" t="e">
        <f t="shared" si="18"/>
        <v>#DIV/0!</v>
      </c>
      <c r="V38" s="1108" t="e">
        <f t="shared" si="19"/>
        <v>#DIV/0!</v>
      </c>
      <c r="W38" s="1108" t="e">
        <f t="shared" si="20"/>
        <v>#DIV/0!</v>
      </c>
      <c r="X38" s="660" t="s">
        <v>1503</v>
      </c>
      <c r="Y38" s="660"/>
      <c r="Z38" s="677" t="s">
        <v>106</v>
      </c>
      <c r="AA38" s="660"/>
      <c r="AB38" s="660" t="s">
        <v>1503</v>
      </c>
      <c r="AC38" s="1080" t="str">
        <f t="shared" si="21"/>
        <v>Comp 29</v>
      </c>
      <c r="AD38" s="1098" t="e">
        <f t="shared" si="22"/>
        <v>#DIV/0!</v>
      </c>
      <c r="AE38" s="1082"/>
      <c r="AF38" s="1082"/>
      <c r="AG38" s="660" t="s">
        <v>1503</v>
      </c>
      <c r="AH38" s="660" t="s">
        <v>1503</v>
      </c>
    </row>
    <row r="39" spans="2:34" s="436" customFormat="1" ht="11" outlineLevel="1" thickBot="1">
      <c r="C39" s="1087">
        <f>C18+1</f>
        <v>10</v>
      </c>
      <c r="D39" s="1100" t="str">
        <f>'GPC Data'!E323</f>
        <v>Comp 30</v>
      </c>
      <c r="E39" s="1101">
        <f>'GPC Data'!P51</f>
        <v>0</v>
      </c>
      <c r="F39" s="1102">
        <f>'GPC Data'!F153</f>
        <v>0</v>
      </c>
      <c r="G39" s="1102">
        <f>'GPC Data'!G153</f>
        <v>0</v>
      </c>
      <c r="H39" s="1102">
        <f>'GPC Data'!H153</f>
        <v>0</v>
      </c>
      <c r="I39" s="1102">
        <f>'GPC Data'!I153</f>
        <v>0</v>
      </c>
      <c r="J39" s="1102">
        <f>'GPC Data'!J153</f>
        <v>0</v>
      </c>
      <c r="K39" s="1103">
        <f>'GPC Data'!K153</f>
        <v>0</v>
      </c>
      <c r="L39" s="1103">
        <f>'GPC Data'!L153</f>
        <v>0</v>
      </c>
      <c r="M39" s="1103">
        <f>'GPC Data'!M153</f>
        <v>0</v>
      </c>
      <c r="N39" s="1104"/>
      <c r="O39" s="1105" t="e">
        <f>G39/F39-1</f>
        <v>#DIV/0!</v>
      </c>
      <c r="P39" s="1105" t="e">
        <f>H39/G39-1</f>
        <v>#DIV/0!</v>
      </c>
      <c r="Q39" s="1105" t="e">
        <f>I39/H39-1</f>
        <v>#DIV/0!</v>
      </c>
      <c r="R39" s="1106" t="e">
        <f>(I39/F39)^(1/3)-1</f>
        <v>#DIV/0!</v>
      </c>
      <c r="S39" s="1107" t="e">
        <f>K39/I39-1</f>
        <v>#DIV/0!</v>
      </c>
      <c r="T39" s="1107" t="e">
        <f>L39/J39-1</f>
        <v>#DIV/0!</v>
      </c>
      <c r="U39" s="1107" t="e">
        <f>M39/K39-1</f>
        <v>#DIV/0!</v>
      </c>
      <c r="V39" s="1108" t="e">
        <f>(U39/S39)^(1/2)-1</f>
        <v>#DIV/0!</v>
      </c>
      <c r="W39" s="1108" t="e">
        <f>(U39/I39)^(1/3)-1</f>
        <v>#DIV/0!</v>
      </c>
      <c r="X39" s="660" t="s">
        <v>1503</v>
      </c>
      <c r="Y39" s="660"/>
      <c r="Z39" s="677" t="s">
        <v>106</v>
      </c>
      <c r="AA39" s="660"/>
      <c r="AB39" s="660" t="s">
        <v>1503</v>
      </c>
      <c r="AC39" s="1080" t="str">
        <f>D39</f>
        <v>Comp 30</v>
      </c>
      <c r="AD39" s="1098" t="e">
        <f>V39</f>
        <v>#DIV/0!</v>
      </c>
      <c r="AE39" s="1082"/>
      <c r="AF39" s="1082"/>
      <c r="AG39" s="660" t="s">
        <v>1503</v>
      </c>
      <c r="AH39" s="660" t="s">
        <v>1503</v>
      </c>
    </row>
    <row r="40" spans="2:34">
      <c r="B40" s="436"/>
      <c r="D40" s="1109" t="str">
        <f>"As of "&amp;TEXT(valuation.date,"d mmmm yyy")&amp;"."&amp;" Historical and forecast consensus financial statements for the selected guideline public companies provided by EIKON."</f>
        <v>As of 30 September 2024. Historical and forecast consensus financial statements for the selected guideline public companies provided by EIKON.</v>
      </c>
      <c r="E40" s="1110"/>
      <c r="F40" s="1110"/>
      <c r="G40" s="1110"/>
      <c r="H40" s="1110"/>
      <c r="I40" s="1110"/>
      <c r="J40" s="1110"/>
      <c r="K40" s="1110"/>
      <c r="L40" s="1110"/>
      <c r="M40" s="1110"/>
      <c r="N40" s="1110"/>
      <c r="O40" s="1110"/>
      <c r="P40" s="1110"/>
      <c r="Q40" s="1110"/>
      <c r="R40" s="1110"/>
      <c r="S40" s="1110"/>
      <c r="T40" s="1110"/>
      <c r="U40" s="1110"/>
      <c r="V40" s="1110"/>
      <c r="W40" s="1110"/>
      <c r="X40" s="1110"/>
      <c r="Y40" s="1111"/>
      <c r="Z40" s="1111"/>
      <c r="AA40" s="1110"/>
      <c r="AB40" s="1110"/>
      <c r="AG40" s="1110"/>
      <c r="AH40" s="1110"/>
    </row>
    <row r="41" spans="2:34">
      <c r="B41" s="436"/>
      <c r="D41" s="1112"/>
      <c r="E41" s="1110"/>
      <c r="F41" s="1110"/>
      <c r="G41" s="1110"/>
      <c r="H41" s="1110"/>
      <c r="I41" s="1110"/>
      <c r="J41" s="1110"/>
      <c r="K41" s="1110"/>
      <c r="L41" s="1110"/>
      <c r="M41" s="1110"/>
      <c r="N41" s="1110"/>
      <c r="O41" s="1110"/>
      <c r="P41" s="1110"/>
      <c r="Q41" s="1110"/>
      <c r="R41" s="1110"/>
      <c r="S41" s="1110"/>
      <c r="T41" s="1110"/>
      <c r="U41" s="1110"/>
      <c r="V41" s="1110"/>
      <c r="W41" s="1110"/>
      <c r="X41" s="1110"/>
      <c r="Y41" s="1111"/>
      <c r="Z41" s="1111"/>
      <c r="AA41" s="1110"/>
      <c r="AB41" s="1110"/>
      <c r="AG41" s="1110"/>
      <c r="AH41" s="1110"/>
    </row>
    <row r="42" spans="2:34">
      <c r="D42" s="1111"/>
      <c r="E42" s="1113" t="s">
        <v>216</v>
      </c>
      <c r="F42" s="1113"/>
      <c r="G42" s="1113"/>
      <c r="H42" s="1113"/>
      <c r="I42" s="1113"/>
      <c r="J42" s="1113"/>
      <c r="K42" s="1113"/>
      <c r="L42" s="1005"/>
      <c r="M42" s="1005"/>
      <c r="N42" s="1114">
        <f t="shared" ref="N42:W42" si="23">MAX(N10:N39)</f>
        <v>0</v>
      </c>
      <c r="O42" s="1115" t="e">
        <f t="shared" si="23"/>
        <v>#DIV/0!</v>
      </c>
      <c r="P42" s="1115" t="e">
        <f t="shared" si="23"/>
        <v>#DIV/0!</v>
      </c>
      <c r="Q42" s="1115" t="e">
        <f>MAX(Q10:Q39)</f>
        <v>#DIV/0!</v>
      </c>
      <c r="R42" s="1115" t="e">
        <f t="shared" si="23"/>
        <v>#DIV/0!</v>
      </c>
      <c r="S42" s="1116" t="e">
        <f t="shared" si="23"/>
        <v>#DIV/0!</v>
      </c>
      <c r="T42" s="1116" t="e">
        <f t="shared" si="23"/>
        <v>#DIV/0!</v>
      </c>
      <c r="U42" s="1116" t="e">
        <f t="shared" si="23"/>
        <v>#DIV/0!</v>
      </c>
      <c r="V42" s="1116" t="e">
        <f t="shared" si="23"/>
        <v>#DIV/0!</v>
      </c>
      <c r="W42" s="1116" t="e">
        <f t="shared" si="23"/>
        <v>#DIV/0!</v>
      </c>
      <c r="X42" s="1110"/>
      <c r="Y42" s="1111"/>
      <c r="Z42" s="1111"/>
      <c r="AA42" s="1110"/>
      <c r="AB42" s="1110" t="s">
        <v>1503</v>
      </c>
      <c r="AC42" s="1110" t="s">
        <v>1503</v>
      </c>
      <c r="AD42" s="1110" t="s">
        <v>1503</v>
      </c>
      <c r="AE42" s="1110" t="s">
        <v>1503</v>
      </c>
      <c r="AF42" s="1110" t="s">
        <v>1503</v>
      </c>
      <c r="AG42" s="1110" t="s">
        <v>1503</v>
      </c>
      <c r="AH42" s="1110" t="s">
        <v>1503</v>
      </c>
    </row>
    <row r="43" spans="2:34">
      <c r="D43" s="1111"/>
      <c r="E43" s="1117" t="s">
        <v>1479</v>
      </c>
      <c r="F43" s="1117"/>
      <c r="G43" s="1117"/>
      <c r="H43" s="1117"/>
      <c r="I43" s="1117"/>
      <c r="J43" s="1117"/>
      <c r="K43" s="1117"/>
      <c r="L43" s="455"/>
      <c r="M43" s="455"/>
      <c r="N43" s="1118" t="e">
        <f t="shared" ref="N43:W43" si="24">PERCENTILE(N10:N39,0.75)</f>
        <v>#NUM!</v>
      </c>
      <c r="O43" s="1119" t="e">
        <f t="shared" si="24"/>
        <v>#DIV/0!</v>
      </c>
      <c r="P43" s="1119" t="e">
        <f t="shared" si="24"/>
        <v>#DIV/0!</v>
      </c>
      <c r="Q43" s="1119" t="e">
        <f t="shared" si="24"/>
        <v>#DIV/0!</v>
      </c>
      <c r="R43" s="1119" t="e">
        <f t="shared" si="24"/>
        <v>#DIV/0!</v>
      </c>
      <c r="S43" s="1120" t="e">
        <f t="shared" si="24"/>
        <v>#DIV/0!</v>
      </c>
      <c r="T43" s="1120" t="e">
        <f t="shared" si="24"/>
        <v>#DIV/0!</v>
      </c>
      <c r="U43" s="1120" t="e">
        <f t="shared" si="24"/>
        <v>#DIV/0!</v>
      </c>
      <c r="V43" s="1120" t="e">
        <f>PERCENTILE(V10:V39,0.75)</f>
        <v>#DIV/0!</v>
      </c>
      <c r="W43" s="1120" t="e">
        <f t="shared" si="24"/>
        <v>#DIV/0!</v>
      </c>
      <c r="X43" s="1110"/>
      <c r="Y43" s="1111"/>
      <c r="Z43" s="1111"/>
      <c r="AA43" s="1110"/>
      <c r="AB43" s="1110"/>
      <c r="AC43" s="1110"/>
      <c r="AD43" s="1110"/>
      <c r="AE43" s="1110"/>
      <c r="AF43" s="1110"/>
      <c r="AG43" s="1110"/>
      <c r="AH43" s="1110"/>
    </row>
    <row r="44" spans="2:34">
      <c r="D44" s="1111"/>
      <c r="E44" s="1117" t="s">
        <v>1380</v>
      </c>
      <c r="F44" s="1117"/>
      <c r="G44" s="1117"/>
      <c r="H44" s="1117"/>
      <c r="I44" s="1117"/>
      <c r="J44" s="1117"/>
      <c r="K44" s="1117"/>
      <c r="L44" s="455"/>
      <c r="M44" s="455"/>
      <c r="N44" s="1118" t="e">
        <f t="shared" ref="N44:W44" si="25">AVERAGE(N10:N39)</f>
        <v>#DIV/0!</v>
      </c>
      <c r="O44" s="1119" t="e">
        <f t="shared" si="25"/>
        <v>#DIV/0!</v>
      </c>
      <c r="P44" s="1119" t="e">
        <f t="shared" si="25"/>
        <v>#DIV/0!</v>
      </c>
      <c r="Q44" s="1119" t="e">
        <f t="shared" si="25"/>
        <v>#DIV/0!</v>
      </c>
      <c r="R44" s="1119" t="e">
        <f t="shared" si="25"/>
        <v>#DIV/0!</v>
      </c>
      <c r="S44" s="1120" t="e">
        <f t="shared" si="25"/>
        <v>#DIV/0!</v>
      </c>
      <c r="T44" s="1120" t="e">
        <f t="shared" si="25"/>
        <v>#DIV/0!</v>
      </c>
      <c r="U44" s="1120" t="e">
        <f t="shared" si="25"/>
        <v>#DIV/0!</v>
      </c>
      <c r="V44" s="1120" t="e">
        <f t="shared" si="25"/>
        <v>#DIV/0!</v>
      </c>
      <c r="W44" s="1120" t="e">
        <f t="shared" si="25"/>
        <v>#DIV/0!</v>
      </c>
      <c r="X44" s="1111" t="s">
        <v>1503</v>
      </c>
      <c r="Y44" s="1111"/>
      <c r="Z44" s="1111"/>
      <c r="AA44" s="1111"/>
      <c r="AB44" s="1111" t="s">
        <v>1503</v>
      </c>
      <c r="AC44" s="1111" t="s">
        <v>1503</v>
      </c>
      <c r="AD44" s="1111" t="s">
        <v>1503</v>
      </c>
      <c r="AE44" s="1111" t="s">
        <v>1503</v>
      </c>
      <c r="AF44" s="1111" t="s">
        <v>1503</v>
      </c>
      <c r="AG44" s="1111" t="s">
        <v>1503</v>
      </c>
      <c r="AH44" s="1111" t="s">
        <v>1503</v>
      </c>
    </row>
    <row r="45" spans="2:34" ht="12">
      <c r="D45" s="1121"/>
      <c r="E45" s="1122" t="s">
        <v>1381</v>
      </c>
      <c r="F45" s="1123"/>
      <c r="G45" s="1123"/>
      <c r="H45" s="1123"/>
      <c r="I45" s="1123"/>
      <c r="J45" s="1123"/>
      <c r="K45" s="1123"/>
      <c r="L45" s="443"/>
      <c r="M45" s="443"/>
      <c r="N45" s="1124" t="e">
        <f t="shared" ref="N45:W45" si="26">MEDIAN(N10:N39)</f>
        <v>#NUM!</v>
      </c>
      <c r="O45" s="1120" t="e">
        <f t="shared" si="26"/>
        <v>#DIV/0!</v>
      </c>
      <c r="P45" s="1120" t="e">
        <f t="shared" si="26"/>
        <v>#DIV/0!</v>
      </c>
      <c r="Q45" s="1120" t="e">
        <f t="shared" si="26"/>
        <v>#DIV/0!</v>
      </c>
      <c r="R45" s="1120" t="e">
        <f t="shared" si="26"/>
        <v>#DIV/0!</v>
      </c>
      <c r="S45" s="1120" t="e">
        <f t="shared" si="26"/>
        <v>#DIV/0!</v>
      </c>
      <c r="T45" s="1120" t="e">
        <f t="shared" si="26"/>
        <v>#DIV/0!</v>
      </c>
      <c r="U45" s="1120" t="e">
        <f t="shared" si="26"/>
        <v>#DIV/0!</v>
      </c>
      <c r="V45" s="1120" t="e">
        <f t="shared" si="26"/>
        <v>#DIV/0!</v>
      </c>
      <c r="W45" s="1120" t="e">
        <f t="shared" si="26"/>
        <v>#DIV/0!</v>
      </c>
      <c r="X45" s="1125" t="s">
        <v>1503</v>
      </c>
      <c r="Y45" s="1111"/>
      <c r="Z45" s="1111"/>
      <c r="AA45" s="1125"/>
      <c r="AB45" s="1125" t="s">
        <v>1503</v>
      </c>
      <c r="AC45" s="1125" t="s">
        <v>1503</v>
      </c>
      <c r="AD45" s="1125"/>
      <c r="AE45" s="1125" t="s">
        <v>1503</v>
      </c>
      <c r="AF45" s="1125" t="s">
        <v>1503</v>
      </c>
      <c r="AG45" s="1125" t="s">
        <v>1503</v>
      </c>
      <c r="AH45" s="1125" t="s">
        <v>1503</v>
      </c>
    </row>
    <row r="46" spans="2:34" ht="12">
      <c r="D46" s="1121"/>
      <c r="E46" s="1117" t="s">
        <v>1480</v>
      </c>
      <c r="F46" s="1126"/>
      <c r="G46" s="1126"/>
      <c r="H46" s="1126"/>
      <c r="I46" s="1126"/>
      <c r="J46" s="1126"/>
      <c r="K46" s="1126"/>
      <c r="L46" s="455"/>
      <c r="M46" s="455"/>
      <c r="N46" s="1118" t="e">
        <f t="shared" ref="N46:W46" si="27">PERCENTILE(N10:N39,0.25)</f>
        <v>#NUM!</v>
      </c>
      <c r="O46" s="1119" t="e">
        <f t="shared" si="27"/>
        <v>#DIV/0!</v>
      </c>
      <c r="P46" s="1119" t="e">
        <f t="shared" si="27"/>
        <v>#DIV/0!</v>
      </c>
      <c r="Q46" s="1119" t="e">
        <f t="shared" si="27"/>
        <v>#DIV/0!</v>
      </c>
      <c r="R46" s="1119" t="e">
        <f t="shared" si="27"/>
        <v>#DIV/0!</v>
      </c>
      <c r="S46" s="1120" t="e">
        <f t="shared" si="27"/>
        <v>#DIV/0!</v>
      </c>
      <c r="T46" s="1120" t="e">
        <f t="shared" si="27"/>
        <v>#DIV/0!</v>
      </c>
      <c r="U46" s="1120" t="e">
        <f t="shared" si="27"/>
        <v>#DIV/0!</v>
      </c>
      <c r="V46" s="1120" t="e">
        <f t="shared" si="27"/>
        <v>#DIV/0!</v>
      </c>
      <c r="W46" s="1120" t="e">
        <f t="shared" si="27"/>
        <v>#DIV/0!</v>
      </c>
      <c r="X46" s="1125"/>
      <c r="Y46" s="1111"/>
      <c r="Z46" s="1111"/>
      <c r="AA46" s="1125"/>
      <c r="AB46" s="1125"/>
      <c r="AC46" s="1125"/>
      <c r="AD46" s="1125"/>
      <c r="AE46" s="1125"/>
      <c r="AF46" s="1125"/>
      <c r="AG46" s="1125"/>
      <c r="AH46" s="1125"/>
    </row>
    <row r="47" spans="2:34">
      <c r="D47" s="1111"/>
      <c r="E47" s="1127" t="s">
        <v>215</v>
      </c>
      <c r="F47" s="1127"/>
      <c r="G47" s="1127"/>
      <c r="H47" s="1127"/>
      <c r="I47" s="1127"/>
      <c r="J47" s="1127"/>
      <c r="K47" s="1127"/>
      <c r="L47" s="726"/>
      <c r="M47" s="726"/>
      <c r="N47" s="1128">
        <f t="shared" ref="N47:W47" si="28">MIN(N10:N39)</f>
        <v>0</v>
      </c>
      <c r="O47" s="1129" t="e">
        <f t="shared" si="28"/>
        <v>#DIV/0!</v>
      </c>
      <c r="P47" s="1129" t="e">
        <f t="shared" si="28"/>
        <v>#DIV/0!</v>
      </c>
      <c r="Q47" s="1129" t="e">
        <f t="shared" si="28"/>
        <v>#DIV/0!</v>
      </c>
      <c r="R47" s="1129" t="e">
        <f t="shared" si="28"/>
        <v>#DIV/0!</v>
      </c>
      <c r="S47" s="1130" t="e">
        <f t="shared" si="28"/>
        <v>#DIV/0!</v>
      </c>
      <c r="T47" s="1130" t="e">
        <f t="shared" si="28"/>
        <v>#DIV/0!</v>
      </c>
      <c r="U47" s="1130" t="e">
        <f t="shared" si="28"/>
        <v>#DIV/0!</v>
      </c>
      <c r="V47" s="1130" t="e">
        <f t="shared" si="28"/>
        <v>#DIV/0!</v>
      </c>
      <c r="W47" s="1130" t="e">
        <f t="shared" si="28"/>
        <v>#DIV/0!</v>
      </c>
      <c r="X47" s="1111" t="s">
        <v>1503</v>
      </c>
      <c r="Y47" s="1111"/>
      <c r="Z47" s="1111"/>
      <c r="AA47" s="1111"/>
      <c r="AB47" s="1111"/>
      <c r="AC47" s="1111" t="s">
        <v>1503</v>
      </c>
      <c r="AD47" s="1111" t="s">
        <v>1503</v>
      </c>
      <c r="AE47" s="1111" t="s">
        <v>1503</v>
      </c>
      <c r="AF47" s="1111" t="s">
        <v>1503</v>
      </c>
      <c r="AG47" s="1111" t="s">
        <v>1503</v>
      </c>
      <c r="AH47" s="1111" t="s">
        <v>1503</v>
      </c>
    </row>
    <row r="48" spans="2:34">
      <c r="D48" s="1111"/>
      <c r="E48" s="703" t="s">
        <v>1382</v>
      </c>
      <c r="F48" s="1111"/>
      <c r="G48" s="1111"/>
      <c r="H48" s="1111"/>
      <c r="I48" s="1111"/>
      <c r="J48" s="1111"/>
      <c r="K48" s="1111"/>
      <c r="N48" s="1054"/>
      <c r="O48" s="1054"/>
      <c r="P48" s="1054"/>
      <c r="Q48" s="1054"/>
      <c r="R48" s="1054"/>
      <c r="S48" s="1054"/>
      <c r="T48" s="1054"/>
      <c r="U48" s="1054"/>
      <c r="V48" s="1054"/>
      <c r="W48" s="1054"/>
      <c r="X48" s="1111"/>
      <c r="Y48" s="1111"/>
      <c r="Z48" s="1111"/>
      <c r="AA48" s="1111"/>
      <c r="AB48" s="1111"/>
      <c r="AC48" s="1111"/>
      <c r="AD48" s="1111"/>
      <c r="AE48" s="1111"/>
      <c r="AF48" s="1111"/>
      <c r="AG48" s="1111"/>
      <c r="AH48" s="1111"/>
    </row>
    <row r="49" spans="2:37">
      <c r="D49" s="1111"/>
      <c r="E49" s="1113" t="s">
        <v>216</v>
      </c>
      <c r="F49" s="1113"/>
      <c r="G49" s="1113"/>
      <c r="H49" s="1113"/>
      <c r="I49" s="1113"/>
      <c r="J49" s="1113"/>
      <c r="K49" s="1113"/>
      <c r="L49" s="1005"/>
      <c r="M49" s="1005"/>
      <c r="N49" s="1114">
        <f t="array" ref="N49">IFERROR(MAX(IF($Z$10:$Z$39="No",N10:N39)),"")</f>
        <v>0</v>
      </c>
      <c r="O49" s="1115" t="str" cm="1">
        <f t="array" ref="O49">IFERROR(MAX(IF($Z$10:$Z$39="No",O10:O39)),"")</f>
        <v/>
      </c>
      <c r="P49" s="1115" t="str">
        <f t="array" ref="P49">IFERROR(MAX(IF($Z$10:$Z$39="No",P10:P39)),"")</f>
        <v/>
      </c>
      <c r="Q49" s="1115" t="str">
        <f t="array" ref="Q49">IFERROR(MAX(IF($Z$10:$Z$39="No",Q10:Q39)),"")</f>
        <v/>
      </c>
      <c r="R49" s="1115" t="str">
        <f t="array" ref="R49">IFERROR(MAX(IF($Z$10:$Z$39="No",R10:R39)),"")</f>
        <v/>
      </c>
      <c r="S49" s="1116" t="str">
        <f t="array" ref="S49">IFERROR(MAX(IF($Z$10:$Z$39="No",S10:S39)),"")</f>
        <v/>
      </c>
      <c r="T49" s="1116" t="str">
        <f t="array" ref="T49">IFERROR(MAX(IF($Z$10:$Z$39="No",T10:T39)),"")</f>
        <v/>
      </c>
      <c r="U49" s="1116" t="str">
        <f t="array" ref="U49">IFERROR(MAX(IF($Z$10:$Z$39="No",U10:U39)),"")</f>
        <v/>
      </c>
      <c r="V49" s="1116" t="str">
        <f t="array" ref="V49">IFERROR(MAX(IF($Z$10:$Z$39="No",V10:V39)),"")</f>
        <v/>
      </c>
      <c r="W49" s="1116" t="str">
        <f t="array" ref="W49">IFERROR(MAX(IF($Z$10:$Z$39="No",W10:W39)),"")</f>
        <v/>
      </c>
      <c r="X49" s="1111"/>
      <c r="Y49" s="1111"/>
      <c r="Z49" s="1111"/>
      <c r="AA49" s="1111"/>
      <c r="AB49" s="1111"/>
      <c r="AC49" s="1111"/>
      <c r="AD49" s="1111"/>
      <c r="AE49" s="1111"/>
      <c r="AF49" s="1111"/>
      <c r="AG49" s="1111"/>
      <c r="AH49" s="1111"/>
    </row>
    <row r="50" spans="2:37">
      <c r="D50" s="1111"/>
      <c r="E50" s="1117" t="s">
        <v>1479</v>
      </c>
      <c r="F50" s="1117"/>
      <c r="G50" s="1117"/>
      <c r="H50" s="1117"/>
      <c r="I50" s="1117"/>
      <c r="J50" s="1117"/>
      <c r="K50" s="1117"/>
      <c r="L50" s="455"/>
      <c r="M50" s="455"/>
      <c r="N50" s="1118" cm="1">
        <f t="array" ref="N50">PERCENTILE(IF($Z$10:$Z$39="No",N10:N39),0.75)</f>
        <v>0</v>
      </c>
      <c r="O50" s="1119" t="e" cm="1">
        <f t="array" ref="O50">PERCENTILE(IF($Z$10:$Z$39="No",O10:O39),0.75)</f>
        <v>#DIV/0!</v>
      </c>
      <c r="P50" s="1119" t="e">
        <f t="array" ref="P50">PERCENTILE(IF($Z$10:$Z$39="No",P10:P39),0.75)</f>
        <v>#DIV/0!</v>
      </c>
      <c r="Q50" s="1119" t="e" cm="1">
        <f t="array" ref="Q50">PERCENTILE(IF($Z$10:$Z$39="No",Q10:Q39),0.75)</f>
        <v>#DIV/0!</v>
      </c>
      <c r="R50" s="1119" t="e">
        <f t="array" ref="R50">PERCENTILE(IF($Z$10:$Z$39="No",R10:R39),0.75)</f>
        <v>#DIV/0!</v>
      </c>
      <c r="S50" s="1120" t="e">
        <f t="array" ref="S50">PERCENTILE(IF($Z$10:$Z$39="No",S10:S39),0.75)</f>
        <v>#DIV/0!</v>
      </c>
      <c r="T50" s="1120" t="e">
        <f t="array" ref="T50">PERCENTILE(IF($Z$10:$Z$39="No",T10:T39),0.75)</f>
        <v>#DIV/0!</v>
      </c>
      <c r="U50" s="1120" t="e">
        <f t="array" ref="U50">PERCENTILE(IF($Z$10:$Z$39="No",U10:U39),0.75)</f>
        <v>#DIV/0!</v>
      </c>
      <c r="V50" s="1120" t="e">
        <f t="array" ref="V50">PERCENTILE(IF($Z$10:$Z$39="No",V10:V39),0.75)</f>
        <v>#DIV/0!</v>
      </c>
      <c r="W50" s="1120" t="e">
        <f t="array" ref="W50">PERCENTILE(IF($Z$10:$Z$39="No",W10:W39),0.75)</f>
        <v>#DIV/0!</v>
      </c>
      <c r="X50" s="1111"/>
      <c r="Y50" s="1111"/>
      <c r="Z50" s="1111"/>
      <c r="AA50" s="1111"/>
      <c r="AB50" s="1111"/>
      <c r="AC50" s="1111"/>
      <c r="AD50" s="1111"/>
      <c r="AE50" s="1111"/>
      <c r="AF50" s="1111"/>
      <c r="AG50" s="1111"/>
      <c r="AH50" s="1111"/>
    </row>
    <row r="51" spans="2:37">
      <c r="D51" s="1111"/>
      <c r="E51" s="1117" t="s">
        <v>1380</v>
      </c>
      <c r="F51" s="1117"/>
      <c r="G51" s="1117"/>
      <c r="H51" s="1117"/>
      <c r="I51" s="1117"/>
      <c r="J51" s="1117"/>
      <c r="K51" s="1117"/>
      <c r="L51" s="455"/>
      <c r="M51" s="455"/>
      <c r="N51" s="1118" t="str">
        <f t="array" ref="N51">IFERROR(AVERAGEIF($Z$10:$Z$39,"No",N10:N39),"")</f>
        <v/>
      </c>
      <c r="O51" s="1119" t="str">
        <f>IFERROR(AVERAGEIF($Z$10:$Z$39,"No",O10:O39),"")</f>
        <v/>
      </c>
      <c r="P51" s="1119" t="str">
        <f t="array" ref="P51">IFERROR(AVERAGEIF($Z$10:$Z$39,"No",P10:P39),"")</f>
        <v/>
      </c>
      <c r="Q51" s="1119" t="str">
        <f t="array" ref="Q51">IFERROR(AVERAGEIF($Z$10:$Z$39,"No",Q10:Q39),"")</f>
        <v/>
      </c>
      <c r="R51" s="1119" t="str">
        <f t="array" ref="R51">IFERROR(AVERAGEIF($Z$10:$Z$39,"No",R10:R39),"")</f>
        <v/>
      </c>
      <c r="S51" s="1120" t="str">
        <f t="array" ref="S51">IFERROR(AVERAGEIF($Z$10:$Z$39,"No",S10:S39),"")</f>
        <v/>
      </c>
      <c r="T51" s="1120" t="str">
        <f t="array" ref="T51">IFERROR(AVERAGEIF($Z$10:$Z$39,"No",T10:T39),"")</f>
        <v/>
      </c>
      <c r="U51" s="1120" t="str">
        <f t="array" ref="U51">IFERROR(AVERAGEIF($Z$10:$Z$39,"No",U10:U39),"")</f>
        <v/>
      </c>
      <c r="V51" s="1120" t="str">
        <f t="array" ref="V51">IFERROR(AVERAGEIF($Z$10:$Z$39,"No",V10:V39),"")</f>
        <v/>
      </c>
      <c r="W51" s="1120" t="str">
        <f t="array" ref="W51">IFERROR(AVERAGEIF($Z$10:$Z$39,"No",W10:W39),"")</f>
        <v/>
      </c>
      <c r="X51" s="1111"/>
      <c r="Y51" s="1111"/>
      <c r="Z51" s="1111"/>
      <c r="AA51" s="1111"/>
      <c r="AB51" s="1111"/>
      <c r="AC51" s="1111"/>
      <c r="AD51" s="1111"/>
      <c r="AE51" s="1111"/>
      <c r="AF51" s="1111"/>
      <c r="AG51" s="1111"/>
      <c r="AH51" s="1111"/>
    </row>
    <row r="52" spans="2:37" ht="12">
      <c r="D52" s="1111"/>
      <c r="E52" s="1122" t="s">
        <v>1381</v>
      </c>
      <c r="F52" s="1123"/>
      <c r="G52" s="1123"/>
      <c r="H52" s="1123"/>
      <c r="I52" s="1123"/>
      <c r="J52" s="1123"/>
      <c r="K52" s="1123"/>
      <c r="L52" s="443"/>
      <c r="M52" s="443"/>
      <c r="N52" s="1124">
        <f t="array" ref="N52">IFERROR(MEDIAN(IF($Z$10:$Z$39="No",N10:N39)),"")</f>
        <v>0</v>
      </c>
      <c r="O52" s="1120" t="str">
        <f t="array" ref="O52">IFERROR(MEDIAN(IF($Z$10:$Z$39="No",O10:O39)),"")</f>
        <v/>
      </c>
      <c r="P52" s="1120" t="str">
        <f t="array" ref="P52">IFERROR(MEDIAN(IF($Z$10:$Z$39="No",P10:P39)),"")</f>
        <v/>
      </c>
      <c r="Q52" s="1120" t="str">
        <f t="array" ref="Q52">IFERROR(MEDIAN(IF($Z$10:$Z$39="No",Q10:Q39)),"")</f>
        <v/>
      </c>
      <c r="R52" s="1120" t="str">
        <f t="array" ref="R52">IFERROR(MEDIAN(IF($Z$10:$Z$39="No",R10:R39)),"")</f>
        <v/>
      </c>
      <c r="S52" s="1120" t="str">
        <f t="array" ref="S52">IFERROR(MEDIAN(IF($Z$10:$Z$39="No",S10:S39)),"")</f>
        <v/>
      </c>
      <c r="T52" s="1120" t="str">
        <f t="array" ref="T52">IFERROR(MEDIAN(IF($Z$10:$Z$39="No",T10:T39)),"")</f>
        <v/>
      </c>
      <c r="U52" s="1120" t="str">
        <f t="array" ref="U52">IFERROR(MEDIAN(IF($Z$10:$Z$39="No",U10:U39)),"")</f>
        <v/>
      </c>
      <c r="V52" s="1120" t="str">
        <f t="array" ref="V52">IFERROR(MEDIAN(IF($Z$10:$Z$39="No",V10:V39)),"")</f>
        <v/>
      </c>
      <c r="W52" s="1120" t="str">
        <f t="array" ref="W52">IFERROR(MEDIAN(IF($Z$10:$Z$39="No",W10:W39)),"")</f>
        <v/>
      </c>
      <c r="X52" s="1111"/>
      <c r="Y52" s="1111"/>
      <c r="Z52" s="1111"/>
      <c r="AA52" s="1111"/>
      <c r="AB52" s="1111"/>
      <c r="AC52" s="1111"/>
      <c r="AD52" s="1111"/>
      <c r="AE52" s="1111"/>
      <c r="AF52" s="1111"/>
      <c r="AG52" s="1111"/>
      <c r="AH52" s="1111"/>
    </row>
    <row r="53" spans="2:37" ht="12">
      <c r="D53" s="1111"/>
      <c r="E53" s="1117" t="s">
        <v>1480</v>
      </c>
      <c r="F53" s="1126"/>
      <c r="G53" s="1126"/>
      <c r="H53" s="1126"/>
      <c r="I53" s="1126"/>
      <c r="J53" s="1126"/>
      <c r="K53" s="1126"/>
      <c r="L53" s="455"/>
      <c r="M53" s="455"/>
      <c r="N53" s="1118">
        <f t="array" ref="N53">PERCENTILE(IF($Z$10:$Z$39="No",N10:N39),0.25)</f>
        <v>0</v>
      </c>
      <c r="O53" s="1119" t="e">
        <f t="array" ref="O53">PERCENTILE(IF($Z$10:$Z$39="No",O10:O39),0.25)</f>
        <v>#DIV/0!</v>
      </c>
      <c r="P53" s="1119" t="e">
        <f t="array" ref="P53">PERCENTILE(IF($Z$10:$Z$39="No",P10:P39),0.25)</f>
        <v>#DIV/0!</v>
      </c>
      <c r="Q53" s="1119" t="e">
        <f t="array" ref="Q53">PERCENTILE(IF($Z$10:$Z$39="No",Q10:Q39),0.25)</f>
        <v>#DIV/0!</v>
      </c>
      <c r="R53" s="1119" t="e" cm="1">
        <f t="array" ref="R53">PERCENTILE(IF($Z$10:$Z$39="No",R10:R39),0.25)</f>
        <v>#DIV/0!</v>
      </c>
      <c r="S53" s="1120" t="e">
        <f t="array" ref="S53">PERCENTILE(IF($Z$10:$Z$39="No",S10:S39),0.25)</f>
        <v>#DIV/0!</v>
      </c>
      <c r="T53" s="1120" t="e">
        <f t="array" ref="T53">PERCENTILE(IF($Z$10:$Z$39="No",T10:T39),0.25)</f>
        <v>#DIV/0!</v>
      </c>
      <c r="U53" s="1120" t="e">
        <f t="array" ref="U53">PERCENTILE(IF($Z$10:$Z$39="No",U10:U39),0.25)</f>
        <v>#DIV/0!</v>
      </c>
      <c r="V53" s="1120" t="e">
        <f t="array" ref="V53">PERCENTILE(IF($Z$10:$Z$39="No",V10:V39),0.25)</f>
        <v>#DIV/0!</v>
      </c>
      <c r="W53" s="1120" t="e">
        <f t="array" ref="W53">PERCENTILE(IF($Z$10:$Z$39="No",W10:W39),0.25)</f>
        <v>#DIV/0!</v>
      </c>
      <c r="X53" s="1111"/>
      <c r="Y53" s="1111"/>
      <c r="Z53" s="1111"/>
      <c r="AA53" s="1111"/>
      <c r="AB53" s="1111"/>
      <c r="AC53" s="1111"/>
      <c r="AD53" s="1111"/>
      <c r="AE53" s="1111"/>
      <c r="AF53" s="1111"/>
      <c r="AG53" s="1111"/>
      <c r="AH53" s="1111"/>
    </row>
    <row r="54" spans="2:37" s="436" customFormat="1" ht="12">
      <c r="D54" s="1131"/>
      <c r="E54" s="1127" t="s">
        <v>215</v>
      </c>
      <c r="F54" s="1127"/>
      <c r="G54" s="1127"/>
      <c r="H54" s="1127"/>
      <c r="I54" s="1127"/>
      <c r="J54" s="1127"/>
      <c r="K54" s="1127"/>
      <c r="L54" s="726"/>
      <c r="M54" s="726"/>
      <c r="N54" s="1128">
        <f t="array" ref="N54">IFERROR(MIN(IF($Z$10:$Z$39="No",N10:N39)),"")</f>
        <v>0</v>
      </c>
      <c r="O54" s="1129" t="str">
        <f t="array" ref="O54">IFERROR(MIN(IF($Z$10:$Z$39="No",O10:O39)),"")</f>
        <v/>
      </c>
      <c r="P54" s="1129" t="str">
        <f t="array" ref="P54">IFERROR(MIN(IF($Z$10:$Z$39="No",P10:P39)),"")</f>
        <v/>
      </c>
      <c r="Q54" s="1129" t="str">
        <f t="array" ref="Q54">IFERROR(MIN(IF($Z$10:$Z$39="No",Q10:Q39)),"")</f>
        <v/>
      </c>
      <c r="R54" s="1129" t="str">
        <f t="array" ref="R54">IFERROR(MIN(IF($Z$10:$Z$39="No",R10:R39)),"")</f>
        <v/>
      </c>
      <c r="S54" s="1130" t="str">
        <f t="array" ref="S54">IFERROR(MIN(IF($Z$10:$Z$39="No",S10:S39)),"")</f>
        <v/>
      </c>
      <c r="T54" s="1130" t="str">
        <f t="array" ref="T54">IFERROR(MIN(IF($Z$10:$Z$39="No",T10:T39)),"")</f>
        <v/>
      </c>
      <c r="U54" s="1130" t="str">
        <f t="array" ref="U54">IFERROR(MIN(IF($Z$10:$Z$39="No",U10:U39)),"")</f>
        <v/>
      </c>
      <c r="V54" s="1130" t="str">
        <f t="array" ref="V54">IFERROR(MIN(IF($Z$10:$Z$39="No",V10:V39)),"")</f>
        <v/>
      </c>
      <c r="W54" s="1130" t="str">
        <f t="array" ref="W54">IFERROR(MIN(IF($Z$10:$Z$39="No",W10:W39)),"")</f>
        <v/>
      </c>
      <c r="X54" s="1131"/>
      <c r="Y54" s="1111"/>
      <c r="Z54" s="1111"/>
      <c r="AA54" s="1131"/>
      <c r="AB54" s="1131"/>
      <c r="AC54" s="1131"/>
      <c r="AD54" s="1131"/>
      <c r="AE54" s="1131"/>
      <c r="AF54" s="1131"/>
      <c r="AG54" s="1131"/>
      <c r="AH54" s="1131"/>
    </row>
    <row r="55" spans="2:37" s="436" customFormat="1" ht="12">
      <c r="D55" s="1131"/>
      <c r="E55" s="1131"/>
      <c r="F55" s="1131"/>
      <c r="G55" s="1131"/>
      <c r="H55" s="1131"/>
      <c r="I55" s="1131"/>
      <c r="J55" s="1131"/>
      <c r="K55" s="1131"/>
      <c r="L55" s="1131"/>
      <c r="M55" s="1131"/>
      <c r="N55" s="1131"/>
      <c r="O55" s="1131"/>
      <c r="P55" s="1131"/>
      <c r="Q55" s="1131"/>
      <c r="R55" s="1131"/>
      <c r="S55" s="1131"/>
      <c r="T55" s="1131"/>
      <c r="U55" s="1131"/>
      <c r="V55" s="1131"/>
      <c r="W55" s="1131"/>
      <c r="X55" s="1131"/>
      <c r="Y55" s="738"/>
      <c r="Z55" s="738"/>
      <c r="AA55" s="738"/>
      <c r="AB55" s="738"/>
      <c r="AC55" s="738"/>
      <c r="AD55" s="738"/>
      <c r="AE55" s="738"/>
      <c r="AF55" s="738"/>
      <c r="AG55" s="738"/>
      <c r="AH55" s="738"/>
      <c r="AI55" s="738"/>
      <c r="AJ55" s="738"/>
      <c r="AK55" s="738"/>
    </row>
    <row r="56" spans="2:37" s="436" customFormat="1" ht="12">
      <c r="D56" s="1131"/>
      <c r="E56" s="1131"/>
      <c r="F56" s="1131"/>
      <c r="G56" s="1131"/>
      <c r="H56" s="1131"/>
      <c r="I56" s="1131"/>
      <c r="J56" s="1131"/>
      <c r="K56" s="1131"/>
      <c r="L56" s="1131"/>
      <c r="M56" s="1131"/>
      <c r="N56" s="1131"/>
      <c r="O56" s="1131"/>
      <c r="P56" s="1131"/>
      <c r="Q56" s="1131"/>
      <c r="R56" s="1131"/>
      <c r="S56" s="1131"/>
      <c r="T56" s="1131"/>
      <c r="U56" s="1131"/>
      <c r="V56" s="1131"/>
      <c r="W56" s="1131"/>
      <c r="X56" s="1131"/>
      <c r="Y56" s="738"/>
      <c r="Z56" s="738"/>
      <c r="AA56" s="738"/>
      <c r="AB56" s="738"/>
      <c r="AC56" s="738"/>
      <c r="AD56" s="738"/>
      <c r="AE56" s="738"/>
      <c r="AF56" s="738"/>
      <c r="AG56" s="738"/>
      <c r="AH56" s="738"/>
      <c r="AI56" s="738"/>
      <c r="AJ56" s="738"/>
      <c r="AK56" s="738"/>
    </row>
    <row r="57" spans="2:37">
      <c r="B57" s="455"/>
      <c r="C57" s="455"/>
      <c r="D57" s="1073" t="s">
        <v>1461</v>
      </c>
      <c r="E57" s="436"/>
      <c r="F57" s="436"/>
      <c r="G57" s="436"/>
      <c r="H57" s="436"/>
      <c r="I57" s="436"/>
      <c r="J57" s="436"/>
      <c r="K57" s="436"/>
      <c r="L57" s="436"/>
      <c r="M57" s="436"/>
      <c r="N57" s="436"/>
      <c r="O57" s="1072"/>
      <c r="P57" s="1072"/>
      <c r="Q57" s="1072"/>
      <c r="R57" s="1072"/>
      <c r="S57" s="1072"/>
      <c r="T57" s="1072"/>
      <c r="U57" s="1072"/>
      <c r="V57" s="1072"/>
      <c r="W57" s="1072"/>
      <c r="X57" s="455"/>
      <c r="Y57" s="738"/>
      <c r="Z57" s="738"/>
      <c r="AA57" s="738"/>
      <c r="AB57" s="738"/>
      <c r="AC57" s="738"/>
      <c r="AD57" s="738"/>
      <c r="AE57" s="738"/>
      <c r="AF57" s="738"/>
      <c r="AG57" s="738"/>
      <c r="AH57" s="738"/>
      <c r="AI57" s="738"/>
      <c r="AJ57" s="738"/>
      <c r="AK57" s="738"/>
    </row>
    <row r="58" spans="2:37" ht="13.25" customHeight="1">
      <c r="D58" s="1075"/>
      <c r="E58" s="1077"/>
      <c r="F58" s="1802"/>
      <c r="G58" s="1802"/>
      <c r="H58" s="1802"/>
      <c r="I58" s="1802"/>
      <c r="J58" s="1802"/>
      <c r="K58" s="1803" t="s">
        <v>1500</v>
      </c>
      <c r="L58" s="1803"/>
      <c r="M58" s="1078"/>
      <c r="N58" s="1803" t="s">
        <v>1501</v>
      </c>
      <c r="O58" s="1803"/>
      <c r="P58" s="1803"/>
      <c r="Q58" s="1803"/>
      <c r="R58" s="1803"/>
      <c r="S58" s="1804" t="s">
        <v>1502</v>
      </c>
      <c r="T58" s="1804"/>
      <c r="U58" s="1804"/>
      <c r="V58" s="1804"/>
      <c r="W58" s="1079"/>
    </row>
    <row r="59" spans="2:37" ht="20.399999999999999" customHeight="1" thickBot="1">
      <c r="D59" s="1083" t="s">
        <v>94</v>
      </c>
      <c r="E59" s="1085" t="s">
        <v>1505</v>
      </c>
      <c r="F59" s="1085" t="s">
        <v>146</v>
      </c>
      <c r="G59" s="1085" t="s">
        <v>144</v>
      </c>
      <c r="H59" s="1085" t="s">
        <v>141</v>
      </c>
      <c r="I59" s="1085" t="s">
        <v>138</v>
      </c>
      <c r="J59" s="1078" t="s">
        <v>136</v>
      </c>
      <c r="K59" s="1078" t="s">
        <v>1506</v>
      </c>
      <c r="L59" s="1078" t="s">
        <v>1507</v>
      </c>
      <c r="M59" s="1078" t="s">
        <v>1508</v>
      </c>
      <c r="N59" s="1078" t="s">
        <v>1509</v>
      </c>
      <c r="O59" s="1078" t="s">
        <v>1510</v>
      </c>
      <c r="P59" s="1078" t="s">
        <v>1477</v>
      </c>
      <c r="Q59" s="1078" t="s">
        <v>138</v>
      </c>
      <c r="R59" s="1078" t="s">
        <v>1511</v>
      </c>
      <c r="S59" s="1078" t="s">
        <v>1506</v>
      </c>
      <c r="T59" s="1078" t="s">
        <v>1507</v>
      </c>
      <c r="U59" s="1078" t="s">
        <v>1508</v>
      </c>
      <c r="V59" s="1078" t="s">
        <v>1504</v>
      </c>
      <c r="W59" s="1078" t="s">
        <v>1511</v>
      </c>
      <c r="Z59" s="755" t="s">
        <v>1455</v>
      </c>
    </row>
    <row r="60" spans="2:37" ht="11" thickBot="1">
      <c r="C60" s="669">
        <v>1</v>
      </c>
      <c r="D60" s="1132" t="str">
        <f>'GPC Data'!E124</f>
        <v>Comp 1</v>
      </c>
      <c r="E60" s="1133">
        <f>'GPC Data'!P22</f>
        <v>0</v>
      </c>
      <c r="F60" s="1090">
        <f>'GPC Data'!N124</f>
        <v>0</v>
      </c>
      <c r="G60" s="1090">
        <f>'GPC Data'!O124</f>
        <v>0</v>
      </c>
      <c r="H60" s="1090">
        <f>'GPC Data'!P124</f>
        <v>0</v>
      </c>
      <c r="I60" s="1090">
        <f>'GPC Data'!Q124</f>
        <v>0</v>
      </c>
      <c r="J60" s="1090">
        <f>'GPC Data'!R124</f>
        <v>0</v>
      </c>
      <c r="K60" s="1091">
        <f>'GPC Data'!S124</f>
        <v>0</v>
      </c>
      <c r="L60" s="1091">
        <f>'GPC Data'!T124</f>
        <v>0</v>
      </c>
      <c r="M60" s="1091">
        <f>'GPC Data'!U124</f>
        <v>0</v>
      </c>
      <c r="N60" s="1092" t="str">
        <f>IFERROR(F60/#REF!-1,"")</f>
        <v/>
      </c>
      <c r="O60" s="1093" t="e">
        <f>G60/F60-1</f>
        <v>#DIV/0!</v>
      </c>
      <c r="P60" s="1093" t="e">
        <f>H60/G60-1</f>
        <v>#DIV/0!</v>
      </c>
      <c r="Q60" s="1093" t="e">
        <f>I60/H60-1</f>
        <v>#DIV/0!</v>
      </c>
      <c r="R60" s="1134" t="e">
        <f>(I60/F60)^(1/3)-1</f>
        <v>#DIV/0!</v>
      </c>
      <c r="S60" s="1095" t="e">
        <f>K60/I60-1</f>
        <v>#DIV/0!</v>
      </c>
      <c r="T60" s="1095" t="e">
        <f>L60/J60-1</f>
        <v>#DIV/0!</v>
      </c>
      <c r="U60" s="1095" t="e">
        <f>M60/K60-1</f>
        <v>#DIV/0!</v>
      </c>
      <c r="V60" s="1095" t="e">
        <f>(U60/S60)^(1/2)-1</f>
        <v>#DIV/0!</v>
      </c>
      <c r="W60" s="1095" t="e">
        <f>(U60/I60)^(1/3)-1</f>
        <v>#DIV/0!</v>
      </c>
      <c r="Z60" s="677" t="s">
        <v>1368</v>
      </c>
    </row>
    <row r="61" spans="2:37" ht="11" thickBot="1">
      <c r="C61" s="669">
        <v>2</v>
      </c>
      <c r="D61" s="1100" t="str">
        <f>'GPC Data'!E125</f>
        <v>Comp 2</v>
      </c>
      <c r="E61" s="1135">
        <f>'GPC Data'!P23</f>
        <v>0</v>
      </c>
      <c r="F61" s="1102">
        <f>'GPC Data'!N125</f>
        <v>0</v>
      </c>
      <c r="G61" s="1102">
        <f>'GPC Data'!O125</f>
        <v>0</v>
      </c>
      <c r="H61" s="1102">
        <f>'GPC Data'!P125</f>
        <v>0</v>
      </c>
      <c r="I61" s="1102">
        <f>'GPC Data'!Q125</f>
        <v>0</v>
      </c>
      <c r="J61" s="1102">
        <f>'GPC Data'!R125</f>
        <v>0</v>
      </c>
      <c r="K61" s="1103">
        <f>'GPC Data'!S125</f>
        <v>0</v>
      </c>
      <c r="L61" s="1103">
        <f>'GPC Data'!T125</f>
        <v>0</v>
      </c>
      <c r="M61" s="1103">
        <f>'GPC Data'!U125</f>
        <v>0</v>
      </c>
      <c r="N61" s="1104" t="str">
        <f>IFERROR(F61/#REF!-1,"")</f>
        <v/>
      </c>
      <c r="O61" s="1105" t="e">
        <f t="shared" ref="O61:O81" si="29">G61/F61-1</f>
        <v>#DIV/0!</v>
      </c>
      <c r="P61" s="1105" t="e">
        <f t="shared" ref="P61:P81" si="30">H61/G61-1</f>
        <v>#DIV/0!</v>
      </c>
      <c r="Q61" s="1105" t="e">
        <f t="shared" ref="Q61:Q81" si="31">I61/H61-1</f>
        <v>#DIV/0!</v>
      </c>
      <c r="R61" s="1136" t="e">
        <f t="shared" ref="R61:R81" si="32">(I61/F61)^(1/3)-1</f>
        <v>#DIV/0!</v>
      </c>
      <c r="S61" s="1107" t="e">
        <f t="shared" ref="S61:S81" si="33">K61/I61-1</f>
        <v>#DIV/0!</v>
      </c>
      <c r="T61" s="1107" t="e">
        <f t="shared" ref="T61:T81" si="34">L61/J61-1</f>
        <v>#DIV/0!</v>
      </c>
      <c r="U61" s="1107" t="e">
        <f t="shared" ref="U61:U81" si="35">M61/K61-1</f>
        <v>#DIV/0!</v>
      </c>
      <c r="V61" s="1107" t="e">
        <f t="shared" ref="V61:V81" si="36">(U61/S61)^(1/2)-1</f>
        <v>#DIV/0!</v>
      </c>
      <c r="W61" s="1107" t="e">
        <f t="shared" ref="W61:W81" si="37">(U61/I61)^(1/3)-1</f>
        <v>#DIV/0!</v>
      </c>
      <c r="Z61" s="677" t="s">
        <v>1368</v>
      </c>
    </row>
    <row r="62" spans="2:37" ht="11" thickBot="1">
      <c r="C62" s="669">
        <v>3</v>
      </c>
      <c r="D62" s="1100" t="str">
        <f>'GPC Data'!E126</f>
        <v>Comp 3</v>
      </c>
      <c r="E62" s="1135">
        <f>'GPC Data'!P24</f>
        <v>0</v>
      </c>
      <c r="F62" s="1102">
        <f>'GPC Data'!N126</f>
        <v>0</v>
      </c>
      <c r="G62" s="1102">
        <f>'GPC Data'!O126</f>
        <v>0</v>
      </c>
      <c r="H62" s="1102">
        <f>'GPC Data'!P126</f>
        <v>0</v>
      </c>
      <c r="I62" s="1102">
        <f>'GPC Data'!Q126</f>
        <v>0</v>
      </c>
      <c r="J62" s="1102">
        <f>'GPC Data'!R126</f>
        <v>0</v>
      </c>
      <c r="K62" s="1103">
        <f>'GPC Data'!S126</f>
        <v>0</v>
      </c>
      <c r="L62" s="1103">
        <f>'GPC Data'!T126</f>
        <v>0</v>
      </c>
      <c r="M62" s="1103">
        <f>'GPC Data'!U126</f>
        <v>0</v>
      </c>
      <c r="N62" s="1104" t="str">
        <f>IFERROR(F62/#REF!-1,"")</f>
        <v/>
      </c>
      <c r="O62" s="1105" t="e">
        <f t="shared" si="29"/>
        <v>#DIV/0!</v>
      </c>
      <c r="P62" s="1105" t="e">
        <f t="shared" si="30"/>
        <v>#DIV/0!</v>
      </c>
      <c r="Q62" s="1105" t="e">
        <f t="shared" si="31"/>
        <v>#DIV/0!</v>
      </c>
      <c r="R62" s="1136" t="e">
        <f t="shared" si="32"/>
        <v>#DIV/0!</v>
      </c>
      <c r="S62" s="1107" t="e">
        <f t="shared" si="33"/>
        <v>#DIV/0!</v>
      </c>
      <c r="T62" s="1107" t="e">
        <f t="shared" si="34"/>
        <v>#DIV/0!</v>
      </c>
      <c r="U62" s="1107" t="e">
        <f t="shared" si="35"/>
        <v>#DIV/0!</v>
      </c>
      <c r="V62" s="1107" t="e">
        <f t="shared" si="36"/>
        <v>#DIV/0!</v>
      </c>
      <c r="W62" s="1107" t="e">
        <f t="shared" si="37"/>
        <v>#DIV/0!</v>
      </c>
      <c r="Z62" s="677" t="s">
        <v>1368</v>
      </c>
    </row>
    <row r="63" spans="2:37" ht="11" thickBot="1">
      <c r="C63" s="669">
        <v>4</v>
      </c>
      <c r="D63" s="1100" t="str">
        <f>'GPC Data'!E127</f>
        <v>Comp 4</v>
      </c>
      <c r="E63" s="1135">
        <f>'GPC Data'!P25</f>
        <v>0</v>
      </c>
      <c r="F63" s="1102">
        <f>'GPC Data'!N127</f>
        <v>0</v>
      </c>
      <c r="G63" s="1102">
        <f>'GPC Data'!O127</f>
        <v>0</v>
      </c>
      <c r="H63" s="1102">
        <f>'GPC Data'!P127</f>
        <v>0</v>
      </c>
      <c r="I63" s="1102">
        <f>'GPC Data'!Q127</f>
        <v>0</v>
      </c>
      <c r="J63" s="1102">
        <f>'GPC Data'!R127</f>
        <v>0</v>
      </c>
      <c r="K63" s="1103">
        <f>'GPC Data'!S127</f>
        <v>0</v>
      </c>
      <c r="L63" s="1103">
        <f>'GPC Data'!T127</f>
        <v>0</v>
      </c>
      <c r="M63" s="1103">
        <f>'GPC Data'!U127</f>
        <v>0</v>
      </c>
      <c r="N63" s="1104" t="str">
        <f>IFERROR(F63/#REF!-1,"")</f>
        <v/>
      </c>
      <c r="O63" s="1105" t="e">
        <f t="shared" si="29"/>
        <v>#DIV/0!</v>
      </c>
      <c r="P63" s="1105" t="e">
        <f t="shared" si="30"/>
        <v>#DIV/0!</v>
      </c>
      <c r="Q63" s="1105" t="e">
        <f t="shared" si="31"/>
        <v>#DIV/0!</v>
      </c>
      <c r="R63" s="1136" t="e">
        <f t="shared" si="32"/>
        <v>#DIV/0!</v>
      </c>
      <c r="S63" s="1107" t="e">
        <f t="shared" si="33"/>
        <v>#DIV/0!</v>
      </c>
      <c r="T63" s="1107" t="e">
        <f t="shared" si="34"/>
        <v>#DIV/0!</v>
      </c>
      <c r="U63" s="1107" t="e">
        <f t="shared" si="35"/>
        <v>#DIV/0!</v>
      </c>
      <c r="V63" s="1107" t="e">
        <f t="shared" si="36"/>
        <v>#DIV/0!</v>
      </c>
      <c r="W63" s="1107" t="e">
        <f t="shared" si="37"/>
        <v>#DIV/0!</v>
      </c>
      <c r="Z63" s="677" t="s">
        <v>1368</v>
      </c>
    </row>
    <row r="64" spans="2:37" ht="11" thickBot="1">
      <c r="C64" s="669">
        <v>5</v>
      </c>
      <c r="D64" s="1100" t="str">
        <f>'GPC Data'!E128</f>
        <v>Comp 5</v>
      </c>
      <c r="E64" s="1135">
        <f>'GPC Data'!P26</f>
        <v>0</v>
      </c>
      <c r="F64" s="1102">
        <f>'GPC Data'!N128</f>
        <v>0</v>
      </c>
      <c r="G64" s="1102">
        <f>'GPC Data'!O128</f>
        <v>0</v>
      </c>
      <c r="H64" s="1102">
        <f>'GPC Data'!P128</f>
        <v>0</v>
      </c>
      <c r="I64" s="1102">
        <f>'GPC Data'!Q128</f>
        <v>0</v>
      </c>
      <c r="J64" s="1102">
        <f>'GPC Data'!R128</f>
        <v>0</v>
      </c>
      <c r="K64" s="1103">
        <f>'GPC Data'!S128</f>
        <v>0</v>
      </c>
      <c r="L64" s="1103">
        <f>'GPC Data'!T128</f>
        <v>0</v>
      </c>
      <c r="M64" s="1103">
        <f>'GPC Data'!U128</f>
        <v>0</v>
      </c>
      <c r="N64" s="1104" t="str">
        <f>IFERROR(F64/#REF!-1,"")</f>
        <v/>
      </c>
      <c r="O64" s="1105" t="e">
        <f t="shared" si="29"/>
        <v>#DIV/0!</v>
      </c>
      <c r="P64" s="1105" t="e">
        <f t="shared" si="30"/>
        <v>#DIV/0!</v>
      </c>
      <c r="Q64" s="1105" t="e">
        <f t="shared" si="31"/>
        <v>#DIV/0!</v>
      </c>
      <c r="R64" s="1136" t="e">
        <f t="shared" si="32"/>
        <v>#DIV/0!</v>
      </c>
      <c r="S64" s="1107" t="e">
        <f t="shared" si="33"/>
        <v>#DIV/0!</v>
      </c>
      <c r="T64" s="1107" t="e">
        <f t="shared" si="34"/>
        <v>#DIV/0!</v>
      </c>
      <c r="U64" s="1107" t="e">
        <f t="shared" si="35"/>
        <v>#DIV/0!</v>
      </c>
      <c r="V64" s="1107" t="e">
        <f t="shared" si="36"/>
        <v>#DIV/0!</v>
      </c>
      <c r="W64" s="1107" t="e">
        <f t="shared" si="37"/>
        <v>#DIV/0!</v>
      </c>
      <c r="Z64" s="677" t="s">
        <v>1368</v>
      </c>
    </row>
    <row r="65" spans="3:26" ht="11" thickBot="1">
      <c r="C65" s="669">
        <v>6</v>
      </c>
      <c r="D65" s="1100" t="str">
        <f>'GPC Data'!E129</f>
        <v>Comp 6</v>
      </c>
      <c r="E65" s="1135">
        <f>'GPC Data'!P27</f>
        <v>0</v>
      </c>
      <c r="F65" s="1102">
        <f>'GPC Data'!N129</f>
        <v>0</v>
      </c>
      <c r="G65" s="1102">
        <f>'GPC Data'!O129</f>
        <v>0</v>
      </c>
      <c r="H65" s="1102">
        <f>'GPC Data'!P129</f>
        <v>0</v>
      </c>
      <c r="I65" s="1102">
        <f>'GPC Data'!Q129</f>
        <v>0</v>
      </c>
      <c r="J65" s="1102">
        <f>'GPC Data'!R129</f>
        <v>0</v>
      </c>
      <c r="K65" s="1103">
        <f>'GPC Data'!S129</f>
        <v>0</v>
      </c>
      <c r="L65" s="1103">
        <f>'GPC Data'!T129</f>
        <v>0</v>
      </c>
      <c r="M65" s="1103">
        <f>'GPC Data'!U129</f>
        <v>0</v>
      </c>
      <c r="N65" s="1104" t="str">
        <f>IFERROR(F65/#REF!-1,"")</f>
        <v/>
      </c>
      <c r="O65" s="1105" t="e">
        <f t="shared" si="29"/>
        <v>#DIV/0!</v>
      </c>
      <c r="P65" s="1105" t="e">
        <f t="shared" si="30"/>
        <v>#DIV/0!</v>
      </c>
      <c r="Q65" s="1105" t="e">
        <f t="shared" si="31"/>
        <v>#DIV/0!</v>
      </c>
      <c r="R65" s="1136" t="e">
        <f t="shared" si="32"/>
        <v>#DIV/0!</v>
      </c>
      <c r="S65" s="1107" t="e">
        <f t="shared" si="33"/>
        <v>#DIV/0!</v>
      </c>
      <c r="T65" s="1107" t="e">
        <f t="shared" si="34"/>
        <v>#DIV/0!</v>
      </c>
      <c r="U65" s="1107" t="e">
        <f t="shared" si="35"/>
        <v>#DIV/0!</v>
      </c>
      <c r="V65" s="1107" t="e">
        <f t="shared" si="36"/>
        <v>#DIV/0!</v>
      </c>
      <c r="W65" s="1107" t="e">
        <f t="shared" si="37"/>
        <v>#DIV/0!</v>
      </c>
      <c r="Z65" s="677" t="s">
        <v>1368</v>
      </c>
    </row>
    <row r="66" spans="3:26" ht="11" thickBot="1">
      <c r="C66" s="669">
        <v>7</v>
      </c>
      <c r="D66" s="1100" t="str">
        <f>'GPC Data'!E130</f>
        <v>Comp 7</v>
      </c>
      <c r="E66" s="1135">
        <f>'GPC Data'!P28</f>
        <v>0</v>
      </c>
      <c r="F66" s="1102">
        <f>'GPC Data'!N130</f>
        <v>0</v>
      </c>
      <c r="G66" s="1102">
        <f>'GPC Data'!O130</f>
        <v>0</v>
      </c>
      <c r="H66" s="1102">
        <f>'GPC Data'!P130</f>
        <v>0</v>
      </c>
      <c r="I66" s="1102">
        <f>'GPC Data'!Q130</f>
        <v>0</v>
      </c>
      <c r="J66" s="1102">
        <f>'GPC Data'!R130</f>
        <v>0</v>
      </c>
      <c r="K66" s="1103">
        <f>'GPC Data'!S130</f>
        <v>0</v>
      </c>
      <c r="L66" s="1103">
        <f>'GPC Data'!T130</f>
        <v>0</v>
      </c>
      <c r="M66" s="1103">
        <f>'GPC Data'!U130</f>
        <v>0</v>
      </c>
      <c r="N66" s="1104" t="str">
        <f>IFERROR(F66/#REF!-1,"")</f>
        <v/>
      </c>
      <c r="O66" s="1105" t="e">
        <f t="shared" si="29"/>
        <v>#DIV/0!</v>
      </c>
      <c r="P66" s="1105" t="e">
        <f t="shared" si="30"/>
        <v>#DIV/0!</v>
      </c>
      <c r="Q66" s="1105" t="e">
        <f t="shared" si="31"/>
        <v>#DIV/0!</v>
      </c>
      <c r="R66" s="1136" t="e">
        <f t="shared" si="32"/>
        <v>#DIV/0!</v>
      </c>
      <c r="S66" s="1107" t="e">
        <f t="shared" si="33"/>
        <v>#DIV/0!</v>
      </c>
      <c r="T66" s="1107" t="e">
        <f t="shared" si="34"/>
        <v>#DIV/0!</v>
      </c>
      <c r="U66" s="1107" t="e">
        <f t="shared" si="35"/>
        <v>#DIV/0!</v>
      </c>
      <c r="V66" s="1107" t="e">
        <f t="shared" si="36"/>
        <v>#DIV/0!</v>
      </c>
      <c r="W66" s="1107" t="e">
        <f t="shared" si="37"/>
        <v>#DIV/0!</v>
      </c>
      <c r="Z66" s="677" t="s">
        <v>1368</v>
      </c>
    </row>
    <row r="67" spans="3:26" ht="11" thickBot="1">
      <c r="C67" s="669">
        <v>8</v>
      </c>
      <c r="D67" s="1100" t="str">
        <f>'GPC Data'!E131</f>
        <v>Comp 8</v>
      </c>
      <c r="E67" s="1135">
        <f>'GPC Data'!P29</f>
        <v>0</v>
      </c>
      <c r="F67" s="1102">
        <f>'GPC Data'!N131</f>
        <v>0</v>
      </c>
      <c r="G67" s="1102">
        <f>'GPC Data'!O131</f>
        <v>0</v>
      </c>
      <c r="H67" s="1102">
        <f>'GPC Data'!P131</f>
        <v>0</v>
      </c>
      <c r="I67" s="1102">
        <f>'GPC Data'!Q131</f>
        <v>0</v>
      </c>
      <c r="J67" s="1102">
        <f>'GPC Data'!R131</f>
        <v>0</v>
      </c>
      <c r="K67" s="1103">
        <f>'GPC Data'!S131</f>
        <v>0</v>
      </c>
      <c r="L67" s="1103">
        <f>'GPC Data'!T131</f>
        <v>0</v>
      </c>
      <c r="M67" s="1103">
        <f>'GPC Data'!U131</f>
        <v>0</v>
      </c>
      <c r="N67" s="1104" t="str">
        <f>IFERROR(F67/#REF!-1,"")</f>
        <v/>
      </c>
      <c r="O67" s="1105" t="e">
        <f t="shared" si="29"/>
        <v>#DIV/0!</v>
      </c>
      <c r="P67" s="1105" t="e">
        <f t="shared" si="30"/>
        <v>#DIV/0!</v>
      </c>
      <c r="Q67" s="1105" t="e">
        <f t="shared" si="31"/>
        <v>#DIV/0!</v>
      </c>
      <c r="R67" s="1136" t="e">
        <f t="shared" si="32"/>
        <v>#DIV/0!</v>
      </c>
      <c r="S67" s="1107" t="e">
        <f t="shared" si="33"/>
        <v>#DIV/0!</v>
      </c>
      <c r="T67" s="1107" t="e">
        <f t="shared" si="34"/>
        <v>#DIV/0!</v>
      </c>
      <c r="U67" s="1107" t="e">
        <f t="shared" si="35"/>
        <v>#DIV/0!</v>
      </c>
      <c r="V67" s="1107" t="e">
        <f t="shared" si="36"/>
        <v>#DIV/0!</v>
      </c>
      <c r="W67" s="1107" t="e">
        <f t="shared" si="37"/>
        <v>#DIV/0!</v>
      </c>
      <c r="Z67" s="677" t="s">
        <v>1368</v>
      </c>
    </row>
    <row r="68" spans="3:26" ht="11" thickBot="1">
      <c r="C68" s="669">
        <v>9</v>
      </c>
      <c r="D68" s="1100" t="str">
        <f>'GPC Data'!E132</f>
        <v>Comp 9</v>
      </c>
      <c r="E68" s="1135">
        <f>'GPC Data'!P30</f>
        <v>0</v>
      </c>
      <c r="F68" s="1102">
        <f>'GPC Data'!N132</f>
        <v>0</v>
      </c>
      <c r="G68" s="1102">
        <f>'GPC Data'!O132</f>
        <v>0</v>
      </c>
      <c r="H68" s="1102">
        <f>'GPC Data'!P132</f>
        <v>0</v>
      </c>
      <c r="I68" s="1102">
        <f>'GPC Data'!Q132</f>
        <v>0</v>
      </c>
      <c r="J68" s="1102">
        <f>'GPC Data'!R132</f>
        <v>0</v>
      </c>
      <c r="K68" s="1103">
        <f>'GPC Data'!S132</f>
        <v>0</v>
      </c>
      <c r="L68" s="1103">
        <f>'GPC Data'!T132</f>
        <v>0</v>
      </c>
      <c r="M68" s="1103">
        <f>'GPC Data'!U132</f>
        <v>0</v>
      </c>
      <c r="N68" s="1104" t="str">
        <f>IFERROR(F68/#REF!-1,"")</f>
        <v/>
      </c>
      <c r="O68" s="1105" t="e">
        <f t="shared" si="29"/>
        <v>#DIV/0!</v>
      </c>
      <c r="P68" s="1105" t="e">
        <f t="shared" si="30"/>
        <v>#DIV/0!</v>
      </c>
      <c r="Q68" s="1105" t="e">
        <f t="shared" si="31"/>
        <v>#DIV/0!</v>
      </c>
      <c r="R68" s="1136" t="e">
        <f t="shared" si="32"/>
        <v>#DIV/0!</v>
      </c>
      <c r="S68" s="1107" t="e">
        <f t="shared" si="33"/>
        <v>#DIV/0!</v>
      </c>
      <c r="T68" s="1107" t="e">
        <f t="shared" si="34"/>
        <v>#DIV/0!</v>
      </c>
      <c r="U68" s="1107" t="e">
        <f t="shared" si="35"/>
        <v>#DIV/0!</v>
      </c>
      <c r="V68" s="1107" t="e">
        <f t="shared" si="36"/>
        <v>#DIV/0!</v>
      </c>
      <c r="W68" s="1107" t="e">
        <f t="shared" si="37"/>
        <v>#DIV/0!</v>
      </c>
      <c r="Z68" s="677" t="s">
        <v>1368</v>
      </c>
    </row>
    <row r="69" spans="3:26" ht="11" thickBot="1">
      <c r="C69" s="669">
        <v>10</v>
      </c>
      <c r="D69" s="1100" t="str">
        <f>'GPC Data'!E133</f>
        <v>Comp 10</v>
      </c>
      <c r="E69" s="1135">
        <f>'GPC Data'!P31</f>
        <v>0</v>
      </c>
      <c r="F69" s="1102">
        <f>'GPC Data'!N133</f>
        <v>0</v>
      </c>
      <c r="G69" s="1102">
        <f>'GPC Data'!O133</f>
        <v>0</v>
      </c>
      <c r="H69" s="1102">
        <f>'GPC Data'!P133</f>
        <v>0</v>
      </c>
      <c r="I69" s="1102">
        <f>'GPC Data'!Q133</f>
        <v>0</v>
      </c>
      <c r="J69" s="1102">
        <f>'GPC Data'!R133</f>
        <v>0</v>
      </c>
      <c r="K69" s="1103">
        <f>'GPC Data'!S133</f>
        <v>0</v>
      </c>
      <c r="L69" s="1103">
        <f>'GPC Data'!T133</f>
        <v>0</v>
      </c>
      <c r="M69" s="1103">
        <f>'GPC Data'!U133</f>
        <v>0</v>
      </c>
      <c r="N69" s="1104" t="str">
        <f>IFERROR(F69/#REF!-1,"")</f>
        <v/>
      </c>
      <c r="O69" s="1105" t="e">
        <f t="shared" si="29"/>
        <v>#DIV/0!</v>
      </c>
      <c r="P69" s="1105" t="e">
        <f t="shared" si="30"/>
        <v>#DIV/0!</v>
      </c>
      <c r="Q69" s="1105" t="e">
        <f t="shared" si="31"/>
        <v>#DIV/0!</v>
      </c>
      <c r="R69" s="1136" t="e">
        <f t="shared" si="32"/>
        <v>#DIV/0!</v>
      </c>
      <c r="S69" s="1107" t="e">
        <f t="shared" si="33"/>
        <v>#DIV/0!</v>
      </c>
      <c r="T69" s="1107" t="e">
        <f t="shared" si="34"/>
        <v>#DIV/0!</v>
      </c>
      <c r="U69" s="1107" t="e">
        <f t="shared" si="35"/>
        <v>#DIV/0!</v>
      </c>
      <c r="V69" s="1107" t="e">
        <f t="shared" si="36"/>
        <v>#DIV/0!</v>
      </c>
      <c r="W69" s="1107" t="e">
        <f t="shared" si="37"/>
        <v>#DIV/0!</v>
      </c>
      <c r="Z69" s="677" t="s">
        <v>1368</v>
      </c>
    </row>
    <row r="70" spans="3:26" ht="11" hidden="1" outlineLevel="1" thickBot="1">
      <c r="C70" s="669"/>
      <c r="D70" s="1100" t="str">
        <f>'GPC Data'!E134</f>
        <v>Comp 11</v>
      </c>
      <c r="E70" s="1135">
        <f>'GPC Data'!P32</f>
        <v>0</v>
      </c>
      <c r="F70" s="1102">
        <f>'GPC Data'!N134</f>
        <v>0</v>
      </c>
      <c r="G70" s="1102">
        <f>'GPC Data'!O134</f>
        <v>0</v>
      </c>
      <c r="H70" s="1102">
        <f>'GPC Data'!P134</f>
        <v>0</v>
      </c>
      <c r="I70" s="1102">
        <f>'GPC Data'!Q134</f>
        <v>0</v>
      </c>
      <c r="J70" s="1102">
        <f>'GPC Data'!R134</f>
        <v>0</v>
      </c>
      <c r="K70" s="1103">
        <f>'GPC Data'!S134</f>
        <v>0</v>
      </c>
      <c r="L70" s="1103">
        <f>'GPC Data'!T134</f>
        <v>0</v>
      </c>
      <c r="M70" s="1103">
        <f>'GPC Data'!U134</f>
        <v>0</v>
      </c>
      <c r="N70" s="1104" t="str">
        <f>IFERROR(F70/#REF!-1,"")</f>
        <v/>
      </c>
      <c r="O70" s="1105" t="e">
        <f t="shared" si="29"/>
        <v>#DIV/0!</v>
      </c>
      <c r="P70" s="1105" t="e">
        <f t="shared" si="30"/>
        <v>#DIV/0!</v>
      </c>
      <c r="Q70" s="1105" t="e">
        <f t="shared" si="31"/>
        <v>#DIV/0!</v>
      </c>
      <c r="R70" s="1136" t="e">
        <f t="shared" si="32"/>
        <v>#DIV/0!</v>
      </c>
      <c r="S70" s="1107" t="e">
        <f t="shared" si="33"/>
        <v>#DIV/0!</v>
      </c>
      <c r="T70" s="1107" t="e">
        <f t="shared" si="34"/>
        <v>#DIV/0!</v>
      </c>
      <c r="U70" s="1107" t="e">
        <f t="shared" si="35"/>
        <v>#DIV/0!</v>
      </c>
      <c r="V70" s="1107" t="e">
        <f t="shared" si="36"/>
        <v>#DIV/0!</v>
      </c>
      <c r="W70" s="1107" t="e">
        <f t="shared" si="37"/>
        <v>#DIV/0!</v>
      </c>
      <c r="Z70" s="677" t="s">
        <v>106</v>
      </c>
    </row>
    <row r="71" spans="3:26" ht="11" hidden="1" outlineLevel="1" thickBot="1">
      <c r="C71" s="669"/>
      <c r="D71" s="1100" t="str">
        <f>'GPC Data'!E135</f>
        <v>Comp 12</v>
      </c>
      <c r="E71" s="1135">
        <f>'GPC Data'!P33</f>
        <v>0</v>
      </c>
      <c r="F71" s="1102">
        <f>'GPC Data'!N135</f>
        <v>0</v>
      </c>
      <c r="G71" s="1102">
        <f>'GPC Data'!O135</f>
        <v>0</v>
      </c>
      <c r="H71" s="1102">
        <f>'GPC Data'!P135</f>
        <v>0</v>
      </c>
      <c r="I71" s="1102">
        <f>'GPC Data'!Q135</f>
        <v>0</v>
      </c>
      <c r="J71" s="1102">
        <f>'GPC Data'!R135</f>
        <v>0</v>
      </c>
      <c r="K71" s="1103">
        <f>'GPC Data'!S135</f>
        <v>0</v>
      </c>
      <c r="L71" s="1103">
        <f>'GPC Data'!T135</f>
        <v>0</v>
      </c>
      <c r="M71" s="1103">
        <f>'GPC Data'!U135</f>
        <v>0</v>
      </c>
      <c r="N71" s="1104" t="str">
        <f>IFERROR(F71/#REF!-1,"")</f>
        <v/>
      </c>
      <c r="O71" s="1105" t="e">
        <f t="shared" si="29"/>
        <v>#DIV/0!</v>
      </c>
      <c r="P71" s="1105" t="e">
        <f t="shared" si="30"/>
        <v>#DIV/0!</v>
      </c>
      <c r="Q71" s="1105" t="e">
        <f t="shared" si="31"/>
        <v>#DIV/0!</v>
      </c>
      <c r="R71" s="1136" t="e">
        <f t="shared" si="32"/>
        <v>#DIV/0!</v>
      </c>
      <c r="S71" s="1107" t="e">
        <f t="shared" si="33"/>
        <v>#DIV/0!</v>
      </c>
      <c r="T71" s="1107" t="e">
        <f t="shared" si="34"/>
        <v>#DIV/0!</v>
      </c>
      <c r="U71" s="1107" t="e">
        <f t="shared" si="35"/>
        <v>#DIV/0!</v>
      </c>
      <c r="V71" s="1107" t="e">
        <f t="shared" si="36"/>
        <v>#DIV/0!</v>
      </c>
      <c r="W71" s="1107" t="e">
        <f t="shared" si="37"/>
        <v>#DIV/0!</v>
      </c>
      <c r="Z71" s="677" t="s">
        <v>106</v>
      </c>
    </row>
    <row r="72" spans="3:26" ht="11" hidden="1" outlineLevel="1" thickBot="1">
      <c r="C72" s="669"/>
      <c r="D72" s="1100" t="str">
        <f>'GPC Data'!E136</f>
        <v>Comp 13</v>
      </c>
      <c r="E72" s="1135">
        <f>'GPC Data'!P34</f>
        <v>0</v>
      </c>
      <c r="F72" s="1102">
        <f>'GPC Data'!N136</f>
        <v>0</v>
      </c>
      <c r="G72" s="1102">
        <f>'GPC Data'!O136</f>
        <v>0</v>
      </c>
      <c r="H72" s="1102">
        <f>'GPC Data'!P136</f>
        <v>0</v>
      </c>
      <c r="I72" s="1102">
        <f>'GPC Data'!Q136</f>
        <v>0</v>
      </c>
      <c r="J72" s="1102">
        <f>'GPC Data'!R136</f>
        <v>0</v>
      </c>
      <c r="K72" s="1103">
        <f>'GPC Data'!S136</f>
        <v>0</v>
      </c>
      <c r="L72" s="1103">
        <f>'GPC Data'!T136</f>
        <v>0</v>
      </c>
      <c r="M72" s="1103">
        <f>'GPC Data'!U136</f>
        <v>0</v>
      </c>
      <c r="N72" s="1104" t="str">
        <f>IFERROR(F72/#REF!-1,"")</f>
        <v/>
      </c>
      <c r="O72" s="1105" t="e">
        <f t="shared" si="29"/>
        <v>#DIV/0!</v>
      </c>
      <c r="P72" s="1105" t="e">
        <f t="shared" si="30"/>
        <v>#DIV/0!</v>
      </c>
      <c r="Q72" s="1105" t="e">
        <f t="shared" si="31"/>
        <v>#DIV/0!</v>
      </c>
      <c r="R72" s="1136" t="e">
        <f t="shared" si="32"/>
        <v>#DIV/0!</v>
      </c>
      <c r="S72" s="1107" t="e">
        <f t="shared" si="33"/>
        <v>#DIV/0!</v>
      </c>
      <c r="T72" s="1107" t="e">
        <f t="shared" si="34"/>
        <v>#DIV/0!</v>
      </c>
      <c r="U72" s="1107" t="e">
        <f t="shared" si="35"/>
        <v>#DIV/0!</v>
      </c>
      <c r="V72" s="1107" t="e">
        <f t="shared" si="36"/>
        <v>#DIV/0!</v>
      </c>
      <c r="W72" s="1107" t="e">
        <f t="shared" si="37"/>
        <v>#DIV/0!</v>
      </c>
      <c r="Z72" s="677" t="s">
        <v>106</v>
      </c>
    </row>
    <row r="73" spans="3:26" ht="11" hidden="1" outlineLevel="1" thickBot="1">
      <c r="C73" s="669"/>
      <c r="D73" s="1100" t="str">
        <f>'GPC Data'!E137</f>
        <v>Comp 14</v>
      </c>
      <c r="E73" s="1135">
        <f>'GPC Data'!P35</f>
        <v>0</v>
      </c>
      <c r="F73" s="1102">
        <f>'GPC Data'!N137</f>
        <v>0</v>
      </c>
      <c r="G73" s="1102">
        <f>'GPC Data'!O137</f>
        <v>0</v>
      </c>
      <c r="H73" s="1102">
        <f>'GPC Data'!P137</f>
        <v>0</v>
      </c>
      <c r="I73" s="1102">
        <f>'GPC Data'!Q137</f>
        <v>0</v>
      </c>
      <c r="J73" s="1102">
        <f>'GPC Data'!R137</f>
        <v>0</v>
      </c>
      <c r="K73" s="1103">
        <f>'GPC Data'!S137</f>
        <v>0</v>
      </c>
      <c r="L73" s="1103">
        <f>'GPC Data'!T137</f>
        <v>0</v>
      </c>
      <c r="M73" s="1103">
        <f>'GPC Data'!U137</f>
        <v>0</v>
      </c>
      <c r="N73" s="1104" t="str">
        <f>IFERROR(F73/#REF!-1,"")</f>
        <v/>
      </c>
      <c r="O73" s="1105" t="e">
        <f t="shared" si="29"/>
        <v>#DIV/0!</v>
      </c>
      <c r="P73" s="1105" t="e">
        <f t="shared" si="30"/>
        <v>#DIV/0!</v>
      </c>
      <c r="Q73" s="1105" t="e">
        <f t="shared" si="31"/>
        <v>#DIV/0!</v>
      </c>
      <c r="R73" s="1136" t="e">
        <f t="shared" si="32"/>
        <v>#DIV/0!</v>
      </c>
      <c r="S73" s="1107" t="e">
        <f t="shared" si="33"/>
        <v>#DIV/0!</v>
      </c>
      <c r="T73" s="1107" t="e">
        <f t="shared" si="34"/>
        <v>#DIV/0!</v>
      </c>
      <c r="U73" s="1107" t="e">
        <f t="shared" si="35"/>
        <v>#DIV/0!</v>
      </c>
      <c r="V73" s="1107" t="e">
        <f t="shared" si="36"/>
        <v>#DIV/0!</v>
      </c>
      <c r="W73" s="1107" t="e">
        <f t="shared" si="37"/>
        <v>#DIV/0!</v>
      </c>
      <c r="Z73" s="677" t="s">
        <v>106</v>
      </c>
    </row>
    <row r="74" spans="3:26" ht="11" hidden="1" outlineLevel="1" thickBot="1">
      <c r="C74" s="669"/>
      <c r="D74" s="1100" t="str">
        <f>'GPC Data'!E138</f>
        <v>Comp 15</v>
      </c>
      <c r="E74" s="1135">
        <f>'GPC Data'!P36</f>
        <v>0</v>
      </c>
      <c r="F74" s="1102">
        <f>'GPC Data'!N138</f>
        <v>0</v>
      </c>
      <c r="G74" s="1102">
        <f>'GPC Data'!O138</f>
        <v>0</v>
      </c>
      <c r="H74" s="1102">
        <f>'GPC Data'!P138</f>
        <v>0</v>
      </c>
      <c r="I74" s="1102">
        <f>'GPC Data'!Q138</f>
        <v>0</v>
      </c>
      <c r="J74" s="1102">
        <f>'GPC Data'!R138</f>
        <v>0</v>
      </c>
      <c r="K74" s="1103">
        <f>'GPC Data'!S138</f>
        <v>0</v>
      </c>
      <c r="L74" s="1103">
        <f>'GPC Data'!T138</f>
        <v>0</v>
      </c>
      <c r="M74" s="1103">
        <f>'GPC Data'!U138</f>
        <v>0</v>
      </c>
      <c r="N74" s="1104" t="str">
        <f>IFERROR(F74/#REF!-1,"")</f>
        <v/>
      </c>
      <c r="O74" s="1105" t="e">
        <f t="shared" si="29"/>
        <v>#DIV/0!</v>
      </c>
      <c r="P74" s="1105" t="e">
        <f t="shared" si="30"/>
        <v>#DIV/0!</v>
      </c>
      <c r="Q74" s="1105" t="e">
        <f t="shared" si="31"/>
        <v>#DIV/0!</v>
      </c>
      <c r="R74" s="1136" t="e">
        <f t="shared" si="32"/>
        <v>#DIV/0!</v>
      </c>
      <c r="S74" s="1107" t="e">
        <f t="shared" si="33"/>
        <v>#DIV/0!</v>
      </c>
      <c r="T74" s="1107" t="e">
        <f t="shared" si="34"/>
        <v>#DIV/0!</v>
      </c>
      <c r="U74" s="1107" t="e">
        <f t="shared" si="35"/>
        <v>#DIV/0!</v>
      </c>
      <c r="V74" s="1107" t="e">
        <f t="shared" si="36"/>
        <v>#DIV/0!</v>
      </c>
      <c r="W74" s="1107" t="e">
        <f t="shared" si="37"/>
        <v>#DIV/0!</v>
      </c>
      <c r="Z74" s="677" t="s">
        <v>106</v>
      </c>
    </row>
    <row r="75" spans="3:26" ht="11" hidden="1" outlineLevel="1" thickBot="1">
      <c r="C75" s="669"/>
      <c r="D75" s="1100" t="str">
        <f>'GPC Data'!E139</f>
        <v>Comp 16</v>
      </c>
      <c r="E75" s="1135">
        <f>'GPC Data'!P37</f>
        <v>0</v>
      </c>
      <c r="F75" s="1102">
        <f>'GPC Data'!N139</f>
        <v>0</v>
      </c>
      <c r="G75" s="1102">
        <f>'GPC Data'!O139</f>
        <v>0</v>
      </c>
      <c r="H75" s="1102">
        <f>'GPC Data'!P139</f>
        <v>0</v>
      </c>
      <c r="I75" s="1102">
        <f>'GPC Data'!Q139</f>
        <v>0</v>
      </c>
      <c r="J75" s="1102">
        <f>'GPC Data'!R139</f>
        <v>0</v>
      </c>
      <c r="K75" s="1103">
        <f>'GPC Data'!S139</f>
        <v>0</v>
      </c>
      <c r="L75" s="1103">
        <f>'GPC Data'!T139</f>
        <v>0</v>
      </c>
      <c r="M75" s="1103">
        <f>'GPC Data'!U139</f>
        <v>0</v>
      </c>
      <c r="N75" s="1104" t="str">
        <f>IFERROR(F75/#REF!-1,"")</f>
        <v/>
      </c>
      <c r="O75" s="1105" t="e">
        <f t="shared" si="29"/>
        <v>#DIV/0!</v>
      </c>
      <c r="P75" s="1105" t="e">
        <f t="shared" si="30"/>
        <v>#DIV/0!</v>
      </c>
      <c r="Q75" s="1105" t="e">
        <f t="shared" si="31"/>
        <v>#DIV/0!</v>
      </c>
      <c r="R75" s="1136" t="e">
        <f t="shared" si="32"/>
        <v>#DIV/0!</v>
      </c>
      <c r="S75" s="1107" t="e">
        <f t="shared" si="33"/>
        <v>#DIV/0!</v>
      </c>
      <c r="T75" s="1107" t="e">
        <f t="shared" si="34"/>
        <v>#DIV/0!</v>
      </c>
      <c r="U75" s="1107" t="e">
        <f t="shared" si="35"/>
        <v>#DIV/0!</v>
      </c>
      <c r="V75" s="1107" t="e">
        <f t="shared" si="36"/>
        <v>#DIV/0!</v>
      </c>
      <c r="W75" s="1107" t="e">
        <f t="shared" si="37"/>
        <v>#DIV/0!</v>
      </c>
      <c r="Z75" s="677" t="s">
        <v>106</v>
      </c>
    </row>
    <row r="76" spans="3:26" ht="11" hidden="1" outlineLevel="1" thickBot="1">
      <c r="C76" s="669"/>
      <c r="D76" s="1100" t="str">
        <f>'GPC Data'!E140</f>
        <v>Comp 17</v>
      </c>
      <c r="E76" s="1135">
        <f>'GPC Data'!P38</f>
        <v>0</v>
      </c>
      <c r="F76" s="1102">
        <f>'GPC Data'!N140</f>
        <v>0</v>
      </c>
      <c r="G76" s="1102">
        <f>'GPC Data'!O140</f>
        <v>0</v>
      </c>
      <c r="H76" s="1102">
        <f>'GPC Data'!P140</f>
        <v>0</v>
      </c>
      <c r="I76" s="1102">
        <f>'GPC Data'!Q140</f>
        <v>0</v>
      </c>
      <c r="J76" s="1102">
        <f>'GPC Data'!R140</f>
        <v>0</v>
      </c>
      <c r="K76" s="1103">
        <f>'GPC Data'!S140</f>
        <v>0</v>
      </c>
      <c r="L76" s="1103">
        <f>'GPC Data'!T140</f>
        <v>0</v>
      </c>
      <c r="M76" s="1103">
        <f>'GPC Data'!U140</f>
        <v>0</v>
      </c>
      <c r="N76" s="1104" t="str">
        <f>IFERROR(F76/#REF!-1,"")</f>
        <v/>
      </c>
      <c r="O76" s="1105" t="e">
        <f t="shared" si="29"/>
        <v>#DIV/0!</v>
      </c>
      <c r="P76" s="1105" t="e">
        <f t="shared" si="30"/>
        <v>#DIV/0!</v>
      </c>
      <c r="Q76" s="1105" t="e">
        <f t="shared" si="31"/>
        <v>#DIV/0!</v>
      </c>
      <c r="R76" s="1136" t="e">
        <f t="shared" si="32"/>
        <v>#DIV/0!</v>
      </c>
      <c r="S76" s="1107" t="e">
        <f t="shared" si="33"/>
        <v>#DIV/0!</v>
      </c>
      <c r="T76" s="1107" t="e">
        <f t="shared" si="34"/>
        <v>#DIV/0!</v>
      </c>
      <c r="U76" s="1107" t="e">
        <f t="shared" si="35"/>
        <v>#DIV/0!</v>
      </c>
      <c r="V76" s="1107" t="e">
        <f t="shared" si="36"/>
        <v>#DIV/0!</v>
      </c>
      <c r="W76" s="1107" t="e">
        <f t="shared" si="37"/>
        <v>#DIV/0!</v>
      </c>
      <c r="Z76" s="677" t="s">
        <v>106</v>
      </c>
    </row>
    <row r="77" spans="3:26" ht="11" hidden="1" outlineLevel="1" thickBot="1">
      <c r="C77" s="669"/>
      <c r="D77" s="1100" t="str">
        <f>'GPC Data'!E141</f>
        <v>Comp 18</v>
      </c>
      <c r="E77" s="1135">
        <f>'GPC Data'!P39</f>
        <v>0</v>
      </c>
      <c r="F77" s="1102">
        <f>'GPC Data'!N141</f>
        <v>0</v>
      </c>
      <c r="G77" s="1102">
        <f>'GPC Data'!O141</f>
        <v>0</v>
      </c>
      <c r="H77" s="1102">
        <f>'GPC Data'!P141</f>
        <v>0</v>
      </c>
      <c r="I77" s="1102">
        <f>'GPC Data'!Q141</f>
        <v>0</v>
      </c>
      <c r="J77" s="1102">
        <f>'GPC Data'!R141</f>
        <v>0</v>
      </c>
      <c r="K77" s="1103">
        <f>'GPC Data'!S141</f>
        <v>0</v>
      </c>
      <c r="L77" s="1103">
        <f>'GPC Data'!T141</f>
        <v>0</v>
      </c>
      <c r="M77" s="1103">
        <f>'GPC Data'!U141</f>
        <v>0</v>
      </c>
      <c r="N77" s="1104" t="str">
        <f>IFERROR(F77/#REF!-1,"")</f>
        <v/>
      </c>
      <c r="O77" s="1105" t="e">
        <f t="shared" si="29"/>
        <v>#DIV/0!</v>
      </c>
      <c r="P77" s="1105" t="e">
        <f t="shared" si="30"/>
        <v>#DIV/0!</v>
      </c>
      <c r="Q77" s="1105" t="e">
        <f t="shared" si="31"/>
        <v>#DIV/0!</v>
      </c>
      <c r="R77" s="1136" t="e">
        <f t="shared" si="32"/>
        <v>#DIV/0!</v>
      </c>
      <c r="S77" s="1107" t="e">
        <f t="shared" si="33"/>
        <v>#DIV/0!</v>
      </c>
      <c r="T77" s="1107" t="e">
        <f t="shared" si="34"/>
        <v>#DIV/0!</v>
      </c>
      <c r="U77" s="1107" t="e">
        <f t="shared" si="35"/>
        <v>#DIV/0!</v>
      </c>
      <c r="V77" s="1107" t="e">
        <f t="shared" si="36"/>
        <v>#DIV/0!</v>
      </c>
      <c r="W77" s="1107" t="e">
        <f t="shared" si="37"/>
        <v>#DIV/0!</v>
      </c>
      <c r="Z77" s="677" t="s">
        <v>106</v>
      </c>
    </row>
    <row r="78" spans="3:26" ht="11" hidden="1" outlineLevel="1" thickBot="1">
      <c r="C78" s="669"/>
      <c r="D78" s="1100" t="str">
        <f>'GPC Data'!E142</f>
        <v>Comp 19</v>
      </c>
      <c r="E78" s="1135">
        <f>'GPC Data'!P40</f>
        <v>0</v>
      </c>
      <c r="F78" s="1102">
        <f>'GPC Data'!N142</f>
        <v>0</v>
      </c>
      <c r="G78" s="1102">
        <f>'GPC Data'!O142</f>
        <v>0</v>
      </c>
      <c r="H78" s="1102">
        <f>'GPC Data'!P142</f>
        <v>0</v>
      </c>
      <c r="I78" s="1102">
        <f>'GPC Data'!Q142</f>
        <v>0</v>
      </c>
      <c r="J78" s="1102">
        <f>'GPC Data'!R142</f>
        <v>0</v>
      </c>
      <c r="K78" s="1103">
        <f>'GPC Data'!S142</f>
        <v>0</v>
      </c>
      <c r="L78" s="1103">
        <f>'GPC Data'!T142</f>
        <v>0</v>
      </c>
      <c r="M78" s="1103">
        <f>'GPC Data'!U142</f>
        <v>0</v>
      </c>
      <c r="N78" s="1104" t="str">
        <f>IFERROR(F78/#REF!-1,"")</f>
        <v/>
      </c>
      <c r="O78" s="1105" t="e">
        <f t="shared" si="29"/>
        <v>#DIV/0!</v>
      </c>
      <c r="P78" s="1105" t="e">
        <f t="shared" si="30"/>
        <v>#DIV/0!</v>
      </c>
      <c r="Q78" s="1105" t="e">
        <f t="shared" si="31"/>
        <v>#DIV/0!</v>
      </c>
      <c r="R78" s="1136" t="e">
        <f t="shared" si="32"/>
        <v>#DIV/0!</v>
      </c>
      <c r="S78" s="1107" t="e">
        <f t="shared" si="33"/>
        <v>#DIV/0!</v>
      </c>
      <c r="T78" s="1107" t="e">
        <f t="shared" si="34"/>
        <v>#DIV/0!</v>
      </c>
      <c r="U78" s="1107" t="e">
        <f t="shared" si="35"/>
        <v>#DIV/0!</v>
      </c>
      <c r="V78" s="1107" t="e">
        <f t="shared" si="36"/>
        <v>#DIV/0!</v>
      </c>
      <c r="W78" s="1107" t="e">
        <f t="shared" si="37"/>
        <v>#DIV/0!</v>
      </c>
      <c r="Z78" s="677" t="s">
        <v>106</v>
      </c>
    </row>
    <row r="79" spans="3:26" ht="11" hidden="1" outlineLevel="1" thickBot="1">
      <c r="C79" s="669"/>
      <c r="D79" s="1100" t="str">
        <f>'GPC Data'!E143</f>
        <v>Comp 20</v>
      </c>
      <c r="E79" s="1135">
        <f>'GPC Data'!P41</f>
        <v>0</v>
      </c>
      <c r="F79" s="1102">
        <f>'GPC Data'!N143</f>
        <v>0</v>
      </c>
      <c r="G79" s="1102">
        <f>'GPC Data'!O143</f>
        <v>0</v>
      </c>
      <c r="H79" s="1102">
        <f>'GPC Data'!P143</f>
        <v>0</v>
      </c>
      <c r="I79" s="1102">
        <f>'GPC Data'!Q143</f>
        <v>0</v>
      </c>
      <c r="J79" s="1102">
        <f>'GPC Data'!R143</f>
        <v>0</v>
      </c>
      <c r="K79" s="1103">
        <f>'GPC Data'!S143</f>
        <v>0</v>
      </c>
      <c r="L79" s="1103">
        <f>'GPC Data'!T143</f>
        <v>0</v>
      </c>
      <c r="M79" s="1103">
        <f>'GPC Data'!U143</f>
        <v>0</v>
      </c>
      <c r="N79" s="1104" t="str">
        <f>IFERROR(F79/#REF!-1,"")</f>
        <v/>
      </c>
      <c r="O79" s="1105" t="e">
        <f t="shared" si="29"/>
        <v>#DIV/0!</v>
      </c>
      <c r="P79" s="1105" t="e">
        <f t="shared" si="30"/>
        <v>#DIV/0!</v>
      </c>
      <c r="Q79" s="1105" t="e">
        <f t="shared" si="31"/>
        <v>#DIV/0!</v>
      </c>
      <c r="R79" s="1136" t="e">
        <f t="shared" si="32"/>
        <v>#DIV/0!</v>
      </c>
      <c r="S79" s="1107" t="e">
        <f t="shared" si="33"/>
        <v>#DIV/0!</v>
      </c>
      <c r="T79" s="1107" t="e">
        <f t="shared" si="34"/>
        <v>#DIV/0!</v>
      </c>
      <c r="U79" s="1107" t="e">
        <f t="shared" si="35"/>
        <v>#DIV/0!</v>
      </c>
      <c r="V79" s="1107" t="e">
        <f t="shared" si="36"/>
        <v>#DIV/0!</v>
      </c>
      <c r="W79" s="1107" t="e">
        <f t="shared" si="37"/>
        <v>#DIV/0!</v>
      </c>
      <c r="Z79" s="677" t="s">
        <v>106</v>
      </c>
    </row>
    <row r="80" spans="3:26" ht="11" hidden="1" outlineLevel="1" thickBot="1">
      <c r="C80" s="669"/>
      <c r="D80" s="1100" t="str">
        <f>'GPC Data'!E144</f>
        <v>Comp 21</v>
      </c>
      <c r="E80" s="1135">
        <f>'GPC Data'!P42</f>
        <v>0</v>
      </c>
      <c r="F80" s="1102">
        <f>'GPC Data'!N144</f>
        <v>0</v>
      </c>
      <c r="G80" s="1102">
        <f>'GPC Data'!O144</f>
        <v>0</v>
      </c>
      <c r="H80" s="1102">
        <f>'GPC Data'!P144</f>
        <v>0</v>
      </c>
      <c r="I80" s="1102">
        <f>'GPC Data'!Q144</f>
        <v>0</v>
      </c>
      <c r="J80" s="1102">
        <f>'GPC Data'!R144</f>
        <v>0</v>
      </c>
      <c r="K80" s="1103">
        <f>'GPC Data'!S144</f>
        <v>0</v>
      </c>
      <c r="L80" s="1103">
        <f>'GPC Data'!T144</f>
        <v>0</v>
      </c>
      <c r="M80" s="1103">
        <f>'GPC Data'!U144</f>
        <v>0</v>
      </c>
      <c r="N80" s="1104" t="str">
        <f>IFERROR(F80/#REF!-1,"")</f>
        <v/>
      </c>
      <c r="O80" s="1105" t="e">
        <f t="shared" si="29"/>
        <v>#DIV/0!</v>
      </c>
      <c r="P80" s="1105" t="e">
        <f t="shared" si="30"/>
        <v>#DIV/0!</v>
      </c>
      <c r="Q80" s="1105" t="e">
        <f t="shared" si="31"/>
        <v>#DIV/0!</v>
      </c>
      <c r="R80" s="1136" t="e">
        <f t="shared" si="32"/>
        <v>#DIV/0!</v>
      </c>
      <c r="S80" s="1107" t="e">
        <f t="shared" si="33"/>
        <v>#DIV/0!</v>
      </c>
      <c r="T80" s="1107" t="e">
        <f t="shared" si="34"/>
        <v>#DIV/0!</v>
      </c>
      <c r="U80" s="1107" t="e">
        <f t="shared" si="35"/>
        <v>#DIV/0!</v>
      </c>
      <c r="V80" s="1107" t="e">
        <f t="shared" si="36"/>
        <v>#DIV/0!</v>
      </c>
      <c r="W80" s="1107" t="e">
        <f t="shared" si="37"/>
        <v>#DIV/0!</v>
      </c>
      <c r="Z80" s="677" t="s">
        <v>106</v>
      </c>
    </row>
    <row r="81" spans="3:26" ht="11" hidden="1" outlineLevel="1" thickBot="1">
      <c r="C81" s="669"/>
      <c r="D81" s="1100" t="str">
        <f>'GPC Data'!E145</f>
        <v>Comp 22</v>
      </c>
      <c r="E81" s="1135">
        <f>'GPC Data'!P43</f>
        <v>0</v>
      </c>
      <c r="F81" s="1102">
        <f>'GPC Data'!N145</f>
        <v>0</v>
      </c>
      <c r="G81" s="1102">
        <f>'GPC Data'!O145</f>
        <v>0</v>
      </c>
      <c r="H81" s="1102">
        <f>'GPC Data'!P145</f>
        <v>0</v>
      </c>
      <c r="I81" s="1102">
        <f>'GPC Data'!Q145</f>
        <v>0</v>
      </c>
      <c r="J81" s="1102">
        <f>'GPC Data'!R145</f>
        <v>0</v>
      </c>
      <c r="K81" s="1103">
        <f>'GPC Data'!S145</f>
        <v>0</v>
      </c>
      <c r="L81" s="1103">
        <f>'GPC Data'!T145</f>
        <v>0</v>
      </c>
      <c r="M81" s="1103">
        <f>'GPC Data'!U145</f>
        <v>0</v>
      </c>
      <c r="N81" s="1104" t="str">
        <f>IFERROR(F81/#REF!-1,"")</f>
        <v/>
      </c>
      <c r="O81" s="1105" t="e">
        <f t="shared" si="29"/>
        <v>#DIV/0!</v>
      </c>
      <c r="P81" s="1105" t="e">
        <f t="shared" si="30"/>
        <v>#DIV/0!</v>
      </c>
      <c r="Q81" s="1105" t="e">
        <f t="shared" si="31"/>
        <v>#DIV/0!</v>
      </c>
      <c r="R81" s="1136" t="e">
        <f t="shared" si="32"/>
        <v>#DIV/0!</v>
      </c>
      <c r="S81" s="1107" t="e">
        <f t="shared" si="33"/>
        <v>#DIV/0!</v>
      </c>
      <c r="T81" s="1107" t="e">
        <f t="shared" si="34"/>
        <v>#DIV/0!</v>
      </c>
      <c r="U81" s="1107" t="e">
        <f t="shared" si="35"/>
        <v>#DIV/0!</v>
      </c>
      <c r="V81" s="1107" t="e">
        <f t="shared" si="36"/>
        <v>#DIV/0!</v>
      </c>
      <c r="W81" s="1107" t="e">
        <f t="shared" si="37"/>
        <v>#DIV/0!</v>
      </c>
      <c r="Z81" s="677" t="s">
        <v>106</v>
      </c>
    </row>
    <row r="82" spans="3:26" collapsed="1">
      <c r="D82" s="1112" t="str">
        <f>"As of "&amp;TEXT(valuation.date,"d mmmm yyy")&amp;"."&amp;" Historical and forecast consensus financial statements for the selected guideline public companies provided by EIKON."</f>
        <v>As of 30 September 2024. Historical and forecast consensus financial statements for the selected guideline public companies provided by EIKON.</v>
      </c>
      <c r="E82" s="1110"/>
      <c r="F82" s="1110"/>
      <c r="G82" s="1110"/>
      <c r="H82" s="1110"/>
      <c r="I82" s="1110"/>
      <c r="J82" s="1110"/>
      <c r="K82" s="1110"/>
      <c r="L82" s="1110"/>
      <c r="M82" s="1110"/>
      <c r="N82" s="1110"/>
      <c r="O82" s="1110"/>
      <c r="P82" s="1110"/>
      <c r="Q82" s="1110"/>
      <c r="R82" s="1110"/>
      <c r="S82" s="1110"/>
      <c r="T82" s="1110"/>
      <c r="U82" s="1110"/>
      <c r="V82" s="1110"/>
      <c r="W82" s="1110"/>
    </row>
    <row r="83" spans="3:26">
      <c r="D83" s="1112"/>
      <c r="E83" s="1110"/>
      <c r="F83" s="1110"/>
      <c r="G83" s="1110"/>
      <c r="H83" s="1110"/>
      <c r="I83" s="1110"/>
      <c r="J83" s="1110"/>
      <c r="K83" s="1110"/>
      <c r="L83" s="1110"/>
      <c r="M83" s="1110"/>
      <c r="N83" s="1110"/>
      <c r="O83" s="1110"/>
      <c r="P83" s="1110"/>
      <c r="Q83" s="1110"/>
      <c r="R83" s="1110"/>
      <c r="S83" s="1110"/>
      <c r="T83" s="1110"/>
      <c r="U83" s="1110"/>
      <c r="V83" s="1110"/>
      <c r="W83" s="1110"/>
    </row>
    <row r="84" spans="3:26">
      <c r="D84" s="1111"/>
      <c r="E84" s="1113" t="s">
        <v>216</v>
      </c>
      <c r="F84" s="1113"/>
      <c r="G84" s="1113"/>
      <c r="H84" s="1113"/>
      <c r="I84" s="1113"/>
      <c r="J84" s="1113"/>
      <c r="K84" s="1113"/>
      <c r="L84" s="1005"/>
      <c r="M84" s="1005"/>
      <c r="N84" s="1114">
        <f>MAX(N60:N81)</f>
        <v>0</v>
      </c>
      <c r="O84" s="1115" t="e">
        <f t="shared" ref="O84:W84" si="38">MAX(O60:O81)</f>
        <v>#DIV/0!</v>
      </c>
      <c r="P84" s="1115" t="e">
        <f t="shared" si="38"/>
        <v>#DIV/0!</v>
      </c>
      <c r="Q84" s="1115" t="e">
        <f t="shared" si="38"/>
        <v>#DIV/0!</v>
      </c>
      <c r="R84" s="1115" t="e">
        <f t="shared" si="38"/>
        <v>#DIV/0!</v>
      </c>
      <c r="S84" s="1116" t="e">
        <f t="shared" si="38"/>
        <v>#DIV/0!</v>
      </c>
      <c r="T84" s="1116" t="e">
        <f t="shared" si="38"/>
        <v>#DIV/0!</v>
      </c>
      <c r="U84" s="1116" t="e">
        <f t="shared" si="38"/>
        <v>#DIV/0!</v>
      </c>
      <c r="V84" s="1116" t="e">
        <f t="shared" si="38"/>
        <v>#DIV/0!</v>
      </c>
      <c r="W84" s="1116" t="e">
        <f t="shared" si="38"/>
        <v>#DIV/0!</v>
      </c>
    </row>
    <row r="85" spans="3:26">
      <c r="D85" s="1111"/>
      <c r="E85" s="1117" t="s">
        <v>1479</v>
      </c>
      <c r="F85" s="1117"/>
      <c r="G85" s="1117"/>
      <c r="H85" s="1117"/>
      <c r="I85" s="1117"/>
      <c r="J85" s="1117"/>
      <c r="K85" s="1117"/>
      <c r="L85" s="455"/>
      <c r="M85" s="455"/>
      <c r="N85" s="1118" t="e">
        <f>PERCENTILE(N60:N81,0.75)</f>
        <v>#NUM!</v>
      </c>
      <c r="O85" s="1119" t="e">
        <f t="shared" ref="O85:W85" si="39">PERCENTILE(O60:O81,0.75)</f>
        <v>#DIV/0!</v>
      </c>
      <c r="P85" s="1119" t="e">
        <f t="shared" si="39"/>
        <v>#DIV/0!</v>
      </c>
      <c r="Q85" s="1119" t="e">
        <f t="shared" si="39"/>
        <v>#DIV/0!</v>
      </c>
      <c r="R85" s="1119" t="e">
        <f t="shared" si="39"/>
        <v>#DIV/0!</v>
      </c>
      <c r="S85" s="1120" t="e">
        <f t="shared" si="39"/>
        <v>#DIV/0!</v>
      </c>
      <c r="T85" s="1120" t="e">
        <f t="shared" si="39"/>
        <v>#DIV/0!</v>
      </c>
      <c r="U85" s="1120" t="e">
        <f t="shared" si="39"/>
        <v>#DIV/0!</v>
      </c>
      <c r="V85" s="1120" t="e">
        <f t="shared" si="39"/>
        <v>#DIV/0!</v>
      </c>
      <c r="W85" s="1120" t="e">
        <f t="shared" si="39"/>
        <v>#DIV/0!</v>
      </c>
    </row>
    <row r="86" spans="3:26">
      <c r="D86" s="1111"/>
      <c r="E86" s="1117" t="s">
        <v>1380</v>
      </c>
      <c r="F86" s="1117"/>
      <c r="G86" s="1117"/>
      <c r="H86" s="1117"/>
      <c r="I86" s="1117"/>
      <c r="J86" s="1117"/>
      <c r="K86" s="1117"/>
      <c r="L86" s="455"/>
      <c r="M86" s="455"/>
      <c r="N86" s="1118" t="e">
        <f>AVERAGE(N60:N81)</f>
        <v>#DIV/0!</v>
      </c>
      <c r="O86" s="1119" t="e">
        <f t="shared" ref="O86:W86" si="40">AVERAGE(O60:O81)</f>
        <v>#DIV/0!</v>
      </c>
      <c r="P86" s="1119" t="e">
        <f t="shared" si="40"/>
        <v>#DIV/0!</v>
      </c>
      <c r="Q86" s="1119" t="e">
        <f t="shared" si="40"/>
        <v>#DIV/0!</v>
      </c>
      <c r="R86" s="1119" t="e">
        <f t="shared" si="40"/>
        <v>#DIV/0!</v>
      </c>
      <c r="S86" s="1120" t="e">
        <f t="shared" si="40"/>
        <v>#DIV/0!</v>
      </c>
      <c r="T86" s="1120" t="e">
        <f t="shared" si="40"/>
        <v>#DIV/0!</v>
      </c>
      <c r="U86" s="1120" t="e">
        <f t="shared" si="40"/>
        <v>#DIV/0!</v>
      </c>
      <c r="V86" s="1120" t="e">
        <f t="shared" si="40"/>
        <v>#DIV/0!</v>
      </c>
      <c r="W86" s="1120" t="e">
        <f t="shared" si="40"/>
        <v>#DIV/0!</v>
      </c>
    </row>
    <row r="87" spans="3:26" ht="12">
      <c r="D87" s="1121"/>
      <c r="E87" s="1122" t="s">
        <v>1381</v>
      </c>
      <c r="F87" s="1123"/>
      <c r="G87" s="1123"/>
      <c r="H87" s="1123"/>
      <c r="I87" s="1123"/>
      <c r="J87" s="1123"/>
      <c r="K87" s="1123"/>
      <c r="L87" s="443"/>
      <c r="M87" s="443"/>
      <c r="N87" s="1124" t="e">
        <f>MEDIAN(N60:N81)</f>
        <v>#NUM!</v>
      </c>
      <c r="O87" s="1120" t="e">
        <f t="shared" ref="O87:W87" si="41">MEDIAN(O60:O81)</f>
        <v>#DIV/0!</v>
      </c>
      <c r="P87" s="1120" t="e">
        <f t="shared" si="41"/>
        <v>#DIV/0!</v>
      </c>
      <c r="Q87" s="1120" t="e">
        <f t="shared" si="41"/>
        <v>#DIV/0!</v>
      </c>
      <c r="R87" s="1120" t="e">
        <f t="shared" si="41"/>
        <v>#DIV/0!</v>
      </c>
      <c r="S87" s="1120" t="e">
        <f t="shared" si="41"/>
        <v>#DIV/0!</v>
      </c>
      <c r="T87" s="1120" t="e">
        <f t="shared" si="41"/>
        <v>#DIV/0!</v>
      </c>
      <c r="U87" s="1120" t="e">
        <f t="shared" si="41"/>
        <v>#DIV/0!</v>
      </c>
      <c r="V87" s="1120" t="e">
        <f t="shared" si="41"/>
        <v>#DIV/0!</v>
      </c>
      <c r="W87" s="1120" t="e">
        <f t="shared" si="41"/>
        <v>#DIV/0!</v>
      </c>
    </row>
    <row r="88" spans="3:26" ht="12">
      <c r="D88" s="1121"/>
      <c r="E88" s="1117" t="s">
        <v>1480</v>
      </c>
      <c r="F88" s="1126"/>
      <c r="G88" s="1126"/>
      <c r="H88" s="1126"/>
      <c r="I88" s="1126"/>
      <c r="J88" s="1126"/>
      <c r="K88" s="1126"/>
      <c r="L88" s="455"/>
      <c r="M88" s="455"/>
      <c r="N88" s="1118" t="e">
        <f>PERCENTILE(N60:N81,0.25)</f>
        <v>#NUM!</v>
      </c>
      <c r="O88" s="1119" t="e">
        <f t="shared" ref="O88:W88" si="42">PERCENTILE(O60:O81,0.25)</f>
        <v>#DIV/0!</v>
      </c>
      <c r="P88" s="1119" t="e">
        <f t="shared" si="42"/>
        <v>#DIV/0!</v>
      </c>
      <c r="Q88" s="1119" t="e">
        <f t="shared" si="42"/>
        <v>#DIV/0!</v>
      </c>
      <c r="R88" s="1119" t="e">
        <f t="shared" si="42"/>
        <v>#DIV/0!</v>
      </c>
      <c r="S88" s="1120" t="e">
        <f t="shared" si="42"/>
        <v>#DIV/0!</v>
      </c>
      <c r="T88" s="1120" t="e">
        <f t="shared" si="42"/>
        <v>#DIV/0!</v>
      </c>
      <c r="U88" s="1120" t="e">
        <f t="shared" si="42"/>
        <v>#DIV/0!</v>
      </c>
      <c r="V88" s="1120" t="e">
        <f t="shared" si="42"/>
        <v>#DIV/0!</v>
      </c>
      <c r="W88" s="1120" t="e">
        <f t="shared" si="42"/>
        <v>#DIV/0!</v>
      </c>
    </row>
    <row r="89" spans="3:26">
      <c r="D89" s="1111"/>
      <c r="E89" s="1127" t="s">
        <v>215</v>
      </c>
      <c r="F89" s="1127"/>
      <c r="G89" s="1127"/>
      <c r="H89" s="1127"/>
      <c r="I89" s="1127"/>
      <c r="J89" s="1127"/>
      <c r="K89" s="1127"/>
      <c r="L89" s="726"/>
      <c r="M89" s="726"/>
      <c r="N89" s="1128">
        <f>MIN(N60:N81)</f>
        <v>0</v>
      </c>
      <c r="O89" s="1129" t="e">
        <f t="shared" ref="O89:W89" si="43">MIN(O60:O81)</f>
        <v>#DIV/0!</v>
      </c>
      <c r="P89" s="1129" t="e">
        <f t="shared" si="43"/>
        <v>#DIV/0!</v>
      </c>
      <c r="Q89" s="1129" t="e">
        <f t="shared" si="43"/>
        <v>#DIV/0!</v>
      </c>
      <c r="R89" s="1129" t="e">
        <f t="shared" si="43"/>
        <v>#DIV/0!</v>
      </c>
      <c r="S89" s="1130" t="e">
        <f t="shared" si="43"/>
        <v>#DIV/0!</v>
      </c>
      <c r="T89" s="1130" t="e">
        <f t="shared" si="43"/>
        <v>#DIV/0!</v>
      </c>
      <c r="U89" s="1130" t="e">
        <f t="shared" si="43"/>
        <v>#DIV/0!</v>
      </c>
      <c r="V89" s="1130" t="e">
        <f t="shared" si="43"/>
        <v>#DIV/0!</v>
      </c>
      <c r="W89" s="1130" t="e">
        <f t="shared" si="43"/>
        <v>#DIV/0!</v>
      </c>
    </row>
    <row r="90" spans="3:26">
      <c r="D90" s="1111"/>
      <c r="E90" s="703" t="s">
        <v>1382</v>
      </c>
      <c r="F90" s="1111"/>
      <c r="G90" s="1111"/>
      <c r="H90" s="1111"/>
      <c r="I90" s="1111"/>
      <c r="J90" s="1111"/>
      <c r="K90" s="1111"/>
      <c r="N90" s="1054"/>
      <c r="O90" s="1054"/>
      <c r="P90" s="1054"/>
      <c r="Q90" s="1054"/>
      <c r="R90" s="1054"/>
      <c r="S90" s="1054"/>
      <c r="T90" s="1054"/>
      <c r="U90" s="1054"/>
      <c r="V90" s="1054"/>
      <c r="W90" s="1054"/>
    </row>
    <row r="91" spans="3:26">
      <c r="D91" s="1111"/>
      <c r="E91" s="1113" t="s">
        <v>216</v>
      </c>
      <c r="F91" s="1113"/>
      <c r="G91" s="1113"/>
      <c r="H91" s="1113"/>
      <c r="I91" s="1113"/>
      <c r="J91" s="1113"/>
      <c r="K91" s="1113"/>
      <c r="L91" s="1005"/>
      <c r="M91" s="1005"/>
      <c r="N91" s="1114" cm="1">
        <f t="array" ref="N91">IFERROR(MAX(IF($Z$60:$Z$81="No",N60:N81)),"")</f>
        <v>0</v>
      </c>
      <c r="O91" s="1115" t="str" cm="1">
        <f t="array" ref="O91">IFERROR(MAX(IF($Z$60:$Z$81="No",O60:O81)),"")</f>
        <v/>
      </c>
      <c r="P91" s="1115" t="str" cm="1">
        <f t="array" ref="P91">IFERROR(MAX(IF($Z$60:$Z$81="No",P60:P81)),"")</f>
        <v/>
      </c>
      <c r="Q91" s="1115" t="str" cm="1">
        <f t="array" ref="Q91">IFERROR(MAX(IF($Z$60:$Z$81="No",Q60:Q81)),"")</f>
        <v/>
      </c>
      <c r="R91" s="1115" t="str" cm="1">
        <f t="array" ref="R91">IFERROR(MAX(IF($Z$60:$Z$81="No",R60:R81)),"")</f>
        <v/>
      </c>
      <c r="S91" s="1116" t="str" cm="1">
        <f t="array" ref="S91">IFERROR(MAX(IF($Z$60:$Z$81="No",S60:S81)),"")</f>
        <v/>
      </c>
      <c r="T91" s="1116" t="str" cm="1">
        <f t="array" ref="T91">IFERROR(MAX(IF($Z$60:$Z$81="No",T60:T81)),"")</f>
        <v/>
      </c>
      <c r="U91" s="1116" t="str" cm="1">
        <f t="array" ref="U91">IFERROR(MAX(IF($Z$60:$Z$81="No",U60:U81)),"")</f>
        <v/>
      </c>
      <c r="V91" s="1116" t="str" cm="1">
        <f t="array" ref="V91">IFERROR(MAX(IF($Z$60:$Z$81="No",V60:V81)),"")</f>
        <v/>
      </c>
      <c r="W91" s="1116" t="str" cm="1">
        <f t="array" ref="W91">IFERROR(MAX(IF($Z$60:$Z$81="No",W60:W81)),"")</f>
        <v/>
      </c>
    </row>
    <row r="92" spans="3:26">
      <c r="D92" s="1111"/>
      <c r="E92" s="1117" t="s">
        <v>1479</v>
      </c>
      <c r="F92" s="1117"/>
      <c r="G92" s="1117"/>
      <c r="H92" s="1117"/>
      <c r="I92" s="1117"/>
      <c r="J92" s="1117"/>
      <c r="K92" s="1117"/>
      <c r="L92" s="455"/>
      <c r="M92" s="455"/>
      <c r="N92" s="1118" t="e" cm="1">
        <f t="array" ref="N92">PERCENTILE(IF($Z$60:$Z$81="No",N60:N81),0.75)</f>
        <v>#NUM!</v>
      </c>
      <c r="O92" s="1119" t="e" cm="1">
        <f t="array" ref="O92">PERCENTILE(IF($Z$60:$Z$81="No",O60:O81),0.75)</f>
        <v>#DIV/0!</v>
      </c>
      <c r="P92" s="1119" t="e" cm="1">
        <f t="array" ref="P92">PERCENTILE(IF($Z$60:$Z$81="No",P60:P81),0.75)</f>
        <v>#DIV/0!</v>
      </c>
      <c r="Q92" s="1119" t="e" cm="1">
        <f t="array" ref="Q92">PERCENTILE(IF($Z$60:$Z$81="No",Q60:Q81),0.75)</f>
        <v>#DIV/0!</v>
      </c>
      <c r="R92" s="1119" t="e" cm="1">
        <f t="array" ref="R92">PERCENTILE(IF($Z$60:$Z$81="No",R60:R81),0.75)</f>
        <v>#DIV/0!</v>
      </c>
      <c r="S92" s="1120" t="e" cm="1">
        <f t="array" ref="S92">PERCENTILE(IF($Z$60:$Z$81="No",S60:S81),0.75)</f>
        <v>#DIV/0!</v>
      </c>
      <c r="T92" s="1120" t="e" cm="1">
        <f t="array" ref="T92">PERCENTILE(IF($Z$60:$Z$81="No",T60:T81),0.75)</f>
        <v>#DIV/0!</v>
      </c>
      <c r="U92" s="1120" t="e" cm="1">
        <f t="array" ref="U92">PERCENTILE(IF($Z$60:$Z$81="No",U60:U81),0.75)</f>
        <v>#DIV/0!</v>
      </c>
      <c r="V92" s="1120" t="e" cm="1">
        <f t="array" ref="V92">PERCENTILE(IF($Z$60:$Z$81="No",V60:V81),0.75)</f>
        <v>#DIV/0!</v>
      </c>
      <c r="W92" s="1120" t="e" cm="1">
        <f t="array" ref="W92">PERCENTILE(IF($Z$60:$Z$81="No",W60:W81),0.75)</f>
        <v>#DIV/0!</v>
      </c>
    </row>
    <row r="93" spans="3:26">
      <c r="D93" s="1111"/>
      <c r="E93" s="1117" t="s">
        <v>1380</v>
      </c>
      <c r="F93" s="1117"/>
      <c r="G93" s="1117"/>
      <c r="H93" s="1117"/>
      <c r="I93" s="1117"/>
      <c r="J93" s="1117"/>
      <c r="K93" s="1117"/>
      <c r="L93" s="455"/>
      <c r="M93" s="455"/>
      <c r="N93" s="1118" t="str">
        <f>IFERROR(AVERAGEIF($Z$60:$Z$81,"No",N60:N81),"")</f>
        <v/>
      </c>
      <c r="O93" s="1119" t="str">
        <f t="shared" ref="O93:W93" si="44">IFERROR(AVERAGEIF($Z$60:$Z$81,"No",O60:O81),"")</f>
        <v/>
      </c>
      <c r="P93" s="1119" t="str">
        <f t="shared" si="44"/>
        <v/>
      </c>
      <c r="Q93" s="1119" t="str">
        <f t="shared" si="44"/>
        <v/>
      </c>
      <c r="R93" s="1119" t="str">
        <f t="shared" si="44"/>
        <v/>
      </c>
      <c r="S93" s="1120" t="str">
        <f t="shared" si="44"/>
        <v/>
      </c>
      <c r="T93" s="1120" t="str">
        <f t="shared" si="44"/>
        <v/>
      </c>
      <c r="U93" s="1120" t="str">
        <f t="shared" si="44"/>
        <v/>
      </c>
      <c r="V93" s="1120" t="str">
        <f t="shared" si="44"/>
        <v/>
      </c>
      <c r="W93" s="1120" t="str">
        <f t="shared" si="44"/>
        <v/>
      </c>
    </row>
    <row r="94" spans="3:26" ht="12">
      <c r="D94" s="1111"/>
      <c r="E94" s="1122" t="s">
        <v>1381</v>
      </c>
      <c r="F94" s="1123"/>
      <c r="G94" s="1123"/>
      <c r="H94" s="1123"/>
      <c r="I94" s="1123"/>
      <c r="J94" s="1123"/>
      <c r="K94" s="1123"/>
      <c r="L94" s="443"/>
      <c r="M94" s="443"/>
      <c r="N94" s="1124" t="str" cm="1">
        <f t="array" ref="N94">IFERROR(MEDIAN(IF($Z$60:$Z$81="No",N60:N81)),"")</f>
        <v/>
      </c>
      <c r="O94" s="1120" t="str" cm="1">
        <f t="array" ref="O94">IFERROR(MEDIAN(IF($Z$60:$Z$81="No",O60:O81)),"")</f>
        <v/>
      </c>
      <c r="P94" s="1120" t="str" cm="1">
        <f t="array" ref="P94">IFERROR(MEDIAN(IF($Z$60:$Z$81="No",P60:P81)),"")</f>
        <v/>
      </c>
      <c r="Q94" s="1120" t="str" cm="1">
        <f t="array" ref="Q94">IFERROR(MEDIAN(IF($Z$60:$Z$81="No",Q60:Q81)),"")</f>
        <v/>
      </c>
      <c r="R94" s="1120" t="str" cm="1">
        <f t="array" ref="R94">IFERROR(MEDIAN(IF($Z$60:$Z$81="No",R60:R81)),"")</f>
        <v/>
      </c>
      <c r="S94" s="1120" t="str" cm="1">
        <f t="array" ref="S94">IFERROR(MEDIAN(IF($Z$60:$Z$81="No",S60:S81)),"")</f>
        <v/>
      </c>
      <c r="T94" s="1120" t="str" cm="1">
        <f t="array" ref="T94">IFERROR(MEDIAN(IF($Z$60:$Z$81="No",T60:T81)),"")</f>
        <v/>
      </c>
      <c r="U94" s="1120" t="str" cm="1">
        <f t="array" ref="U94">IFERROR(MEDIAN(IF($Z$60:$Z$81="No",U60:U81)),"")</f>
        <v/>
      </c>
      <c r="V94" s="1120" t="str" cm="1">
        <f t="array" ref="V94">IFERROR(MEDIAN(IF($Z$60:$Z$81="No",V60:V81)),"")</f>
        <v/>
      </c>
      <c r="W94" s="1120" t="str" cm="1">
        <f t="array" ref="W94">IFERROR(MEDIAN(IF($Z$60:$Z$81="No",W60:W81)),"")</f>
        <v/>
      </c>
    </row>
    <row r="95" spans="3:26" ht="12">
      <c r="D95" s="1111"/>
      <c r="E95" s="1117" t="s">
        <v>1480</v>
      </c>
      <c r="F95" s="1126"/>
      <c r="G95" s="1126"/>
      <c r="H95" s="1126"/>
      <c r="I95" s="1126"/>
      <c r="J95" s="1126"/>
      <c r="K95" s="1126"/>
      <c r="L95" s="455"/>
      <c r="M95" s="455"/>
      <c r="N95" s="1118" t="e" cm="1">
        <f t="array" ref="N95">PERCENTILE(IF($Z$60:$Z$81="No",N60:N81),0.25)</f>
        <v>#NUM!</v>
      </c>
      <c r="O95" s="1119" t="e" cm="1">
        <f t="array" ref="O95">PERCENTILE(IF($Z$60:$Z$81="No",O60:O81),0.25)</f>
        <v>#DIV/0!</v>
      </c>
      <c r="P95" s="1119" t="e" cm="1">
        <f t="array" ref="P95">PERCENTILE(IF($Z$60:$Z$81="No",P60:P81),0.25)</f>
        <v>#DIV/0!</v>
      </c>
      <c r="Q95" s="1119" t="e" cm="1">
        <f t="array" ref="Q95">PERCENTILE(IF($Z$60:$Z$81="No",Q60:Q81),0.25)</f>
        <v>#DIV/0!</v>
      </c>
      <c r="R95" s="1119" t="e" cm="1">
        <f t="array" ref="R95">PERCENTILE(IF($Z$60:$Z$81="No",R60:R81),0.25)</f>
        <v>#DIV/0!</v>
      </c>
      <c r="S95" s="1120" t="e" cm="1">
        <f t="array" ref="S95">PERCENTILE(IF($Z$60:$Z$81="No",S60:S81),0.25)</f>
        <v>#DIV/0!</v>
      </c>
      <c r="T95" s="1120" t="e" cm="1">
        <f t="array" ref="T95">PERCENTILE(IF($Z$60:$Z$81="No",T60:T81),0.25)</f>
        <v>#DIV/0!</v>
      </c>
      <c r="U95" s="1120" t="e" cm="1">
        <f t="array" ref="U95">PERCENTILE(IF($Z$60:$Z$81="No",U60:U81),0.25)</f>
        <v>#DIV/0!</v>
      </c>
      <c r="V95" s="1120" t="e" cm="1">
        <f t="array" ref="V95">PERCENTILE(IF($Z$60:$Z$81="No",V60:V81),0.25)</f>
        <v>#DIV/0!</v>
      </c>
      <c r="W95" s="1120" t="e" cm="1">
        <f t="array" ref="W95">PERCENTILE(IF($Z$60:$Z$81="No",W60:W81),0.25)</f>
        <v>#DIV/0!</v>
      </c>
    </row>
    <row r="96" spans="3:26" ht="12">
      <c r="D96" s="1131"/>
      <c r="E96" s="1127" t="s">
        <v>215</v>
      </c>
      <c r="F96" s="1127"/>
      <c r="G96" s="1127"/>
      <c r="H96" s="1127"/>
      <c r="I96" s="1127"/>
      <c r="J96" s="1127"/>
      <c r="K96" s="1127"/>
      <c r="L96" s="726"/>
      <c r="M96" s="726"/>
      <c r="N96" s="1128" cm="1">
        <f t="array" ref="N96">IFERROR(MIN(IF($Z$60:$Z$81="No",N60:N81)),"")</f>
        <v>0</v>
      </c>
      <c r="O96" s="1129" t="str" cm="1">
        <f t="array" ref="O96">IFERROR(MIN(IF($Z$60:$Z$81="No",O60:O81)),"")</f>
        <v/>
      </c>
      <c r="P96" s="1129" t="str" cm="1">
        <f t="array" ref="P96">IFERROR(MIN(IF($Z$60:$Z$81="No",P60:P81)),"")</f>
        <v/>
      </c>
      <c r="Q96" s="1129" t="str" cm="1">
        <f t="array" ref="Q96">IFERROR(MIN(IF($Z$60:$Z$81="No",Q60:Q81)),"")</f>
        <v/>
      </c>
      <c r="R96" s="1129" t="str" cm="1">
        <f t="array" ref="R96">IFERROR(MIN(IF($Z$60:$Z$81="No",R60:R81)),"")</f>
        <v/>
      </c>
      <c r="S96" s="1130" t="str" cm="1">
        <f t="array" ref="S96">IFERROR(MIN(IF($Z$60:$Z$81="No",S60:S81)),"")</f>
        <v/>
      </c>
      <c r="T96" s="1130" t="str" cm="1">
        <f t="array" ref="T96">IFERROR(MIN(IF($Z$60:$Z$81="No",T60:T81)),"")</f>
        <v/>
      </c>
      <c r="U96" s="1130" t="str" cm="1">
        <f t="array" ref="U96">IFERROR(MIN(IF($Z$60:$Z$81="No",U60:U81)),"")</f>
        <v/>
      </c>
      <c r="V96" s="1130" t="str" cm="1">
        <f t="array" ref="V96">IFERROR(MIN(IF($Z$60:$Z$81="No",V60:V81)),"")</f>
        <v/>
      </c>
      <c r="W96" s="1130" t="str" cm="1">
        <f t="array" ref="W96">IFERROR(MIN(IF($Z$60:$Z$81="No",W60:W81)),"")</f>
        <v/>
      </c>
    </row>
  </sheetData>
  <sheetProtection formatCells="0" formatColumns="0" formatRows="0" insertColumns="0" insertRows="0" insertHyperlinks="0" deleteColumns="0" deleteRows="0" sort="0" autoFilter="0" pivotTables="0"/>
  <mergeCells count="8">
    <mergeCell ref="F58:J58"/>
    <mergeCell ref="K58:L58"/>
    <mergeCell ref="N58:R58"/>
    <mergeCell ref="S58:V58"/>
    <mergeCell ref="F8:J8"/>
    <mergeCell ref="K8:L8"/>
    <mergeCell ref="N8:R8"/>
    <mergeCell ref="S8:V8"/>
  </mergeCells>
  <dataValidations count="1">
    <dataValidation type="list" allowBlank="1" showInputMessage="1" showErrorMessage="1" sqref="Z10:Z39 Z60:Z81" xr:uid="{00000000-0002-0000-0B00-000000000000}">
      <formula1>"Yes, No"</formula1>
    </dataValidation>
  </dataValidations>
  <pageMargins left="0.7" right="0.7" top="0.75" bottom="0.75" header="0.3" footer="0.3"/>
  <pageSetup paperSize="9" scale="34" orientation="portrait" r:id="rId1"/>
  <headerFooter>
    <oddHeader>&amp;R&amp;"Arial"&amp;8&amp;K000000Confidential&amp;1#</oddHeader>
  </headerFooter>
  <colBreaks count="1" manualBreakCount="1">
    <brk id="24" max="1048575"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theme="9" tint="-9.9978637043366805E-2"/>
  </sheetPr>
  <dimension ref="B1:AF105"/>
  <sheetViews>
    <sheetView showGridLines="0" view="pageBreakPreview" zoomScale="70" zoomScaleNormal="100" zoomScaleSheetLayoutView="70" workbookViewId="0">
      <selection activeCell="N4" sqref="N4"/>
    </sheetView>
  </sheetViews>
  <sheetFormatPr defaultColWidth="8.84375" defaultRowHeight="10.5" outlineLevelRow="1"/>
  <cols>
    <col min="1" max="1" width="3.3828125" style="433" customWidth="1"/>
    <col min="2" max="2" width="3" style="433" customWidth="1"/>
    <col min="3" max="3" width="2" style="433" customWidth="1"/>
    <col min="4" max="4" width="24.84375" style="433" customWidth="1"/>
    <col min="5" max="5" width="11.07421875" style="433" customWidth="1"/>
    <col min="6" max="13" width="8.53515625" style="433" customWidth="1"/>
    <col min="14" max="15" width="5.07421875" style="433" customWidth="1"/>
    <col min="16" max="25" width="8.53515625" style="433" customWidth="1"/>
    <col min="26" max="26" width="2.84375" style="433" customWidth="1"/>
    <col min="27" max="16384" width="8.84375" style="433"/>
  </cols>
  <sheetData>
    <row r="1" spans="2:32" s="603" customFormat="1">
      <c r="O1" s="617"/>
      <c r="P1" s="617"/>
      <c r="Q1" s="617"/>
      <c r="R1" s="617"/>
      <c r="S1" s="617"/>
      <c r="T1" s="617"/>
      <c r="U1" s="617"/>
      <c r="V1" s="617"/>
      <c r="W1" s="617"/>
      <c r="X1" s="617"/>
      <c r="Y1" s="617"/>
      <c r="Z1" s="617"/>
      <c r="AA1" s="617"/>
    </row>
    <row r="2" spans="2:32" s="618" customFormat="1" ht="15.5">
      <c r="B2" s="744" t="str">
        <f>Inputs!B2</f>
        <v>Valify - UAE Valuation Services</v>
      </c>
      <c r="C2" s="1137"/>
      <c r="D2" s="1137"/>
      <c r="E2" s="1137"/>
      <c r="F2" s="1137"/>
      <c r="G2" s="1137"/>
      <c r="H2" s="1137"/>
      <c r="I2" s="1137"/>
      <c r="J2" s="1137"/>
      <c r="K2" s="1137"/>
      <c r="L2" s="1137"/>
      <c r="M2" s="1137"/>
      <c r="N2" s="984"/>
      <c r="O2"/>
      <c r="P2"/>
      <c r="Q2"/>
      <c r="R2"/>
      <c r="S2"/>
      <c r="T2" s="617"/>
      <c r="U2" s="617"/>
      <c r="V2" s="617"/>
      <c r="W2" s="617"/>
      <c r="X2" s="617"/>
      <c r="Y2" s="617"/>
      <c r="Z2" s="617"/>
      <c r="AA2" s="617"/>
    </row>
    <row r="3" spans="2:32" s="617" customFormat="1" ht="15.5">
      <c r="B3" s="985" t="str">
        <f>Inputs!$B$3</f>
        <v>Aerial Arts India XXXXXXXXXXXXXXXXX - Self Valuation using DCF Method, Transaction Multiples Method, &amp; Market Multiples Method as at September 30, 2024</v>
      </c>
      <c r="C3" s="745"/>
      <c r="D3" s="745"/>
      <c r="E3" s="745"/>
      <c r="F3" s="745"/>
      <c r="G3" s="745"/>
      <c r="H3" s="745"/>
      <c r="I3" s="745"/>
      <c r="J3" s="745"/>
      <c r="K3" s="745"/>
      <c r="L3" s="745"/>
      <c r="M3" s="745"/>
      <c r="N3" s="988"/>
      <c r="O3"/>
      <c r="P3"/>
      <c r="Q3"/>
      <c r="R3"/>
      <c r="S3"/>
    </row>
    <row r="4" spans="2:32" s="617" customFormat="1" ht="15.5">
      <c r="B4" s="985" t="s">
        <v>1512</v>
      </c>
      <c r="C4" s="745"/>
      <c r="D4" s="745"/>
      <c r="E4" s="745"/>
      <c r="F4" s="745"/>
      <c r="G4" s="745"/>
      <c r="H4" s="745"/>
      <c r="I4" s="745"/>
      <c r="J4" s="745"/>
      <c r="K4" s="745"/>
      <c r="L4" s="745"/>
      <c r="M4" s="745"/>
      <c r="N4" s="742" t="str">
        <f>valuation.date.header</f>
        <v>Valuation Date:  September 30, 2024</v>
      </c>
      <c r="O4"/>
      <c r="P4"/>
      <c r="Q4"/>
      <c r="R4"/>
      <c r="S4"/>
    </row>
    <row r="5" spans="2:32" s="617" customFormat="1" ht="15.5">
      <c r="B5" s="1138"/>
      <c r="C5" s="1138"/>
      <c r="D5" s="1138"/>
      <c r="E5" s="1138"/>
      <c r="F5" s="1138"/>
      <c r="G5" s="1138"/>
      <c r="H5" s="1138"/>
      <c r="I5" s="1138"/>
      <c r="J5" s="1138"/>
      <c r="K5" s="1138"/>
      <c r="L5" s="1138"/>
      <c r="M5" s="1138"/>
      <c r="N5" s="1138"/>
      <c r="O5"/>
      <c r="P5"/>
      <c r="Q5"/>
      <c r="R5"/>
      <c r="S5"/>
    </row>
    <row r="6" spans="2:32" s="436" customFormat="1">
      <c r="B6" s="665"/>
      <c r="C6" s="665"/>
      <c r="D6" s="1073" t="s">
        <v>1902</v>
      </c>
      <c r="K6" s="665"/>
      <c r="L6" s="665"/>
      <c r="M6" s="665"/>
      <c r="N6" s="665"/>
      <c r="O6" s="665"/>
      <c r="P6" s="665"/>
      <c r="Q6" s="1139"/>
      <c r="R6" s="1139"/>
      <c r="S6" s="1139"/>
      <c r="T6" s="1139"/>
      <c r="U6" s="1139"/>
      <c r="V6" s="1139"/>
      <c r="W6" s="1139"/>
      <c r="X6" s="1139"/>
      <c r="Y6" s="1139"/>
      <c r="Z6" s="665"/>
    </row>
    <row r="7" spans="2:32" s="436" customFormat="1" ht="12" customHeight="1">
      <c r="B7" s="1074"/>
      <c r="D7" s="1075"/>
      <c r="E7" s="1077"/>
      <c r="F7" s="1802"/>
      <c r="G7" s="1802"/>
      <c r="H7" s="1802"/>
      <c r="I7" s="1802"/>
      <c r="J7" s="1802"/>
      <c r="K7" s="1803" t="s">
        <v>1500</v>
      </c>
      <c r="L7" s="1803"/>
      <c r="M7" s="1803"/>
      <c r="N7" s="1140"/>
      <c r="O7" s="1140"/>
      <c r="P7" s="1082"/>
      <c r="Q7" s="1082"/>
      <c r="R7" s="1141"/>
      <c r="S7" s="1141"/>
      <c r="T7" s="1142" t="s">
        <v>138</v>
      </c>
      <c r="U7" s="1143" t="s">
        <v>1484</v>
      </c>
      <c r="V7" s="1143" t="s">
        <v>1381</v>
      </c>
      <c r="W7" s="1143"/>
      <c r="X7" s="1141"/>
      <c r="Y7" s="1141"/>
      <c r="Z7" s="662" t="s">
        <v>1503</v>
      </c>
      <c r="AA7" s="662" t="s">
        <v>1503</v>
      </c>
      <c r="AB7" s="662" t="s">
        <v>1503</v>
      </c>
      <c r="AC7" s="662" t="s">
        <v>1503</v>
      </c>
      <c r="AD7" s="662" t="s">
        <v>1503</v>
      </c>
      <c r="AE7" s="662" t="s">
        <v>1503</v>
      </c>
      <c r="AF7" s="662" t="s">
        <v>1503</v>
      </c>
    </row>
    <row r="8" spans="2:32" s="436" customFormat="1" ht="12" customHeight="1" thickBot="1">
      <c r="D8" s="1083" t="s">
        <v>94</v>
      </c>
      <c r="E8" s="1085"/>
      <c r="F8" s="1085" t="s">
        <v>146</v>
      </c>
      <c r="G8" s="1085" t="s">
        <v>144</v>
      </c>
      <c r="H8" s="1085" t="s">
        <v>141</v>
      </c>
      <c r="I8" s="1085" t="s">
        <v>138</v>
      </c>
      <c r="J8" s="1078" t="s">
        <v>136</v>
      </c>
      <c r="K8" s="1085" t="s">
        <v>1506</v>
      </c>
      <c r="L8" s="1085" t="s">
        <v>1507</v>
      </c>
      <c r="M8" s="1078" t="s">
        <v>1508</v>
      </c>
      <c r="N8" s="1140"/>
      <c r="O8" s="1140"/>
      <c r="P8" s="755" t="s">
        <v>1455</v>
      </c>
      <c r="Q8" s="1082"/>
      <c r="R8" s="1141"/>
      <c r="S8" s="1141" t="str">
        <f>client.name.long</f>
        <v>Aerial Arts India XXXXXXXXXXXXXXXXX</v>
      </c>
      <c r="T8" s="1144"/>
      <c r="U8" s="1145"/>
      <c r="V8" s="1145">
        <f>MEDIAN($I$102,$K$102)</f>
        <v>0</v>
      </c>
      <c r="W8" s="1146"/>
      <c r="X8" s="1141"/>
      <c r="Y8" s="1141"/>
      <c r="Z8" s="660"/>
      <c r="AA8" s="660"/>
      <c r="AB8" s="660"/>
      <c r="AC8" s="660"/>
      <c r="AD8" s="660"/>
      <c r="AE8" s="660"/>
      <c r="AF8" s="660"/>
    </row>
    <row r="9" spans="2:32" s="436" customFormat="1" ht="11" thickBot="1">
      <c r="C9" s="1087">
        <v>1</v>
      </c>
      <c r="D9" s="1088" t="str">
        <f>'GPC Data'!E124</f>
        <v>Comp 1</v>
      </c>
      <c r="E9" s="1147"/>
      <c r="F9" s="1134"/>
      <c r="G9" s="1134" t="str">
        <f>IFERROR(Growth!#REF!/Growth!#REF!,"")</f>
        <v/>
      </c>
      <c r="H9" s="1134">
        <f>'GPC Data'!F192</f>
        <v>0</v>
      </c>
      <c r="I9" s="1134">
        <f>'GPC Data'!G192</f>
        <v>0</v>
      </c>
      <c r="J9" s="1134">
        <f>'GPC Data'!H192</f>
        <v>0</v>
      </c>
      <c r="K9" s="1134">
        <f>'GPC Data'!I192</f>
        <v>0</v>
      </c>
      <c r="L9" s="1134">
        <f>'GPC Data'!J192</f>
        <v>0</v>
      </c>
      <c r="M9" s="1134">
        <f>'GPC Data'!K192</f>
        <v>0</v>
      </c>
      <c r="N9" s="1140"/>
      <c r="O9" s="1140"/>
      <c r="P9" s="677" t="s">
        <v>1368</v>
      </c>
      <c r="Q9" s="1082"/>
      <c r="R9" s="1141"/>
      <c r="S9" s="1141" t="str">
        <f t="shared" ref="S9:S17" si="0">D9</f>
        <v>Comp 1</v>
      </c>
      <c r="T9" s="1148">
        <f t="shared" ref="T9:T17" si="1">I9</f>
        <v>0</v>
      </c>
      <c r="U9" s="1149">
        <f t="shared" ref="U9:U17" si="2">K9</f>
        <v>0</v>
      </c>
      <c r="V9" s="1149">
        <f>MEDIAN($I$102,$K$102)</f>
        <v>0</v>
      </c>
      <c r="W9" s="1141"/>
      <c r="X9" s="1150">
        <v>0</v>
      </c>
      <c r="Y9" s="1150"/>
      <c r="Z9" s="660"/>
      <c r="AA9" s="660"/>
      <c r="AB9" s="660"/>
      <c r="AC9" s="660"/>
      <c r="AD9" s="660"/>
      <c r="AE9" s="660"/>
      <c r="AF9" s="660"/>
    </row>
    <row r="10" spans="2:32" s="436" customFormat="1" ht="11" thickBot="1">
      <c r="C10" s="1087">
        <v>2</v>
      </c>
      <c r="D10" s="1151" t="str">
        <f>'GPC Data'!E125</f>
        <v>Comp 2</v>
      </c>
      <c r="E10" s="1135"/>
      <c r="F10" s="1136" t="str">
        <f>IFERROR(Growth!#REF!/Growth!#REF!,"")</f>
        <v/>
      </c>
      <c r="G10" s="1136" t="str">
        <f>IFERROR(Growth!#REF!/Growth!#REF!,"")</f>
        <v/>
      </c>
      <c r="H10" s="1136">
        <f>'GPC Data'!F193</f>
        <v>0</v>
      </c>
      <c r="I10" s="1136">
        <f>'GPC Data'!G193</f>
        <v>0</v>
      </c>
      <c r="J10" s="1136">
        <f>'GPC Data'!H193</f>
        <v>0</v>
      </c>
      <c r="K10" s="1136">
        <f>'GPC Data'!I193</f>
        <v>0</v>
      </c>
      <c r="L10" s="1136">
        <f>'GPC Data'!J193</f>
        <v>0</v>
      </c>
      <c r="M10" s="1136">
        <f>'GPC Data'!K193</f>
        <v>0</v>
      </c>
      <c r="N10" s="1140"/>
      <c r="O10" s="1140"/>
      <c r="P10" s="677" t="s">
        <v>1368</v>
      </c>
      <c r="Q10" s="1082"/>
      <c r="R10" s="1141"/>
      <c r="S10" s="1141" t="str">
        <f t="shared" si="0"/>
        <v>Comp 2</v>
      </c>
      <c r="T10" s="1148">
        <f t="shared" si="1"/>
        <v>0</v>
      </c>
      <c r="U10" s="1149">
        <f t="shared" si="2"/>
        <v>0</v>
      </c>
      <c r="V10" s="1149">
        <f>MEDIAN($I$102,$K$102)</f>
        <v>0</v>
      </c>
      <c r="W10" s="1141"/>
      <c r="X10" s="1150">
        <v>1.5</v>
      </c>
      <c r="Y10" s="1150"/>
      <c r="Z10" s="660"/>
      <c r="AA10" s="660"/>
      <c r="AB10" s="660"/>
      <c r="AC10" s="660"/>
      <c r="AD10" s="660"/>
      <c r="AE10" s="660"/>
      <c r="AF10" s="660"/>
    </row>
    <row r="11" spans="2:32" s="436" customFormat="1" ht="11" thickBot="1">
      <c r="C11" s="1087">
        <v>3</v>
      </c>
      <c r="D11" s="1151" t="str">
        <f>'GPC Data'!E126</f>
        <v>Comp 3</v>
      </c>
      <c r="E11" s="1135"/>
      <c r="F11" s="1136" t="str">
        <f>IFERROR(Growth!#REF!/Growth!#REF!,"")</f>
        <v/>
      </c>
      <c r="G11" s="1136" t="str">
        <f>IFERROR(Growth!#REF!/Growth!#REF!,"")</f>
        <v/>
      </c>
      <c r="H11" s="1136">
        <f>'GPC Data'!F194</f>
        <v>0</v>
      </c>
      <c r="I11" s="1136">
        <f>'GPC Data'!G194</f>
        <v>0</v>
      </c>
      <c r="J11" s="1136">
        <f>'GPC Data'!H194</f>
        <v>0</v>
      </c>
      <c r="K11" s="1136">
        <f>'GPC Data'!I194</f>
        <v>0</v>
      </c>
      <c r="L11" s="1136">
        <f>'GPC Data'!J194</f>
        <v>0</v>
      </c>
      <c r="M11" s="1136">
        <f>'GPC Data'!K194</f>
        <v>0</v>
      </c>
      <c r="N11" s="1140"/>
      <c r="O11" s="1140"/>
      <c r="P11" s="677" t="s">
        <v>1368</v>
      </c>
      <c r="Q11" s="1082"/>
      <c r="R11" s="1141"/>
      <c r="S11" s="1141" t="str">
        <f t="shared" si="0"/>
        <v>Comp 3</v>
      </c>
      <c r="T11" s="1148">
        <f t="shared" si="1"/>
        <v>0</v>
      </c>
      <c r="U11" s="1149">
        <f t="shared" si="2"/>
        <v>0</v>
      </c>
      <c r="V11" s="1141"/>
      <c r="W11" s="1141"/>
      <c r="X11" s="1141"/>
      <c r="Y11" s="1141"/>
      <c r="Z11" s="660" t="s">
        <v>1503</v>
      </c>
      <c r="AA11" s="660" t="s">
        <v>1503</v>
      </c>
      <c r="AB11" s="660" t="s">
        <v>1503</v>
      </c>
      <c r="AC11" s="660" t="s">
        <v>1503</v>
      </c>
      <c r="AD11" s="660" t="s">
        <v>1503</v>
      </c>
      <c r="AE11" s="660" t="s">
        <v>1503</v>
      </c>
      <c r="AF11" s="660" t="s">
        <v>1503</v>
      </c>
    </row>
    <row r="12" spans="2:32" s="436" customFormat="1" ht="11" thickBot="1">
      <c r="C12" s="1087">
        <v>4</v>
      </c>
      <c r="D12" s="1151" t="str">
        <f>'GPC Data'!E127</f>
        <v>Comp 4</v>
      </c>
      <c r="E12" s="1135"/>
      <c r="F12" s="1136" t="str">
        <f>IFERROR(Growth!#REF!/Growth!#REF!,"")</f>
        <v/>
      </c>
      <c r="G12" s="1136" t="str">
        <f>IFERROR(Growth!#REF!/Growth!#REF!,"")</f>
        <v/>
      </c>
      <c r="H12" s="1136">
        <f>'GPC Data'!F195</f>
        <v>0</v>
      </c>
      <c r="I12" s="1136">
        <f>'GPC Data'!G195</f>
        <v>0</v>
      </c>
      <c r="J12" s="1136">
        <f>'GPC Data'!H195</f>
        <v>0</v>
      </c>
      <c r="K12" s="1136">
        <f>'GPC Data'!I195</f>
        <v>0</v>
      </c>
      <c r="L12" s="1136">
        <f>'GPC Data'!J195</f>
        <v>0</v>
      </c>
      <c r="M12" s="1136">
        <f>'GPC Data'!K195</f>
        <v>0</v>
      </c>
      <c r="N12" s="1140"/>
      <c r="O12" s="1140"/>
      <c r="P12" s="677" t="s">
        <v>1368</v>
      </c>
      <c r="Q12" s="1082"/>
      <c r="R12" s="1141"/>
      <c r="S12" s="1141" t="str">
        <f t="shared" si="0"/>
        <v>Comp 4</v>
      </c>
      <c r="T12" s="1148">
        <f t="shared" si="1"/>
        <v>0</v>
      </c>
      <c r="U12" s="1149">
        <f t="shared" si="2"/>
        <v>0</v>
      </c>
      <c r="V12" s="1141"/>
      <c r="W12" s="1141"/>
      <c r="X12" s="1141"/>
      <c r="Y12" s="1141"/>
      <c r="Z12" s="660" t="s">
        <v>1503</v>
      </c>
      <c r="AA12" s="660" t="s">
        <v>1503</v>
      </c>
      <c r="AB12" s="660" t="s">
        <v>1503</v>
      </c>
      <c r="AC12" s="660" t="s">
        <v>1503</v>
      </c>
      <c r="AD12" s="660" t="s">
        <v>1503</v>
      </c>
      <c r="AE12" s="660" t="s">
        <v>1503</v>
      </c>
      <c r="AF12" s="660" t="s">
        <v>1503</v>
      </c>
    </row>
    <row r="13" spans="2:32" s="436" customFormat="1" ht="11" thickBot="1">
      <c r="C13" s="1087">
        <v>5</v>
      </c>
      <c r="D13" s="1151" t="str">
        <f>'GPC Data'!E128</f>
        <v>Comp 5</v>
      </c>
      <c r="E13" s="1135"/>
      <c r="F13" s="1136" t="str">
        <f>IFERROR(Growth!#REF!/Growth!#REF!,"")</f>
        <v/>
      </c>
      <c r="G13" s="1136" t="str">
        <f>IFERROR(Growth!#REF!/Growth!#REF!,"")</f>
        <v/>
      </c>
      <c r="H13" s="1136">
        <f>'GPC Data'!F196</f>
        <v>0</v>
      </c>
      <c r="I13" s="1136">
        <f>'GPC Data'!G196</f>
        <v>0</v>
      </c>
      <c r="J13" s="1136">
        <f>'GPC Data'!H196</f>
        <v>0</v>
      </c>
      <c r="K13" s="1136">
        <f>'GPC Data'!I196</f>
        <v>0</v>
      </c>
      <c r="L13" s="1136">
        <f>'GPC Data'!J196</f>
        <v>0</v>
      </c>
      <c r="M13" s="1136">
        <f>'GPC Data'!K196</f>
        <v>0</v>
      </c>
      <c r="N13" s="1140"/>
      <c r="O13" s="1140"/>
      <c r="P13" s="677" t="s">
        <v>1368</v>
      </c>
      <c r="Q13" s="1082"/>
      <c r="R13" s="1141"/>
      <c r="S13" s="1141" t="str">
        <f t="shared" si="0"/>
        <v>Comp 5</v>
      </c>
      <c r="T13" s="1148">
        <f t="shared" si="1"/>
        <v>0</v>
      </c>
      <c r="U13" s="1149">
        <f t="shared" si="2"/>
        <v>0</v>
      </c>
      <c r="V13" s="1141"/>
      <c r="W13" s="1141"/>
      <c r="X13" s="1141"/>
      <c r="Y13" s="1141"/>
      <c r="Z13" s="660"/>
      <c r="AA13" s="660"/>
      <c r="AB13" s="660"/>
      <c r="AC13" s="660"/>
      <c r="AD13" s="660"/>
      <c r="AE13" s="660"/>
      <c r="AF13" s="660"/>
    </row>
    <row r="14" spans="2:32" s="436" customFormat="1" ht="11" thickBot="1">
      <c r="C14" s="1087">
        <v>6</v>
      </c>
      <c r="D14" s="1151" t="str">
        <f>'GPC Data'!E129</f>
        <v>Comp 6</v>
      </c>
      <c r="E14" s="1135"/>
      <c r="F14" s="1136" t="str">
        <f>IFERROR(Growth!#REF!/Growth!#REF!,"")</f>
        <v/>
      </c>
      <c r="G14" s="1136" t="str">
        <f>IFERROR(Growth!#REF!/Growth!#REF!,"")</f>
        <v/>
      </c>
      <c r="H14" s="1136">
        <f>'GPC Data'!F197</f>
        <v>0</v>
      </c>
      <c r="I14" s="1136">
        <f>'GPC Data'!G197</f>
        <v>0</v>
      </c>
      <c r="J14" s="1136">
        <f>'GPC Data'!H197</f>
        <v>0</v>
      </c>
      <c r="K14" s="1136">
        <f>'GPC Data'!I197</f>
        <v>0</v>
      </c>
      <c r="L14" s="1136">
        <f>'GPC Data'!J197</f>
        <v>0</v>
      </c>
      <c r="M14" s="1136">
        <f>'GPC Data'!K197</f>
        <v>0</v>
      </c>
      <c r="N14" s="1140"/>
      <c r="O14" s="1140"/>
      <c r="P14" s="677" t="s">
        <v>1368</v>
      </c>
      <c r="Q14" s="1082"/>
      <c r="R14" s="1141"/>
      <c r="S14" s="1141" t="str">
        <f t="shared" si="0"/>
        <v>Comp 6</v>
      </c>
      <c r="T14" s="1148">
        <f t="shared" si="1"/>
        <v>0</v>
      </c>
      <c r="U14" s="1149">
        <f t="shared" si="2"/>
        <v>0</v>
      </c>
      <c r="V14" s="1141"/>
      <c r="W14" s="1141"/>
      <c r="X14" s="1141"/>
      <c r="Y14" s="1141"/>
      <c r="Z14" s="660" t="s">
        <v>1503</v>
      </c>
      <c r="AA14" s="660" t="s">
        <v>1503</v>
      </c>
      <c r="AB14" s="660" t="s">
        <v>1503</v>
      </c>
      <c r="AC14" s="660" t="s">
        <v>1503</v>
      </c>
      <c r="AD14" s="660" t="s">
        <v>1503</v>
      </c>
      <c r="AE14" s="660" t="s">
        <v>1503</v>
      </c>
      <c r="AF14" s="660" t="s">
        <v>1503</v>
      </c>
    </row>
    <row r="15" spans="2:32" s="436" customFormat="1" ht="11" thickBot="1">
      <c r="C15" s="1087">
        <v>7</v>
      </c>
      <c r="D15" s="1151" t="str">
        <f>'GPC Data'!E130</f>
        <v>Comp 7</v>
      </c>
      <c r="E15" s="1135"/>
      <c r="F15" s="1136" t="str">
        <f>IFERROR(Growth!#REF!/Growth!#REF!,"")</f>
        <v/>
      </c>
      <c r="G15" s="1136" t="str">
        <f>IFERROR(Growth!#REF!/Growth!#REF!,"")</f>
        <v/>
      </c>
      <c r="H15" s="1136">
        <f>'GPC Data'!F198</f>
        <v>0</v>
      </c>
      <c r="I15" s="1136">
        <f>'GPC Data'!G198</f>
        <v>0</v>
      </c>
      <c r="J15" s="1136">
        <f>'GPC Data'!H198</f>
        <v>0</v>
      </c>
      <c r="K15" s="1136">
        <f>'GPC Data'!I198</f>
        <v>0</v>
      </c>
      <c r="L15" s="1136">
        <f>'GPC Data'!J198</f>
        <v>0</v>
      </c>
      <c r="M15" s="1136">
        <f>'GPC Data'!K198</f>
        <v>0</v>
      </c>
      <c r="N15" s="1140"/>
      <c r="O15" s="1140"/>
      <c r="P15" s="677" t="s">
        <v>1368</v>
      </c>
      <c r="Q15" s="1082"/>
      <c r="R15" s="1141"/>
      <c r="S15" s="1141" t="str">
        <f t="shared" si="0"/>
        <v>Comp 7</v>
      </c>
      <c r="T15" s="1148">
        <f t="shared" si="1"/>
        <v>0</v>
      </c>
      <c r="U15" s="1149">
        <f t="shared" si="2"/>
        <v>0</v>
      </c>
      <c r="V15" s="1141"/>
      <c r="W15" s="1141"/>
      <c r="X15" s="1141"/>
      <c r="Y15" s="1141"/>
      <c r="Z15" s="660" t="s">
        <v>1503</v>
      </c>
      <c r="AA15" s="660" t="s">
        <v>1503</v>
      </c>
      <c r="AB15" s="660" t="s">
        <v>1503</v>
      </c>
      <c r="AC15" s="660" t="s">
        <v>1503</v>
      </c>
      <c r="AD15" s="660" t="s">
        <v>1503</v>
      </c>
      <c r="AE15" s="660" t="s">
        <v>1503</v>
      </c>
      <c r="AF15" s="660" t="s">
        <v>1503</v>
      </c>
    </row>
    <row r="16" spans="2:32" s="436" customFormat="1" ht="11" thickBot="1">
      <c r="C16" s="1087">
        <v>8</v>
      </c>
      <c r="D16" s="1151" t="str">
        <f>'GPC Data'!E131</f>
        <v>Comp 8</v>
      </c>
      <c r="E16" s="1135"/>
      <c r="F16" s="1136" t="str">
        <f>IFERROR(Growth!#REF!/Growth!#REF!,"")</f>
        <v/>
      </c>
      <c r="G16" s="1136" t="str">
        <f>IFERROR(Growth!#REF!/Growth!#REF!,"")</f>
        <v/>
      </c>
      <c r="H16" s="1136">
        <f>'GPC Data'!F199</f>
        <v>0</v>
      </c>
      <c r="I16" s="1136">
        <f>'GPC Data'!G199</f>
        <v>0</v>
      </c>
      <c r="J16" s="1136">
        <f>'GPC Data'!H199</f>
        <v>0</v>
      </c>
      <c r="K16" s="1136">
        <f>'GPC Data'!I199</f>
        <v>0</v>
      </c>
      <c r="L16" s="1136">
        <f>'GPC Data'!J199</f>
        <v>0</v>
      </c>
      <c r="M16" s="1136">
        <f>'GPC Data'!K199</f>
        <v>0</v>
      </c>
      <c r="N16" s="1140"/>
      <c r="O16" s="1140"/>
      <c r="P16" s="677" t="s">
        <v>1368</v>
      </c>
      <c r="Q16" s="1082"/>
      <c r="R16" s="1141"/>
      <c r="S16" s="1141" t="str">
        <f t="shared" si="0"/>
        <v>Comp 8</v>
      </c>
      <c r="T16" s="1148">
        <f t="shared" si="1"/>
        <v>0</v>
      </c>
      <c r="U16" s="1149">
        <f t="shared" si="2"/>
        <v>0</v>
      </c>
      <c r="V16" s="1141"/>
      <c r="W16" s="1141"/>
      <c r="X16" s="1141"/>
      <c r="Y16" s="1141"/>
      <c r="Z16" s="660"/>
      <c r="AA16" s="660"/>
      <c r="AB16" s="660"/>
      <c r="AC16" s="660"/>
      <c r="AD16" s="660"/>
      <c r="AE16" s="660"/>
      <c r="AF16" s="660"/>
    </row>
    <row r="17" spans="3:32" s="436" customFormat="1" ht="11" thickBot="1">
      <c r="C17" s="1087">
        <v>9</v>
      </c>
      <c r="D17" s="1151" t="str">
        <f>'GPC Data'!E132</f>
        <v>Comp 9</v>
      </c>
      <c r="E17" s="1135"/>
      <c r="F17" s="1136" t="str">
        <f>IFERROR(Growth!#REF!/Growth!#REF!,"")</f>
        <v/>
      </c>
      <c r="G17" s="1136" t="str">
        <f>IFERROR(Growth!#REF!/Growth!#REF!,"")</f>
        <v/>
      </c>
      <c r="H17" s="1136">
        <f>'GPC Data'!F200</f>
        <v>0</v>
      </c>
      <c r="I17" s="1136">
        <f>'GPC Data'!G200</f>
        <v>0</v>
      </c>
      <c r="J17" s="1136">
        <f>'GPC Data'!H200</f>
        <v>0</v>
      </c>
      <c r="K17" s="1136">
        <f>'GPC Data'!I200</f>
        <v>0</v>
      </c>
      <c r="L17" s="1136">
        <f>'GPC Data'!J200</f>
        <v>0</v>
      </c>
      <c r="M17" s="1136">
        <f>'GPC Data'!K200</f>
        <v>0</v>
      </c>
      <c r="N17" s="1140"/>
      <c r="O17" s="1140"/>
      <c r="P17" s="677" t="s">
        <v>1368</v>
      </c>
      <c r="Q17" s="1082"/>
      <c r="R17" s="1141"/>
      <c r="S17" s="1141" t="str">
        <f t="shared" si="0"/>
        <v>Comp 9</v>
      </c>
      <c r="T17" s="1148">
        <f t="shared" si="1"/>
        <v>0</v>
      </c>
      <c r="U17" s="1149">
        <f t="shared" si="2"/>
        <v>0</v>
      </c>
      <c r="V17" s="1141"/>
      <c r="W17" s="1141"/>
      <c r="X17" s="1141"/>
      <c r="Y17" s="1141"/>
      <c r="Z17" s="660" t="s">
        <v>1503</v>
      </c>
      <c r="AA17" s="660" t="s">
        <v>1503</v>
      </c>
      <c r="AB17" s="660" t="s">
        <v>1503</v>
      </c>
      <c r="AC17" s="660" t="s">
        <v>1503</v>
      </c>
      <c r="AD17" s="660" t="s">
        <v>1503</v>
      </c>
      <c r="AE17" s="660" t="s">
        <v>1503</v>
      </c>
      <c r="AF17" s="660" t="s">
        <v>1503</v>
      </c>
    </row>
    <row r="18" spans="3:32" s="436" customFormat="1" ht="11" thickBot="1">
      <c r="C18" s="1087"/>
      <c r="D18" s="1151" t="str">
        <f>'GPC Data'!E133</f>
        <v>Comp 10</v>
      </c>
      <c r="E18" s="1135"/>
      <c r="F18" s="1136" t="str">
        <f>IFERROR(Growth!F1/Growth!#REF!,"")</f>
        <v/>
      </c>
      <c r="G18" s="1136" t="str">
        <f>IFERROR(Growth!G1/Growth!#REF!,"")</f>
        <v/>
      </c>
      <c r="H18" s="1136">
        <f>'GPC Data'!F201</f>
        <v>0</v>
      </c>
      <c r="I18" s="1136">
        <f>'GPC Data'!G201</f>
        <v>0</v>
      </c>
      <c r="J18" s="1136">
        <f>'GPC Data'!H201</f>
        <v>0</v>
      </c>
      <c r="K18" s="1136">
        <f>'GPC Data'!I201</f>
        <v>0</v>
      </c>
      <c r="L18" s="1136">
        <f>'GPC Data'!J201</f>
        <v>0</v>
      </c>
      <c r="M18" s="1136">
        <f>'GPC Data'!K201</f>
        <v>0</v>
      </c>
      <c r="N18" s="1140"/>
      <c r="O18" s="1140"/>
      <c r="P18" s="677" t="s">
        <v>1368</v>
      </c>
      <c r="Q18" s="1082"/>
      <c r="R18" s="1141"/>
      <c r="S18" s="1141"/>
      <c r="T18" s="1148"/>
      <c r="U18" s="1149"/>
      <c r="V18" s="1141"/>
      <c r="W18" s="1141"/>
      <c r="X18" s="1141"/>
      <c r="Y18" s="1141"/>
      <c r="Z18" s="660"/>
      <c r="AA18" s="660"/>
      <c r="AB18" s="660"/>
      <c r="AC18" s="660"/>
      <c r="AD18" s="660"/>
      <c r="AE18" s="660"/>
      <c r="AF18" s="660"/>
    </row>
    <row r="19" spans="3:32" s="436" customFormat="1" ht="10.75" customHeight="1" outlineLevel="1" thickBot="1">
      <c r="C19" s="1087"/>
      <c r="D19" s="1151" t="str">
        <f>'GPC Data'!E134</f>
        <v>Comp 11</v>
      </c>
      <c r="E19" s="1135"/>
      <c r="F19" s="1136" t="str">
        <f>IFERROR(Growth!F14/Growth!#REF!,"")</f>
        <v/>
      </c>
      <c r="G19" s="1136" t="str">
        <f>IFERROR(Growth!G14/Growth!#REF!,"")</f>
        <v/>
      </c>
      <c r="H19" s="1136">
        <f>'GPC Data'!F202</f>
        <v>0</v>
      </c>
      <c r="I19" s="1136">
        <f>'GPC Data'!G202</f>
        <v>0</v>
      </c>
      <c r="J19" s="1136">
        <f>'GPC Data'!H202</f>
        <v>0</v>
      </c>
      <c r="K19" s="1136">
        <f>'GPC Data'!I202</f>
        <v>0</v>
      </c>
      <c r="L19" s="1136">
        <f>'GPC Data'!J202</f>
        <v>0</v>
      </c>
      <c r="M19" s="1136">
        <f>'GPC Data'!K202</f>
        <v>0</v>
      </c>
      <c r="N19" s="1140"/>
      <c r="O19" s="1140"/>
      <c r="P19" s="677" t="s">
        <v>106</v>
      </c>
      <c r="Q19" s="1082"/>
      <c r="R19" s="1141"/>
      <c r="S19" s="1141"/>
      <c r="T19" s="1148"/>
      <c r="U19" s="1149"/>
      <c r="V19" s="1141"/>
      <c r="W19" s="1141"/>
      <c r="X19" s="1141"/>
      <c r="Y19" s="1141"/>
      <c r="Z19" s="660"/>
      <c r="AA19" s="660"/>
      <c r="AB19" s="660"/>
      <c r="AC19" s="660"/>
      <c r="AD19" s="660"/>
      <c r="AE19" s="660"/>
      <c r="AF19" s="660"/>
    </row>
    <row r="20" spans="3:32" s="436" customFormat="1" ht="10.75" customHeight="1" outlineLevel="1" thickBot="1">
      <c r="C20" s="1087"/>
      <c r="D20" s="1151" t="str">
        <f>'GPC Data'!E135</f>
        <v>Comp 12</v>
      </c>
      <c r="E20" s="1135"/>
      <c r="F20" s="1136" t="str">
        <f>IFERROR(Growth!F15/Growth!#REF!,"")</f>
        <v/>
      </c>
      <c r="G20" s="1136" t="str">
        <f>IFERROR(Growth!G15/Growth!#REF!,"")</f>
        <v/>
      </c>
      <c r="H20" s="1136">
        <f>'GPC Data'!F203</f>
        <v>0</v>
      </c>
      <c r="I20" s="1136">
        <f>'GPC Data'!G203</f>
        <v>0</v>
      </c>
      <c r="J20" s="1136">
        <f>'GPC Data'!H203</f>
        <v>0</v>
      </c>
      <c r="K20" s="1136">
        <f>'GPC Data'!I203</f>
        <v>0</v>
      </c>
      <c r="L20" s="1136">
        <f>'GPC Data'!J203</f>
        <v>0</v>
      </c>
      <c r="M20" s="1136">
        <f>'GPC Data'!K203</f>
        <v>0</v>
      </c>
      <c r="N20" s="1140"/>
      <c r="O20" s="1140"/>
      <c r="P20" s="677" t="s">
        <v>106</v>
      </c>
      <c r="Q20" s="1082"/>
      <c r="R20" s="1141"/>
      <c r="S20" s="1141"/>
      <c r="T20" s="1148"/>
      <c r="U20" s="1149"/>
      <c r="V20" s="1141"/>
      <c r="W20" s="1141"/>
      <c r="X20" s="1141"/>
      <c r="Y20" s="1141"/>
      <c r="Z20" s="660"/>
      <c r="AA20" s="660"/>
      <c r="AB20" s="660"/>
      <c r="AC20" s="660"/>
      <c r="AD20" s="660"/>
      <c r="AE20" s="660"/>
      <c r="AF20" s="660"/>
    </row>
    <row r="21" spans="3:32" s="436" customFormat="1" ht="10.75" customHeight="1" outlineLevel="1" thickBot="1">
      <c r="C21" s="1087"/>
      <c r="D21" s="1151" t="str">
        <f>'GPC Data'!E136</f>
        <v>Comp 13</v>
      </c>
      <c r="E21" s="1135"/>
      <c r="F21" s="1136" t="str">
        <f>IFERROR(Growth!F16/Growth!#REF!,"")</f>
        <v/>
      </c>
      <c r="G21" s="1136" t="str">
        <f>IFERROR(Growth!G16/Growth!#REF!,"")</f>
        <v/>
      </c>
      <c r="H21" s="1136">
        <f>'GPC Data'!F204</f>
        <v>0</v>
      </c>
      <c r="I21" s="1136">
        <f>'GPC Data'!G204</f>
        <v>0</v>
      </c>
      <c r="J21" s="1136">
        <f>'GPC Data'!H204</f>
        <v>0</v>
      </c>
      <c r="K21" s="1136">
        <f>'GPC Data'!I204</f>
        <v>0</v>
      </c>
      <c r="L21" s="1136">
        <f>'GPC Data'!J204</f>
        <v>0</v>
      </c>
      <c r="M21" s="1136">
        <f>'GPC Data'!K204</f>
        <v>0</v>
      </c>
      <c r="N21" s="1140"/>
      <c r="O21" s="1140"/>
      <c r="P21" s="677" t="s">
        <v>106</v>
      </c>
      <c r="Q21" s="1082"/>
      <c r="R21" s="1141"/>
      <c r="S21" s="1141"/>
      <c r="T21" s="1148"/>
      <c r="U21" s="1149"/>
      <c r="V21" s="1141"/>
      <c r="W21" s="1141"/>
      <c r="X21" s="1141"/>
      <c r="Y21" s="1141"/>
      <c r="Z21" s="660"/>
      <c r="AA21" s="660"/>
      <c r="AB21" s="660"/>
      <c r="AC21" s="660"/>
      <c r="AD21" s="660"/>
      <c r="AE21" s="660"/>
      <c r="AF21" s="660"/>
    </row>
    <row r="22" spans="3:32" s="436" customFormat="1" ht="10.75" customHeight="1" outlineLevel="1" thickBot="1">
      <c r="C22" s="1087"/>
      <c r="D22" s="1151" t="str">
        <f>'GPC Data'!E137</f>
        <v>Comp 14</v>
      </c>
      <c r="E22" s="1135"/>
      <c r="F22" s="1136" t="str">
        <f>IFERROR(Growth!F17/Growth!#REF!,"")</f>
        <v/>
      </c>
      <c r="G22" s="1136" t="str">
        <f>IFERROR(Growth!G17/Growth!#REF!,"")</f>
        <v/>
      </c>
      <c r="H22" s="1136">
        <f>'GPC Data'!F205</f>
        <v>0</v>
      </c>
      <c r="I22" s="1136">
        <f>'GPC Data'!G205</f>
        <v>0</v>
      </c>
      <c r="J22" s="1136">
        <f>'GPC Data'!H205</f>
        <v>0</v>
      </c>
      <c r="K22" s="1136">
        <f>'GPC Data'!I205</f>
        <v>0</v>
      </c>
      <c r="L22" s="1136">
        <f>'GPC Data'!J205</f>
        <v>0</v>
      </c>
      <c r="M22" s="1136">
        <f>'GPC Data'!K205</f>
        <v>0</v>
      </c>
      <c r="N22" s="1140"/>
      <c r="O22" s="1140"/>
      <c r="P22" s="677" t="s">
        <v>106</v>
      </c>
      <c r="Q22" s="1082"/>
      <c r="R22" s="1141"/>
      <c r="S22" s="1141"/>
      <c r="T22" s="1148"/>
      <c r="U22" s="1149"/>
      <c r="V22" s="1141"/>
      <c r="W22" s="1141"/>
      <c r="X22" s="1141"/>
      <c r="Y22" s="1141"/>
      <c r="Z22" s="660"/>
      <c r="AA22" s="660"/>
      <c r="AB22" s="660"/>
      <c r="AC22" s="660"/>
      <c r="AD22" s="660"/>
      <c r="AE22" s="660"/>
      <c r="AF22" s="660"/>
    </row>
    <row r="23" spans="3:32" s="436" customFormat="1" ht="10.75" customHeight="1" outlineLevel="1" thickBot="1">
      <c r="C23" s="1087"/>
      <c r="D23" s="1151" t="str">
        <f>'GPC Data'!E138</f>
        <v>Comp 15</v>
      </c>
      <c r="E23" s="1135"/>
      <c r="F23" s="1136" t="str">
        <f>IFERROR(Growth!F18/Growth!#REF!,"")</f>
        <v/>
      </c>
      <c r="G23" s="1136" t="str">
        <f>IFERROR(Growth!G18/Growth!#REF!,"")</f>
        <v/>
      </c>
      <c r="H23" s="1136">
        <f>'GPC Data'!F206</f>
        <v>0</v>
      </c>
      <c r="I23" s="1136">
        <f>'GPC Data'!G206</f>
        <v>0</v>
      </c>
      <c r="J23" s="1136">
        <f>'GPC Data'!H206</f>
        <v>0</v>
      </c>
      <c r="K23" s="1136">
        <f>'GPC Data'!I206</f>
        <v>0</v>
      </c>
      <c r="L23" s="1136">
        <f>'GPC Data'!J206</f>
        <v>0</v>
      </c>
      <c r="M23" s="1136">
        <f>'GPC Data'!K206</f>
        <v>0</v>
      </c>
      <c r="N23" s="1140"/>
      <c r="O23" s="1140"/>
      <c r="P23" s="677" t="s">
        <v>106</v>
      </c>
      <c r="Q23" s="1082"/>
      <c r="R23" s="1141"/>
      <c r="S23" s="1141"/>
      <c r="T23" s="1148"/>
      <c r="U23" s="1149"/>
      <c r="V23" s="1141"/>
      <c r="W23" s="1141"/>
      <c r="X23" s="1141"/>
      <c r="Y23" s="1141"/>
      <c r="Z23" s="660"/>
      <c r="AA23" s="660"/>
      <c r="AB23" s="660"/>
      <c r="AC23" s="660"/>
      <c r="AD23" s="660"/>
      <c r="AE23" s="660"/>
      <c r="AF23" s="660"/>
    </row>
    <row r="24" spans="3:32" s="436" customFormat="1" ht="10.75" customHeight="1" outlineLevel="1" thickBot="1">
      <c r="C24" s="1087"/>
      <c r="D24" s="1151" t="str">
        <f>'GPC Data'!E139</f>
        <v>Comp 16</v>
      </c>
      <c r="E24" s="1135"/>
      <c r="F24" s="1136" t="str">
        <f>IFERROR(Growth!F19/Growth!#REF!,"")</f>
        <v/>
      </c>
      <c r="G24" s="1136" t="str">
        <f>IFERROR(Growth!G19/Growth!#REF!,"")</f>
        <v/>
      </c>
      <c r="H24" s="1136">
        <f>'GPC Data'!F207</f>
        <v>0</v>
      </c>
      <c r="I24" s="1136">
        <f>'GPC Data'!G207</f>
        <v>0</v>
      </c>
      <c r="J24" s="1136">
        <f>'GPC Data'!H207</f>
        <v>0</v>
      </c>
      <c r="K24" s="1136">
        <f>'GPC Data'!I207</f>
        <v>0</v>
      </c>
      <c r="L24" s="1136">
        <f>'GPC Data'!J207</f>
        <v>0</v>
      </c>
      <c r="M24" s="1136">
        <f>'GPC Data'!K207</f>
        <v>0</v>
      </c>
      <c r="N24" s="1140"/>
      <c r="O24" s="1140"/>
      <c r="P24" s="677" t="s">
        <v>106</v>
      </c>
      <c r="Q24" s="1082"/>
      <c r="R24" s="1141"/>
      <c r="S24" s="1141"/>
      <c r="T24" s="1148"/>
      <c r="U24" s="1149"/>
      <c r="V24" s="1141"/>
      <c r="W24" s="1141"/>
      <c r="X24" s="1141"/>
      <c r="Y24" s="1141"/>
      <c r="Z24" s="660"/>
      <c r="AA24" s="660"/>
      <c r="AB24" s="660"/>
      <c r="AC24" s="660"/>
      <c r="AD24" s="660"/>
      <c r="AE24" s="660"/>
      <c r="AF24" s="660"/>
    </row>
    <row r="25" spans="3:32" s="436" customFormat="1" ht="10.75" customHeight="1" outlineLevel="1" thickBot="1">
      <c r="C25" s="1087"/>
      <c r="D25" s="1151" t="str">
        <f>'GPC Data'!E140</f>
        <v>Comp 17</v>
      </c>
      <c r="E25" s="1135"/>
      <c r="F25" s="1136" t="str">
        <f>IFERROR(Growth!F20/Growth!#REF!,"")</f>
        <v/>
      </c>
      <c r="G25" s="1136" t="str">
        <f>IFERROR(Growth!G20/Growth!#REF!,"")</f>
        <v/>
      </c>
      <c r="H25" s="1136">
        <f>'GPC Data'!F208</f>
        <v>0</v>
      </c>
      <c r="I25" s="1136">
        <f>'GPC Data'!G208</f>
        <v>0</v>
      </c>
      <c r="J25" s="1136">
        <f>'GPC Data'!H208</f>
        <v>0</v>
      </c>
      <c r="K25" s="1136">
        <f>'GPC Data'!I208</f>
        <v>0</v>
      </c>
      <c r="L25" s="1136">
        <f>'GPC Data'!J208</f>
        <v>0</v>
      </c>
      <c r="M25" s="1136">
        <f>'GPC Data'!K208</f>
        <v>0</v>
      </c>
      <c r="N25" s="1140"/>
      <c r="O25" s="1140"/>
      <c r="P25" s="677" t="s">
        <v>106</v>
      </c>
      <c r="Q25" s="1082"/>
      <c r="R25" s="1141"/>
      <c r="S25" s="1141"/>
      <c r="T25" s="1148"/>
      <c r="U25" s="1149"/>
      <c r="V25" s="1141"/>
      <c r="W25" s="1141"/>
      <c r="X25" s="1141"/>
      <c r="Y25" s="1141"/>
      <c r="Z25" s="660"/>
      <c r="AA25" s="660"/>
      <c r="AB25" s="660"/>
      <c r="AC25" s="660"/>
      <c r="AD25" s="660"/>
      <c r="AE25" s="660"/>
      <c r="AF25" s="660"/>
    </row>
    <row r="26" spans="3:32" s="436" customFormat="1" ht="10.75" customHeight="1" outlineLevel="1" thickBot="1">
      <c r="C26" s="1087"/>
      <c r="D26" s="1151" t="str">
        <f>'GPC Data'!E141</f>
        <v>Comp 18</v>
      </c>
      <c r="E26" s="1152"/>
      <c r="F26" s="1136" t="str">
        <f>IFERROR(Growth!F21/Growth!#REF!,"")</f>
        <v/>
      </c>
      <c r="G26" s="1136" t="str">
        <f>IFERROR(Growth!G21/Growth!#REF!,"")</f>
        <v/>
      </c>
      <c r="H26" s="1136">
        <f>'GPC Data'!F209</f>
        <v>0</v>
      </c>
      <c r="I26" s="1136">
        <f>'GPC Data'!G209</f>
        <v>0</v>
      </c>
      <c r="J26" s="1136">
        <f>'GPC Data'!H209</f>
        <v>0</v>
      </c>
      <c r="K26" s="1136">
        <f>'GPC Data'!I209</f>
        <v>0</v>
      </c>
      <c r="L26" s="1136">
        <f>'GPC Data'!J209</f>
        <v>0</v>
      </c>
      <c r="M26" s="1136">
        <f>'GPC Data'!K209</f>
        <v>0</v>
      </c>
      <c r="N26" s="1140"/>
      <c r="O26" s="1140"/>
      <c r="P26" s="677" t="s">
        <v>106</v>
      </c>
      <c r="Q26" s="1082"/>
      <c r="R26" s="1141"/>
      <c r="S26" s="1141"/>
      <c r="T26" s="1148"/>
      <c r="U26" s="1149"/>
      <c r="V26" s="1141"/>
      <c r="W26" s="1141"/>
      <c r="X26" s="1141"/>
      <c r="Y26" s="1141"/>
      <c r="Z26" s="660"/>
      <c r="AA26" s="660"/>
      <c r="AB26" s="660"/>
      <c r="AC26" s="660"/>
      <c r="AD26" s="660"/>
      <c r="AE26" s="660"/>
      <c r="AF26" s="660"/>
    </row>
    <row r="27" spans="3:32" s="436" customFormat="1" ht="10.75" customHeight="1" outlineLevel="1" thickBot="1">
      <c r="C27" s="1087"/>
      <c r="D27" s="1151" t="str">
        <f>'GPC Data'!E142</f>
        <v>Comp 19</v>
      </c>
      <c r="E27" s="1135"/>
      <c r="F27" s="1136" t="str">
        <f>IFERROR(Growth!F22/Growth!#REF!,"")</f>
        <v/>
      </c>
      <c r="G27" s="1136" t="str">
        <f>IFERROR(Growth!G22/Growth!#REF!,"")</f>
        <v/>
      </c>
      <c r="H27" s="1136">
        <f>'GPC Data'!F210</f>
        <v>0</v>
      </c>
      <c r="I27" s="1136">
        <f>'GPC Data'!G210</f>
        <v>0</v>
      </c>
      <c r="J27" s="1136">
        <f>'GPC Data'!H210</f>
        <v>0</v>
      </c>
      <c r="K27" s="1136">
        <f>'GPC Data'!I210</f>
        <v>0</v>
      </c>
      <c r="L27" s="1136">
        <f>'GPC Data'!J210</f>
        <v>0</v>
      </c>
      <c r="M27" s="1136">
        <f>'GPC Data'!K210</f>
        <v>0</v>
      </c>
      <c r="N27" s="1140"/>
      <c r="O27" s="1140"/>
      <c r="P27" s="677" t="s">
        <v>106</v>
      </c>
      <c r="Q27" s="1082"/>
      <c r="R27" s="1141"/>
      <c r="S27" s="1141"/>
      <c r="T27" s="1148"/>
      <c r="U27" s="1149"/>
      <c r="V27" s="1141"/>
      <c r="W27" s="1141"/>
      <c r="X27" s="1141"/>
      <c r="Y27" s="1141"/>
      <c r="Z27" s="660"/>
      <c r="AA27" s="660"/>
      <c r="AB27" s="660"/>
      <c r="AC27" s="660"/>
      <c r="AD27" s="660"/>
      <c r="AE27" s="660"/>
      <c r="AF27" s="660"/>
    </row>
    <row r="28" spans="3:32" s="436" customFormat="1" ht="11" outlineLevel="1" thickBot="1">
      <c r="C28" s="1087"/>
      <c r="D28" s="1151" t="str">
        <f>'GPC Data'!E143</f>
        <v>Comp 20</v>
      </c>
      <c r="E28" s="1135"/>
      <c r="F28" s="1136" t="str">
        <f>IFERROR(Growth!F23/Growth!#REF!,"")</f>
        <v/>
      </c>
      <c r="G28" s="1136" t="str">
        <f>IFERROR(Growth!G23/Growth!#REF!,"")</f>
        <v/>
      </c>
      <c r="H28" s="1136">
        <f>'GPC Data'!F211</f>
        <v>0</v>
      </c>
      <c r="I28" s="1136">
        <f>'GPC Data'!G211</f>
        <v>0</v>
      </c>
      <c r="J28" s="1136">
        <f>'GPC Data'!H211</f>
        <v>0</v>
      </c>
      <c r="K28" s="1136">
        <f>'GPC Data'!I211</f>
        <v>0</v>
      </c>
      <c r="L28" s="1136">
        <f>'GPC Data'!J211</f>
        <v>0</v>
      </c>
      <c r="M28" s="1136">
        <f>'GPC Data'!K211</f>
        <v>0</v>
      </c>
      <c r="N28" s="1140"/>
      <c r="O28" s="1140"/>
      <c r="P28" s="677" t="s">
        <v>106</v>
      </c>
      <c r="Q28" s="1082"/>
      <c r="R28" s="1141"/>
      <c r="S28" s="1141"/>
      <c r="T28" s="1148"/>
      <c r="U28" s="1149"/>
      <c r="V28" s="1141"/>
      <c r="W28" s="1141"/>
      <c r="X28" s="1141"/>
      <c r="Y28" s="1141"/>
      <c r="Z28" s="660"/>
      <c r="AA28" s="660"/>
      <c r="AB28" s="660"/>
      <c r="AC28" s="660"/>
      <c r="AD28" s="660"/>
      <c r="AE28" s="660"/>
      <c r="AF28" s="660"/>
    </row>
    <row r="29" spans="3:32" s="436" customFormat="1" ht="11" outlineLevel="1" thickBot="1">
      <c r="C29" s="1087"/>
      <c r="D29" s="1151" t="str">
        <f>'GPC Data'!E144</f>
        <v>Comp 21</v>
      </c>
      <c r="E29" s="1135"/>
      <c r="F29" s="1136" t="str">
        <f>IFERROR(Growth!F24/Growth!#REF!,"")</f>
        <v/>
      </c>
      <c r="G29" s="1136" t="str">
        <f>IFERROR(Growth!G24/Growth!#REF!,"")</f>
        <v/>
      </c>
      <c r="H29" s="1136">
        <f>'GPC Data'!F212</f>
        <v>0</v>
      </c>
      <c r="I29" s="1136">
        <f>'GPC Data'!G212</f>
        <v>0</v>
      </c>
      <c r="J29" s="1136">
        <f>'GPC Data'!H212</f>
        <v>0</v>
      </c>
      <c r="K29" s="1136">
        <f>'GPC Data'!I212</f>
        <v>0</v>
      </c>
      <c r="L29" s="1136">
        <f>'GPC Data'!J212</f>
        <v>0</v>
      </c>
      <c r="M29" s="1136">
        <f>'GPC Data'!K212</f>
        <v>0</v>
      </c>
      <c r="N29" s="1140"/>
      <c r="O29" s="1140"/>
      <c r="P29" s="677" t="s">
        <v>106</v>
      </c>
      <c r="Q29" s="1082"/>
      <c r="R29" s="1141"/>
      <c r="S29" s="1141"/>
      <c r="T29" s="1148"/>
      <c r="U29" s="1149"/>
      <c r="V29" s="1141"/>
      <c r="W29" s="1141"/>
      <c r="X29" s="1141"/>
      <c r="Y29" s="1141"/>
      <c r="Z29" s="660"/>
      <c r="AA29" s="660"/>
      <c r="AB29" s="660"/>
      <c r="AC29" s="660"/>
      <c r="AD29" s="660"/>
      <c r="AE29" s="660"/>
      <c r="AF29" s="660"/>
    </row>
    <row r="30" spans="3:32" s="436" customFormat="1" ht="11" outlineLevel="1" thickBot="1">
      <c r="C30" s="1087"/>
      <c r="D30" s="1151" t="str">
        <f>'GPC Data'!E145</f>
        <v>Comp 22</v>
      </c>
      <c r="E30" s="1135"/>
      <c r="F30" s="1136" t="str">
        <f>IFERROR(Growth!F25/Growth!#REF!,"")</f>
        <v/>
      </c>
      <c r="G30" s="1136" t="str">
        <f>IFERROR(Growth!G25/Growth!#REF!,"")</f>
        <v/>
      </c>
      <c r="H30" s="1136">
        <f>'GPC Data'!F213</f>
        <v>0</v>
      </c>
      <c r="I30" s="1136">
        <f>'GPC Data'!G213</f>
        <v>0</v>
      </c>
      <c r="J30" s="1136">
        <f>'GPC Data'!H213</f>
        <v>0</v>
      </c>
      <c r="K30" s="1136">
        <f>'GPC Data'!I213</f>
        <v>0</v>
      </c>
      <c r="L30" s="1136">
        <f>'GPC Data'!J213</f>
        <v>0</v>
      </c>
      <c r="M30" s="1136">
        <f>'GPC Data'!K213</f>
        <v>0</v>
      </c>
      <c r="N30" s="1140"/>
      <c r="O30" s="1140"/>
      <c r="P30" s="677" t="s">
        <v>106</v>
      </c>
      <c r="Q30" s="1082"/>
      <c r="R30" s="1141"/>
      <c r="S30" s="1141"/>
      <c r="T30" s="1148"/>
      <c r="U30" s="1149"/>
      <c r="V30" s="1141"/>
      <c r="W30" s="1141"/>
      <c r="X30" s="1141"/>
      <c r="Y30" s="1141"/>
      <c r="Z30" s="660"/>
      <c r="AA30" s="660"/>
      <c r="AB30" s="660"/>
      <c r="AC30" s="660"/>
      <c r="AD30" s="660"/>
      <c r="AE30" s="660"/>
      <c r="AF30" s="660"/>
    </row>
    <row r="31" spans="3:32" s="436" customFormat="1" ht="11" outlineLevel="1" thickBot="1">
      <c r="C31" s="1087"/>
      <c r="D31" s="1151" t="str">
        <f>'GPC Data'!E146</f>
        <v>Comp 23</v>
      </c>
      <c r="E31" s="1135"/>
      <c r="F31" s="1136" t="str">
        <f>IFERROR(Growth!F26/Growth!#REF!,"")</f>
        <v/>
      </c>
      <c r="G31" s="1136" t="str">
        <f>IFERROR(Growth!G26/Growth!#REF!,"")</f>
        <v/>
      </c>
      <c r="H31" s="1136">
        <f>'GPC Data'!F214</f>
        <v>0</v>
      </c>
      <c r="I31" s="1136">
        <f>'GPC Data'!G214</f>
        <v>0</v>
      </c>
      <c r="J31" s="1136">
        <f>'GPC Data'!H214</f>
        <v>0</v>
      </c>
      <c r="K31" s="1136">
        <f>'GPC Data'!I214</f>
        <v>0</v>
      </c>
      <c r="L31" s="1136">
        <f>'GPC Data'!J214</f>
        <v>0</v>
      </c>
      <c r="M31" s="1136">
        <f>'GPC Data'!K214</f>
        <v>0</v>
      </c>
      <c r="N31" s="1140"/>
      <c r="O31" s="1140"/>
      <c r="P31" s="677" t="s">
        <v>106</v>
      </c>
      <c r="Q31" s="1082"/>
      <c r="R31" s="1141"/>
      <c r="S31" s="1141"/>
      <c r="T31" s="1148"/>
      <c r="U31" s="1149"/>
      <c r="V31" s="1141"/>
      <c r="W31" s="1141"/>
      <c r="X31" s="1141"/>
      <c r="Y31" s="1141"/>
      <c r="Z31" s="660"/>
      <c r="AA31" s="660"/>
      <c r="AB31" s="660"/>
      <c r="AC31" s="660"/>
      <c r="AD31" s="660"/>
      <c r="AE31" s="660"/>
      <c r="AF31" s="660"/>
    </row>
    <row r="32" spans="3:32" s="436" customFormat="1" ht="11" outlineLevel="1" thickBot="1">
      <c r="C32" s="1087"/>
      <c r="D32" s="1151" t="str">
        <f>'GPC Data'!E147</f>
        <v>Comp 24</v>
      </c>
      <c r="E32" s="1135"/>
      <c r="F32" s="1136" t="str">
        <f>IFERROR(Growth!F27/Growth!#REF!,"")</f>
        <v/>
      </c>
      <c r="G32" s="1136" t="str">
        <f>IFERROR(Growth!G27/Growth!#REF!,"")</f>
        <v/>
      </c>
      <c r="H32" s="1136">
        <f>'GPC Data'!F215</f>
        <v>0</v>
      </c>
      <c r="I32" s="1136">
        <f>'GPC Data'!G215</f>
        <v>0</v>
      </c>
      <c r="J32" s="1136">
        <f>'GPC Data'!H215</f>
        <v>0</v>
      </c>
      <c r="K32" s="1136">
        <f>'GPC Data'!I215</f>
        <v>0</v>
      </c>
      <c r="L32" s="1136">
        <f>'GPC Data'!J215</f>
        <v>0</v>
      </c>
      <c r="M32" s="1136">
        <f>'GPC Data'!K215</f>
        <v>0</v>
      </c>
      <c r="N32" s="1140"/>
      <c r="O32" s="1140"/>
      <c r="P32" s="677" t="s">
        <v>106</v>
      </c>
      <c r="Q32" s="1082"/>
      <c r="R32" s="1141"/>
      <c r="S32" s="1141"/>
      <c r="T32" s="1148"/>
      <c r="U32" s="1149"/>
      <c r="V32" s="1141"/>
      <c r="W32" s="1141"/>
      <c r="X32" s="1141"/>
      <c r="Y32" s="1141"/>
      <c r="Z32" s="660"/>
      <c r="AA32" s="660"/>
      <c r="AB32" s="660"/>
      <c r="AC32" s="660"/>
      <c r="AD32" s="660"/>
      <c r="AE32" s="660"/>
      <c r="AF32" s="660"/>
    </row>
    <row r="33" spans="2:32" s="436" customFormat="1" ht="11" outlineLevel="1" thickBot="1">
      <c r="C33" s="1087"/>
      <c r="D33" s="1151" t="str">
        <f>'GPC Data'!E148</f>
        <v>Comp 25</v>
      </c>
      <c r="E33" s="1135"/>
      <c r="F33" s="1136" t="str">
        <f>IFERROR(Growth!F28/Growth!#REF!,"")</f>
        <v/>
      </c>
      <c r="G33" s="1136" t="str">
        <f>IFERROR(Growth!G28/Growth!#REF!,"")</f>
        <v/>
      </c>
      <c r="H33" s="1136">
        <f>'GPC Data'!F216</f>
        <v>0</v>
      </c>
      <c r="I33" s="1136">
        <f>'GPC Data'!G216</f>
        <v>0</v>
      </c>
      <c r="J33" s="1136">
        <f>'GPC Data'!H216</f>
        <v>0</v>
      </c>
      <c r="K33" s="1136">
        <f>'GPC Data'!I216</f>
        <v>0</v>
      </c>
      <c r="L33" s="1136">
        <f>'GPC Data'!J216</f>
        <v>0</v>
      </c>
      <c r="M33" s="1136">
        <f>'GPC Data'!K216</f>
        <v>0</v>
      </c>
      <c r="N33" s="1140"/>
      <c r="O33" s="1140"/>
      <c r="P33" s="677" t="s">
        <v>106</v>
      </c>
      <c r="Q33" s="1082"/>
      <c r="R33" s="1141"/>
      <c r="S33" s="1141"/>
      <c r="T33" s="1148"/>
      <c r="U33" s="1149"/>
      <c r="V33" s="1141"/>
      <c r="W33" s="1141"/>
      <c r="X33" s="1141"/>
      <c r="Y33" s="1141"/>
      <c r="Z33" s="660"/>
      <c r="AA33" s="660"/>
      <c r="AB33" s="660"/>
      <c r="AC33" s="660"/>
      <c r="AD33" s="660"/>
      <c r="AE33" s="660"/>
      <c r="AF33" s="660"/>
    </row>
    <row r="34" spans="2:32" s="436" customFormat="1" ht="11" outlineLevel="1" thickBot="1">
      <c r="C34" s="1087"/>
      <c r="D34" s="1151" t="str">
        <f>'GPC Data'!E149</f>
        <v>Comp 26</v>
      </c>
      <c r="E34" s="1135"/>
      <c r="F34" s="1136" t="str">
        <f>IFERROR(Growth!F29/Growth!#REF!,"")</f>
        <v/>
      </c>
      <c r="G34" s="1136" t="str">
        <f>IFERROR(Growth!G29/Growth!#REF!,"")</f>
        <v/>
      </c>
      <c r="H34" s="1136">
        <f>'GPC Data'!F217</f>
        <v>0</v>
      </c>
      <c r="I34" s="1136">
        <f>'GPC Data'!G217</f>
        <v>0</v>
      </c>
      <c r="J34" s="1136">
        <f>'GPC Data'!H217</f>
        <v>0</v>
      </c>
      <c r="K34" s="1136">
        <f>'GPC Data'!I217</f>
        <v>0</v>
      </c>
      <c r="L34" s="1136">
        <f>'GPC Data'!J217</f>
        <v>0</v>
      </c>
      <c r="M34" s="1136">
        <f>'GPC Data'!K217</f>
        <v>0</v>
      </c>
      <c r="N34" s="1140"/>
      <c r="O34" s="1140"/>
      <c r="P34" s="677" t="s">
        <v>106</v>
      </c>
      <c r="Q34" s="1082"/>
      <c r="R34" s="1141"/>
      <c r="S34" s="1141"/>
      <c r="T34" s="1148"/>
      <c r="U34" s="1149"/>
      <c r="V34" s="1141"/>
      <c r="W34" s="1141"/>
      <c r="X34" s="1141"/>
      <c r="Y34" s="1141"/>
      <c r="Z34" s="660"/>
      <c r="AA34" s="660"/>
      <c r="AB34" s="660"/>
      <c r="AC34" s="660"/>
      <c r="AD34" s="660"/>
      <c r="AE34" s="660"/>
      <c r="AF34" s="660"/>
    </row>
    <row r="35" spans="2:32" s="436" customFormat="1" ht="11" outlineLevel="1" thickBot="1">
      <c r="C35" s="1087"/>
      <c r="D35" s="1151" t="str">
        <f>'GPC Data'!E150</f>
        <v>Comp 27</v>
      </c>
      <c r="E35" s="1135"/>
      <c r="F35" s="1136" t="str">
        <f>IFERROR(Growth!F30/Growth!#REF!,"")</f>
        <v/>
      </c>
      <c r="G35" s="1136" t="str">
        <f>IFERROR(Growth!G30/Growth!#REF!,"")</f>
        <v/>
      </c>
      <c r="H35" s="1136">
        <f>'GPC Data'!F218</f>
        <v>0</v>
      </c>
      <c r="I35" s="1136">
        <f>'GPC Data'!G218</f>
        <v>0</v>
      </c>
      <c r="J35" s="1136">
        <f>'GPC Data'!H218</f>
        <v>0</v>
      </c>
      <c r="K35" s="1136">
        <f>'GPC Data'!I218</f>
        <v>0</v>
      </c>
      <c r="L35" s="1136">
        <f>'GPC Data'!J218</f>
        <v>0</v>
      </c>
      <c r="M35" s="1136">
        <f>'GPC Data'!K218</f>
        <v>0</v>
      </c>
      <c r="N35" s="1140"/>
      <c r="O35" s="1140"/>
      <c r="P35" s="677" t="s">
        <v>106</v>
      </c>
      <c r="Q35" s="1082"/>
      <c r="R35" s="1141"/>
      <c r="S35" s="1141"/>
      <c r="T35" s="1148"/>
      <c r="U35" s="1149"/>
      <c r="V35" s="1141"/>
      <c r="W35" s="1141"/>
      <c r="X35" s="1141"/>
      <c r="Y35" s="1141"/>
      <c r="Z35" s="660"/>
      <c r="AA35" s="660"/>
      <c r="AB35" s="660"/>
      <c r="AC35" s="660"/>
      <c r="AD35" s="660"/>
      <c r="AE35" s="660"/>
      <c r="AF35" s="660"/>
    </row>
    <row r="36" spans="2:32" s="436" customFormat="1" ht="11" outlineLevel="1" thickBot="1">
      <c r="C36" s="1087"/>
      <c r="D36" s="1151" t="str">
        <f>'GPC Data'!E151</f>
        <v>Comp 28</v>
      </c>
      <c r="E36" s="1135"/>
      <c r="F36" s="1136" t="str">
        <f>IFERROR(Growth!F31/Growth!#REF!,"")</f>
        <v/>
      </c>
      <c r="G36" s="1136" t="str">
        <f>IFERROR(Growth!G31/Growth!#REF!,"")</f>
        <v/>
      </c>
      <c r="H36" s="1136">
        <f>'GPC Data'!F219</f>
        <v>0</v>
      </c>
      <c r="I36" s="1136">
        <f>'GPC Data'!G219</f>
        <v>0</v>
      </c>
      <c r="J36" s="1136">
        <f>'GPC Data'!H219</f>
        <v>0</v>
      </c>
      <c r="K36" s="1136">
        <f>'GPC Data'!I219</f>
        <v>0</v>
      </c>
      <c r="L36" s="1136">
        <f>'GPC Data'!J219</f>
        <v>0</v>
      </c>
      <c r="M36" s="1136">
        <f>'GPC Data'!K219</f>
        <v>0</v>
      </c>
      <c r="N36" s="1140"/>
      <c r="O36" s="1140"/>
      <c r="P36" s="677" t="s">
        <v>106</v>
      </c>
      <c r="Q36" s="1082"/>
      <c r="R36" s="1141"/>
      <c r="S36" s="1141"/>
      <c r="T36" s="1148"/>
      <c r="U36" s="1149"/>
      <c r="V36" s="1141"/>
      <c r="W36" s="1141"/>
      <c r="X36" s="1141"/>
      <c r="Y36" s="1141"/>
      <c r="Z36" s="660"/>
      <c r="AA36" s="660"/>
      <c r="AB36" s="660"/>
      <c r="AC36" s="660"/>
      <c r="AD36" s="660"/>
      <c r="AE36" s="660"/>
      <c r="AF36" s="660"/>
    </row>
    <row r="37" spans="2:32" s="436" customFormat="1" ht="11" outlineLevel="1" thickBot="1">
      <c r="C37" s="1087"/>
      <c r="D37" s="1151" t="str">
        <f>'GPC Data'!E152</f>
        <v>Comp 29</v>
      </c>
      <c r="E37" s="1135"/>
      <c r="F37" s="1136" t="str">
        <f>IFERROR(Growth!F32/Growth!#REF!,"")</f>
        <v/>
      </c>
      <c r="G37" s="1136" t="str">
        <f>IFERROR(Growth!G32/Growth!#REF!,"")</f>
        <v/>
      </c>
      <c r="H37" s="1136">
        <f>'GPC Data'!F220</f>
        <v>0</v>
      </c>
      <c r="I37" s="1136">
        <f>'GPC Data'!G220</f>
        <v>0</v>
      </c>
      <c r="J37" s="1136">
        <f>'GPC Data'!H220</f>
        <v>0</v>
      </c>
      <c r="K37" s="1136">
        <f>'GPC Data'!I220</f>
        <v>0</v>
      </c>
      <c r="L37" s="1136">
        <f>'GPC Data'!J220</f>
        <v>0</v>
      </c>
      <c r="M37" s="1136">
        <f>'GPC Data'!K220</f>
        <v>0</v>
      </c>
      <c r="N37" s="1140"/>
      <c r="O37" s="1140"/>
      <c r="P37" s="677" t="s">
        <v>106</v>
      </c>
      <c r="Q37" s="1082"/>
      <c r="R37" s="1141"/>
      <c r="S37" s="1141"/>
      <c r="T37" s="1148"/>
      <c r="U37" s="1149"/>
      <c r="V37" s="1141"/>
      <c r="W37" s="1141"/>
      <c r="X37" s="1141"/>
      <c r="Y37" s="1141"/>
      <c r="Z37" s="660"/>
      <c r="AA37" s="660"/>
      <c r="AB37" s="660"/>
      <c r="AC37" s="660"/>
      <c r="AD37" s="660"/>
      <c r="AE37" s="660"/>
      <c r="AF37" s="660"/>
    </row>
    <row r="38" spans="2:32" s="436" customFormat="1" ht="11" outlineLevel="1" thickBot="1">
      <c r="C38" s="1087">
        <v>10</v>
      </c>
      <c r="D38" s="1151" t="str">
        <f>'GPC Data'!E153</f>
        <v>Comp 30</v>
      </c>
      <c r="E38" s="1135"/>
      <c r="F38" s="1136" t="str">
        <f>IFERROR(Growth!F1/Growth!#REF!,"")</f>
        <v/>
      </c>
      <c r="G38" s="1136" t="str">
        <f>IFERROR(Growth!G1/Growth!#REF!,"")</f>
        <v/>
      </c>
      <c r="H38" s="1136">
        <f>'GPC Data'!F221</f>
        <v>0</v>
      </c>
      <c r="I38" s="1136">
        <f>'GPC Data'!G221</f>
        <v>0</v>
      </c>
      <c r="J38" s="1136">
        <f>'GPC Data'!H221</f>
        <v>0</v>
      </c>
      <c r="K38" s="1136">
        <f>'GPC Data'!I221</f>
        <v>0</v>
      </c>
      <c r="L38" s="1136">
        <f>'GPC Data'!J221</f>
        <v>0</v>
      </c>
      <c r="M38" s="1136">
        <f>'GPC Data'!K221</f>
        <v>0</v>
      </c>
      <c r="N38" s="1140"/>
      <c r="O38" s="1140"/>
      <c r="P38" s="677" t="s">
        <v>106</v>
      </c>
      <c r="Q38" s="1082"/>
      <c r="R38" s="1141"/>
      <c r="S38" s="1141" t="str">
        <f>D38</f>
        <v>Comp 30</v>
      </c>
      <c r="T38" s="1148">
        <f>I38</f>
        <v>0</v>
      </c>
      <c r="U38" s="1149">
        <f>K38</f>
        <v>0</v>
      </c>
      <c r="V38" s="1141"/>
      <c r="W38" s="1141"/>
      <c r="X38" s="1141"/>
      <c r="Y38" s="1141"/>
      <c r="Z38" s="660" t="s">
        <v>1503</v>
      </c>
      <c r="AA38" s="660" t="s">
        <v>1503</v>
      </c>
      <c r="AB38" s="660" t="s">
        <v>1503</v>
      </c>
      <c r="AC38" s="660" t="s">
        <v>1503</v>
      </c>
      <c r="AD38" s="660" t="s">
        <v>1503</v>
      </c>
      <c r="AE38" s="660" t="s">
        <v>1503</v>
      </c>
      <c r="AF38" s="660" t="s">
        <v>1503</v>
      </c>
    </row>
    <row r="39" spans="2:32">
      <c r="B39" s="436"/>
      <c r="D39" s="1153" t="str">
        <f>"As of "&amp;TEXT(valuation.date,"d mmmm yyy")&amp;"."&amp;" Historical and forecast consensus financial statements for the selected guideline public companies provided by Capital IQ."</f>
        <v>As of 30 September 2024. Historical and forecast consensus financial statements for the selected guideline public companies provided by Capital IQ.</v>
      </c>
      <c r="E39" s="1110"/>
      <c r="F39" s="1110"/>
      <c r="G39" s="1110"/>
      <c r="H39" s="1110"/>
      <c r="I39" s="1110"/>
      <c r="J39" s="1110"/>
      <c r="K39" s="1110"/>
      <c r="L39" s="1110"/>
      <c r="M39" s="1110"/>
      <c r="N39" s="1110"/>
      <c r="O39" s="1110"/>
      <c r="R39" s="1154"/>
      <c r="S39" s="1154"/>
      <c r="T39" s="1154"/>
      <c r="U39" s="1154"/>
      <c r="V39" s="1154"/>
      <c r="W39" s="1154"/>
      <c r="X39" s="1154"/>
      <c r="Y39" s="1154"/>
      <c r="Z39" s="1110"/>
      <c r="AA39" s="1110"/>
      <c r="AB39" s="1110"/>
      <c r="AC39" s="1110"/>
      <c r="AD39" s="1110"/>
      <c r="AE39" s="1110"/>
      <c r="AF39" s="1110"/>
    </row>
    <row r="40" spans="2:32">
      <c r="B40" s="436"/>
      <c r="D40" s="1153"/>
      <c r="E40" s="1110"/>
      <c r="F40" s="1110"/>
      <c r="G40" s="1110"/>
      <c r="H40" s="1110"/>
      <c r="I40" s="1110"/>
      <c r="J40" s="1110"/>
      <c r="K40" s="1110"/>
      <c r="L40" s="1110"/>
      <c r="M40" s="1110"/>
      <c r="N40" s="1110"/>
      <c r="O40" s="1110"/>
      <c r="R40" s="1154"/>
      <c r="S40" s="1154"/>
      <c r="T40" s="1154"/>
      <c r="U40" s="1154"/>
      <c r="V40" s="1154"/>
      <c r="W40" s="1154"/>
      <c r="X40" s="1154"/>
      <c r="Y40" s="1154"/>
      <c r="Z40" s="1110"/>
      <c r="AA40" s="1110"/>
      <c r="AB40" s="1110"/>
      <c r="AC40" s="1110"/>
      <c r="AD40" s="1110"/>
      <c r="AE40" s="1110"/>
      <c r="AF40" s="1110"/>
    </row>
    <row r="41" spans="2:32">
      <c r="E41" s="1155" t="s">
        <v>216</v>
      </c>
      <c r="F41" s="1156">
        <f>MAX(F9:F38)</f>
        <v>0</v>
      </c>
      <c r="G41" s="1156">
        <f t="shared" ref="G41:M41" si="3">MAX(G9:G38)</f>
        <v>0</v>
      </c>
      <c r="H41" s="1156">
        <f t="shared" si="3"/>
        <v>0</v>
      </c>
      <c r="I41" s="1156">
        <f t="shared" si="3"/>
        <v>0</v>
      </c>
      <c r="J41" s="1156">
        <f t="shared" si="3"/>
        <v>0</v>
      </c>
      <c r="K41" s="1156">
        <f t="shared" si="3"/>
        <v>0</v>
      </c>
      <c r="L41" s="1156">
        <f t="shared" si="3"/>
        <v>0</v>
      </c>
      <c r="M41" s="1156">
        <f t="shared" si="3"/>
        <v>0</v>
      </c>
      <c r="N41" s="1054"/>
      <c r="O41" s="1054"/>
      <c r="Z41" s="1110"/>
      <c r="AA41" s="1110" t="s">
        <v>1503</v>
      </c>
      <c r="AB41" s="1110" t="s">
        <v>1503</v>
      </c>
      <c r="AC41" s="1110" t="s">
        <v>1503</v>
      </c>
      <c r="AD41" s="1110" t="s">
        <v>1503</v>
      </c>
      <c r="AE41" s="1110" t="s">
        <v>1503</v>
      </c>
      <c r="AF41" s="1110" t="s">
        <v>1503</v>
      </c>
    </row>
    <row r="42" spans="2:32">
      <c r="E42" s="1157" t="s">
        <v>1479</v>
      </c>
      <c r="F42" s="1158" t="e">
        <f>PERCENTILE(F9:F38,0.75)</f>
        <v>#NUM!</v>
      </c>
      <c r="G42" s="1158" t="e">
        <f t="shared" ref="G42:M42" si="4">PERCENTILE(G9:G38,0.75)</f>
        <v>#NUM!</v>
      </c>
      <c r="H42" s="1158">
        <f t="shared" si="4"/>
        <v>0</v>
      </c>
      <c r="I42" s="1158">
        <f t="shared" si="4"/>
        <v>0</v>
      </c>
      <c r="J42" s="1158">
        <f t="shared" si="4"/>
        <v>0</v>
      </c>
      <c r="K42" s="1158">
        <f t="shared" si="4"/>
        <v>0</v>
      </c>
      <c r="L42" s="1158">
        <f t="shared" si="4"/>
        <v>0</v>
      </c>
      <c r="M42" s="1158">
        <f t="shared" si="4"/>
        <v>0</v>
      </c>
      <c r="N42" s="1054"/>
      <c r="O42" s="1054"/>
      <c r="Z42" s="1110"/>
      <c r="AA42" s="1110"/>
      <c r="AB42" s="1110"/>
      <c r="AC42" s="1110"/>
      <c r="AD42" s="1110"/>
      <c r="AE42" s="1110"/>
      <c r="AF42" s="1110"/>
    </row>
    <row r="43" spans="2:32">
      <c r="E43" s="1157" t="s">
        <v>1380</v>
      </c>
      <c r="F43" s="1158" t="e">
        <f>AVERAGE(F9:F38)</f>
        <v>#DIV/0!</v>
      </c>
      <c r="G43" s="1158" t="e">
        <f t="shared" ref="G43:M43" si="5">AVERAGE(G9:G38)</f>
        <v>#DIV/0!</v>
      </c>
      <c r="H43" s="1158">
        <f t="shared" si="5"/>
        <v>0</v>
      </c>
      <c r="I43" s="1158">
        <f t="shared" si="5"/>
        <v>0</v>
      </c>
      <c r="J43" s="1158">
        <f t="shared" si="5"/>
        <v>0</v>
      </c>
      <c r="K43" s="1158">
        <f t="shared" si="5"/>
        <v>0</v>
      </c>
      <c r="L43" s="1158">
        <f t="shared" si="5"/>
        <v>0</v>
      </c>
      <c r="M43" s="1158">
        <f t="shared" si="5"/>
        <v>0</v>
      </c>
      <c r="N43" s="1054"/>
      <c r="O43" s="1054"/>
      <c r="Z43" s="1111" t="s">
        <v>1503</v>
      </c>
      <c r="AA43" s="1111" t="s">
        <v>1503</v>
      </c>
      <c r="AB43" s="1111" t="s">
        <v>1503</v>
      </c>
      <c r="AC43" s="1111" t="s">
        <v>1503</v>
      </c>
      <c r="AD43" s="1111" t="s">
        <v>1503</v>
      </c>
      <c r="AE43" s="1111" t="s">
        <v>1503</v>
      </c>
      <c r="AF43" s="1111" t="s">
        <v>1503</v>
      </c>
    </row>
    <row r="44" spans="2:32" ht="12">
      <c r="E44" s="1122" t="s">
        <v>1381</v>
      </c>
      <c r="F44" s="1120" t="e">
        <f>MEDIAN(F9:F38)</f>
        <v>#NUM!</v>
      </c>
      <c r="G44" s="1120" t="e">
        <f t="shared" ref="G44:M44" si="6">MEDIAN(G9:G38)</f>
        <v>#NUM!</v>
      </c>
      <c r="H44" s="1120">
        <f t="shared" si="6"/>
        <v>0</v>
      </c>
      <c r="I44" s="1120">
        <f t="shared" si="6"/>
        <v>0</v>
      </c>
      <c r="J44" s="1120">
        <f t="shared" si="6"/>
        <v>0</v>
      </c>
      <c r="K44" s="1120">
        <f t="shared" si="6"/>
        <v>0</v>
      </c>
      <c r="L44" s="1120">
        <f t="shared" si="6"/>
        <v>0</v>
      </c>
      <c r="M44" s="1120">
        <f t="shared" si="6"/>
        <v>0</v>
      </c>
      <c r="N44" s="1054"/>
      <c r="O44" s="1054"/>
      <c r="Z44" s="1125" t="s">
        <v>1503</v>
      </c>
      <c r="AA44" s="1125" t="s">
        <v>1503</v>
      </c>
      <c r="AB44" s="1125" t="s">
        <v>1503</v>
      </c>
      <c r="AC44" s="1125" t="s">
        <v>1503</v>
      </c>
      <c r="AD44" s="1125" t="s">
        <v>1503</v>
      </c>
      <c r="AE44" s="1125" t="s">
        <v>1503</v>
      </c>
      <c r="AF44" s="1125" t="s">
        <v>1503</v>
      </c>
    </row>
    <row r="45" spans="2:32" ht="12">
      <c r="E45" s="1157" t="s">
        <v>1480</v>
      </c>
      <c r="F45" s="1158" t="e">
        <f>PERCENTILE(F9:F38,0.25)</f>
        <v>#NUM!</v>
      </c>
      <c r="G45" s="1158" t="e">
        <f t="shared" ref="G45:M45" si="7">PERCENTILE(G9:G38,0.25)</f>
        <v>#NUM!</v>
      </c>
      <c r="H45" s="1158">
        <f t="shared" si="7"/>
        <v>0</v>
      </c>
      <c r="I45" s="1158">
        <f t="shared" si="7"/>
        <v>0</v>
      </c>
      <c r="J45" s="1158">
        <f t="shared" si="7"/>
        <v>0</v>
      </c>
      <c r="K45" s="1158">
        <f t="shared" si="7"/>
        <v>0</v>
      </c>
      <c r="L45" s="1158">
        <f t="shared" si="7"/>
        <v>0</v>
      </c>
      <c r="M45" s="1158">
        <f t="shared" si="7"/>
        <v>0</v>
      </c>
      <c r="N45" s="1054"/>
      <c r="O45" s="1054"/>
      <c r="Z45" s="1125"/>
      <c r="AA45" s="1125"/>
      <c r="AB45" s="1125"/>
      <c r="AC45" s="1125"/>
      <c r="AD45" s="1125"/>
      <c r="AE45" s="1125"/>
      <c r="AF45" s="1125"/>
    </row>
    <row r="46" spans="2:32">
      <c r="E46" s="1159" t="s">
        <v>215</v>
      </c>
      <c r="F46" s="1160">
        <f>MIN(F9:F38)</f>
        <v>0</v>
      </c>
      <c r="G46" s="1160">
        <f t="shared" ref="G46:M46" si="8">MIN(G9:G38)</f>
        <v>0</v>
      </c>
      <c r="H46" s="1160">
        <f t="shared" si="8"/>
        <v>0</v>
      </c>
      <c r="I46" s="1160">
        <f t="shared" si="8"/>
        <v>0</v>
      </c>
      <c r="J46" s="1160">
        <f t="shared" si="8"/>
        <v>0</v>
      </c>
      <c r="K46" s="1160">
        <f t="shared" si="8"/>
        <v>0</v>
      </c>
      <c r="L46" s="1160">
        <f t="shared" si="8"/>
        <v>0</v>
      </c>
      <c r="M46" s="1160">
        <f t="shared" si="8"/>
        <v>0</v>
      </c>
      <c r="N46" s="1054"/>
      <c r="O46" s="1054"/>
      <c r="Z46" s="1111" t="s">
        <v>1503</v>
      </c>
      <c r="AA46" s="1111" t="s">
        <v>1503</v>
      </c>
      <c r="AB46" s="1111" t="s">
        <v>1503</v>
      </c>
      <c r="AC46" s="1111" t="s">
        <v>1503</v>
      </c>
      <c r="AD46" s="1111" t="s">
        <v>1503</v>
      </c>
      <c r="AE46" s="1111" t="s">
        <v>1503</v>
      </c>
      <c r="AF46" s="1111" t="s">
        <v>1503</v>
      </c>
    </row>
    <row r="47" spans="2:32">
      <c r="E47" s="1161"/>
      <c r="F47" s="1054"/>
      <c r="G47" s="1054"/>
      <c r="H47" s="1054"/>
      <c r="I47" s="1054"/>
      <c r="J47" s="1054"/>
      <c r="K47" s="1111"/>
      <c r="L47" s="1111"/>
      <c r="Z47" s="1111"/>
      <c r="AA47" s="1111"/>
      <c r="AB47" s="1111"/>
      <c r="AC47" s="1111"/>
      <c r="AD47" s="1111"/>
      <c r="AE47" s="1111"/>
      <c r="AF47" s="1111"/>
    </row>
    <row r="48" spans="2:32">
      <c r="E48" s="703" t="s">
        <v>1382</v>
      </c>
      <c r="F48" s="1054"/>
      <c r="G48" s="1054"/>
      <c r="H48" s="1054"/>
      <c r="I48" s="1054"/>
      <c r="J48" s="1054"/>
      <c r="K48" s="1111"/>
      <c r="L48" s="1111"/>
      <c r="Z48" s="1111"/>
      <c r="AA48" s="1111"/>
      <c r="AB48" s="1111"/>
      <c r="AC48" s="1111"/>
      <c r="AD48" s="1111"/>
      <c r="AE48" s="1111"/>
      <c r="AF48" s="1111"/>
    </row>
    <row r="49" spans="2:32">
      <c r="E49" s="1155" t="s">
        <v>216</v>
      </c>
      <c r="F49" s="1156" cm="1">
        <f t="array" ref="F49">IFERROR(MAX(IF($P$59:$P$88="No",F9:F38)),"")</f>
        <v>0</v>
      </c>
      <c r="G49" s="1115" cm="1">
        <f t="array" ref="G49">IFERROR(MAX(IF($P$59:$P$88="No",G9:G38)),"")</f>
        <v>0</v>
      </c>
      <c r="H49" s="1115" cm="1">
        <f t="array" ref="H49">IFERROR(MAX(IF($P$59:$P$88="No",H9:H38)),"")</f>
        <v>0</v>
      </c>
      <c r="I49" s="1115" cm="1">
        <f t="array" ref="I49">IFERROR(MAX(IF($P$59:$P$88="No",I9:I38)),"")</f>
        <v>0</v>
      </c>
      <c r="J49" s="1115" cm="1">
        <f t="array" ref="J49">IFERROR(MAX(IF($P$59:$P$88="No",J9:J38)),"")</f>
        <v>0</v>
      </c>
      <c r="K49" s="1115" cm="1">
        <f t="array" ref="K49">IFERROR(MAX(IF($P$59:$P$88="No",K9:K38)),"")</f>
        <v>0</v>
      </c>
      <c r="L49" s="1115" cm="1">
        <f t="array" ref="L49">IFERROR(MAX(IF($P$59:$P$88="No",L9:L38)),"")</f>
        <v>0</v>
      </c>
      <c r="M49" s="1115" cm="1">
        <f t="array" ref="M49">IFERROR(MAX(IF($P$59:$P$88="No",M9:M38)),"")</f>
        <v>0</v>
      </c>
      <c r="N49" s="1054"/>
      <c r="O49" s="1054"/>
      <c r="Z49" s="1111"/>
      <c r="AA49" s="1111"/>
      <c r="AB49" s="1111"/>
      <c r="AC49" s="1111"/>
      <c r="AD49" s="1111"/>
      <c r="AE49" s="1111"/>
      <c r="AF49" s="1111"/>
    </row>
    <row r="50" spans="2:32">
      <c r="E50" s="1157" t="s">
        <v>1479</v>
      </c>
      <c r="F50" s="1158" cm="1">
        <f t="array" ref="F50">PERCENTILE(IF($P$59:$P$88="No",F9:F38),0.75)</f>
        <v>0</v>
      </c>
      <c r="G50" s="1054" t="e" cm="1">
        <f t="array" ref="G50">PERCENTILE(IF($P$59:$P$88="No",G9:G38),0.75)</f>
        <v>#NUM!</v>
      </c>
      <c r="H50" s="1054" cm="1">
        <f t="array" ref="H50">PERCENTILE(IF($P$59:$P$88="No",H9:H38),0.75)</f>
        <v>0</v>
      </c>
      <c r="I50" s="1054" cm="1">
        <f t="array" ref="I50">PERCENTILE(IF($P$59:$P$88="No",I9:I38),0.75)</f>
        <v>0</v>
      </c>
      <c r="J50" s="1054" cm="1">
        <f t="array" ref="J50">PERCENTILE(IF($P$59:$P$88="No",J9:J38),0.75)</f>
        <v>0</v>
      </c>
      <c r="K50" s="1054" cm="1">
        <f t="array" ref="K50">PERCENTILE(IF($P$59:$P$88="No",K9:K38),0.75)</f>
        <v>0</v>
      </c>
      <c r="L50" s="1054" cm="1">
        <f t="array" ref="L50">PERCENTILE(IF($P$59:$P$88="No",L9:L38),0.75)</f>
        <v>0</v>
      </c>
      <c r="M50" s="1054" cm="1">
        <f t="array" ref="M50">PERCENTILE(IF($P$59:$P$88="No",M9:M38),0.75)</f>
        <v>0</v>
      </c>
      <c r="N50" s="1054"/>
      <c r="O50" s="1054"/>
      <c r="Z50" s="1111"/>
      <c r="AA50" s="1111"/>
      <c r="AB50" s="1111"/>
      <c r="AC50" s="1111"/>
      <c r="AD50" s="1111"/>
      <c r="AE50" s="1111"/>
      <c r="AF50" s="1111"/>
    </row>
    <row r="51" spans="2:32">
      <c r="E51" s="1157" t="s">
        <v>1380</v>
      </c>
      <c r="F51" s="1158" t="str">
        <f t="shared" ref="F51:M51" si="9">IFERROR(AVERAGEIF($P$59:$P$88,"No",F9:F38),"")</f>
        <v/>
      </c>
      <c r="G51" s="1158" t="str">
        <f t="shared" si="9"/>
        <v/>
      </c>
      <c r="H51" s="1158">
        <f t="shared" si="9"/>
        <v>0</v>
      </c>
      <c r="I51" s="1158">
        <f t="shared" si="9"/>
        <v>0</v>
      </c>
      <c r="J51" s="1158">
        <f t="shared" si="9"/>
        <v>0</v>
      </c>
      <c r="K51" s="1158">
        <f t="shared" si="9"/>
        <v>0</v>
      </c>
      <c r="L51" s="1158">
        <f t="shared" si="9"/>
        <v>0</v>
      </c>
      <c r="M51" s="1158">
        <f t="shared" si="9"/>
        <v>0</v>
      </c>
      <c r="N51" s="1054"/>
      <c r="O51" s="1054"/>
      <c r="Z51" s="1111"/>
      <c r="AA51" s="1111"/>
      <c r="AB51" s="1111"/>
      <c r="AC51" s="1111"/>
      <c r="AD51" s="1111"/>
      <c r="AE51" s="1111"/>
      <c r="AF51" s="1111"/>
    </row>
    <row r="52" spans="2:32">
      <c r="E52" s="1122" t="s">
        <v>1381</v>
      </c>
      <c r="F52" s="1120" cm="1">
        <f t="array" ref="F52">IFERROR(MEDIAN(IF($P$59:$P$88="No",F9:F38)),"")</f>
        <v>0</v>
      </c>
      <c r="G52" s="1162" t="str" cm="1">
        <f t="array" ref="G52">IFERROR(MEDIAN(IF($P$59:$P$88="No",G9:G38)),"")</f>
        <v/>
      </c>
      <c r="H52" s="1162" cm="1">
        <f t="array" ref="H52">IFERROR(MEDIAN(IF($P$59:$P$88="No",H9:H38)),"")</f>
        <v>0</v>
      </c>
      <c r="I52" s="1162" cm="1">
        <f t="array" ref="I52">IFERROR(MEDIAN(IF($P$59:$P$88="No",I9:I38)),"")</f>
        <v>0</v>
      </c>
      <c r="J52" s="1162" cm="1">
        <f t="array" ref="J52">IFERROR(MEDIAN(IF($P$59:$P$88="No",J9:J38)),"")</f>
        <v>0</v>
      </c>
      <c r="K52" s="1162" cm="1">
        <f t="array" ref="K52">IFERROR(MEDIAN(IF($P$59:$P$88="No",K9:K38)),"")</f>
        <v>0</v>
      </c>
      <c r="L52" s="1162" cm="1">
        <f t="array" ref="L52">IFERROR(MEDIAN(IF($P$59:$P$88="No",L9:L38)),"")</f>
        <v>0</v>
      </c>
      <c r="M52" s="1162" cm="1">
        <f t="array" ref="M52">IFERROR(MEDIAN(IF($P$59:$P$88="No",M9:M38)),"")</f>
        <v>0</v>
      </c>
      <c r="N52" s="1054"/>
      <c r="O52" s="1054"/>
      <c r="Z52" s="1111"/>
      <c r="AA52" s="1111"/>
      <c r="AB52" s="1111"/>
      <c r="AC52" s="1111"/>
      <c r="AD52" s="1111"/>
      <c r="AE52" s="1111"/>
      <c r="AF52" s="1111"/>
    </row>
    <row r="53" spans="2:32">
      <c r="E53" s="1157" t="s">
        <v>1480</v>
      </c>
      <c r="F53" s="1158" cm="1">
        <f t="array" ref="F53">PERCENTILE(IF($P$59:$P$88="No",F9:F38),0.25)</f>
        <v>0</v>
      </c>
      <c r="G53" s="1054" t="e" cm="1">
        <f t="array" ref="G53">PERCENTILE(IF($P$59:$P$88="No",G9:G38),0.25)</f>
        <v>#NUM!</v>
      </c>
      <c r="H53" s="1054" cm="1">
        <f t="array" ref="H53">PERCENTILE(IF($P$59:$P$88="No",H9:H38),0.25)</f>
        <v>0</v>
      </c>
      <c r="I53" s="1054" cm="1">
        <f t="array" ref="I53">PERCENTILE(IF($P$59:$P$88="No",I9:I38),0.25)</f>
        <v>0</v>
      </c>
      <c r="J53" s="1054" cm="1">
        <f t="array" ref="J53">PERCENTILE(IF($P$59:$P$88="No",J9:J38),0.25)</f>
        <v>0</v>
      </c>
      <c r="K53" s="1054" cm="1">
        <f t="array" ref="K53">PERCENTILE(IF($P$59:$P$88="No",K9:K38),0.25)</f>
        <v>0</v>
      </c>
      <c r="L53" s="1054" cm="1">
        <f t="array" ref="L53">PERCENTILE(IF($P$59:$P$88="No",L9:L38),0.25)</f>
        <v>0</v>
      </c>
      <c r="M53" s="1054" cm="1">
        <f t="array" ref="M53">PERCENTILE(IF($P$59:$P$88="No",M9:M38),0.25)</f>
        <v>0</v>
      </c>
      <c r="N53" s="1054"/>
      <c r="O53" s="1054"/>
      <c r="Z53" s="1111"/>
      <c r="AA53" s="1111"/>
      <c r="AB53" s="1111"/>
      <c r="AC53" s="1111"/>
      <c r="AD53" s="1111"/>
      <c r="AE53" s="1111"/>
      <c r="AF53" s="1111"/>
    </row>
    <row r="54" spans="2:32">
      <c r="E54" s="1159" t="s">
        <v>215</v>
      </c>
      <c r="F54" s="1160" cm="1">
        <f t="array" ref="F54">IFERROR(MIN(IF($P$59:$P$88="No",F9:F38)),"")</f>
        <v>0</v>
      </c>
      <c r="G54" s="1129" cm="1">
        <f t="array" ref="G54">IFERROR(MIN(IF($P$59:$P$88="No",G9:G38)),"")</f>
        <v>0</v>
      </c>
      <c r="H54" s="1129" cm="1">
        <f t="array" ref="H54">IFERROR(MIN(IF($P$59:$P$88="No",H9:H38)),"")</f>
        <v>0</v>
      </c>
      <c r="I54" s="1129" cm="1">
        <f t="array" ref="I54">IFERROR(MIN(IF($P$59:$P$88="No",I9:I38)),"")</f>
        <v>0</v>
      </c>
      <c r="J54" s="1129" cm="1">
        <f t="array" ref="J54">IFERROR(MIN(IF($P$59:$P$88="No",J9:J38)),"")</f>
        <v>0</v>
      </c>
      <c r="K54" s="1129" cm="1">
        <f t="array" ref="K54">IFERROR(MIN(IF($P$59:$P$88="No",K9:K38)),"")</f>
        <v>0</v>
      </c>
      <c r="L54" s="1129" cm="1">
        <f t="array" ref="L54">IFERROR(MIN(IF($P$59:$P$88="No",L9:L38)),"")</f>
        <v>0</v>
      </c>
      <c r="M54" s="1129" cm="1">
        <f t="array" ref="M54">IFERROR(MIN(IF($P$59:$P$88="No",M9:M38)),"")</f>
        <v>0</v>
      </c>
      <c r="N54" s="1054"/>
      <c r="O54" s="1054"/>
      <c r="Z54" s="1111"/>
    </row>
    <row r="55" spans="2:32">
      <c r="B55" s="455"/>
      <c r="C55" s="455"/>
      <c r="D55" s="455"/>
      <c r="E55" s="455"/>
      <c r="F55" s="455"/>
      <c r="G55" s="455"/>
      <c r="H55" s="455"/>
      <c r="I55" s="455"/>
      <c r="J55" s="455"/>
      <c r="K55" s="455"/>
      <c r="L55" s="455"/>
      <c r="M55" s="455"/>
      <c r="N55" s="455"/>
      <c r="O55" s="455"/>
      <c r="P55" s="455"/>
      <c r="Q55" s="455"/>
      <c r="R55" s="455"/>
      <c r="S55" s="455"/>
      <c r="T55" s="455"/>
      <c r="U55" s="455"/>
      <c r="V55" s="455"/>
      <c r="W55" s="455"/>
      <c r="X55" s="455"/>
      <c r="Y55" s="455"/>
      <c r="Z55" s="455"/>
    </row>
    <row r="56" spans="2:32" s="436" customFormat="1">
      <c r="B56" s="665"/>
      <c r="C56" s="665"/>
      <c r="D56" s="1073" t="s">
        <v>1467</v>
      </c>
      <c r="K56" s="665"/>
      <c r="L56" s="665"/>
      <c r="M56" s="665"/>
      <c r="N56" s="665"/>
      <c r="O56" s="665"/>
      <c r="P56" s="665"/>
      <c r="Q56" s="1139"/>
      <c r="R56" s="1139"/>
      <c r="S56" s="1139"/>
      <c r="T56" s="1139"/>
      <c r="U56" s="1139"/>
      <c r="V56" s="1139"/>
      <c r="W56" s="1139"/>
      <c r="X56" s="1139"/>
      <c r="Y56" s="1139"/>
      <c r="Z56" s="665"/>
    </row>
    <row r="57" spans="2:32" s="436" customFormat="1" ht="12" customHeight="1">
      <c r="B57" s="1074"/>
      <c r="D57" s="1075"/>
      <c r="E57" s="1077"/>
      <c r="F57" s="1802"/>
      <c r="G57" s="1802"/>
      <c r="H57" s="1802"/>
      <c r="I57" s="1802"/>
      <c r="J57" s="1802"/>
      <c r="K57" s="1803" t="s">
        <v>1500</v>
      </c>
      <c r="L57" s="1803"/>
      <c r="M57" s="1803"/>
      <c r="N57" s="1140"/>
      <c r="O57" s="1140"/>
      <c r="P57" s="1082"/>
      <c r="Q57" s="1082"/>
      <c r="R57" s="1141"/>
      <c r="S57" s="1141"/>
      <c r="T57" s="1142" t="s">
        <v>138</v>
      </c>
      <c r="U57" s="1143" t="s">
        <v>1484</v>
      </c>
      <c r="V57" s="1143" t="s">
        <v>1381</v>
      </c>
      <c r="W57" s="1143"/>
      <c r="X57" s="1141"/>
      <c r="Y57" s="1141"/>
      <c r="Z57" s="662" t="s">
        <v>1503</v>
      </c>
      <c r="AA57" s="662" t="s">
        <v>1503</v>
      </c>
      <c r="AB57" s="662" t="s">
        <v>1503</v>
      </c>
      <c r="AC57" s="662" t="s">
        <v>1503</v>
      </c>
      <c r="AD57" s="662" t="s">
        <v>1503</v>
      </c>
      <c r="AE57" s="662" t="s">
        <v>1503</v>
      </c>
      <c r="AF57" s="662" t="s">
        <v>1503</v>
      </c>
    </row>
    <row r="58" spans="2:32" s="436" customFormat="1" ht="12" customHeight="1" thickBot="1">
      <c r="D58" s="1083" t="s">
        <v>94</v>
      </c>
      <c r="E58" s="1085"/>
      <c r="F58" s="1085" t="s">
        <v>146</v>
      </c>
      <c r="G58" s="1085" t="s">
        <v>144</v>
      </c>
      <c r="H58" s="1085" t="s">
        <v>141</v>
      </c>
      <c r="I58" s="1085" t="s">
        <v>138</v>
      </c>
      <c r="J58" s="1078" t="s">
        <v>136</v>
      </c>
      <c r="K58" s="1085" t="s">
        <v>1506</v>
      </c>
      <c r="L58" s="1085" t="s">
        <v>1507</v>
      </c>
      <c r="M58" s="1078" t="s">
        <v>1508</v>
      </c>
      <c r="N58" s="1140"/>
      <c r="O58" s="1140"/>
      <c r="P58" s="755" t="s">
        <v>1455</v>
      </c>
      <c r="Q58" s="1082"/>
      <c r="R58" s="1141"/>
      <c r="S58" s="1141" t="str">
        <f>client.name.long</f>
        <v>Aerial Arts India XXXXXXXXXXXXXXXXX</v>
      </c>
      <c r="T58" s="1144"/>
      <c r="U58" s="1145"/>
      <c r="V58" s="1145">
        <f>MEDIAN($I$102,$K$102)</f>
        <v>0</v>
      </c>
      <c r="W58" s="1146"/>
      <c r="X58" s="1141"/>
      <c r="Y58" s="1141"/>
      <c r="Z58" s="660"/>
      <c r="AA58" s="660"/>
      <c r="AB58" s="660"/>
      <c r="AC58" s="660"/>
      <c r="AD58" s="660"/>
      <c r="AE58" s="660"/>
      <c r="AF58" s="660"/>
    </row>
    <row r="59" spans="2:32" s="436" customFormat="1" ht="11" thickBot="1">
      <c r="C59" s="1087">
        <v>1</v>
      </c>
      <c r="D59" s="1088" t="str">
        <f>'GPC Data'!E192</f>
        <v>Comp 1</v>
      </c>
      <c r="E59" s="1147"/>
      <c r="F59" s="1134" t="str">
        <f>IFERROR(Growth!F60/Growth!F10,"")</f>
        <v/>
      </c>
      <c r="G59" s="1134" t="str">
        <f>IFERROR(Growth!G60/Growth!G10,"")</f>
        <v/>
      </c>
      <c r="H59" s="1134">
        <f>'GPC Data'!O192</f>
        <v>0</v>
      </c>
      <c r="I59" s="1134">
        <f>'GPC Data'!P192</f>
        <v>0</v>
      </c>
      <c r="J59" s="1134" t="str">
        <f>IFERROR(Growth!J60/Growth!J10,"")</f>
        <v/>
      </c>
      <c r="K59" s="1163" t="str">
        <f>IFERROR(Growth!K60/Growth!K10,"")</f>
        <v/>
      </c>
      <c r="L59" s="1163" t="str">
        <f>IFERROR(Growth!L60/Growth!L10,"")</f>
        <v/>
      </c>
      <c r="M59" s="1163" t="str">
        <f>IFERROR(Growth!M60/Growth!M10,"")</f>
        <v/>
      </c>
      <c r="N59" s="1140"/>
      <c r="O59" s="1140"/>
      <c r="P59" s="677" t="s">
        <v>1368</v>
      </c>
      <c r="Q59" s="1082"/>
      <c r="R59" s="1141"/>
      <c r="S59" s="1141" t="str">
        <f t="shared" ref="S59:S67" si="10">D59</f>
        <v>Comp 1</v>
      </c>
      <c r="T59" s="1148">
        <f t="shared" ref="T59:T67" si="11">I59</f>
        <v>0</v>
      </c>
      <c r="U59" s="1149" t="str">
        <f t="shared" ref="U59:U67" si="12">K59</f>
        <v/>
      </c>
      <c r="V59" s="1149">
        <f>MEDIAN($I$102,$K$102)</f>
        <v>0</v>
      </c>
      <c r="W59" s="1141"/>
      <c r="X59" s="1150">
        <v>0</v>
      </c>
      <c r="Y59" s="1150"/>
      <c r="Z59" s="660"/>
      <c r="AA59" s="660"/>
      <c r="AB59" s="660"/>
      <c r="AC59" s="660"/>
      <c r="AD59" s="660"/>
      <c r="AE59" s="660"/>
      <c r="AF59" s="660"/>
    </row>
    <row r="60" spans="2:32" s="436" customFormat="1" ht="11" thickBot="1">
      <c r="C60" s="1087">
        <v>2</v>
      </c>
      <c r="D60" s="1151" t="str">
        <f>'GPC Data'!E193</f>
        <v>Comp 2</v>
      </c>
      <c r="E60" s="1135"/>
      <c r="F60" s="1136" t="str">
        <f>IFERROR(Growth!F61/Growth!F11,"")</f>
        <v/>
      </c>
      <c r="G60" s="1136" t="str">
        <f>IFERROR(Growth!G61/Growth!G11,"")</f>
        <v/>
      </c>
      <c r="H60" s="1136">
        <f>'GPC Data'!O193</f>
        <v>0</v>
      </c>
      <c r="I60" s="1136">
        <f>'GPC Data'!P193</f>
        <v>0</v>
      </c>
      <c r="J60" s="1136" t="str">
        <f>IFERROR(Growth!J61/Growth!J11,"")</f>
        <v/>
      </c>
      <c r="K60" s="1164" t="str">
        <f>IFERROR(Growth!K61/Growth!K11,"")</f>
        <v/>
      </c>
      <c r="L60" s="1164" t="str">
        <f>IFERROR(Growth!L61/Growth!L11,"")</f>
        <v/>
      </c>
      <c r="M60" s="1164" t="str">
        <f>IFERROR(Growth!M61/Growth!M11,"")</f>
        <v/>
      </c>
      <c r="N60" s="1140"/>
      <c r="O60" s="1140"/>
      <c r="P60" s="677" t="s">
        <v>1368</v>
      </c>
      <c r="Q60" s="1082"/>
      <c r="R60" s="1141"/>
      <c r="S60" s="1141" t="str">
        <f t="shared" si="10"/>
        <v>Comp 2</v>
      </c>
      <c r="T60" s="1148">
        <f t="shared" si="11"/>
        <v>0</v>
      </c>
      <c r="U60" s="1149" t="str">
        <f t="shared" si="12"/>
        <v/>
      </c>
      <c r="V60" s="1149">
        <f>MEDIAN($I$102,$K$102)</f>
        <v>0</v>
      </c>
      <c r="W60" s="1141"/>
      <c r="X60" s="1150">
        <v>1.5</v>
      </c>
      <c r="Y60" s="1150"/>
      <c r="Z60" s="660"/>
      <c r="AA60" s="660"/>
      <c r="AB60" s="660"/>
      <c r="AC60" s="660"/>
      <c r="AD60" s="660"/>
      <c r="AE60" s="660"/>
      <c r="AF60" s="660"/>
    </row>
    <row r="61" spans="2:32" s="436" customFormat="1" ht="11" thickBot="1">
      <c r="C61" s="1087">
        <v>3</v>
      </c>
      <c r="D61" s="1151" t="str">
        <f>'GPC Data'!E194</f>
        <v>Comp 3</v>
      </c>
      <c r="E61" s="1135"/>
      <c r="F61" s="1136" t="str">
        <f>IFERROR(Growth!F62/Growth!F12,"")</f>
        <v/>
      </c>
      <c r="G61" s="1136" t="str">
        <f>IFERROR(Growth!G62/Growth!G12,"")</f>
        <v/>
      </c>
      <c r="H61" s="1136">
        <f>'GPC Data'!O194</f>
        <v>0</v>
      </c>
      <c r="I61" s="1136">
        <f>'GPC Data'!P194</f>
        <v>0</v>
      </c>
      <c r="J61" s="1136" t="str">
        <f>IFERROR(Growth!J62/Growth!J12,"")</f>
        <v/>
      </c>
      <c r="K61" s="1164" t="str">
        <f>IFERROR(Growth!K62/Growth!K12,"")</f>
        <v/>
      </c>
      <c r="L61" s="1164" t="str">
        <f>IFERROR(Growth!L62/Growth!L12,"")</f>
        <v/>
      </c>
      <c r="M61" s="1164" t="str">
        <f>IFERROR(Growth!M62/Growth!M12,"")</f>
        <v/>
      </c>
      <c r="N61" s="1140"/>
      <c r="O61" s="1140"/>
      <c r="P61" s="677" t="s">
        <v>1368</v>
      </c>
      <c r="Q61" s="1082"/>
      <c r="R61" s="1141"/>
      <c r="S61" s="1141" t="str">
        <f t="shared" si="10"/>
        <v>Comp 3</v>
      </c>
      <c r="T61" s="1148">
        <f t="shared" si="11"/>
        <v>0</v>
      </c>
      <c r="U61" s="1149" t="str">
        <f t="shared" si="12"/>
        <v/>
      </c>
      <c r="V61" s="1141"/>
      <c r="W61" s="1141"/>
      <c r="X61" s="1141"/>
      <c r="Y61" s="1141"/>
      <c r="Z61" s="660" t="s">
        <v>1503</v>
      </c>
      <c r="AA61" s="660" t="s">
        <v>1503</v>
      </c>
      <c r="AB61" s="660" t="s">
        <v>1503</v>
      </c>
      <c r="AC61" s="660" t="s">
        <v>1503</v>
      </c>
      <c r="AD61" s="660" t="s">
        <v>1503</v>
      </c>
      <c r="AE61" s="660" t="s">
        <v>1503</v>
      </c>
      <c r="AF61" s="660" t="s">
        <v>1503</v>
      </c>
    </row>
    <row r="62" spans="2:32" s="436" customFormat="1" ht="11" thickBot="1">
      <c r="C62" s="1087">
        <v>4</v>
      </c>
      <c r="D62" s="1151" t="str">
        <f>'GPC Data'!E195</f>
        <v>Comp 4</v>
      </c>
      <c r="E62" s="1135"/>
      <c r="F62" s="1136" t="str">
        <f>IFERROR(Growth!F63/Growth!F13,"")</f>
        <v/>
      </c>
      <c r="G62" s="1136" t="str">
        <f>IFERROR(Growth!G63/Growth!G13,"")</f>
        <v/>
      </c>
      <c r="H62" s="1136">
        <f>'GPC Data'!O195</f>
        <v>0</v>
      </c>
      <c r="I62" s="1136">
        <f>'GPC Data'!P195</f>
        <v>0</v>
      </c>
      <c r="J62" s="1136" t="str">
        <f>IFERROR(Growth!J63/Growth!J13,"")</f>
        <v/>
      </c>
      <c r="K62" s="1164" t="str">
        <f>IFERROR(Growth!K63/Growth!K13,"")</f>
        <v/>
      </c>
      <c r="L62" s="1164" t="str">
        <f>IFERROR(Growth!L63/Growth!L13,"")</f>
        <v/>
      </c>
      <c r="M62" s="1164" t="str">
        <f>IFERROR(Growth!M63/Growth!M13,"")</f>
        <v/>
      </c>
      <c r="N62" s="1140"/>
      <c r="O62" s="1140"/>
      <c r="P62" s="677" t="s">
        <v>1368</v>
      </c>
      <c r="Q62" s="1082"/>
      <c r="R62" s="1141"/>
      <c r="S62" s="1141" t="str">
        <f t="shared" si="10"/>
        <v>Comp 4</v>
      </c>
      <c r="T62" s="1148">
        <f t="shared" si="11"/>
        <v>0</v>
      </c>
      <c r="U62" s="1149" t="str">
        <f t="shared" si="12"/>
        <v/>
      </c>
      <c r="V62" s="1141"/>
      <c r="W62" s="1141"/>
      <c r="X62" s="1141"/>
      <c r="Y62" s="1141"/>
      <c r="Z62" s="660" t="s">
        <v>1503</v>
      </c>
      <c r="AA62" s="660" t="s">
        <v>1503</v>
      </c>
      <c r="AB62" s="660" t="s">
        <v>1503</v>
      </c>
      <c r="AC62" s="660" t="s">
        <v>1503</v>
      </c>
      <c r="AD62" s="660" t="s">
        <v>1503</v>
      </c>
      <c r="AE62" s="660" t="s">
        <v>1503</v>
      </c>
      <c r="AF62" s="660" t="s">
        <v>1503</v>
      </c>
    </row>
    <row r="63" spans="2:32" s="436" customFormat="1" ht="11" thickBot="1">
      <c r="C63" s="1087">
        <v>5</v>
      </c>
      <c r="D63" s="1151" t="str">
        <f>'GPC Data'!E196</f>
        <v>Comp 5</v>
      </c>
      <c r="E63" s="1135"/>
      <c r="F63" s="1136" t="str">
        <f>IFERROR(Growth!F64/Growth!F14,"")</f>
        <v/>
      </c>
      <c r="G63" s="1136" t="str">
        <f>IFERROR(Growth!G64/Growth!G14,"")</f>
        <v/>
      </c>
      <c r="H63" s="1136">
        <f>'GPC Data'!O196</f>
        <v>0</v>
      </c>
      <c r="I63" s="1136">
        <f>'GPC Data'!P196</f>
        <v>0</v>
      </c>
      <c r="J63" s="1136" t="str">
        <f>IFERROR(Growth!J64/Growth!J14,"")</f>
        <v/>
      </c>
      <c r="K63" s="1164" t="str">
        <f>IFERROR(Growth!K64/Growth!K14,"")</f>
        <v/>
      </c>
      <c r="L63" s="1164" t="str">
        <f>IFERROR(Growth!L64/Growth!L14,"")</f>
        <v/>
      </c>
      <c r="M63" s="1164" t="str">
        <f>IFERROR(Growth!M64/Growth!M14,"")</f>
        <v/>
      </c>
      <c r="N63" s="1140"/>
      <c r="O63" s="1140"/>
      <c r="P63" s="677" t="s">
        <v>1368</v>
      </c>
      <c r="Q63" s="1082"/>
      <c r="R63" s="1141"/>
      <c r="S63" s="1141" t="str">
        <f t="shared" si="10"/>
        <v>Comp 5</v>
      </c>
      <c r="T63" s="1148">
        <f t="shared" si="11"/>
        <v>0</v>
      </c>
      <c r="U63" s="1149" t="str">
        <f t="shared" si="12"/>
        <v/>
      </c>
      <c r="V63" s="1141"/>
      <c r="W63" s="1141"/>
      <c r="X63" s="1141"/>
      <c r="Y63" s="1141"/>
      <c r="Z63" s="660"/>
      <c r="AA63" s="660"/>
      <c r="AB63" s="660"/>
      <c r="AC63" s="660"/>
      <c r="AD63" s="660"/>
      <c r="AE63" s="660"/>
      <c r="AF63" s="660"/>
    </row>
    <row r="64" spans="2:32" s="436" customFormat="1" ht="11" thickBot="1">
      <c r="C64" s="1087">
        <v>6</v>
      </c>
      <c r="D64" s="1151" t="str">
        <f>'GPC Data'!E197</f>
        <v>Comp 6</v>
      </c>
      <c r="E64" s="1135"/>
      <c r="F64" s="1136" t="str">
        <f>IFERROR(Growth!F65/Growth!F15,"")</f>
        <v/>
      </c>
      <c r="G64" s="1136" t="str">
        <f>IFERROR(Growth!G65/Growth!G15,"")</f>
        <v/>
      </c>
      <c r="H64" s="1136">
        <f>'GPC Data'!O197</f>
        <v>0</v>
      </c>
      <c r="I64" s="1136">
        <f>'GPC Data'!P197</f>
        <v>0</v>
      </c>
      <c r="J64" s="1136" t="str">
        <f>IFERROR(Growth!J65/Growth!J15,"")</f>
        <v/>
      </c>
      <c r="K64" s="1164" t="str">
        <f>IFERROR(Growth!K65/Growth!K15,"")</f>
        <v/>
      </c>
      <c r="L64" s="1164" t="str">
        <f>IFERROR(Growth!L65/Growth!L15,"")</f>
        <v/>
      </c>
      <c r="M64" s="1164" t="str">
        <f>IFERROR(Growth!M65/Growth!M15,"")</f>
        <v/>
      </c>
      <c r="N64" s="1140"/>
      <c r="O64" s="1140"/>
      <c r="P64" s="677" t="s">
        <v>1368</v>
      </c>
      <c r="Q64" s="1082"/>
      <c r="R64" s="1141"/>
      <c r="S64" s="1141" t="str">
        <f t="shared" si="10"/>
        <v>Comp 6</v>
      </c>
      <c r="T64" s="1148">
        <f t="shared" si="11"/>
        <v>0</v>
      </c>
      <c r="U64" s="1149" t="str">
        <f t="shared" si="12"/>
        <v/>
      </c>
      <c r="V64" s="1141"/>
      <c r="W64" s="1141"/>
      <c r="X64" s="1141"/>
      <c r="Y64" s="1141"/>
      <c r="Z64" s="660" t="s">
        <v>1503</v>
      </c>
      <c r="AA64" s="660" t="s">
        <v>1503</v>
      </c>
      <c r="AB64" s="660" t="s">
        <v>1503</v>
      </c>
      <c r="AC64" s="660" t="s">
        <v>1503</v>
      </c>
      <c r="AD64" s="660" t="s">
        <v>1503</v>
      </c>
      <c r="AE64" s="660" t="s">
        <v>1503</v>
      </c>
      <c r="AF64" s="660" t="s">
        <v>1503</v>
      </c>
    </row>
    <row r="65" spans="3:32" s="436" customFormat="1" ht="11" thickBot="1">
      <c r="C65" s="1087">
        <v>7</v>
      </c>
      <c r="D65" s="1151" t="str">
        <f>'GPC Data'!E198</f>
        <v>Comp 7</v>
      </c>
      <c r="E65" s="1135"/>
      <c r="F65" s="1136" t="str">
        <f>IFERROR(Growth!F66/Growth!F16,"")</f>
        <v/>
      </c>
      <c r="G65" s="1136" t="str">
        <f>IFERROR(Growth!G66/Growth!G16,"")</f>
        <v/>
      </c>
      <c r="H65" s="1136">
        <f>'GPC Data'!O198</f>
        <v>0</v>
      </c>
      <c r="I65" s="1136">
        <f>'GPC Data'!P198</f>
        <v>0</v>
      </c>
      <c r="J65" s="1136" t="str">
        <f>IFERROR(Growth!J66/Growth!J16,"")</f>
        <v/>
      </c>
      <c r="K65" s="1164" t="str">
        <f>IFERROR(Growth!K66/Growth!K16,"")</f>
        <v/>
      </c>
      <c r="L65" s="1164" t="str">
        <f>IFERROR(Growth!L66/Growth!L16,"")</f>
        <v/>
      </c>
      <c r="M65" s="1164" t="str">
        <f>IFERROR(Growth!M66/Growth!M16,"")</f>
        <v/>
      </c>
      <c r="N65" s="1140"/>
      <c r="O65" s="1140"/>
      <c r="P65" s="677" t="s">
        <v>1368</v>
      </c>
      <c r="Q65" s="1082"/>
      <c r="R65" s="1141"/>
      <c r="S65" s="1141" t="str">
        <f t="shared" si="10"/>
        <v>Comp 7</v>
      </c>
      <c r="T65" s="1148">
        <f t="shared" si="11"/>
        <v>0</v>
      </c>
      <c r="U65" s="1149" t="str">
        <f t="shared" si="12"/>
        <v/>
      </c>
      <c r="V65" s="1141"/>
      <c r="W65" s="1141"/>
      <c r="X65" s="1141"/>
      <c r="Y65" s="1141"/>
      <c r="Z65" s="660" t="s">
        <v>1503</v>
      </c>
      <c r="AA65" s="660" t="s">
        <v>1503</v>
      </c>
      <c r="AB65" s="660" t="s">
        <v>1503</v>
      </c>
      <c r="AC65" s="660" t="s">
        <v>1503</v>
      </c>
      <c r="AD65" s="660" t="s">
        <v>1503</v>
      </c>
      <c r="AE65" s="660" t="s">
        <v>1503</v>
      </c>
      <c r="AF65" s="660" t="s">
        <v>1503</v>
      </c>
    </row>
    <row r="66" spans="3:32" s="436" customFormat="1" ht="11" thickBot="1">
      <c r="C66" s="1087">
        <v>8</v>
      </c>
      <c r="D66" s="1151" t="str">
        <f>'GPC Data'!E199</f>
        <v>Comp 8</v>
      </c>
      <c r="E66" s="1135"/>
      <c r="F66" s="1136" t="str">
        <f>IFERROR(Growth!F67/Growth!F17,"")</f>
        <v/>
      </c>
      <c r="G66" s="1136" t="str">
        <f>IFERROR(Growth!G67/Growth!G17,"")</f>
        <v/>
      </c>
      <c r="H66" s="1136">
        <f>'GPC Data'!O199</f>
        <v>0</v>
      </c>
      <c r="I66" s="1136">
        <f>'GPC Data'!P199</f>
        <v>0</v>
      </c>
      <c r="J66" s="1136" t="str">
        <f>IFERROR(Growth!J67/Growth!J17,"")</f>
        <v/>
      </c>
      <c r="K66" s="1164" t="str">
        <f>IFERROR(Growth!K67/Growth!K17,"")</f>
        <v/>
      </c>
      <c r="L66" s="1164" t="str">
        <f>IFERROR(Growth!L67/Growth!L17,"")</f>
        <v/>
      </c>
      <c r="M66" s="1164" t="str">
        <f>IFERROR(Growth!M67/Growth!M17,"")</f>
        <v/>
      </c>
      <c r="N66" s="1140"/>
      <c r="O66" s="1140"/>
      <c r="P66" s="677" t="s">
        <v>1368</v>
      </c>
      <c r="Q66" s="1082"/>
      <c r="R66" s="1141"/>
      <c r="S66" s="1141" t="str">
        <f t="shared" si="10"/>
        <v>Comp 8</v>
      </c>
      <c r="T66" s="1148">
        <f t="shared" si="11"/>
        <v>0</v>
      </c>
      <c r="U66" s="1149" t="str">
        <f t="shared" si="12"/>
        <v/>
      </c>
      <c r="V66" s="1141"/>
      <c r="W66" s="1141"/>
      <c r="X66" s="1141"/>
      <c r="Y66" s="1141"/>
      <c r="Z66" s="660"/>
      <c r="AA66" s="660"/>
      <c r="AB66" s="660"/>
      <c r="AC66" s="660"/>
      <c r="AD66" s="660"/>
      <c r="AE66" s="660"/>
      <c r="AF66" s="660"/>
    </row>
    <row r="67" spans="3:32" s="436" customFormat="1" ht="11" thickBot="1">
      <c r="C67" s="1087">
        <v>9</v>
      </c>
      <c r="D67" s="1151" t="str">
        <f>'GPC Data'!E200</f>
        <v>Comp 9</v>
      </c>
      <c r="E67" s="1135"/>
      <c r="F67" s="1136" t="str">
        <f>IFERROR(Growth!F68/Growth!F18,"")</f>
        <v/>
      </c>
      <c r="G67" s="1136" t="str">
        <f>IFERROR(Growth!G68/Growth!G18,"")</f>
        <v/>
      </c>
      <c r="H67" s="1136">
        <f>'GPC Data'!O200</f>
        <v>0</v>
      </c>
      <c r="I67" s="1136">
        <f>'GPC Data'!P200</f>
        <v>0</v>
      </c>
      <c r="J67" s="1136" t="str">
        <f>IFERROR(Growth!J68/Growth!J18,"")</f>
        <v/>
      </c>
      <c r="K67" s="1164" t="str">
        <f>IFERROR(Growth!K68/Growth!K18,"")</f>
        <v/>
      </c>
      <c r="L67" s="1164" t="str">
        <f>IFERROR(Growth!L68/Growth!L18,"")</f>
        <v/>
      </c>
      <c r="M67" s="1164" t="str">
        <f>IFERROR(Growth!M68/Growth!M18,"")</f>
        <v/>
      </c>
      <c r="N67" s="1140"/>
      <c r="O67" s="1140"/>
      <c r="P67" s="677" t="s">
        <v>1368</v>
      </c>
      <c r="Q67" s="1082"/>
      <c r="R67" s="1141"/>
      <c r="S67" s="1141" t="str">
        <f t="shared" si="10"/>
        <v>Comp 9</v>
      </c>
      <c r="T67" s="1148">
        <f t="shared" si="11"/>
        <v>0</v>
      </c>
      <c r="U67" s="1149" t="str">
        <f t="shared" si="12"/>
        <v/>
      </c>
      <c r="V67" s="1141"/>
      <c r="W67" s="1141"/>
      <c r="X67" s="1141"/>
      <c r="Y67" s="1141"/>
      <c r="Z67" s="660" t="s">
        <v>1503</v>
      </c>
      <c r="AA67" s="660" t="s">
        <v>1503</v>
      </c>
      <c r="AB67" s="660" t="s">
        <v>1503</v>
      </c>
      <c r="AC67" s="660" t="s">
        <v>1503</v>
      </c>
      <c r="AD67" s="660" t="s">
        <v>1503</v>
      </c>
      <c r="AE67" s="660" t="s">
        <v>1503</v>
      </c>
      <c r="AF67" s="660" t="s">
        <v>1503</v>
      </c>
    </row>
    <row r="68" spans="3:32" s="436" customFormat="1" ht="11" thickBot="1">
      <c r="C68" s="1087"/>
      <c r="D68" s="1151" t="str">
        <f>'GPC Data'!E201</f>
        <v>Comp 10</v>
      </c>
      <c r="E68" s="1135"/>
      <c r="F68" s="1136" t="str">
        <f>IFERROR(Growth!F69/Growth!F19,"")</f>
        <v/>
      </c>
      <c r="G68" s="1136" t="str">
        <f>IFERROR(Growth!G69/Growth!G19,"")</f>
        <v/>
      </c>
      <c r="H68" s="1136">
        <f>'GPC Data'!O201</f>
        <v>0</v>
      </c>
      <c r="I68" s="1136">
        <f>'GPC Data'!P201</f>
        <v>0</v>
      </c>
      <c r="J68" s="1136" t="str">
        <f>IFERROR(Growth!J69/Growth!J19,"")</f>
        <v/>
      </c>
      <c r="K68" s="1164" t="str">
        <f>IFERROR(Growth!K69/Growth!K19,"")</f>
        <v/>
      </c>
      <c r="L68" s="1164" t="str">
        <f>IFERROR(Growth!L69/Growth!L19,"")</f>
        <v/>
      </c>
      <c r="M68" s="1164" t="str">
        <f>IFERROR(Growth!M69/Growth!M19,"")</f>
        <v/>
      </c>
      <c r="N68" s="1140"/>
      <c r="O68" s="1140"/>
      <c r="P68" s="677" t="s">
        <v>1368</v>
      </c>
      <c r="Q68" s="1082"/>
      <c r="R68" s="1141"/>
      <c r="S68" s="1141"/>
      <c r="T68" s="1148"/>
      <c r="U68" s="1149"/>
      <c r="V68" s="1141"/>
      <c r="W68" s="1141"/>
      <c r="X68" s="1141"/>
      <c r="Y68" s="1141"/>
      <c r="Z68" s="660"/>
      <c r="AA68" s="660"/>
      <c r="AB68" s="660"/>
      <c r="AC68" s="660"/>
      <c r="AD68" s="660"/>
      <c r="AE68" s="660"/>
      <c r="AF68" s="660"/>
    </row>
    <row r="69" spans="3:32" s="436" customFormat="1" ht="10.75" customHeight="1" outlineLevel="1" thickBot="1">
      <c r="C69" s="1087"/>
      <c r="D69" s="1151" t="str">
        <f>'GPC Data'!E202</f>
        <v>Comp 11</v>
      </c>
      <c r="E69" s="1135"/>
      <c r="F69" s="1136" t="str">
        <f>IFERROR(Growth!F82/Growth!F20,"")</f>
        <v/>
      </c>
      <c r="G69" s="1136" t="str">
        <f>IFERROR(Growth!G82/Growth!G20,"")</f>
        <v/>
      </c>
      <c r="H69" s="1136">
        <f>'GPC Data'!O202</f>
        <v>0</v>
      </c>
      <c r="I69" s="1136">
        <f>'GPC Data'!P202</f>
        <v>0</v>
      </c>
      <c r="J69" s="1136" t="str">
        <f>IFERROR(Growth!J82/Growth!J20,"")</f>
        <v/>
      </c>
      <c r="K69" s="1164" t="str">
        <f>IFERROR(Growth!K82/Growth!K20,"")</f>
        <v/>
      </c>
      <c r="L69" s="1164" t="str">
        <f>IFERROR(Growth!L82/Growth!L20,"")</f>
        <v/>
      </c>
      <c r="M69" s="1164" t="str">
        <f>IFERROR(Growth!M82/Growth!M20,"")</f>
        <v/>
      </c>
      <c r="N69" s="1140"/>
      <c r="O69" s="1140"/>
      <c r="P69" s="677" t="s">
        <v>106</v>
      </c>
      <c r="Q69" s="1082"/>
      <c r="R69" s="1141"/>
      <c r="S69" s="1141"/>
      <c r="T69" s="1148"/>
      <c r="U69" s="1149"/>
      <c r="V69" s="1141"/>
      <c r="W69" s="1141"/>
      <c r="X69" s="1141"/>
      <c r="Y69" s="1141"/>
      <c r="Z69" s="660"/>
      <c r="AA69" s="660"/>
      <c r="AB69" s="660"/>
      <c r="AC69" s="660"/>
      <c r="AD69" s="660"/>
      <c r="AE69" s="660"/>
      <c r="AF69" s="660"/>
    </row>
    <row r="70" spans="3:32" s="436" customFormat="1" ht="10.75" customHeight="1" outlineLevel="1" thickBot="1">
      <c r="C70" s="1087"/>
      <c r="D70" s="1151" t="str">
        <f>'GPC Data'!E203</f>
        <v>Comp 12</v>
      </c>
      <c r="E70" s="1135"/>
      <c r="F70" s="1136" t="str">
        <f>IFERROR(Growth!F83/Growth!F21,"")</f>
        <v/>
      </c>
      <c r="G70" s="1136" t="str">
        <f>IFERROR(Growth!G83/Growth!G21,"")</f>
        <v/>
      </c>
      <c r="H70" s="1136">
        <f>'GPC Data'!O203</f>
        <v>0</v>
      </c>
      <c r="I70" s="1136">
        <f>'GPC Data'!P203</f>
        <v>0</v>
      </c>
      <c r="J70" s="1136" t="str">
        <f>IFERROR(Growth!J83/Growth!J21,"")</f>
        <v/>
      </c>
      <c r="K70" s="1164" t="str">
        <f>IFERROR(Growth!K83/Growth!K21,"")</f>
        <v/>
      </c>
      <c r="L70" s="1164" t="str">
        <f>IFERROR(Growth!L83/Growth!L21,"")</f>
        <v/>
      </c>
      <c r="M70" s="1164" t="str">
        <f>IFERROR(Growth!M83/Growth!M21,"")</f>
        <v/>
      </c>
      <c r="N70" s="1140"/>
      <c r="O70" s="1140"/>
      <c r="P70" s="677" t="s">
        <v>106</v>
      </c>
      <c r="Q70" s="1082"/>
      <c r="R70" s="1141"/>
      <c r="S70" s="1141"/>
      <c r="T70" s="1148"/>
      <c r="U70" s="1149"/>
      <c r="V70" s="1141"/>
      <c r="W70" s="1141"/>
      <c r="X70" s="1141"/>
      <c r="Y70" s="1141"/>
      <c r="Z70" s="660"/>
      <c r="AA70" s="660"/>
      <c r="AB70" s="660"/>
      <c r="AC70" s="660"/>
      <c r="AD70" s="660"/>
      <c r="AE70" s="660"/>
      <c r="AF70" s="660"/>
    </row>
    <row r="71" spans="3:32" s="436" customFormat="1" ht="10.75" customHeight="1" outlineLevel="1" thickBot="1">
      <c r="C71" s="1087"/>
      <c r="D71" s="1151" t="str">
        <f>'GPC Data'!E204</f>
        <v>Comp 13</v>
      </c>
      <c r="E71" s="1135"/>
      <c r="F71" s="1136" t="str">
        <f>IFERROR(Growth!F84/Growth!F22,"")</f>
        <v/>
      </c>
      <c r="G71" s="1136" t="str">
        <f>IFERROR(Growth!G84/Growth!G22,"")</f>
        <v/>
      </c>
      <c r="H71" s="1136">
        <f>'GPC Data'!O204</f>
        <v>0</v>
      </c>
      <c r="I71" s="1136">
        <f>'GPC Data'!P204</f>
        <v>0</v>
      </c>
      <c r="J71" s="1136" t="str">
        <f>IFERROR(Growth!J84/Growth!J22,"")</f>
        <v/>
      </c>
      <c r="K71" s="1164" t="str">
        <f>IFERROR(Growth!K84/Growth!K22,"")</f>
        <v/>
      </c>
      <c r="L71" s="1164" t="str">
        <f>IFERROR(Growth!L84/Growth!L22,"")</f>
        <v/>
      </c>
      <c r="M71" s="1164" t="str">
        <f>IFERROR(Growth!M84/Growth!M22,"")</f>
        <v/>
      </c>
      <c r="N71" s="1140"/>
      <c r="O71" s="1140"/>
      <c r="P71" s="677" t="s">
        <v>106</v>
      </c>
      <c r="Q71" s="1082"/>
      <c r="R71" s="1141"/>
      <c r="S71" s="1141"/>
      <c r="T71" s="1148"/>
      <c r="U71" s="1149"/>
      <c r="V71" s="1141"/>
      <c r="W71" s="1141"/>
      <c r="X71" s="1141"/>
      <c r="Y71" s="1141"/>
      <c r="Z71" s="660"/>
      <c r="AA71" s="660"/>
      <c r="AB71" s="660"/>
      <c r="AC71" s="660"/>
      <c r="AD71" s="660"/>
      <c r="AE71" s="660"/>
      <c r="AF71" s="660"/>
    </row>
    <row r="72" spans="3:32" s="436" customFormat="1" ht="10.75" customHeight="1" outlineLevel="1" thickBot="1">
      <c r="C72" s="1087"/>
      <c r="D72" s="1151" t="str">
        <f>'GPC Data'!E205</f>
        <v>Comp 14</v>
      </c>
      <c r="E72" s="1135"/>
      <c r="F72" s="1136" t="str">
        <f>IFERROR(Growth!F85/Growth!F23,"")</f>
        <v/>
      </c>
      <c r="G72" s="1136" t="str">
        <f>IFERROR(Growth!G85/Growth!G23,"")</f>
        <v/>
      </c>
      <c r="H72" s="1136">
        <f>'GPC Data'!O205</f>
        <v>0</v>
      </c>
      <c r="I72" s="1136">
        <f>'GPC Data'!P205</f>
        <v>0</v>
      </c>
      <c r="J72" s="1136" t="str">
        <f>IFERROR(Growth!J85/Growth!J23,"")</f>
        <v/>
      </c>
      <c r="K72" s="1164" t="str">
        <f>IFERROR(Growth!K85/Growth!K23,"")</f>
        <v/>
      </c>
      <c r="L72" s="1164" t="str">
        <f>IFERROR(Growth!L85/Growth!L23,"")</f>
        <v/>
      </c>
      <c r="M72" s="1164" t="str">
        <f>IFERROR(Growth!M85/Growth!M23,"")</f>
        <v/>
      </c>
      <c r="N72" s="1140"/>
      <c r="O72" s="1140"/>
      <c r="P72" s="677" t="s">
        <v>106</v>
      </c>
      <c r="Q72" s="1082"/>
      <c r="R72" s="1141"/>
      <c r="S72" s="1141"/>
      <c r="T72" s="1148"/>
      <c r="U72" s="1149"/>
      <c r="V72" s="1141"/>
      <c r="W72" s="1141"/>
      <c r="X72" s="1141"/>
      <c r="Y72" s="1141"/>
      <c r="Z72" s="660"/>
      <c r="AA72" s="660"/>
      <c r="AB72" s="660"/>
      <c r="AC72" s="660"/>
      <c r="AD72" s="660"/>
      <c r="AE72" s="660"/>
      <c r="AF72" s="660"/>
    </row>
    <row r="73" spans="3:32" s="436" customFormat="1" ht="10.75" customHeight="1" outlineLevel="1" thickBot="1">
      <c r="C73" s="1087"/>
      <c r="D73" s="1151" t="str">
        <f>'GPC Data'!E206</f>
        <v>Comp 15</v>
      </c>
      <c r="E73" s="1135"/>
      <c r="F73" s="1136" t="str">
        <f>IFERROR(Growth!F86/Growth!F24,"")</f>
        <v/>
      </c>
      <c r="G73" s="1136" t="str">
        <f>IFERROR(Growth!G86/Growth!G24,"")</f>
        <v/>
      </c>
      <c r="H73" s="1136">
        <f>'GPC Data'!O206</f>
        <v>0</v>
      </c>
      <c r="I73" s="1136">
        <f>'GPC Data'!P206</f>
        <v>0</v>
      </c>
      <c r="J73" s="1136" t="str">
        <f>IFERROR(Growth!J86/Growth!J24,"")</f>
        <v/>
      </c>
      <c r="K73" s="1164" t="str">
        <f>IFERROR(Growth!K86/Growth!K24,"")</f>
        <v/>
      </c>
      <c r="L73" s="1164" t="str">
        <f>IFERROR(Growth!L86/Growth!L24,"")</f>
        <v/>
      </c>
      <c r="M73" s="1164" t="str">
        <f>IFERROR(Growth!M86/Growth!M24,"")</f>
        <v/>
      </c>
      <c r="N73" s="1140"/>
      <c r="O73" s="1140"/>
      <c r="P73" s="677" t="s">
        <v>106</v>
      </c>
      <c r="Q73" s="1082"/>
      <c r="R73" s="1141"/>
      <c r="S73" s="1141"/>
      <c r="T73" s="1148"/>
      <c r="U73" s="1149"/>
      <c r="V73" s="1141"/>
      <c r="W73" s="1141"/>
      <c r="X73" s="1141"/>
      <c r="Y73" s="1141"/>
      <c r="Z73" s="660"/>
      <c r="AA73" s="660"/>
      <c r="AB73" s="660"/>
      <c r="AC73" s="660"/>
      <c r="AD73" s="660"/>
      <c r="AE73" s="660"/>
      <c r="AF73" s="660"/>
    </row>
    <row r="74" spans="3:32" s="436" customFormat="1" ht="10.75" customHeight="1" outlineLevel="1" thickBot="1">
      <c r="C74" s="1087"/>
      <c r="D74" s="1151" t="str">
        <f>'GPC Data'!E207</f>
        <v>Comp 16</v>
      </c>
      <c r="E74" s="1135"/>
      <c r="F74" s="1136" t="str">
        <f>IFERROR(Growth!F87/Growth!F25,"")</f>
        <v/>
      </c>
      <c r="G74" s="1136" t="str">
        <f>IFERROR(Growth!G87/Growth!G25,"")</f>
        <v/>
      </c>
      <c r="H74" s="1136">
        <f>'GPC Data'!O207</f>
        <v>0</v>
      </c>
      <c r="I74" s="1136">
        <f>'GPC Data'!P207</f>
        <v>0</v>
      </c>
      <c r="J74" s="1136" t="str">
        <f>IFERROR(Growth!J87/Growth!J25,"")</f>
        <v/>
      </c>
      <c r="K74" s="1164" t="str">
        <f>IFERROR(Growth!K87/Growth!K25,"")</f>
        <v/>
      </c>
      <c r="L74" s="1164" t="str">
        <f>IFERROR(Growth!L87/Growth!L25,"")</f>
        <v/>
      </c>
      <c r="M74" s="1164" t="str">
        <f>IFERROR(Growth!M87/Growth!M25,"")</f>
        <v/>
      </c>
      <c r="N74" s="1140"/>
      <c r="O74" s="1140"/>
      <c r="P74" s="677" t="s">
        <v>106</v>
      </c>
      <c r="Q74" s="1082"/>
      <c r="R74" s="1141"/>
      <c r="S74" s="1141"/>
      <c r="T74" s="1148"/>
      <c r="U74" s="1149"/>
      <c r="V74" s="1141"/>
      <c r="W74" s="1141"/>
      <c r="X74" s="1141"/>
      <c r="Y74" s="1141"/>
      <c r="Z74" s="660"/>
      <c r="AA74" s="660"/>
      <c r="AB74" s="660"/>
      <c r="AC74" s="660"/>
      <c r="AD74" s="660"/>
      <c r="AE74" s="660"/>
      <c r="AF74" s="660"/>
    </row>
    <row r="75" spans="3:32" s="436" customFormat="1" ht="10.75" customHeight="1" outlineLevel="1" thickBot="1">
      <c r="C75" s="1087"/>
      <c r="D75" s="1151" t="str">
        <f>'GPC Data'!E208</f>
        <v>Comp 17</v>
      </c>
      <c r="E75" s="1135"/>
      <c r="F75" s="1136" t="str">
        <f>IFERROR(Growth!F88/Growth!F26,"")</f>
        <v/>
      </c>
      <c r="G75" s="1136" t="str">
        <f>IFERROR(Growth!G88/Growth!G26,"")</f>
        <v/>
      </c>
      <c r="H75" s="1136">
        <f>'GPC Data'!O208</f>
        <v>0</v>
      </c>
      <c r="I75" s="1136">
        <f>'GPC Data'!P208</f>
        <v>0</v>
      </c>
      <c r="J75" s="1136" t="str">
        <f>IFERROR(Growth!J88/Growth!J26,"")</f>
        <v/>
      </c>
      <c r="K75" s="1164" t="str">
        <f>IFERROR(Growth!K88/Growth!K26,"")</f>
        <v/>
      </c>
      <c r="L75" s="1164" t="str">
        <f>IFERROR(Growth!L88/Growth!L26,"")</f>
        <v/>
      </c>
      <c r="M75" s="1164" t="str">
        <f>IFERROR(Growth!M88/Growth!M26,"")</f>
        <v/>
      </c>
      <c r="N75" s="1140"/>
      <c r="O75" s="1140"/>
      <c r="P75" s="677" t="s">
        <v>106</v>
      </c>
      <c r="Q75" s="1082"/>
      <c r="R75" s="1141"/>
      <c r="S75" s="1141"/>
      <c r="T75" s="1148"/>
      <c r="U75" s="1149"/>
      <c r="V75" s="1141"/>
      <c r="W75" s="1141"/>
      <c r="X75" s="1141"/>
      <c r="Y75" s="1141"/>
      <c r="Z75" s="660"/>
      <c r="AA75" s="660"/>
      <c r="AB75" s="660"/>
      <c r="AC75" s="660"/>
      <c r="AD75" s="660"/>
      <c r="AE75" s="660"/>
      <c r="AF75" s="660"/>
    </row>
    <row r="76" spans="3:32" s="436" customFormat="1" ht="10.75" customHeight="1" outlineLevel="1" thickBot="1">
      <c r="C76" s="1087"/>
      <c r="D76" s="1151" t="str">
        <f>'GPC Data'!E209</f>
        <v>Comp 18</v>
      </c>
      <c r="E76" s="1152"/>
      <c r="F76" s="1136" t="str">
        <f>IFERROR(Growth!F89/Growth!F27,"")</f>
        <v/>
      </c>
      <c r="G76" s="1136" t="str">
        <f>IFERROR(Growth!G89/Growth!G27,"")</f>
        <v/>
      </c>
      <c r="H76" s="1136">
        <f>'GPC Data'!O209</f>
        <v>0</v>
      </c>
      <c r="I76" s="1136">
        <f>'GPC Data'!P209</f>
        <v>0</v>
      </c>
      <c r="J76" s="1136" t="str">
        <f>IFERROR(Growth!J89/Growth!J27,"")</f>
        <v/>
      </c>
      <c r="K76" s="1164" t="str">
        <f>IFERROR(Growth!K89/Growth!K27,"")</f>
        <v/>
      </c>
      <c r="L76" s="1164" t="str">
        <f>IFERROR(Growth!L89/Growth!L27,"")</f>
        <v/>
      </c>
      <c r="M76" s="1164" t="str">
        <f>IFERROR(Growth!M89/Growth!M27,"")</f>
        <v/>
      </c>
      <c r="N76" s="1140"/>
      <c r="O76" s="1140"/>
      <c r="P76" s="677" t="s">
        <v>106</v>
      </c>
      <c r="Q76" s="1082"/>
      <c r="R76" s="1141"/>
      <c r="S76" s="1141"/>
      <c r="T76" s="1148"/>
      <c r="U76" s="1149"/>
      <c r="V76" s="1141"/>
      <c r="W76" s="1141"/>
      <c r="X76" s="1141"/>
      <c r="Y76" s="1141"/>
      <c r="Z76" s="660"/>
      <c r="AA76" s="660"/>
      <c r="AB76" s="660"/>
      <c r="AC76" s="660"/>
      <c r="AD76" s="660"/>
      <c r="AE76" s="660"/>
      <c r="AF76" s="660"/>
    </row>
    <row r="77" spans="3:32" s="436" customFormat="1" ht="10.75" customHeight="1" outlineLevel="1" thickBot="1">
      <c r="C77" s="1087"/>
      <c r="D77" s="1151" t="str">
        <f>'GPC Data'!E210</f>
        <v>Comp 19</v>
      </c>
      <c r="E77" s="1135"/>
      <c r="F77" s="1136" t="str">
        <f>IFERROR(Growth!F90/Growth!F28,"")</f>
        <v/>
      </c>
      <c r="G77" s="1136" t="str">
        <f>IFERROR(Growth!G90/Growth!G28,"")</f>
        <v/>
      </c>
      <c r="H77" s="1136">
        <f>'GPC Data'!O210</f>
        <v>0</v>
      </c>
      <c r="I77" s="1136">
        <f>'GPC Data'!P210</f>
        <v>0</v>
      </c>
      <c r="J77" s="1136" t="str">
        <f>IFERROR(Growth!J90/Growth!J28,"")</f>
        <v/>
      </c>
      <c r="K77" s="1164" t="str">
        <f>IFERROR(Growth!K90/Growth!K28,"")</f>
        <v/>
      </c>
      <c r="L77" s="1164" t="str">
        <f>IFERROR(Growth!L90/Growth!L28,"")</f>
        <v/>
      </c>
      <c r="M77" s="1164" t="str">
        <f>IFERROR(Growth!M90/Growth!M28,"")</f>
        <v/>
      </c>
      <c r="N77" s="1140"/>
      <c r="O77" s="1140"/>
      <c r="P77" s="677" t="s">
        <v>106</v>
      </c>
      <c r="Q77" s="1082"/>
      <c r="R77" s="1141"/>
      <c r="S77" s="1141"/>
      <c r="T77" s="1148"/>
      <c r="U77" s="1149"/>
      <c r="V77" s="1141"/>
      <c r="W77" s="1141"/>
      <c r="X77" s="1141"/>
      <c r="Y77" s="1141"/>
      <c r="Z77" s="660"/>
      <c r="AA77" s="660"/>
      <c r="AB77" s="660"/>
      <c r="AC77" s="660"/>
      <c r="AD77" s="660"/>
      <c r="AE77" s="660"/>
      <c r="AF77" s="660"/>
    </row>
    <row r="78" spans="3:32" s="436" customFormat="1" ht="11" outlineLevel="1" thickBot="1">
      <c r="C78" s="1087"/>
      <c r="D78" s="1151" t="str">
        <f>'GPC Data'!E211</f>
        <v>Comp 20</v>
      </c>
      <c r="E78" s="1135"/>
      <c r="F78" s="1136" t="str">
        <f>IFERROR(Growth!F91/Growth!F29,"")</f>
        <v/>
      </c>
      <c r="G78" s="1136" t="str">
        <f>IFERROR(Growth!G91/Growth!G29,"")</f>
        <v/>
      </c>
      <c r="H78" s="1136">
        <f>'GPC Data'!O211</f>
        <v>0</v>
      </c>
      <c r="I78" s="1136">
        <f>'GPC Data'!P211</f>
        <v>0</v>
      </c>
      <c r="J78" s="1136" t="str">
        <f>IFERROR(Growth!J91/Growth!J29,"")</f>
        <v/>
      </c>
      <c r="K78" s="1164" t="str">
        <f>IFERROR(Growth!K91/Growth!K29,"")</f>
        <v/>
      </c>
      <c r="L78" s="1164" t="str">
        <f>IFERROR(Growth!L91/Growth!L29,"")</f>
        <v/>
      </c>
      <c r="M78" s="1164" t="str">
        <f>IFERROR(Growth!M91/Growth!M29,"")</f>
        <v/>
      </c>
      <c r="N78" s="1140"/>
      <c r="O78" s="1140"/>
      <c r="P78" s="677" t="s">
        <v>106</v>
      </c>
      <c r="Q78" s="1082"/>
      <c r="R78" s="1141"/>
      <c r="S78" s="1141"/>
      <c r="T78" s="1148"/>
      <c r="U78" s="1149"/>
      <c r="V78" s="1141"/>
      <c r="W78" s="1141"/>
      <c r="X78" s="1141"/>
      <c r="Y78" s="1141"/>
      <c r="Z78" s="660"/>
      <c r="AA78" s="660"/>
      <c r="AB78" s="660"/>
      <c r="AC78" s="660"/>
      <c r="AD78" s="660"/>
      <c r="AE78" s="660"/>
      <c r="AF78" s="660"/>
    </row>
    <row r="79" spans="3:32" s="436" customFormat="1" ht="11" outlineLevel="1" thickBot="1">
      <c r="C79" s="1087"/>
      <c r="D79" s="1151" t="str">
        <f>'GPC Data'!E212</f>
        <v>Comp 21</v>
      </c>
      <c r="E79" s="1135"/>
      <c r="F79" s="1136" t="str">
        <f>IFERROR(Growth!F92/Growth!F30,"")</f>
        <v/>
      </c>
      <c r="G79" s="1136" t="str">
        <f>IFERROR(Growth!G92/Growth!G30,"")</f>
        <v/>
      </c>
      <c r="H79" s="1136">
        <f>'GPC Data'!O212</f>
        <v>0</v>
      </c>
      <c r="I79" s="1136">
        <f>'GPC Data'!P212</f>
        <v>0</v>
      </c>
      <c r="J79" s="1136" t="str">
        <f>IFERROR(Growth!J92/Growth!J30,"")</f>
        <v/>
      </c>
      <c r="K79" s="1164" t="str">
        <f>IFERROR(Growth!K92/Growth!K30,"")</f>
        <v/>
      </c>
      <c r="L79" s="1164" t="str">
        <f>IFERROR(Growth!L92/Growth!L30,"")</f>
        <v/>
      </c>
      <c r="M79" s="1164" t="str">
        <f>IFERROR(Growth!M92/Growth!M30,"")</f>
        <v/>
      </c>
      <c r="N79" s="1140"/>
      <c r="O79" s="1140"/>
      <c r="P79" s="677" t="s">
        <v>106</v>
      </c>
      <c r="Q79" s="1082"/>
      <c r="R79" s="1141"/>
      <c r="S79" s="1141"/>
      <c r="T79" s="1148"/>
      <c r="U79" s="1149"/>
      <c r="V79" s="1141"/>
      <c r="W79" s="1141"/>
      <c r="X79" s="1141"/>
      <c r="Y79" s="1141"/>
      <c r="Z79" s="660"/>
      <c r="AA79" s="660"/>
      <c r="AB79" s="660"/>
      <c r="AC79" s="660"/>
      <c r="AD79" s="660"/>
      <c r="AE79" s="660"/>
      <c r="AF79" s="660"/>
    </row>
    <row r="80" spans="3:32" s="436" customFormat="1" ht="11" outlineLevel="1" thickBot="1">
      <c r="C80" s="1087"/>
      <c r="D80" s="1151" t="str">
        <f>'GPC Data'!E213</f>
        <v>Comp 22</v>
      </c>
      <c r="E80" s="1135"/>
      <c r="F80" s="1136" t="str">
        <f>IFERROR(Growth!F93/Growth!F31,"")</f>
        <v/>
      </c>
      <c r="G80" s="1136" t="str">
        <f>IFERROR(Growth!G93/Growth!G31,"")</f>
        <v/>
      </c>
      <c r="H80" s="1136">
        <f>'GPC Data'!O213</f>
        <v>0</v>
      </c>
      <c r="I80" s="1136">
        <f>'GPC Data'!P213</f>
        <v>0</v>
      </c>
      <c r="J80" s="1136" t="str">
        <f>IFERROR(Growth!J93/Growth!J31,"")</f>
        <v/>
      </c>
      <c r="K80" s="1164" t="str">
        <f>IFERROR(Growth!K93/Growth!K31,"")</f>
        <v/>
      </c>
      <c r="L80" s="1164" t="str">
        <f>IFERROR(Growth!L93/Growth!L31,"")</f>
        <v/>
      </c>
      <c r="M80" s="1164" t="str">
        <f>IFERROR(Growth!M93/Growth!M31,"")</f>
        <v/>
      </c>
      <c r="N80" s="1140"/>
      <c r="O80" s="1140"/>
      <c r="P80" s="677" t="s">
        <v>106</v>
      </c>
      <c r="Q80" s="1082"/>
      <c r="R80" s="1141"/>
      <c r="S80" s="1141"/>
      <c r="T80" s="1148"/>
      <c r="U80" s="1149"/>
      <c r="V80" s="1141"/>
      <c r="W80" s="1141"/>
      <c r="X80" s="1141"/>
      <c r="Y80" s="1141"/>
      <c r="Z80" s="660"/>
      <c r="AA80" s="660"/>
      <c r="AB80" s="660"/>
      <c r="AC80" s="660"/>
      <c r="AD80" s="660"/>
      <c r="AE80" s="660"/>
      <c r="AF80" s="660"/>
    </row>
    <row r="81" spans="2:32" s="436" customFormat="1" ht="11" outlineLevel="1" thickBot="1">
      <c r="C81" s="1087"/>
      <c r="D81" s="1151" t="str">
        <f>'GPC Data'!E214</f>
        <v>Comp 23</v>
      </c>
      <c r="E81" s="1135"/>
      <c r="F81" s="1136" t="str">
        <f>IFERROR(Growth!F94/Growth!F32,"")</f>
        <v/>
      </c>
      <c r="G81" s="1136" t="str">
        <f>IFERROR(Growth!G94/Growth!G32,"")</f>
        <v/>
      </c>
      <c r="H81" s="1136">
        <f>'GPC Data'!O214</f>
        <v>0</v>
      </c>
      <c r="I81" s="1136">
        <f>'GPC Data'!P214</f>
        <v>0</v>
      </c>
      <c r="J81" s="1136" t="str">
        <f>IFERROR(Growth!J94/Growth!J32,"")</f>
        <v/>
      </c>
      <c r="K81" s="1164" t="str">
        <f>IFERROR(Growth!K94/Growth!K32,"")</f>
        <v/>
      </c>
      <c r="L81" s="1164" t="str">
        <f>IFERROR(Growth!L94/Growth!L32,"")</f>
        <v/>
      </c>
      <c r="M81" s="1164" t="str">
        <f>IFERROR(Growth!M94/Growth!M32,"")</f>
        <v/>
      </c>
      <c r="N81" s="1140"/>
      <c r="O81" s="1140"/>
      <c r="P81" s="677" t="s">
        <v>106</v>
      </c>
      <c r="Q81" s="1082"/>
      <c r="R81" s="1141"/>
      <c r="S81" s="1141"/>
      <c r="T81" s="1148"/>
      <c r="U81" s="1149"/>
      <c r="V81" s="1141"/>
      <c r="W81" s="1141"/>
      <c r="X81" s="1141"/>
      <c r="Y81" s="1141"/>
      <c r="Z81" s="660"/>
      <c r="AA81" s="660"/>
      <c r="AB81" s="660"/>
      <c r="AC81" s="660"/>
      <c r="AD81" s="660"/>
      <c r="AE81" s="660"/>
      <c r="AF81" s="660"/>
    </row>
    <row r="82" spans="2:32" s="436" customFormat="1" ht="11" outlineLevel="1" thickBot="1">
      <c r="C82" s="1087"/>
      <c r="D82" s="1151" t="str">
        <f>'GPC Data'!E215</f>
        <v>Comp 24</v>
      </c>
      <c r="E82" s="1135"/>
      <c r="F82" s="1136" t="str">
        <f>IFERROR(Growth!F95/Growth!F33,"")</f>
        <v/>
      </c>
      <c r="G82" s="1136" t="str">
        <f>IFERROR(Growth!G95/Growth!G33,"")</f>
        <v/>
      </c>
      <c r="H82" s="1136">
        <f>'GPC Data'!O215</f>
        <v>0</v>
      </c>
      <c r="I82" s="1136">
        <f>'GPC Data'!P215</f>
        <v>0</v>
      </c>
      <c r="J82" s="1136" t="str">
        <f>IFERROR(Growth!J95/Growth!J33,"")</f>
        <v/>
      </c>
      <c r="K82" s="1164" t="str">
        <f>IFERROR(Growth!K95/Growth!K33,"")</f>
        <v/>
      </c>
      <c r="L82" s="1164" t="str">
        <f>IFERROR(Growth!L95/Growth!L33,"")</f>
        <v/>
      </c>
      <c r="M82" s="1164" t="str">
        <f>IFERROR(Growth!M95/Growth!M33,"")</f>
        <v/>
      </c>
      <c r="N82" s="1140"/>
      <c r="O82" s="1140"/>
      <c r="P82" s="677" t="s">
        <v>106</v>
      </c>
      <c r="Q82" s="1082"/>
      <c r="R82" s="1141"/>
      <c r="S82" s="1141"/>
      <c r="T82" s="1148"/>
      <c r="U82" s="1149"/>
      <c r="V82" s="1141"/>
      <c r="W82" s="1141"/>
      <c r="X82" s="1141"/>
      <c r="Y82" s="1141"/>
      <c r="Z82" s="660"/>
      <c r="AA82" s="660"/>
      <c r="AB82" s="660"/>
      <c r="AC82" s="660"/>
      <c r="AD82" s="660"/>
      <c r="AE82" s="660"/>
      <c r="AF82" s="660"/>
    </row>
    <row r="83" spans="2:32" s="436" customFormat="1" ht="11" outlineLevel="1" thickBot="1">
      <c r="C83" s="1087"/>
      <c r="D83" s="1151" t="str">
        <f>'GPC Data'!E216</f>
        <v>Comp 25</v>
      </c>
      <c r="E83" s="1135"/>
      <c r="F83" s="1136" t="str">
        <f>IFERROR(Growth!F96/Growth!F34,"")</f>
        <v/>
      </c>
      <c r="G83" s="1136" t="str">
        <f>IFERROR(Growth!G96/Growth!G34,"")</f>
        <v/>
      </c>
      <c r="H83" s="1136">
        <f>'GPC Data'!O216</f>
        <v>0</v>
      </c>
      <c r="I83" s="1136">
        <f>'GPC Data'!P216</f>
        <v>0</v>
      </c>
      <c r="J83" s="1136" t="str">
        <f>IFERROR(Growth!J96/Growth!J34,"")</f>
        <v/>
      </c>
      <c r="K83" s="1164" t="str">
        <f>IFERROR(Growth!K96/Growth!K34,"")</f>
        <v/>
      </c>
      <c r="L83" s="1164" t="str">
        <f>IFERROR(Growth!L96/Growth!L34,"")</f>
        <v/>
      </c>
      <c r="M83" s="1164" t="str">
        <f>IFERROR(Growth!M96/Growth!M34,"")</f>
        <v/>
      </c>
      <c r="N83" s="1140"/>
      <c r="O83" s="1140"/>
      <c r="P83" s="677" t="s">
        <v>106</v>
      </c>
      <c r="Q83" s="1082"/>
      <c r="R83" s="1141"/>
      <c r="S83" s="1141"/>
      <c r="T83" s="1148"/>
      <c r="U83" s="1149"/>
      <c r="V83" s="1141"/>
      <c r="W83" s="1141"/>
      <c r="X83" s="1141"/>
      <c r="Y83" s="1141"/>
      <c r="Z83" s="660"/>
      <c r="AA83" s="660"/>
      <c r="AB83" s="660"/>
      <c r="AC83" s="660"/>
      <c r="AD83" s="660"/>
      <c r="AE83" s="660"/>
      <c r="AF83" s="660"/>
    </row>
    <row r="84" spans="2:32" s="436" customFormat="1" ht="11" outlineLevel="1" thickBot="1">
      <c r="C84" s="1087"/>
      <c r="D84" s="1151" t="str">
        <f>'GPC Data'!E217</f>
        <v>Comp 26</v>
      </c>
      <c r="E84" s="1135"/>
      <c r="F84" s="1136" t="str">
        <f>IFERROR(Growth!F97/Growth!F35,"")</f>
        <v/>
      </c>
      <c r="G84" s="1136" t="str">
        <f>IFERROR(Growth!G97/Growth!G35,"")</f>
        <v/>
      </c>
      <c r="H84" s="1136">
        <f>'GPC Data'!O217</f>
        <v>0</v>
      </c>
      <c r="I84" s="1136">
        <f>'GPC Data'!P217</f>
        <v>0</v>
      </c>
      <c r="J84" s="1136" t="str">
        <f>IFERROR(Growth!J97/Growth!J35,"")</f>
        <v/>
      </c>
      <c r="K84" s="1164" t="str">
        <f>IFERROR(Growth!K97/Growth!K35,"")</f>
        <v/>
      </c>
      <c r="L84" s="1164" t="str">
        <f>IFERROR(Growth!L97/Growth!L35,"")</f>
        <v/>
      </c>
      <c r="M84" s="1164" t="str">
        <f>IFERROR(Growth!M97/Growth!M35,"")</f>
        <v/>
      </c>
      <c r="N84" s="1140"/>
      <c r="O84" s="1140"/>
      <c r="P84" s="677" t="s">
        <v>106</v>
      </c>
      <c r="Q84" s="1082"/>
      <c r="R84" s="1141"/>
      <c r="S84" s="1141"/>
      <c r="T84" s="1148"/>
      <c r="U84" s="1149"/>
      <c r="V84" s="1141"/>
      <c r="W84" s="1141"/>
      <c r="X84" s="1141"/>
      <c r="Y84" s="1141"/>
      <c r="Z84" s="660"/>
      <c r="AA84" s="660"/>
      <c r="AB84" s="660"/>
      <c r="AC84" s="660"/>
      <c r="AD84" s="660"/>
      <c r="AE84" s="660"/>
      <c r="AF84" s="660"/>
    </row>
    <row r="85" spans="2:32" s="436" customFormat="1" ht="11" outlineLevel="1" thickBot="1">
      <c r="C85" s="1087"/>
      <c r="D85" s="1151" t="str">
        <f>'GPC Data'!E218</f>
        <v>Comp 27</v>
      </c>
      <c r="E85" s="1135"/>
      <c r="F85" s="1136" t="str">
        <f>IFERROR(Growth!F98/Growth!F36,"")</f>
        <v/>
      </c>
      <c r="G85" s="1136" t="str">
        <f>IFERROR(Growth!G98/Growth!G36,"")</f>
        <v/>
      </c>
      <c r="H85" s="1136">
        <f>'GPC Data'!O218</f>
        <v>0</v>
      </c>
      <c r="I85" s="1136">
        <f>'GPC Data'!P218</f>
        <v>0</v>
      </c>
      <c r="J85" s="1136" t="str">
        <f>IFERROR(Growth!J98/Growth!J36,"")</f>
        <v/>
      </c>
      <c r="K85" s="1164" t="str">
        <f>IFERROR(Growth!K98/Growth!K36,"")</f>
        <v/>
      </c>
      <c r="L85" s="1164" t="str">
        <f>IFERROR(Growth!L98/Growth!L36,"")</f>
        <v/>
      </c>
      <c r="M85" s="1164" t="str">
        <f>IFERROR(Growth!M98/Growth!M36,"")</f>
        <v/>
      </c>
      <c r="N85" s="1140"/>
      <c r="O85" s="1140"/>
      <c r="P85" s="677" t="s">
        <v>106</v>
      </c>
      <c r="Q85" s="1082"/>
      <c r="R85" s="1141"/>
      <c r="S85" s="1141"/>
      <c r="T85" s="1148"/>
      <c r="U85" s="1149"/>
      <c r="V85" s="1141"/>
      <c r="W85" s="1141"/>
      <c r="X85" s="1141"/>
      <c r="Y85" s="1141"/>
      <c r="Z85" s="660"/>
      <c r="AA85" s="660"/>
      <c r="AB85" s="660"/>
      <c r="AC85" s="660"/>
      <c r="AD85" s="660"/>
      <c r="AE85" s="660"/>
      <c r="AF85" s="660"/>
    </row>
    <row r="86" spans="2:32" s="436" customFormat="1" ht="11" outlineLevel="1" thickBot="1">
      <c r="C86" s="1087"/>
      <c r="D86" s="1151" t="str">
        <f>'GPC Data'!E219</f>
        <v>Comp 28</v>
      </c>
      <c r="E86" s="1135"/>
      <c r="F86" s="1136" t="str">
        <f>IFERROR(Growth!F99/Growth!F37,"")</f>
        <v/>
      </c>
      <c r="G86" s="1136" t="str">
        <f>IFERROR(Growth!G99/Growth!G37,"")</f>
        <v/>
      </c>
      <c r="H86" s="1136">
        <f>'GPC Data'!O219</f>
        <v>0</v>
      </c>
      <c r="I86" s="1136">
        <f>'GPC Data'!P219</f>
        <v>0</v>
      </c>
      <c r="J86" s="1136" t="str">
        <f>IFERROR(Growth!J99/Growth!J37,"")</f>
        <v/>
      </c>
      <c r="K86" s="1164" t="str">
        <f>IFERROR(Growth!K99/Growth!K37,"")</f>
        <v/>
      </c>
      <c r="L86" s="1164" t="str">
        <f>IFERROR(Growth!L99/Growth!L37,"")</f>
        <v/>
      </c>
      <c r="M86" s="1164" t="str">
        <f>IFERROR(Growth!M99/Growth!M37,"")</f>
        <v/>
      </c>
      <c r="N86" s="1140"/>
      <c r="O86" s="1140"/>
      <c r="P86" s="677" t="s">
        <v>106</v>
      </c>
      <c r="Q86" s="1082"/>
      <c r="R86" s="1141"/>
      <c r="S86" s="1141"/>
      <c r="T86" s="1148"/>
      <c r="U86" s="1149"/>
      <c r="V86" s="1141"/>
      <c r="W86" s="1141"/>
      <c r="X86" s="1141"/>
      <c r="Y86" s="1141"/>
      <c r="Z86" s="660"/>
      <c r="AA86" s="660"/>
      <c r="AB86" s="660"/>
      <c r="AC86" s="660"/>
      <c r="AD86" s="660"/>
      <c r="AE86" s="660"/>
      <c r="AF86" s="660"/>
    </row>
    <row r="87" spans="2:32" s="436" customFormat="1" ht="11" outlineLevel="1" thickBot="1">
      <c r="C87" s="1087"/>
      <c r="D87" s="1151" t="str">
        <f>'GPC Data'!E220</f>
        <v>Comp 29</v>
      </c>
      <c r="E87" s="1135"/>
      <c r="F87" s="1136" t="str">
        <f>IFERROR(Growth!F100/Growth!F38,"")</f>
        <v/>
      </c>
      <c r="G87" s="1136" t="str">
        <f>IFERROR(Growth!G100/Growth!G38,"")</f>
        <v/>
      </c>
      <c r="H87" s="1136">
        <f>'GPC Data'!O220</f>
        <v>0</v>
      </c>
      <c r="I87" s="1136">
        <f>'GPC Data'!P220</f>
        <v>0</v>
      </c>
      <c r="J87" s="1136" t="str">
        <f>IFERROR(Growth!J100/Growth!J38,"")</f>
        <v/>
      </c>
      <c r="K87" s="1164" t="str">
        <f>IFERROR(Growth!K100/Growth!K38,"")</f>
        <v/>
      </c>
      <c r="L87" s="1164" t="str">
        <f>IFERROR(Growth!L100/Growth!L38,"")</f>
        <v/>
      </c>
      <c r="M87" s="1164" t="str">
        <f>IFERROR(Growth!M100/Growth!M38,"")</f>
        <v/>
      </c>
      <c r="N87" s="1140"/>
      <c r="O87" s="1140"/>
      <c r="P87" s="677" t="s">
        <v>106</v>
      </c>
      <c r="Q87" s="1082"/>
      <c r="R87" s="1141"/>
      <c r="S87" s="1141"/>
      <c r="T87" s="1148"/>
      <c r="U87" s="1149"/>
      <c r="V87" s="1141"/>
      <c r="W87" s="1141"/>
      <c r="X87" s="1141"/>
      <c r="Y87" s="1141"/>
      <c r="Z87" s="660"/>
      <c r="AA87" s="660"/>
      <c r="AB87" s="660"/>
      <c r="AC87" s="660"/>
      <c r="AD87" s="660"/>
      <c r="AE87" s="660"/>
      <c r="AF87" s="660"/>
    </row>
    <row r="88" spans="2:32" s="436" customFormat="1" ht="11" outlineLevel="1" thickBot="1">
      <c r="C88" s="1087">
        <v>10</v>
      </c>
      <c r="D88" s="1151" t="str">
        <f>'GPC Data'!E221</f>
        <v>Comp 30</v>
      </c>
      <c r="E88" s="1135"/>
      <c r="F88" s="1136" t="str">
        <f>IFERROR(Growth!F69/Growth!F39,"")</f>
        <v/>
      </c>
      <c r="G88" s="1136" t="str">
        <f>IFERROR(Growth!G69/Growth!G39,"")</f>
        <v/>
      </c>
      <c r="H88" s="1136">
        <f>'GPC Data'!O221</f>
        <v>0</v>
      </c>
      <c r="I88" s="1136">
        <f>'GPC Data'!P221</f>
        <v>0</v>
      </c>
      <c r="J88" s="1136" t="str">
        <f>IFERROR(Growth!J69/Growth!J39,"")</f>
        <v/>
      </c>
      <c r="K88" s="1164" t="str">
        <f>IFERROR(Growth!K69/Growth!K39,"")</f>
        <v/>
      </c>
      <c r="L88" s="1164" t="str">
        <f>IFERROR(Growth!L69/Growth!L39,"")</f>
        <v/>
      </c>
      <c r="M88" s="1164" t="str">
        <f>IFERROR(Growth!M69/Growth!M39,"")</f>
        <v/>
      </c>
      <c r="N88" s="1140"/>
      <c r="O88" s="1140"/>
      <c r="P88" s="677" t="s">
        <v>106</v>
      </c>
      <c r="Q88" s="1082"/>
      <c r="R88" s="1141"/>
      <c r="S88" s="1141" t="str">
        <f>D88</f>
        <v>Comp 30</v>
      </c>
      <c r="T88" s="1148">
        <f>I88</f>
        <v>0</v>
      </c>
      <c r="U88" s="1149" t="str">
        <f>K88</f>
        <v/>
      </c>
      <c r="V88" s="1141"/>
      <c r="W88" s="1141"/>
      <c r="X88" s="1141"/>
      <c r="Y88" s="1141"/>
      <c r="Z88" s="660" t="s">
        <v>1503</v>
      </c>
      <c r="AA88" s="660" t="s">
        <v>1503</v>
      </c>
      <c r="AB88" s="660" t="s">
        <v>1503</v>
      </c>
      <c r="AC88" s="660" t="s">
        <v>1503</v>
      </c>
      <c r="AD88" s="660" t="s">
        <v>1503</v>
      </c>
      <c r="AE88" s="660" t="s">
        <v>1503</v>
      </c>
      <c r="AF88" s="660" t="s">
        <v>1503</v>
      </c>
    </row>
    <row r="89" spans="2:32">
      <c r="B89" s="436"/>
      <c r="D89" s="1153" t="str">
        <f>"As of "&amp;TEXT(valuation.date,"d mmmm yyy")&amp;"."&amp;" Historical and forecast consensus financial statements for the selected guideline public companies provided by Capital IQ."</f>
        <v>As of 30 September 2024. Historical and forecast consensus financial statements for the selected guideline public companies provided by Capital IQ.</v>
      </c>
      <c r="E89" s="1110"/>
      <c r="F89" s="1110"/>
      <c r="G89" s="1110"/>
      <c r="H89" s="1110"/>
      <c r="I89" s="1110"/>
      <c r="J89" s="1110"/>
      <c r="K89" s="1110"/>
      <c r="L89" s="1110"/>
      <c r="M89" s="1110"/>
      <c r="N89" s="1110"/>
      <c r="O89" s="1110"/>
      <c r="R89" s="1154"/>
      <c r="S89" s="1154"/>
      <c r="T89" s="1154"/>
      <c r="U89" s="1154"/>
      <c r="V89" s="1154"/>
      <c r="W89" s="1154"/>
      <c r="X89" s="1154"/>
      <c r="Y89" s="1154"/>
      <c r="Z89" s="1110"/>
      <c r="AA89" s="1110"/>
      <c r="AB89" s="1110"/>
      <c r="AC89" s="1110"/>
      <c r="AD89" s="1110"/>
      <c r="AE89" s="1110"/>
      <c r="AF89" s="1110"/>
    </row>
    <row r="90" spans="2:32">
      <c r="B90" s="436"/>
      <c r="D90" s="1153"/>
      <c r="E90" s="1110"/>
      <c r="F90" s="1110"/>
      <c r="G90" s="1110"/>
      <c r="H90" s="1110"/>
      <c r="I90" s="1110"/>
      <c r="J90" s="1110"/>
      <c r="K90" s="1110"/>
      <c r="L90" s="1110"/>
      <c r="M90" s="1110"/>
      <c r="N90" s="1110"/>
      <c r="O90" s="1110"/>
      <c r="R90" s="1154"/>
      <c r="S90" s="1154"/>
      <c r="T90" s="1154"/>
      <c r="U90" s="1154"/>
      <c r="V90" s="1154"/>
      <c r="W90" s="1154"/>
      <c r="X90" s="1154"/>
      <c r="Y90" s="1154"/>
      <c r="Z90" s="1110"/>
      <c r="AA90" s="1110"/>
      <c r="AB90" s="1110"/>
      <c r="AC90" s="1110"/>
      <c r="AD90" s="1110"/>
      <c r="AE90" s="1110"/>
      <c r="AF90" s="1110"/>
    </row>
    <row r="91" spans="2:32">
      <c r="E91" s="1155" t="s">
        <v>216</v>
      </c>
      <c r="F91" s="1156">
        <f>MAX(F59:F88)</f>
        <v>0</v>
      </c>
      <c r="G91" s="1156">
        <f t="shared" ref="G91:M91" si="13">MAX(G59:G88)</f>
        <v>0</v>
      </c>
      <c r="H91" s="1156">
        <f t="shared" si="13"/>
        <v>0</v>
      </c>
      <c r="I91" s="1156">
        <f t="shared" si="13"/>
        <v>0</v>
      </c>
      <c r="J91" s="1156">
        <f t="shared" si="13"/>
        <v>0</v>
      </c>
      <c r="K91" s="1156">
        <f t="shared" si="13"/>
        <v>0</v>
      </c>
      <c r="L91" s="1156">
        <f t="shared" si="13"/>
        <v>0</v>
      </c>
      <c r="M91" s="1156">
        <f t="shared" si="13"/>
        <v>0</v>
      </c>
      <c r="N91" s="1054"/>
      <c r="O91" s="1054"/>
      <c r="Z91" s="1110"/>
      <c r="AA91" s="1110" t="s">
        <v>1503</v>
      </c>
      <c r="AB91" s="1110" t="s">
        <v>1503</v>
      </c>
      <c r="AC91" s="1110" t="s">
        <v>1503</v>
      </c>
      <c r="AD91" s="1110" t="s">
        <v>1503</v>
      </c>
      <c r="AE91" s="1110" t="s">
        <v>1503</v>
      </c>
      <c r="AF91" s="1110" t="s">
        <v>1503</v>
      </c>
    </row>
    <row r="92" spans="2:32">
      <c r="E92" s="1157" t="s">
        <v>1479</v>
      </c>
      <c r="F92" s="1158" t="e">
        <f>PERCENTILE(F59:F88,0.75)</f>
        <v>#NUM!</v>
      </c>
      <c r="G92" s="1158" t="e">
        <f t="shared" ref="G92:M92" si="14">PERCENTILE(G59:G88,0.75)</f>
        <v>#NUM!</v>
      </c>
      <c r="H92" s="1158">
        <f t="shared" si="14"/>
        <v>0</v>
      </c>
      <c r="I92" s="1158">
        <f t="shared" si="14"/>
        <v>0</v>
      </c>
      <c r="J92" s="1158" t="e">
        <f t="shared" si="14"/>
        <v>#NUM!</v>
      </c>
      <c r="K92" s="1158" t="e">
        <f t="shared" si="14"/>
        <v>#NUM!</v>
      </c>
      <c r="L92" s="1158" t="e">
        <f t="shared" si="14"/>
        <v>#NUM!</v>
      </c>
      <c r="M92" s="1158" t="e">
        <f t="shared" si="14"/>
        <v>#NUM!</v>
      </c>
      <c r="N92" s="1054"/>
      <c r="O92" s="1054"/>
      <c r="Z92" s="1110"/>
      <c r="AA92" s="1110"/>
      <c r="AB92" s="1110"/>
      <c r="AC92" s="1110"/>
      <c r="AD92" s="1110"/>
      <c r="AE92" s="1110"/>
      <c r="AF92" s="1110"/>
    </row>
    <row r="93" spans="2:32">
      <c r="E93" s="1157" t="s">
        <v>1380</v>
      </c>
      <c r="F93" s="1158" t="e">
        <f>AVERAGE(F59:F88)</f>
        <v>#DIV/0!</v>
      </c>
      <c r="G93" s="1158" t="e">
        <f t="shared" ref="G93:M93" si="15">AVERAGE(G59:G88)</f>
        <v>#DIV/0!</v>
      </c>
      <c r="H93" s="1158">
        <f t="shared" si="15"/>
        <v>0</v>
      </c>
      <c r="I93" s="1158">
        <f t="shared" si="15"/>
        <v>0</v>
      </c>
      <c r="J93" s="1158" t="e">
        <f t="shared" si="15"/>
        <v>#DIV/0!</v>
      </c>
      <c r="K93" s="1158" t="e">
        <f t="shared" si="15"/>
        <v>#DIV/0!</v>
      </c>
      <c r="L93" s="1158" t="e">
        <f t="shared" si="15"/>
        <v>#DIV/0!</v>
      </c>
      <c r="M93" s="1158" t="e">
        <f t="shared" si="15"/>
        <v>#DIV/0!</v>
      </c>
      <c r="N93" s="1054"/>
      <c r="O93" s="1054"/>
      <c r="Z93" s="1111" t="s">
        <v>1503</v>
      </c>
      <c r="AA93" s="1111" t="s">
        <v>1503</v>
      </c>
      <c r="AB93" s="1111" t="s">
        <v>1503</v>
      </c>
      <c r="AC93" s="1111" t="s">
        <v>1503</v>
      </c>
      <c r="AD93" s="1111" t="s">
        <v>1503</v>
      </c>
      <c r="AE93" s="1111" t="s">
        <v>1503</v>
      </c>
      <c r="AF93" s="1111" t="s">
        <v>1503</v>
      </c>
    </row>
    <row r="94" spans="2:32" ht="12">
      <c r="E94" s="1122" t="s">
        <v>1381</v>
      </c>
      <c r="F94" s="1120" t="e">
        <f>MEDIAN(F59:F88)</f>
        <v>#NUM!</v>
      </c>
      <c r="G94" s="1120" t="e">
        <f t="shared" ref="G94:M94" si="16">MEDIAN(G59:G88)</f>
        <v>#NUM!</v>
      </c>
      <c r="H94" s="1120">
        <f t="shared" si="16"/>
        <v>0</v>
      </c>
      <c r="I94" s="1120">
        <f t="shared" si="16"/>
        <v>0</v>
      </c>
      <c r="J94" s="1120" t="e">
        <f t="shared" si="16"/>
        <v>#NUM!</v>
      </c>
      <c r="K94" s="1120" t="e">
        <f t="shared" si="16"/>
        <v>#NUM!</v>
      </c>
      <c r="L94" s="1120" t="e">
        <f t="shared" si="16"/>
        <v>#NUM!</v>
      </c>
      <c r="M94" s="1120" t="e">
        <f t="shared" si="16"/>
        <v>#NUM!</v>
      </c>
      <c r="N94" s="1054"/>
      <c r="O94" s="1054"/>
      <c r="Z94" s="1125" t="s">
        <v>1503</v>
      </c>
      <c r="AA94" s="1125" t="s">
        <v>1503</v>
      </c>
      <c r="AB94" s="1125" t="s">
        <v>1503</v>
      </c>
      <c r="AC94" s="1125" t="s">
        <v>1503</v>
      </c>
      <c r="AD94" s="1125" t="s">
        <v>1503</v>
      </c>
      <c r="AE94" s="1125" t="s">
        <v>1503</v>
      </c>
      <c r="AF94" s="1125" t="s">
        <v>1503</v>
      </c>
    </row>
    <row r="95" spans="2:32" ht="12">
      <c r="E95" s="1157" t="s">
        <v>1480</v>
      </c>
      <c r="F95" s="1158" t="e">
        <f>PERCENTILE(F59:F88,0.25)</f>
        <v>#NUM!</v>
      </c>
      <c r="G95" s="1158" t="e">
        <f t="shared" ref="G95:M95" si="17">PERCENTILE(G59:G88,0.25)</f>
        <v>#NUM!</v>
      </c>
      <c r="H95" s="1158">
        <f t="shared" si="17"/>
        <v>0</v>
      </c>
      <c r="I95" s="1158">
        <f t="shared" si="17"/>
        <v>0</v>
      </c>
      <c r="J95" s="1158" t="e">
        <f t="shared" si="17"/>
        <v>#NUM!</v>
      </c>
      <c r="K95" s="1158" t="e">
        <f t="shared" si="17"/>
        <v>#NUM!</v>
      </c>
      <c r="L95" s="1158" t="e">
        <f t="shared" si="17"/>
        <v>#NUM!</v>
      </c>
      <c r="M95" s="1158" t="e">
        <f t="shared" si="17"/>
        <v>#NUM!</v>
      </c>
      <c r="N95" s="1054"/>
      <c r="O95" s="1054"/>
      <c r="Z95" s="1125"/>
      <c r="AA95" s="1125"/>
      <c r="AB95" s="1125"/>
      <c r="AC95" s="1125"/>
      <c r="AD95" s="1125"/>
      <c r="AE95" s="1125"/>
      <c r="AF95" s="1125"/>
    </row>
    <row r="96" spans="2:32">
      <c r="E96" s="1159" t="s">
        <v>215</v>
      </c>
      <c r="F96" s="1160">
        <f>MIN(F59:F88)</f>
        <v>0</v>
      </c>
      <c r="G96" s="1160">
        <f t="shared" ref="G96:M96" si="18">MIN(G59:G88)</f>
        <v>0</v>
      </c>
      <c r="H96" s="1160">
        <f t="shared" si="18"/>
        <v>0</v>
      </c>
      <c r="I96" s="1160">
        <f t="shared" si="18"/>
        <v>0</v>
      </c>
      <c r="J96" s="1160">
        <f t="shared" si="18"/>
        <v>0</v>
      </c>
      <c r="K96" s="1160">
        <f t="shared" si="18"/>
        <v>0</v>
      </c>
      <c r="L96" s="1160">
        <f t="shared" si="18"/>
        <v>0</v>
      </c>
      <c r="M96" s="1160">
        <f t="shared" si="18"/>
        <v>0</v>
      </c>
      <c r="N96" s="1054"/>
      <c r="O96" s="1054"/>
      <c r="Z96" s="1111" t="s">
        <v>1503</v>
      </c>
      <c r="AA96" s="1111" t="s">
        <v>1503</v>
      </c>
      <c r="AB96" s="1111" t="s">
        <v>1503</v>
      </c>
      <c r="AC96" s="1111" t="s">
        <v>1503</v>
      </c>
      <c r="AD96" s="1111" t="s">
        <v>1503</v>
      </c>
      <c r="AE96" s="1111" t="s">
        <v>1503</v>
      </c>
      <c r="AF96" s="1111" t="s">
        <v>1503</v>
      </c>
    </row>
    <row r="97" spans="2:32">
      <c r="E97" s="1161"/>
      <c r="F97" s="1054"/>
      <c r="G97" s="1054"/>
      <c r="H97" s="1054"/>
      <c r="I97" s="1054"/>
      <c r="J97" s="1054"/>
      <c r="K97" s="1111"/>
      <c r="L97" s="1111"/>
      <c r="Z97" s="1111"/>
      <c r="AA97" s="1111"/>
      <c r="AB97" s="1111"/>
      <c r="AC97" s="1111"/>
      <c r="AD97" s="1111"/>
      <c r="AE97" s="1111"/>
      <c r="AF97" s="1111"/>
    </row>
    <row r="98" spans="2:32">
      <c r="E98" s="703" t="s">
        <v>1382</v>
      </c>
      <c r="F98" s="1054"/>
      <c r="G98" s="1054"/>
      <c r="H98" s="1054"/>
      <c r="I98" s="1054"/>
      <c r="J98" s="1054"/>
      <c r="K98" s="1111"/>
      <c r="L98" s="1111"/>
      <c r="Z98" s="1111"/>
      <c r="AA98" s="1111"/>
      <c r="AB98" s="1111"/>
      <c r="AC98" s="1111"/>
      <c r="AD98" s="1111"/>
      <c r="AE98" s="1111"/>
      <c r="AF98" s="1111"/>
    </row>
    <row r="99" spans="2:32">
      <c r="E99" s="1155" t="s">
        <v>216</v>
      </c>
      <c r="F99" s="1115" cm="1">
        <f t="array" ref="F99">IFERROR(MAX(IF($P$59:$P$88="No",F59:F88)),"")</f>
        <v>0</v>
      </c>
      <c r="G99" s="1115" cm="1">
        <f t="array" ref="G99">IFERROR(MAX(IF($P$59:$P$88="No",G59:G88)),"")</f>
        <v>0</v>
      </c>
      <c r="H99" s="1115" cm="1">
        <f t="array" ref="H99">IFERROR(MAX(IF($P$59:$P$88="No",H59:H88)),"")</f>
        <v>0</v>
      </c>
      <c r="I99" s="1115" cm="1">
        <f t="array" ref="I99">IFERROR(MAX(IF($P$59:$P$88="No",I59:I88)),"")</f>
        <v>0</v>
      </c>
      <c r="J99" s="1115" cm="1">
        <f t="array" ref="J99">IFERROR(MAX(IF($P$59:$P$88="No",J59:J88)),"")</f>
        <v>0</v>
      </c>
      <c r="K99" s="1115" cm="1">
        <f t="array" ref="K99">IFERROR(MAX(IF($P$59:$P$88="No",K59:K88)),"")</f>
        <v>0</v>
      </c>
      <c r="L99" s="1115" cm="1">
        <f t="array" ref="L99">IFERROR(MAX(IF($P$59:$P$88="No",L59:L88)),"")</f>
        <v>0</v>
      </c>
      <c r="M99" s="1115" cm="1">
        <f t="array" ref="M99">IFERROR(MAX(IF($P$59:$P$88="No",M59:M88)),"")</f>
        <v>0</v>
      </c>
      <c r="N99" s="1054"/>
      <c r="O99" s="1054"/>
      <c r="Z99" s="1111"/>
      <c r="AA99" s="1111"/>
      <c r="AB99" s="1111"/>
      <c r="AC99" s="1111"/>
      <c r="AD99" s="1111"/>
      <c r="AE99" s="1111"/>
      <c r="AF99" s="1111"/>
    </row>
    <row r="100" spans="2:32">
      <c r="E100" s="1157" t="s">
        <v>1479</v>
      </c>
      <c r="F100" s="1054" t="e" cm="1">
        <f t="array" ref="F100">PERCENTILE(IF($P$59:$P$88="No",F59:F88),0.75)</f>
        <v>#NUM!</v>
      </c>
      <c r="G100" s="1054" t="e" cm="1">
        <f t="array" ref="G100">PERCENTILE(IF($P$59:$P$88="No",G59:G88),0.75)</f>
        <v>#NUM!</v>
      </c>
      <c r="H100" s="1054" cm="1">
        <f t="array" ref="H100">PERCENTILE(IF($P$59:$P$88="No",H59:H88),0.75)</f>
        <v>0</v>
      </c>
      <c r="I100" s="1054" cm="1">
        <f t="array" ref="I100">PERCENTILE(IF($P$59:$P$88="No",I59:I88),0.75)</f>
        <v>0</v>
      </c>
      <c r="J100" s="1054" t="e" cm="1">
        <f t="array" ref="J100">PERCENTILE(IF($P$59:$P$88="No",J59:J88),0.75)</f>
        <v>#NUM!</v>
      </c>
      <c r="K100" s="1054" t="e" cm="1">
        <f t="array" ref="K100">PERCENTILE(IF($P$59:$P$88="No",K59:K88),0.75)</f>
        <v>#NUM!</v>
      </c>
      <c r="L100" s="1054" t="e" cm="1">
        <f t="array" ref="L100">PERCENTILE(IF($P$59:$P$88="No",L59:L88),0.75)</f>
        <v>#NUM!</v>
      </c>
      <c r="M100" s="1054" t="e" cm="1">
        <f t="array" ref="M100">PERCENTILE(IF($P$59:$P$88="No",M59:M88),0.75)</f>
        <v>#NUM!</v>
      </c>
      <c r="N100" s="1054"/>
      <c r="O100" s="1054"/>
      <c r="Z100" s="1111"/>
      <c r="AA100" s="1111"/>
      <c r="AB100" s="1111"/>
      <c r="AC100" s="1111"/>
      <c r="AD100" s="1111"/>
      <c r="AE100" s="1111"/>
      <c r="AF100" s="1111"/>
    </row>
    <row r="101" spans="2:32">
      <c r="E101" s="1157" t="s">
        <v>1380</v>
      </c>
      <c r="F101" s="1158" t="str">
        <f t="shared" ref="F101:M101" si="19">IFERROR(AVERAGEIF($P$59:$P$88,"No",F59:F88),"")</f>
        <v/>
      </c>
      <c r="G101" s="1158" t="str">
        <f t="shared" si="19"/>
        <v/>
      </c>
      <c r="H101" s="1158">
        <f t="shared" si="19"/>
        <v>0</v>
      </c>
      <c r="I101" s="1158">
        <f t="shared" si="19"/>
        <v>0</v>
      </c>
      <c r="J101" s="1158" t="str">
        <f t="shared" si="19"/>
        <v/>
      </c>
      <c r="K101" s="1158" t="str">
        <f t="shared" si="19"/>
        <v/>
      </c>
      <c r="L101" s="1158" t="str">
        <f t="shared" si="19"/>
        <v/>
      </c>
      <c r="M101" s="1158" t="str">
        <f t="shared" si="19"/>
        <v/>
      </c>
      <c r="N101" s="1054"/>
      <c r="O101" s="1054"/>
      <c r="Z101" s="1111"/>
      <c r="AA101" s="1111"/>
      <c r="AB101" s="1111"/>
      <c r="AC101" s="1111"/>
      <c r="AD101" s="1111"/>
      <c r="AE101" s="1111"/>
      <c r="AF101" s="1111"/>
    </row>
    <row r="102" spans="2:32">
      <c r="E102" s="1122" t="s">
        <v>1381</v>
      </c>
      <c r="F102" s="1162" t="str" cm="1">
        <f t="array" ref="F102">IFERROR(MEDIAN(IF($P$59:$P$88="No",F59:F88)),"")</f>
        <v/>
      </c>
      <c r="G102" s="1162" t="str" cm="1">
        <f t="array" ref="G102">IFERROR(MEDIAN(IF($P$59:$P$88="No",G59:G88)),"")</f>
        <v/>
      </c>
      <c r="H102" s="1162" cm="1">
        <f t="array" ref="H102">IFERROR(MEDIAN(IF($P$59:$P$88="No",H59:H88)),"")</f>
        <v>0</v>
      </c>
      <c r="I102" s="1162" cm="1">
        <f t="array" ref="I102">IFERROR(MEDIAN(IF($P$59:$P$88="No",I59:I88)),"")</f>
        <v>0</v>
      </c>
      <c r="J102" s="1162" t="str" cm="1">
        <f t="array" ref="J102">IFERROR(MEDIAN(IF($P$59:$P$88="No",J59:J88)),"")</f>
        <v/>
      </c>
      <c r="K102" s="1162" t="str" cm="1">
        <f t="array" ref="K102">IFERROR(MEDIAN(IF($P$59:$P$88="No",K59:K88)),"")</f>
        <v/>
      </c>
      <c r="L102" s="1162" t="str" cm="1">
        <f t="array" ref="L102">IFERROR(MEDIAN(IF($P$59:$P$88="No",L59:L88)),"")</f>
        <v/>
      </c>
      <c r="M102" s="1162" t="str" cm="1">
        <f t="array" ref="M102">IFERROR(MEDIAN(IF($P$59:$P$88="No",M59:M88)),"")</f>
        <v/>
      </c>
      <c r="N102" s="1054"/>
      <c r="O102" s="1054"/>
      <c r="Z102" s="1111"/>
      <c r="AA102" s="1111"/>
      <c r="AB102" s="1111"/>
      <c r="AC102" s="1111"/>
      <c r="AD102" s="1111"/>
      <c r="AE102" s="1111"/>
      <c r="AF102" s="1111"/>
    </row>
    <row r="103" spans="2:32">
      <c r="E103" s="1157" t="s">
        <v>1480</v>
      </c>
      <c r="F103" s="1054" t="e" cm="1">
        <f t="array" ref="F103">PERCENTILE(IF($P$59:$P$88="No",F59:F88),0.25)</f>
        <v>#NUM!</v>
      </c>
      <c r="G103" s="1054" t="e" cm="1">
        <f t="array" ref="G103">PERCENTILE(IF($P$59:$P$88="No",G59:G88),0.25)</f>
        <v>#NUM!</v>
      </c>
      <c r="H103" s="1054" cm="1">
        <f t="array" ref="H103">PERCENTILE(IF($P$59:$P$88="No",H59:H88),0.25)</f>
        <v>0</v>
      </c>
      <c r="I103" s="1054" cm="1">
        <f t="array" ref="I103">PERCENTILE(IF($P$59:$P$88="No",I59:I88),0.25)</f>
        <v>0</v>
      </c>
      <c r="J103" s="1054" t="e" cm="1">
        <f t="array" ref="J103">PERCENTILE(IF($P$59:$P$88="No",J59:J88),0.25)</f>
        <v>#NUM!</v>
      </c>
      <c r="K103" s="1054" t="e" cm="1">
        <f t="array" ref="K103">PERCENTILE(IF($P$59:$P$88="No",K59:K88),0.25)</f>
        <v>#NUM!</v>
      </c>
      <c r="L103" s="1054" t="e" cm="1">
        <f t="array" ref="L103">PERCENTILE(IF($P$59:$P$88="No",L59:L88),0.25)</f>
        <v>#NUM!</v>
      </c>
      <c r="M103" s="1054" t="e" cm="1">
        <f t="array" ref="M103">PERCENTILE(IF($P$59:$P$88="No",M59:M88),0.25)</f>
        <v>#NUM!</v>
      </c>
      <c r="N103" s="1054"/>
      <c r="O103" s="1054"/>
      <c r="Z103" s="1111"/>
      <c r="AA103" s="1111"/>
      <c r="AB103" s="1111"/>
      <c r="AC103" s="1111"/>
      <c r="AD103" s="1111"/>
      <c r="AE103" s="1111"/>
      <c r="AF103" s="1111"/>
    </row>
    <row r="104" spans="2:32">
      <c r="E104" s="1159" t="s">
        <v>215</v>
      </c>
      <c r="F104" s="1129" cm="1">
        <f t="array" ref="F104">IFERROR(MIN(IF($P$59:$P$88="No",F59:F88)),"")</f>
        <v>0</v>
      </c>
      <c r="G104" s="1129" cm="1">
        <f t="array" ref="G104">IFERROR(MIN(IF($P$59:$P$88="No",G59:G88)),"")</f>
        <v>0</v>
      </c>
      <c r="H104" s="1129" cm="1">
        <f t="array" ref="H104">IFERROR(MIN(IF($P$59:$P$88="No",H59:H88)),"")</f>
        <v>0</v>
      </c>
      <c r="I104" s="1129" cm="1">
        <f t="array" ref="I104">IFERROR(MIN(IF($P$59:$P$88="No",I59:I88)),"")</f>
        <v>0</v>
      </c>
      <c r="J104" s="1129" cm="1">
        <f t="array" ref="J104">IFERROR(MIN(IF($P$59:$P$88="No",J59:J88)),"")</f>
        <v>0</v>
      </c>
      <c r="K104" s="1129" cm="1">
        <f t="array" ref="K104">IFERROR(MIN(IF($P$59:$P$88="No",K59:K88)),"")</f>
        <v>0</v>
      </c>
      <c r="L104" s="1129" cm="1">
        <f t="array" ref="L104">IFERROR(MIN(IF($P$59:$P$88="No",L59:L88)),"")</f>
        <v>0</v>
      </c>
      <c r="M104" s="1129" cm="1">
        <f t="array" ref="M104">IFERROR(MIN(IF($P$59:$P$88="No",M59:M88)),"")</f>
        <v>0</v>
      </c>
      <c r="N104" s="1054"/>
      <c r="O104" s="1054"/>
      <c r="Z104" s="1111"/>
    </row>
    <row r="105" spans="2:32">
      <c r="B105" s="455"/>
      <c r="C105" s="455"/>
      <c r="D105" s="455"/>
      <c r="E105" s="455"/>
      <c r="F105" s="455"/>
      <c r="G105" s="455"/>
      <c r="H105" s="455"/>
      <c r="I105" s="455"/>
      <c r="J105" s="455"/>
      <c r="K105" s="455"/>
      <c r="L105" s="455"/>
      <c r="M105" s="455"/>
      <c r="N105" s="455"/>
      <c r="O105" s="455"/>
      <c r="P105" s="455"/>
      <c r="Q105" s="455"/>
      <c r="R105" s="455"/>
      <c r="S105" s="455"/>
      <c r="T105" s="455"/>
      <c r="U105" s="455"/>
      <c r="V105" s="455"/>
      <c r="W105" s="455"/>
      <c r="X105" s="455"/>
      <c r="Y105" s="455"/>
      <c r="Z105" s="455"/>
    </row>
  </sheetData>
  <sheetProtection formatCells="0" formatColumns="0" formatRows="0" insertColumns="0" insertRows="0" insertHyperlinks="0" deleteColumns="0" deleteRows="0" selectLockedCells="1" sort="0" autoFilter="0" pivotTables="0" selectUnlockedCells="1"/>
  <mergeCells count="4">
    <mergeCell ref="F57:J57"/>
    <mergeCell ref="K57:M57"/>
    <mergeCell ref="F7:J7"/>
    <mergeCell ref="K7:M7"/>
  </mergeCells>
  <dataValidations disablePrompts="1" count="1">
    <dataValidation type="list" allowBlank="1" showInputMessage="1" showErrorMessage="1" sqref="P59:P88 P9:P38" xr:uid="{00000000-0002-0000-0C00-000000000000}">
      <formula1>"Yes, No"</formula1>
    </dataValidation>
  </dataValidations>
  <pageMargins left="0.7" right="0.7" top="0.75" bottom="0.75" header="0.3" footer="0.3"/>
  <pageSetup scale="24" orientation="landscape" r:id="rId1"/>
  <headerFooter>
    <oddHeader>&amp;R&amp;"Arial"&amp;8&amp;K000000Confidential&amp;1#</oddHead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theme="9" tint="-9.9978637043366805E-2"/>
  </sheetPr>
  <dimension ref="B1:AK155"/>
  <sheetViews>
    <sheetView showGridLines="0" view="pageBreakPreview" zoomScale="64" zoomScaleNormal="72" zoomScaleSheetLayoutView="64" workbookViewId="0">
      <selection activeCell="D7" sqref="D7"/>
    </sheetView>
  </sheetViews>
  <sheetFormatPr defaultColWidth="8.84375" defaultRowHeight="10.5" outlineLevelRow="1"/>
  <cols>
    <col min="1" max="1" width="3.4609375" style="433" customWidth="1"/>
    <col min="2" max="2" width="3" style="433" customWidth="1"/>
    <col min="3" max="3" width="2" style="433" customWidth="1"/>
    <col min="4" max="4" width="36.84375" style="433" customWidth="1"/>
    <col min="5" max="5" width="11.07421875" style="433" customWidth="1"/>
    <col min="6" max="13" width="10.53515625" style="433" customWidth="1"/>
    <col min="14" max="14" width="2.84375" style="433" customWidth="1"/>
    <col min="15" max="15" width="3.53515625" style="433" customWidth="1"/>
    <col min="16" max="16384" width="8.84375" style="433"/>
  </cols>
  <sheetData>
    <row r="1" spans="2:25" s="724" customFormat="1"/>
    <row r="2" spans="2:25" s="618" customFormat="1">
      <c r="B2" s="744" t="str">
        <f>Inputs!B2</f>
        <v>Valify - UAE Valuation Services</v>
      </c>
      <c r="C2" s="1165"/>
      <c r="D2" s="1137"/>
      <c r="E2" s="1137"/>
      <c r="F2" s="1137"/>
      <c r="G2" s="1137"/>
      <c r="H2" s="1137"/>
      <c r="I2" s="1137"/>
      <c r="J2" s="1137"/>
      <c r="K2" s="1137"/>
      <c r="L2" s="1137"/>
      <c r="M2" s="1137"/>
      <c r="N2" s="984"/>
      <c r="P2" s="990"/>
      <c r="Q2" s="990"/>
      <c r="R2" s="990"/>
      <c r="V2" s="1166"/>
    </row>
    <row r="3" spans="2:25" s="617" customFormat="1">
      <c r="B3" s="985" t="str">
        <f>Inputs!$B$3</f>
        <v>Aerial Arts India XXXXXXXXXXXXXXXXX - Self Valuation using DCF Method, Transaction Multiples Method, &amp; Market Multiples Method as at September 30, 2024</v>
      </c>
      <c r="C3" s="1167"/>
      <c r="D3" s="745"/>
      <c r="E3" s="745"/>
      <c r="F3" s="745"/>
      <c r="G3" s="745"/>
      <c r="H3" s="745"/>
      <c r="I3" s="745"/>
      <c r="J3" s="745"/>
      <c r="K3" s="745"/>
      <c r="L3" s="745"/>
      <c r="M3" s="745"/>
      <c r="N3" s="988"/>
      <c r="P3" s="749"/>
      <c r="Q3" s="1806"/>
      <c r="R3" s="1806"/>
    </row>
    <row r="4" spans="2:25" s="617" customFormat="1">
      <c r="B4" s="1168" t="s">
        <v>1514</v>
      </c>
      <c r="C4" s="1169"/>
      <c r="D4" s="747"/>
      <c r="E4" s="747"/>
      <c r="F4" s="747"/>
      <c r="G4" s="747"/>
      <c r="H4" s="747"/>
      <c r="I4" s="747"/>
      <c r="J4" s="747"/>
      <c r="K4" s="747"/>
      <c r="L4" s="747"/>
      <c r="M4" s="747"/>
      <c r="N4" s="800" t="str">
        <f>valuation.date.header</f>
        <v>Valuation Date:  September 30, 2024</v>
      </c>
      <c r="P4" s="749"/>
      <c r="Q4" s="1806"/>
      <c r="R4" s="1806"/>
    </row>
    <row r="5" spans="2:25" s="617" customFormat="1">
      <c r="B5" s="1170" t="str">
        <f>currency.heading1</f>
        <v>USD 'Units</v>
      </c>
      <c r="C5" s="1171"/>
      <c r="D5" s="1172"/>
      <c r="E5" s="1172"/>
      <c r="F5" s="1172"/>
      <c r="G5" s="1172"/>
      <c r="H5" s="1172"/>
      <c r="I5" s="1172"/>
      <c r="J5" s="1172"/>
      <c r="K5" s="1172"/>
      <c r="L5" s="1172"/>
      <c r="M5" s="1172"/>
      <c r="N5" s="1172"/>
    </row>
    <row r="6" spans="2:25" s="436" customFormat="1">
      <c r="B6" s="1173"/>
      <c r="C6" s="1173"/>
    </row>
    <row r="7" spans="2:25" s="436" customFormat="1">
      <c r="D7" s="1174" t="s">
        <v>2386</v>
      </c>
      <c r="K7" s="665"/>
      <c r="L7" s="665"/>
      <c r="M7" s="665"/>
      <c r="R7" s="665"/>
      <c r="S7" s="665"/>
      <c r="T7" s="665"/>
      <c r="U7" s="665"/>
      <c r="V7" s="665"/>
      <c r="W7" s="665"/>
      <c r="X7" s="665"/>
    </row>
    <row r="8" spans="2:25" s="436" customFormat="1" ht="25.5" customHeight="1">
      <c r="B8" s="1074"/>
      <c r="D8" s="1175"/>
      <c r="E8" s="1176"/>
      <c r="F8" s="1805"/>
      <c r="G8" s="1805"/>
      <c r="H8" s="1805"/>
      <c r="I8" s="1805"/>
      <c r="J8" s="1805"/>
      <c r="K8" s="1807" t="s">
        <v>1500</v>
      </c>
      <c r="L8" s="1807"/>
      <c r="M8" s="1807"/>
      <c r="N8" s="662" t="s">
        <v>1503</v>
      </c>
      <c r="O8" s="662"/>
      <c r="P8" s="662"/>
      <c r="Q8" s="662"/>
      <c r="R8" s="666"/>
      <c r="S8" s="1177"/>
      <c r="T8" s="1178"/>
      <c r="U8" s="1178"/>
      <c r="V8" s="1179"/>
      <c r="W8" s="1179"/>
      <c r="X8" s="666"/>
      <c r="Y8" s="662"/>
    </row>
    <row r="9" spans="2:25" s="436" customFormat="1" ht="11" thickBot="1">
      <c r="D9" s="1180" t="s">
        <v>94</v>
      </c>
      <c r="E9" s="1181" t="s">
        <v>1505</v>
      </c>
      <c r="F9" s="1181" t="s">
        <v>146</v>
      </c>
      <c r="G9" s="1181" t="s">
        <v>144</v>
      </c>
      <c r="H9" s="1181" t="s">
        <v>141</v>
      </c>
      <c r="I9" s="1181" t="s">
        <v>138</v>
      </c>
      <c r="J9" s="1182" t="s">
        <v>136</v>
      </c>
      <c r="K9" s="1181" t="s">
        <v>1506</v>
      </c>
      <c r="L9" s="1181" t="s">
        <v>1507</v>
      </c>
      <c r="M9" s="1182" t="s">
        <v>1508</v>
      </c>
      <c r="N9" s="660"/>
      <c r="O9" s="660"/>
      <c r="P9" s="755" t="s">
        <v>1455</v>
      </c>
      <c r="Q9" s="660"/>
      <c r="R9" s="667"/>
      <c r="S9" s="1177"/>
      <c r="T9" s="1183"/>
      <c r="U9" s="1183"/>
      <c r="V9" s="1183"/>
      <c r="W9" s="1183"/>
      <c r="X9" s="667"/>
      <c r="Y9" s="660"/>
    </row>
    <row r="10" spans="2:25" s="436" customFormat="1" ht="11" thickBot="1">
      <c r="D10" s="1184" t="str">
        <f>WACC!C29</f>
        <v>Comp 1</v>
      </c>
      <c r="E10" s="1133">
        <f>'GPC Data'!P22</f>
        <v>0</v>
      </c>
      <c r="F10" s="1185">
        <f>'GPC Data'!R158</f>
        <v>0</v>
      </c>
      <c r="G10" s="1185">
        <f>'GPC Data'!S158</f>
        <v>0</v>
      </c>
      <c r="H10" s="1185">
        <f>'GPC Data'!T158</f>
        <v>0</v>
      </c>
      <c r="I10" s="1185">
        <f>'GPC Data'!U158</f>
        <v>0</v>
      </c>
      <c r="J10" s="1185">
        <f>'GPC Data'!V158</f>
        <v>0</v>
      </c>
      <c r="K10" s="1186">
        <f>'GPC Data'!W158</f>
        <v>0</v>
      </c>
      <c r="L10" s="1186">
        <f>'GPC Data'!X158</f>
        <v>0</v>
      </c>
      <c r="M10" s="1186">
        <f>'GPC Data'!Y158</f>
        <v>0</v>
      </c>
      <c r="N10" s="660"/>
      <c r="O10" s="660"/>
      <c r="P10" s="677" t="s">
        <v>1368</v>
      </c>
      <c r="Q10" s="660"/>
      <c r="R10" s="667"/>
      <c r="S10" s="1177"/>
      <c r="T10" s="1187"/>
      <c r="U10" s="1187"/>
      <c r="V10" s="1177"/>
      <c r="W10" s="1177"/>
      <c r="X10" s="667"/>
      <c r="Y10" s="660"/>
    </row>
    <row r="11" spans="2:25" s="436" customFormat="1" ht="11" thickBot="1">
      <c r="D11" s="1188" t="str">
        <f>WACC!C30</f>
        <v>Comp 2</v>
      </c>
      <c r="E11" s="1135">
        <f>'GPC Data'!P23</f>
        <v>0</v>
      </c>
      <c r="F11" s="1189">
        <f>'GPC Data'!R159</f>
        <v>0</v>
      </c>
      <c r="G11" s="1189">
        <f>'GPC Data'!S159</f>
        <v>0</v>
      </c>
      <c r="H11" s="1189">
        <f>'GPC Data'!T159</f>
        <v>0</v>
      </c>
      <c r="I11" s="1189">
        <f>'GPC Data'!U159</f>
        <v>0</v>
      </c>
      <c r="J11" s="1189">
        <f>'GPC Data'!V159</f>
        <v>0</v>
      </c>
      <c r="K11" s="1190">
        <f>'GPC Data'!W159</f>
        <v>0</v>
      </c>
      <c r="L11" s="1190">
        <f>'GPC Data'!X159</f>
        <v>0</v>
      </c>
      <c r="M11" s="1190">
        <f>'GPC Data'!Y159</f>
        <v>0</v>
      </c>
      <c r="N11" s="660"/>
      <c r="O11" s="660"/>
      <c r="P11" s="677" t="s">
        <v>1368</v>
      </c>
      <c r="Q11" s="660"/>
      <c r="R11" s="667"/>
      <c r="S11" s="1177"/>
      <c r="T11" s="1187"/>
      <c r="U11" s="1187"/>
      <c r="V11" s="1177"/>
      <c r="W11" s="1177"/>
      <c r="X11" s="667"/>
      <c r="Y11" s="660"/>
    </row>
    <row r="12" spans="2:25" s="436" customFormat="1" ht="11" thickBot="1">
      <c r="D12" s="1188" t="str">
        <f>WACC!C31</f>
        <v>Comp 3</v>
      </c>
      <c r="E12" s="1135">
        <f>'GPC Data'!P24</f>
        <v>0</v>
      </c>
      <c r="F12" s="1189">
        <f>'GPC Data'!R160</f>
        <v>0</v>
      </c>
      <c r="G12" s="1189">
        <f>'GPC Data'!S160</f>
        <v>0</v>
      </c>
      <c r="H12" s="1189">
        <f>'GPC Data'!T160</f>
        <v>0</v>
      </c>
      <c r="I12" s="1189">
        <f>'GPC Data'!U160</f>
        <v>0</v>
      </c>
      <c r="J12" s="1189">
        <f>'GPC Data'!V160</f>
        <v>0</v>
      </c>
      <c r="K12" s="1190">
        <f>'GPC Data'!W160</f>
        <v>0</v>
      </c>
      <c r="L12" s="1190">
        <f>'GPC Data'!X160</f>
        <v>0</v>
      </c>
      <c r="M12" s="1190">
        <f>'GPC Data'!Y160</f>
        <v>0</v>
      </c>
      <c r="N12" s="660" t="s">
        <v>1503</v>
      </c>
      <c r="O12" s="660"/>
      <c r="P12" s="677" t="s">
        <v>1368</v>
      </c>
      <c r="Q12" s="660"/>
      <c r="R12" s="667"/>
      <c r="S12" s="1177"/>
      <c r="T12" s="1187"/>
      <c r="U12" s="1187"/>
      <c r="V12" s="1177"/>
      <c r="W12" s="1177"/>
      <c r="X12" s="667"/>
      <c r="Y12" s="660"/>
    </row>
    <row r="13" spans="2:25" s="436" customFormat="1" ht="11" thickBot="1">
      <c r="D13" s="1188" t="str">
        <f>WACC!C32</f>
        <v>Comp 4</v>
      </c>
      <c r="E13" s="1135">
        <f>'GPC Data'!P25</f>
        <v>0</v>
      </c>
      <c r="F13" s="1189">
        <f>'GPC Data'!R161</f>
        <v>0</v>
      </c>
      <c r="G13" s="1189">
        <f>'GPC Data'!S161</f>
        <v>0</v>
      </c>
      <c r="H13" s="1189">
        <f>'GPC Data'!T161</f>
        <v>0</v>
      </c>
      <c r="I13" s="1189">
        <f>'GPC Data'!U161</f>
        <v>0</v>
      </c>
      <c r="J13" s="1189">
        <f>'GPC Data'!V161</f>
        <v>0</v>
      </c>
      <c r="K13" s="1190">
        <f>'GPC Data'!W161</f>
        <v>0</v>
      </c>
      <c r="L13" s="1190">
        <f>'GPC Data'!X161</f>
        <v>0</v>
      </c>
      <c r="M13" s="1190">
        <f>'GPC Data'!Y161</f>
        <v>0</v>
      </c>
      <c r="N13" s="660" t="s">
        <v>1503</v>
      </c>
      <c r="O13" s="660"/>
      <c r="P13" s="677" t="s">
        <v>1368</v>
      </c>
      <c r="Q13" s="660"/>
      <c r="R13" s="667"/>
      <c r="S13" s="1177"/>
      <c r="T13" s="1187"/>
      <c r="U13" s="1187"/>
      <c r="V13" s="1177"/>
      <c r="W13" s="1177"/>
      <c r="X13" s="667"/>
      <c r="Y13" s="660"/>
    </row>
    <row r="14" spans="2:25" s="436" customFormat="1" ht="11" thickBot="1">
      <c r="D14" s="1188" t="str">
        <f>WACC!C33</f>
        <v>Comp 5</v>
      </c>
      <c r="E14" s="1135">
        <f>'GPC Data'!P26</f>
        <v>0</v>
      </c>
      <c r="F14" s="1189">
        <f>'GPC Data'!R162</f>
        <v>0</v>
      </c>
      <c r="G14" s="1189">
        <f>'GPC Data'!S162</f>
        <v>0</v>
      </c>
      <c r="H14" s="1189">
        <f>'GPC Data'!T162</f>
        <v>0</v>
      </c>
      <c r="I14" s="1189">
        <f>'GPC Data'!U162</f>
        <v>0</v>
      </c>
      <c r="J14" s="1189">
        <f>'GPC Data'!V162</f>
        <v>0</v>
      </c>
      <c r="K14" s="1190">
        <f>'GPC Data'!W162</f>
        <v>0</v>
      </c>
      <c r="L14" s="1190">
        <f>'GPC Data'!X162</f>
        <v>0</v>
      </c>
      <c r="M14" s="1190">
        <f>'GPC Data'!Y162</f>
        <v>0</v>
      </c>
      <c r="N14" s="660"/>
      <c r="O14" s="660"/>
      <c r="P14" s="677" t="s">
        <v>1368</v>
      </c>
      <c r="Q14" s="660"/>
      <c r="R14" s="667"/>
      <c r="S14" s="1177"/>
      <c r="T14" s="1187"/>
      <c r="U14" s="1187"/>
      <c r="V14" s="1177"/>
      <c r="W14" s="1177"/>
      <c r="X14" s="667"/>
      <c r="Y14" s="660"/>
    </row>
    <row r="15" spans="2:25" s="436" customFormat="1" ht="11" thickBot="1">
      <c r="D15" s="1188" t="str">
        <f>WACC!C34</f>
        <v>Comp 6</v>
      </c>
      <c r="E15" s="1135">
        <f>'GPC Data'!P27</f>
        <v>0</v>
      </c>
      <c r="F15" s="1189">
        <f>'GPC Data'!R163</f>
        <v>0</v>
      </c>
      <c r="G15" s="1189">
        <f>'GPC Data'!S163</f>
        <v>0</v>
      </c>
      <c r="H15" s="1189">
        <f>'GPC Data'!T163</f>
        <v>0</v>
      </c>
      <c r="I15" s="1189">
        <f>'GPC Data'!U163</f>
        <v>0</v>
      </c>
      <c r="J15" s="1189">
        <f>'GPC Data'!V163</f>
        <v>0</v>
      </c>
      <c r="K15" s="1190">
        <f>'GPC Data'!W163</f>
        <v>0</v>
      </c>
      <c r="L15" s="1190">
        <f>'GPC Data'!X163</f>
        <v>0</v>
      </c>
      <c r="M15" s="1190">
        <f>'GPC Data'!Y163</f>
        <v>0</v>
      </c>
      <c r="N15" s="660" t="s">
        <v>1503</v>
      </c>
      <c r="O15" s="660"/>
      <c r="P15" s="677" t="s">
        <v>1368</v>
      </c>
      <c r="Q15" s="660"/>
      <c r="R15" s="667"/>
      <c r="S15" s="1177"/>
      <c r="T15" s="1187"/>
      <c r="U15" s="1187"/>
      <c r="V15" s="1177"/>
      <c r="W15" s="1177"/>
      <c r="X15" s="667"/>
      <c r="Y15" s="660"/>
    </row>
    <row r="16" spans="2:25" s="436" customFormat="1" ht="11" thickBot="1">
      <c r="D16" s="1188" t="str">
        <f>WACC!C35</f>
        <v>Comp 7</v>
      </c>
      <c r="E16" s="1135">
        <f>'GPC Data'!P28</f>
        <v>0</v>
      </c>
      <c r="F16" s="1189">
        <f>'GPC Data'!R164</f>
        <v>0</v>
      </c>
      <c r="G16" s="1189">
        <f>'GPC Data'!S164</f>
        <v>0</v>
      </c>
      <c r="H16" s="1189">
        <f>'GPC Data'!T164</f>
        <v>0</v>
      </c>
      <c r="I16" s="1189">
        <f>'GPC Data'!U164</f>
        <v>0</v>
      </c>
      <c r="J16" s="1189">
        <f>'GPC Data'!V164</f>
        <v>0</v>
      </c>
      <c r="K16" s="1190">
        <f>'GPC Data'!W164</f>
        <v>0</v>
      </c>
      <c r="L16" s="1190">
        <f>'GPC Data'!X164</f>
        <v>0</v>
      </c>
      <c r="M16" s="1190">
        <f>'GPC Data'!Y164</f>
        <v>0</v>
      </c>
      <c r="N16" s="660" t="s">
        <v>1503</v>
      </c>
      <c r="O16" s="660"/>
      <c r="P16" s="677" t="s">
        <v>1368</v>
      </c>
      <c r="Q16" s="660"/>
      <c r="R16" s="667"/>
      <c r="S16" s="1177"/>
      <c r="T16" s="1187"/>
      <c r="U16" s="1187"/>
      <c r="V16" s="1177"/>
      <c r="W16" s="1177"/>
      <c r="X16" s="667"/>
      <c r="Y16" s="660"/>
    </row>
    <row r="17" spans="4:25" s="436" customFormat="1" ht="11" thickBot="1">
      <c r="D17" s="1188" t="str">
        <f>WACC!C36</f>
        <v>Comp 8</v>
      </c>
      <c r="E17" s="1135">
        <f>'GPC Data'!P29</f>
        <v>0</v>
      </c>
      <c r="F17" s="1189">
        <f>'GPC Data'!R165</f>
        <v>0</v>
      </c>
      <c r="G17" s="1189">
        <f>'GPC Data'!S165</f>
        <v>0</v>
      </c>
      <c r="H17" s="1189">
        <f>'GPC Data'!T165</f>
        <v>0</v>
      </c>
      <c r="I17" s="1189">
        <f>'GPC Data'!U165</f>
        <v>0</v>
      </c>
      <c r="J17" s="1189">
        <f>'GPC Data'!V165</f>
        <v>0</v>
      </c>
      <c r="K17" s="1190">
        <f>'GPC Data'!W165</f>
        <v>0</v>
      </c>
      <c r="L17" s="1190">
        <f>'GPC Data'!X165</f>
        <v>0</v>
      </c>
      <c r="M17" s="1190">
        <f>'GPC Data'!Y165</f>
        <v>0</v>
      </c>
      <c r="N17" s="660"/>
      <c r="O17" s="660"/>
      <c r="P17" s="677" t="s">
        <v>1368</v>
      </c>
      <c r="Q17" s="660"/>
      <c r="R17" s="667"/>
      <c r="S17" s="1177"/>
      <c r="T17" s="1187"/>
      <c r="U17" s="1187"/>
      <c r="V17" s="1177"/>
      <c r="W17" s="1177"/>
      <c r="X17" s="667"/>
      <c r="Y17" s="660"/>
    </row>
    <row r="18" spans="4:25" s="436" customFormat="1" ht="11" thickBot="1">
      <c r="D18" s="1188" t="str">
        <f>WACC!C37</f>
        <v>Comp 9</v>
      </c>
      <c r="E18" s="1135">
        <f>'GPC Data'!P30</f>
        <v>0</v>
      </c>
      <c r="F18" s="1189">
        <f>'GPC Data'!R166</f>
        <v>0</v>
      </c>
      <c r="G18" s="1189">
        <f>'GPC Data'!S166</f>
        <v>0</v>
      </c>
      <c r="H18" s="1189">
        <f>'GPC Data'!T166</f>
        <v>0</v>
      </c>
      <c r="I18" s="1189">
        <f>'GPC Data'!U166</f>
        <v>0</v>
      </c>
      <c r="J18" s="1189">
        <f>'GPC Data'!V166</f>
        <v>0</v>
      </c>
      <c r="K18" s="1190">
        <f>'GPC Data'!W166</f>
        <v>0</v>
      </c>
      <c r="L18" s="1190">
        <f>'GPC Data'!X166</f>
        <v>0</v>
      </c>
      <c r="M18" s="1190">
        <f>'GPC Data'!Y166</f>
        <v>0</v>
      </c>
      <c r="N18" s="660" t="s">
        <v>1503</v>
      </c>
      <c r="O18" s="660"/>
      <c r="P18" s="677" t="s">
        <v>1368</v>
      </c>
      <c r="Q18" s="660"/>
      <c r="R18" s="667"/>
      <c r="S18" s="1177"/>
      <c r="T18" s="1187"/>
      <c r="U18" s="1187"/>
      <c r="V18" s="1177"/>
      <c r="W18" s="1177"/>
      <c r="X18" s="667"/>
      <c r="Y18" s="660"/>
    </row>
    <row r="19" spans="4:25" s="436" customFormat="1" ht="11" thickBot="1">
      <c r="D19" s="1188" t="str">
        <f>WACC!C38</f>
        <v>Comp 10</v>
      </c>
      <c r="E19" s="1135">
        <f>'GPC Data'!P31</f>
        <v>0</v>
      </c>
      <c r="F19" s="1189">
        <f>'GPC Data'!R167</f>
        <v>0</v>
      </c>
      <c r="G19" s="1189">
        <f>'GPC Data'!S167</f>
        <v>0</v>
      </c>
      <c r="H19" s="1189">
        <f>'GPC Data'!T167</f>
        <v>0</v>
      </c>
      <c r="I19" s="1189">
        <f>'GPC Data'!U167</f>
        <v>0</v>
      </c>
      <c r="J19" s="1189">
        <f>'GPC Data'!V167</f>
        <v>0</v>
      </c>
      <c r="K19" s="1190">
        <f>'GPC Data'!W167</f>
        <v>0</v>
      </c>
      <c r="L19" s="1190">
        <f>'GPC Data'!X167</f>
        <v>0</v>
      </c>
      <c r="M19" s="1190">
        <f>'GPC Data'!Y167</f>
        <v>0</v>
      </c>
      <c r="N19" s="660" t="s">
        <v>1503</v>
      </c>
      <c r="O19" s="660"/>
      <c r="P19" s="677" t="s">
        <v>1368</v>
      </c>
      <c r="Q19" s="660"/>
      <c r="R19" s="667"/>
      <c r="S19" s="1177"/>
      <c r="T19" s="1187"/>
      <c r="U19" s="1187"/>
      <c r="V19" s="1177"/>
      <c r="W19" s="1177"/>
      <c r="X19" s="667"/>
      <c r="Y19" s="660"/>
    </row>
    <row r="20" spans="4:25" s="436" customFormat="1" ht="11" hidden="1" outlineLevel="1" thickBot="1">
      <c r="D20" s="1188" t="str">
        <f>WACC!C39</f>
        <v>Comp 11</v>
      </c>
      <c r="E20" s="1135">
        <f>'GPC Data'!P32</f>
        <v>0</v>
      </c>
      <c r="F20" s="1189">
        <f>'GPC Data'!R168</f>
        <v>0</v>
      </c>
      <c r="G20" s="1189">
        <f>'GPC Data'!S168</f>
        <v>0</v>
      </c>
      <c r="H20" s="1189">
        <f>'GPC Data'!T168</f>
        <v>0</v>
      </c>
      <c r="I20" s="1189">
        <f>'GPC Data'!U168</f>
        <v>0</v>
      </c>
      <c r="J20" s="1189">
        <f>'GPC Data'!V168</f>
        <v>0</v>
      </c>
      <c r="K20" s="1190">
        <f>'GPC Data'!W168</f>
        <v>0</v>
      </c>
      <c r="L20" s="1190">
        <f>'GPC Data'!X168</f>
        <v>0</v>
      </c>
      <c r="M20" s="1190">
        <f>'GPC Data'!Y168</f>
        <v>0</v>
      </c>
      <c r="N20" s="660" t="s">
        <v>1503</v>
      </c>
      <c r="O20" s="660"/>
      <c r="P20" s="677" t="s">
        <v>106</v>
      </c>
      <c r="Q20" s="660"/>
      <c r="R20" s="667"/>
      <c r="S20" s="1177"/>
      <c r="T20" s="1187"/>
      <c r="U20" s="1187"/>
      <c r="V20" s="1177"/>
      <c r="W20" s="1177"/>
      <c r="X20" s="667"/>
      <c r="Y20" s="660"/>
    </row>
    <row r="21" spans="4:25" s="436" customFormat="1" ht="11" hidden="1" outlineLevel="1" thickBot="1">
      <c r="D21" s="1188" t="str">
        <f>WACC!C40</f>
        <v>Comp 12</v>
      </c>
      <c r="E21" s="1135">
        <f>'GPC Data'!P33</f>
        <v>0</v>
      </c>
      <c r="F21" s="1189">
        <f>'GPC Data'!R169</f>
        <v>0</v>
      </c>
      <c r="G21" s="1189">
        <f>'GPC Data'!S169</f>
        <v>0</v>
      </c>
      <c r="H21" s="1189">
        <f>'GPC Data'!T169</f>
        <v>0</v>
      </c>
      <c r="I21" s="1189">
        <f>'GPC Data'!U169</f>
        <v>0</v>
      </c>
      <c r="J21" s="1189">
        <f>'GPC Data'!V169</f>
        <v>0</v>
      </c>
      <c r="K21" s="1190">
        <f>'GPC Data'!W169</f>
        <v>0</v>
      </c>
      <c r="L21" s="1190">
        <f>'GPC Data'!X169</f>
        <v>0</v>
      </c>
      <c r="M21" s="1190">
        <f>'GPC Data'!Y169</f>
        <v>0</v>
      </c>
      <c r="N21" s="660" t="s">
        <v>1503</v>
      </c>
      <c r="O21" s="660"/>
      <c r="P21" s="677" t="s">
        <v>106</v>
      </c>
      <c r="Q21" s="660"/>
      <c r="R21" s="667"/>
      <c r="S21" s="1177"/>
      <c r="T21" s="1187"/>
      <c r="U21" s="1187"/>
      <c r="V21" s="1177"/>
      <c r="W21" s="1177"/>
      <c r="X21" s="667"/>
      <c r="Y21" s="660"/>
    </row>
    <row r="22" spans="4:25" s="436" customFormat="1" ht="11" hidden="1" outlineLevel="1" thickBot="1">
      <c r="D22" s="1188" t="str">
        <f>WACC!C41</f>
        <v>Comp 13</v>
      </c>
      <c r="E22" s="1135">
        <f>'GPC Data'!P34</f>
        <v>0</v>
      </c>
      <c r="F22" s="1189">
        <f>'GPC Data'!R170</f>
        <v>0</v>
      </c>
      <c r="G22" s="1189">
        <f>'GPC Data'!S170</f>
        <v>0</v>
      </c>
      <c r="H22" s="1189">
        <f>'GPC Data'!T170</f>
        <v>0</v>
      </c>
      <c r="I22" s="1189">
        <f>'GPC Data'!U170</f>
        <v>0</v>
      </c>
      <c r="J22" s="1189">
        <f>'GPC Data'!V170</f>
        <v>0</v>
      </c>
      <c r="K22" s="1190">
        <f>'GPC Data'!W170</f>
        <v>0</v>
      </c>
      <c r="L22" s="1190">
        <f>'GPC Data'!X170</f>
        <v>0</v>
      </c>
      <c r="M22" s="1190">
        <f>'GPC Data'!Y170</f>
        <v>0</v>
      </c>
      <c r="N22" s="660" t="s">
        <v>1503</v>
      </c>
      <c r="O22" s="660"/>
      <c r="P22" s="677" t="s">
        <v>106</v>
      </c>
      <c r="Q22" s="660"/>
      <c r="R22" s="667"/>
      <c r="S22" s="1177"/>
      <c r="T22" s="1187"/>
      <c r="U22" s="1187"/>
      <c r="V22" s="1177"/>
      <c r="W22" s="1177"/>
      <c r="X22" s="667"/>
      <c r="Y22" s="660"/>
    </row>
    <row r="23" spans="4:25" s="436" customFormat="1" ht="11" hidden="1" outlineLevel="1" thickBot="1">
      <c r="D23" s="1188" t="str">
        <f>WACC!C42</f>
        <v>Comp 14</v>
      </c>
      <c r="E23" s="1135">
        <f>'GPC Data'!P35</f>
        <v>0</v>
      </c>
      <c r="F23" s="1189">
        <f>'GPC Data'!R171</f>
        <v>0</v>
      </c>
      <c r="G23" s="1189">
        <f>'GPC Data'!S171</f>
        <v>0</v>
      </c>
      <c r="H23" s="1189">
        <f>'GPC Data'!T171</f>
        <v>0</v>
      </c>
      <c r="I23" s="1189">
        <f>'GPC Data'!U171</f>
        <v>0</v>
      </c>
      <c r="J23" s="1189">
        <f>'GPC Data'!V171</f>
        <v>0</v>
      </c>
      <c r="K23" s="1190">
        <f>'GPC Data'!W171</f>
        <v>0</v>
      </c>
      <c r="L23" s="1190">
        <f>'GPC Data'!X171</f>
        <v>0</v>
      </c>
      <c r="M23" s="1190">
        <f>'GPC Data'!Y171</f>
        <v>0</v>
      </c>
      <c r="N23" s="660" t="s">
        <v>1503</v>
      </c>
      <c r="O23" s="660"/>
      <c r="P23" s="677" t="s">
        <v>106</v>
      </c>
      <c r="Q23" s="660"/>
      <c r="R23" s="667"/>
      <c r="S23" s="1177"/>
      <c r="T23" s="1187"/>
      <c r="U23" s="1187"/>
      <c r="V23" s="1177"/>
      <c r="W23" s="1177"/>
      <c r="X23" s="667"/>
      <c r="Y23" s="660"/>
    </row>
    <row r="24" spans="4:25" s="436" customFormat="1" ht="11" hidden="1" outlineLevel="1" thickBot="1">
      <c r="D24" s="1188" t="str">
        <f>WACC!C43</f>
        <v>Comp 15</v>
      </c>
      <c r="E24" s="1135">
        <f>'GPC Data'!P36</f>
        <v>0</v>
      </c>
      <c r="F24" s="1189">
        <f>'GPC Data'!R172</f>
        <v>0</v>
      </c>
      <c r="G24" s="1189">
        <f>'GPC Data'!S172</f>
        <v>0</v>
      </c>
      <c r="H24" s="1189">
        <f>'GPC Data'!T172</f>
        <v>0</v>
      </c>
      <c r="I24" s="1189">
        <f>'GPC Data'!U172</f>
        <v>0</v>
      </c>
      <c r="J24" s="1189">
        <f>'GPC Data'!V172</f>
        <v>0</v>
      </c>
      <c r="K24" s="1190">
        <f>'GPC Data'!W172</f>
        <v>0</v>
      </c>
      <c r="L24" s="1190">
        <f>'GPC Data'!X172</f>
        <v>0</v>
      </c>
      <c r="M24" s="1190">
        <f>'GPC Data'!Y172</f>
        <v>0</v>
      </c>
      <c r="N24" s="660" t="s">
        <v>1503</v>
      </c>
      <c r="O24" s="660"/>
      <c r="P24" s="677" t="s">
        <v>106</v>
      </c>
      <c r="Q24" s="660"/>
      <c r="R24" s="667"/>
      <c r="S24" s="1177"/>
      <c r="T24" s="1187"/>
      <c r="U24" s="1187"/>
      <c r="V24" s="1177"/>
      <c r="W24" s="1177"/>
      <c r="X24" s="667"/>
      <c r="Y24" s="660"/>
    </row>
    <row r="25" spans="4:25" s="436" customFormat="1" ht="11" hidden="1" outlineLevel="1" thickBot="1">
      <c r="D25" s="1188" t="str">
        <f>WACC!C44</f>
        <v>Comp 16</v>
      </c>
      <c r="E25" s="1135">
        <f>'GPC Data'!P37</f>
        <v>0</v>
      </c>
      <c r="F25" s="1189">
        <f>'GPC Data'!R173</f>
        <v>0</v>
      </c>
      <c r="G25" s="1189">
        <f>'GPC Data'!S173</f>
        <v>0</v>
      </c>
      <c r="H25" s="1189">
        <f>'GPC Data'!T173</f>
        <v>0</v>
      </c>
      <c r="I25" s="1189">
        <f>'GPC Data'!U173</f>
        <v>0</v>
      </c>
      <c r="J25" s="1189">
        <f>'GPC Data'!V173</f>
        <v>0</v>
      </c>
      <c r="K25" s="1190">
        <f>'GPC Data'!W173</f>
        <v>0</v>
      </c>
      <c r="L25" s="1190">
        <f>'GPC Data'!X173</f>
        <v>0</v>
      </c>
      <c r="M25" s="1190">
        <f>'GPC Data'!Y173</f>
        <v>0</v>
      </c>
      <c r="N25" s="660" t="s">
        <v>1503</v>
      </c>
      <c r="O25" s="660"/>
      <c r="P25" s="677" t="s">
        <v>106</v>
      </c>
      <c r="Q25" s="660"/>
      <c r="R25" s="667"/>
      <c r="S25" s="1177"/>
      <c r="T25" s="1187"/>
      <c r="U25" s="1187"/>
      <c r="V25" s="1177"/>
      <c r="W25" s="1177"/>
      <c r="X25" s="667"/>
      <c r="Y25" s="660"/>
    </row>
    <row r="26" spans="4:25" s="436" customFormat="1" ht="11" hidden="1" outlineLevel="1" thickBot="1">
      <c r="D26" s="1188" t="str">
        <f>WACC!C45</f>
        <v>Comp 17</v>
      </c>
      <c r="E26" s="1135">
        <f>'GPC Data'!P38</f>
        <v>0</v>
      </c>
      <c r="F26" s="1189">
        <f>'GPC Data'!R174</f>
        <v>0</v>
      </c>
      <c r="G26" s="1189">
        <f>'GPC Data'!S174</f>
        <v>0</v>
      </c>
      <c r="H26" s="1189">
        <f>'GPC Data'!T174</f>
        <v>0</v>
      </c>
      <c r="I26" s="1189">
        <f>'GPC Data'!U174</f>
        <v>0</v>
      </c>
      <c r="J26" s="1189">
        <f>'GPC Data'!V174</f>
        <v>0</v>
      </c>
      <c r="K26" s="1190">
        <f>'GPC Data'!W174</f>
        <v>0</v>
      </c>
      <c r="L26" s="1190">
        <f>'GPC Data'!X174</f>
        <v>0</v>
      </c>
      <c r="M26" s="1190">
        <f>'GPC Data'!Y174</f>
        <v>0</v>
      </c>
      <c r="N26" s="660" t="s">
        <v>1503</v>
      </c>
      <c r="O26" s="660"/>
      <c r="P26" s="677" t="s">
        <v>106</v>
      </c>
      <c r="Q26" s="660"/>
      <c r="R26" s="667"/>
      <c r="S26" s="1177"/>
      <c r="T26" s="1187"/>
      <c r="U26" s="1187"/>
      <c r="V26" s="1177"/>
      <c r="W26" s="1177"/>
      <c r="X26" s="667"/>
      <c r="Y26" s="660"/>
    </row>
    <row r="27" spans="4:25" s="436" customFormat="1" ht="11" hidden="1" outlineLevel="1" thickBot="1">
      <c r="D27" s="1188" t="str">
        <f>WACC!C46</f>
        <v>Comp 18</v>
      </c>
      <c r="E27" s="1135">
        <f>'GPC Data'!P39</f>
        <v>0</v>
      </c>
      <c r="F27" s="1189">
        <f>'GPC Data'!R175</f>
        <v>0</v>
      </c>
      <c r="G27" s="1189">
        <f>'GPC Data'!S175</f>
        <v>0</v>
      </c>
      <c r="H27" s="1189">
        <f>'GPC Data'!T175</f>
        <v>0</v>
      </c>
      <c r="I27" s="1189">
        <f>'GPC Data'!U175</f>
        <v>0</v>
      </c>
      <c r="J27" s="1189">
        <f>'GPC Data'!V175</f>
        <v>0</v>
      </c>
      <c r="K27" s="1190">
        <f>'GPC Data'!W175</f>
        <v>0</v>
      </c>
      <c r="L27" s="1190">
        <f>'GPC Data'!X175</f>
        <v>0</v>
      </c>
      <c r="M27" s="1190">
        <f>'GPC Data'!Y175</f>
        <v>0</v>
      </c>
      <c r="N27" s="660" t="s">
        <v>1503</v>
      </c>
      <c r="O27" s="660"/>
      <c r="P27" s="677" t="s">
        <v>106</v>
      </c>
      <c r="Q27" s="660"/>
      <c r="R27" s="667"/>
      <c r="S27" s="1177"/>
      <c r="T27" s="1187"/>
      <c r="U27" s="1187"/>
      <c r="V27" s="1177"/>
      <c r="W27" s="1177"/>
      <c r="X27" s="667"/>
      <c r="Y27" s="660"/>
    </row>
    <row r="28" spans="4:25" s="436" customFormat="1" ht="11" hidden="1" outlineLevel="1" thickBot="1">
      <c r="D28" s="1188" t="str">
        <f>WACC!C47</f>
        <v>Comp 19</v>
      </c>
      <c r="E28" s="1135">
        <f>'GPC Data'!P40</f>
        <v>0</v>
      </c>
      <c r="F28" s="1189">
        <f>'GPC Data'!R176</f>
        <v>0</v>
      </c>
      <c r="G28" s="1189">
        <f>'GPC Data'!S176</f>
        <v>0</v>
      </c>
      <c r="H28" s="1189">
        <f>'GPC Data'!T176</f>
        <v>0</v>
      </c>
      <c r="I28" s="1189">
        <f>'GPC Data'!U176</f>
        <v>0</v>
      </c>
      <c r="J28" s="1189">
        <f>'GPC Data'!V176</f>
        <v>0</v>
      </c>
      <c r="K28" s="1190">
        <f>'GPC Data'!W176</f>
        <v>0</v>
      </c>
      <c r="L28" s="1190">
        <f>'GPC Data'!X176</f>
        <v>0</v>
      </c>
      <c r="M28" s="1190">
        <f>'GPC Data'!Y176</f>
        <v>0</v>
      </c>
      <c r="N28" s="660" t="s">
        <v>1503</v>
      </c>
      <c r="O28" s="660"/>
      <c r="P28" s="677" t="s">
        <v>106</v>
      </c>
      <c r="Q28" s="660"/>
      <c r="R28" s="667"/>
      <c r="S28" s="1177"/>
      <c r="T28" s="1187"/>
      <c r="U28" s="1187"/>
      <c r="V28" s="1177"/>
      <c r="W28" s="1177"/>
      <c r="X28" s="667"/>
      <c r="Y28" s="660"/>
    </row>
    <row r="29" spans="4:25" s="436" customFormat="1" ht="11" hidden="1" outlineLevel="1" thickBot="1">
      <c r="D29" s="1188" t="str">
        <f>WACC!C48</f>
        <v>Comp 20</v>
      </c>
      <c r="E29" s="1135">
        <f>'GPC Data'!P41</f>
        <v>0</v>
      </c>
      <c r="F29" s="1189">
        <f>'GPC Data'!R177</f>
        <v>0</v>
      </c>
      <c r="G29" s="1189">
        <f>'GPC Data'!S177</f>
        <v>0</v>
      </c>
      <c r="H29" s="1189">
        <f>'GPC Data'!T177</f>
        <v>0</v>
      </c>
      <c r="I29" s="1189">
        <f>'GPC Data'!U177</f>
        <v>0</v>
      </c>
      <c r="J29" s="1189">
        <f>'GPC Data'!V177</f>
        <v>0</v>
      </c>
      <c r="K29" s="1190">
        <f>'GPC Data'!W177</f>
        <v>0</v>
      </c>
      <c r="L29" s="1190">
        <f>'GPC Data'!X177</f>
        <v>0</v>
      </c>
      <c r="M29" s="1190">
        <f>'GPC Data'!Y177</f>
        <v>0</v>
      </c>
      <c r="N29" s="660" t="s">
        <v>1503</v>
      </c>
      <c r="O29" s="660"/>
      <c r="P29" s="677" t="s">
        <v>106</v>
      </c>
      <c r="Q29" s="660"/>
      <c r="R29" s="667"/>
      <c r="S29" s="1177"/>
      <c r="T29" s="1187"/>
      <c r="U29" s="1187"/>
      <c r="V29" s="1177"/>
      <c r="W29" s="1177"/>
      <c r="X29" s="667"/>
      <c r="Y29" s="660"/>
    </row>
    <row r="30" spans="4:25" s="436" customFormat="1" ht="11" hidden="1" outlineLevel="1" thickBot="1">
      <c r="D30" s="1188" t="str">
        <f>WACC!C49</f>
        <v>Comp 21</v>
      </c>
      <c r="E30" s="1135">
        <f>'GPC Data'!P42</f>
        <v>0</v>
      </c>
      <c r="F30" s="1189">
        <f>'GPC Data'!R178</f>
        <v>0</v>
      </c>
      <c r="G30" s="1189">
        <f>'GPC Data'!S178</f>
        <v>0</v>
      </c>
      <c r="H30" s="1189">
        <f>'GPC Data'!T178</f>
        <v>0</v>
      </c>
      <c r="I30" s="1189">
        <f>'GPC Data'!U178</f>
        <v>0</v>
      </c>
      <c r="J30" s="1189">
        <f>'GPC Data'!V178</f>
        <v>0</v>
      </c>
      <c r="K30" s="1190">
        <f>'GPC Data'!W178</f>
        <v>0</v>
      </c>
      <c r="L30" s="1190">
        <f>'GPC Data'!X178</f>
        <v>0</v>
      </c>
      <c r="M30" s="1190">
        <f>'GPC Data'!Y178</f>
        <v>0</v>
      </c>
      <c r="N30" s="660" t="s">
        <v>1503</v>
      </c>
      <c r="O30" s="660"/>
      <c r="P30" s="677" t="s">
        <v>106</v>
      </c>
      <c r="Q30" s="660"/>
      <c r="R30" s="667"/>
      <c r="S30" s="1177"/>
      <c r="T30" s="1187"/>
      <c r="U30" s="1187"/>
      <c r="V30" s="1177"/>
      <c r="W30" s="1177"/>
      <c r="X30" s="667"/>
      <c r="Y30" s="660"/>
    </row>
    <row r="31" spans="4:25" s="436" customFormat="1" ht="11" hidden="1" outlineLevel="1" thickBot="1">
      <c r="D31" s="1188" t="str">
        <f>WACC!C50</f>
        <v>Comp 22</v>
      </c>
      <c r="E31" s="1135">
        <f>'GPC Data'!P43</f>
        <v>0</v>
      </c>
      <c r="F31" s="1189">
        <f>'GPC Data'!R179</f>
        <v>0</v>
      </c>
      <c r="G31" s="1189">
        <f>'GPC Data'!S179</f>
        <v>0</v>
      </c>
      <c r="H31" s="1189">
        <f>'GPC Data'!T179</f>
        <v>0</v>
      </c>
      <c r="I31" s="1189">
        <f>'GPC Data'!U179</f>
        <v>0</v>
      </c>
      <c r="J31" s="1189">
        <f>'GPC Data'!V179</f>
        <v>0</v>
      </c>
      <c r="K31" s="1190">
        <f>'GPC Data'!W179</f>
        <v>0</v>
      </c>
      <c r="L31" s="1190">
        <f>'GPC Data'!X179</f>
        <v>0</v>
      </c>
      <c r="M31" s="1190">
        <f>'GPC Data'!Y179</f>
        <v>0</v>
      </c>
      <c r="N31" s="660" t="s">
        <v>1503</v>
      </c>
      <c r="O31" s="660"/>
      <c r="P31" s="677" t="s">
        <v>106</v>
      </c>
      <c r="Q31" s="660"/>
      <c r="R31" s="667"/>
      <c r="S31" s="1177"/>
      <c r="T31" s="1187"/>
      <c r="U31" s="1187"/>
      <c r="V31" s="1177"/>
      <c r="W31" s="1177"/>
      <c r="X31" s="667"/>
      <c r="Y31" s="660"/>
    </row>
    <row r="32" spans="4:25" s="436" customFormat="1" ht="11" hidden="1" outlineLevel="1" thickBot="1">
      <c r="D32" s="1188" t="str">
        <f>WACC!C51</f>
        <v>Comp 23</v>
      </c>
      <c r="E32" s="1135">
        <f>'GPC Data'!P44</f>
        <v>0</v>
      </c>
      <c r="F32" s="1189">
        <f>'GPC Data'!R180</f>
        <v>0</v>
      </c>
      <c r="G32" s="1189">
        <f>'GPC Data'!S180</f>
        <v>0</v>
      </c>
      <c r="H32" s="1189">
        <f>'GPC Data'!T180</f>
        <v>0</v>
      </c>
      <c r="I32" s="1189">
        <f>'GPC Data'!U180</f>
        <v>0</v>
      </c>
      <c r="J32" s="1189">
        <f>'GPC Data'!V180</f>
        <v>0</v>
      </c>
      <c r="K32" s="1190">
        <f>'GPC Data'!W180</f>
        <v>0</v>
      </c>
      <c r="L32" s="1190">
        <f>'GPC Data'!X180</f>
        <v>0</v>
      </c>
      <c r="M32" s="1190">
        <f>'GPC Data'!Y180</f>
        <v>0</v>
      </c>
      <c r="N32" s="660" t="s">
        <v>1503</v>
      </c>
      <c r="O32" s="660"/>
      <c r="P32" s="677" t="s">
        <v>106</v>
      </c>
      <c r="Q32" s="660"/>
      <c r="R32" s="667"/>
      <c r="S32" s="1177"/>
      <c r="T32" s="1187"/>
      <c r="U32" s="1187"/>
      <c r="V32" s="1177"/>
      <c r="W32" s="1177"/>
      <c r="X32" s="667"/>
      <c r="Y32" s="660"/>
    </row>
    <row r="33" spans="2:37" s="436" customFormat="1" ht="11" hidden="1" outlineLevel="1" thickBot="1">
      <c r="D33" s="1188" t="str">
        <f>WACC!C52</f>
        <v>Comp 24</v>
      </c>
      <c r="E33" s="1135">
        <f>'GPC Data'!P45</f>
        <v>0</v>
      </c>
      <c r="F33" s="1189">
        <f>'GPC Data'!R181</f>
        <v>0</v>
      </c>
      <c r="G33" s="1189">
        <f>'GPC Data'!S181</f>
        <v>0</v>
      </c>
      <c r="H33" s="1189">
        <f>'GPC Data'!T181</f>
        <v>0</v>
      </c>
      <c r="I33" s="1189">
        <f>'GPC Data'!U181</f>
        <v>0</v>
      </c>
      <c r="J33" s="1189">
        <f>'GPC Data'!V181</f>
        <v>0</v>
      </c>
      <c r="K33" s="1190">
        <f>'GPC Data'!W181</f>
        <v>0</v>
      </c>
      <c r="L33" s="1190">
        <f>'GPC Data'!X181</f>
        <v>0</v>
      </c>
      <c r="M33" s="1190">
        <f>'GPC Data'!Y181</f>
        <v>0</v>
      </c>
      <c r="N33" s="660" t="s">
        <v>1503</v>
      </c>
      <c r="O33" s="660"/>
      <c r="P33" s="677" t="s">
        <v>106</v>
      </c>
      <c r="Q33" s="660"/>
      <c r="R33" s="667"/>
      <c r="S33" s="1177"/>
      <c r="T33" s="1187"/>
      <c r="U33" s="1187"/>
      <c r="V33" s="1177"/>
      <c r="W33" s="1177"/>
      <c r="X33" s="667"/>
      <c r="Y33" s="660"/>
    </row>
    <row r="34" spans="2:37" s="436" customFormat="1" ht="11" hidden="1" outlineLevel="1" thickBot="1">
      <c r="D34" s="1188" t="str">
        <f>WACC!C53</f>
        <v>Comp 25</v>
      </c>
      <c r="E34" s="1135">
        <f>'GPC Data'!P46</f>
        <v>0</v>
      </c>
      <c r="F34" s="1189">
        <f>'GPC Data'!R182</f>
        <v>0</v>
      </c>
      <c r="G34" s="1189">
        <f>'GPC Data'!S182</f>
        <v>0</v>
      </c>
      <c r="H34" s="1189">
        <f>'GPC Data'!T182</f>
        <v>0</v>
      </c>
      <c r="I34" s="1189">
        <f>'GPC Data'!U182</f>
        <v>0</v>
      </c>
      <c r="J34" s="1189">
        <f>'GPC Data'!V182</f>
        <v>0</v>
      </c>
      <c r="K34" s="1190">
        <f>'GPC Data'!W182</f>
        <v>0</v>
      </c>
      <c r="L34" s="1190">
        <f>'GPC Data'!X182</f>
        <v>0</v>
      </c>
      <c r="M34" s="1190">
        <f>'GPC Data'!Y182</f>
        <v>0</v>
      </c>
      <c r="N34" s="660" t="s">
        <v>1503</v>
      </c>
      <c r="O34" s="660"/>
      <c r="P34" s="677" t="s">
        <v>106</v>
      </c>
      <c r="Q34" s="660"/>
      <c r="R34" s="667"/>
      <c r="S34" s="1177"/>
      <c r="T34" s="1187"/>
      <c r="U34" s="1187"/>
      <c r="V34" s="1177"/>
      <c r="W34" s="1177"/>
      <c r="X34" s="667"/>
      <c r="Y34" s="660"/>
    </row>
    <row r="35" spans="2:37" s="436" customFormat="1" ht="11" hidden="1" outlineLevel="1" thickBot="1">
      <c r="D35" s="1188" t="str">
        <f>WACC!C54</f>
        <v>Comp 26</v>
      </c>
      <c r="E35" s="1135">
        <f>'GPC Data'!P47</f>
        <v>0</v>
      </c>
      <c r="F35" s="1189">
        <f>'GPC Data'!R183</f>
        <v>0</v>
      </c>
      <c r="G35" s="1189">
        <f>'GPC Data'!S183</f>
        <v>0</v>
      </c>
      <c r="H35" s="1189">
        <f>'GPC Data'!T183</f>
        <v>0</v>
      </c>
      <c r="I35" s="1189">
        <f>'GPC Data'!U183</f>
        <v>0</v>
      </c>
      <c r="J35" s="1189">
        <f>'GPC Data'!V183</f>
        <v>0</v>
      </c>
      <c r="K35" s="1190">
        <f>'GPC Data'!W183</f>
        <v>0</v>
      </c>
      <c r="L35" s="1190">
        <f>'GPC Data'!X183</f>
        <v>0</v>
      </c>
      <c r="M35" s="1190">
        <f>'GPC Data'!Y183</f>
        <v>0</v>
      </c>
      <c r="N35" s="660" t="s">
        <v>1503</v>
      </c>
      <c r="O35" s="660"/>
      <c r="P35" s="677" t="s">
        <v>106</v>
      </c>
      <c r="Q35" s="660"/>
      <c r="R35" s="667"/>
      <c r="S35" s="1177"/>
      <c r="T35" s="1187"/>
      <c r="U35" s="1187"/>
      <c r="V35" s="1177"/>
      <c r="W35" s="1177"/>
      <c r="X35" s="667"/>
      <c r="Y35" s="660"/>
    </row>
    <row r="36" spans="2:37" s="436" customFormat="1" ht="11" hidden="1" outlineLevel="1" thickBot="1">
      <c r="D36" s="1188" t="str">
        <f>WACC!C55</f>
        <v>Comp 27</v>
      </c>
      <c r="E36" s="1135">
        <f>'GPC Data'!P48</f>
        <v>0</v>
      </c>
      <c r="F36" s="1189">
        <f>'GPC Data'!R184</f>
        <v>0</v>
      </c>
      <c r="G36" s="1189">
        <f>'GPC Data'!S184</f>
        <v>0</v>
      </c>
      <c r="H36" s="1189">
        <f>'GPC Data'!T184</f>
        <v>0</v>
      </c>
      <c r="I36" s="1189">
        <f>'GPC Data'!U184</f>
        <v>0</v>
      </c>
      <c r="J36" s="1189">
        <f>'GPC Data'!V184</f>
        <v>0</v>
      </c>
      <c r="K36" s="1190">
        <f>'GPC Data'!W184</f>
        <v>0</v>
      </c>
      <c r="L36" s="1190">
        <f>'GPC Data'!X184</f>
        <v>0</v>
      </c>
      <c r="M36" s="1190">
        <f>'GPC Data'!Y184</f>
        <v>0</v>
      </c>
      <c r="N36" s="660" t="s">
        <v>1503</v>
      </c>
      <c r="O36" s="660"/>
      <c r="P36" s="677" t="s">
        <v>106</v>
      </c>
      <c r="Q36" s="660"/>
      <c r="R36" s="667"/>
      <c r="S36" s="1177"/>
      <c r="T36" s="1187"/>
      <c r="U36" s="1187"/>
      <c r="V36" s="1177"/>
      <c r="W36" s="1177"/>
      <c r="X36" s="667"/>
      <c r="Y36" s="660"/>
    </row>
    <row r="37" spans="2:37" s="436" customFormat="1" ht="11" hidden="1" outlineLevel="1" thickBot="1">
      <c r="D37" s="1188" t="str">
        <f>WACC!C56</f>
        <v>Comp 28</v>
      </c>
      <c r="E37" s="1135">
        <f>'GPC Data'!P49</f>
        <v>0</v>
      </c>
      <c r="F37" s="1189">
        <f>'GPC Data'!R185</f>
        <v>0</v>
      </c>
      <c r="G37" s="1189">
        <f>'GPC Data'!S185</f>
        <v>0</v>
      </c>
      <c r="H37" s="1189">
        <f>'GPC Data'!T185</f>
        <v>0</v>
      </c>
      <c r="I37" s="1189">
        <f>'GPC Data'!U185</f>
        <v>0</v>
      </c>
      <c r="J37" s="1189">
        <f>'GPC Data'!V185</f>
        <v>0</v>
      </c>
      <c r="K37" s="1190">
        <f>'GPC Data'!W185</f>
        <v>0</v>
      </c>
      <c r="L37" s="1190">
        <f>'GPC Data'!X185</f>
        <v>0</v>
      </c>
      <c r="M37" s="1190">
        <f>'GPC Data'!Y185</f>
        <v>0</v>
      </c>
      <c r="N37" s="660" t="s">
        <v>1503</v>
      </c>
      <c r="O37" s="660"/>
      <c r="P37" s="677" t="s">
        <v>106</v>
      </c>
      <c r="Q37" s="660"/>
      <c r="R37" s="667"/>
      <c r="S37" s="1177"/>
      <c r="T37" s="1187"/>
      <c r="U37" s="1187"/>
      <c r="V37" s="1177"/>
      <c r="W37" s="1177"/>
      <c r="X37" s="667"/>
      <c r="Y37" s="660"/>
    </row>
    <row r="38" spans="2:37" s="436" customFormat="1" ht="11" hidden="1" outlineLevel="1" thickBot="1">
      <c r="D38" s="1188" t="str">
        <f>WACC!C57</f>
        <v>Comp 29</v>
      </c>
      <c r="E38" s="1135">
        <f>'GPC Data'!P50</f>
        <v>0</v>
      </c>
      <c r="F38" s="1189">
        <f>'GPC Data'!R186</f>
        <v>0</v>
      </c>
      <c r="G38" s="1189">
        <f>'GPC Data'!S186</f>
        <v>0</v>
      </c>
      <c r="H38" s="1189">
        <f>'GPC Data'!T186</f>
        <v>0</v>
      </c>
      <c r="I38" s="1189">
        <f>'GPC Data'!U186</f>
        <v>0</v>
      </c>
      <c r="J38" s="1189">
        <f>'GPC Data'!V186</f>
        <v>0</v>
      </c>
      <c r="K38" s="1190">
        <f>'GPC Data'!W186</f>
        <v>0</v>
      </c>
      <c r="L38" s="1190">
        <f>'GPC Data'!X186</f>
        <v>0</v>
      </c>
      <c r="M38" s="1190">
        <f>'GPC Data'!Y186</f>
        <v>0</v>
      </c>
      <c r="N38" s="660" t="s">
        <v>1503</v>
      </c>
      <c r="O38" s="660"/>
      <c r="P38" s="677" t="s">
        <v>106</v>
      </c>
      <c r="Q38" s="660"/>
      <c r="R38" s="667"/>
      <c r="S38" s="1177"/>
      <c r="T38" s="1187"/>
      <c r="U38" s="1187"/>
      <c r="V38" s="1177"/>
      <c r="W38" s="1177"/>
      <c r="X38" s="667"/>
      <c r="Y38" s="660"/>
    </row>
    <row r="39" spans="2:37" s="436" customFormat="1" ht="11" hidden="1" outlineLevel="1" thickBot="1">
      <c r="D39" s="1188" t="str">
        <f>WACC!C58</f>
        <v>Comp 30</v>
      </c>
      <c r="E39" s="1135">
        <f>'GPC Data'!P51</f>
        <v>0</v>
      </c>
      <c r="F39" s="1189">
        <f>'GPC Data'!R187</f>
        <v>0</v>
      </c>
      <c r="G39" s="1189">
        <f>'GPC Data'!S187</f>
        <v>0</v>
      </c>
      <c r="H39" s="1189">
        <f>'GPC Data'!T187</f>
        <v>0</v>
      </c>
      <c r="I39" s="1189">
        <f>'GPC Data'!U187</f>
        <v>0</v>
      </c>
      <c r="J39" s="1189">
        <f>'GPC Data'!V187</f>
        <v>0</v>
      </c>
      <c r="K39" s="1190">
        <f>'GPC Data'!W187</f>
        <v>0</v>
      </c>
      <c r="L39" s="1190">
        <f>'GPC Data'!X187</f>
        <v>0</v>
      </c>
      <c r="M39" s="1190">
        <f>'GPC Data'!Y187</f>
        <v>0</v>
      </c>
      <c r="N39" s="660" t="s">
        <v>1503</v>
      </c>
      <c r="O39" s="660"/>
      <c r="P39" s="677" t="s">
        <v>106</v>
      </c>
      <c r="Q39" s="660"/>
      <c r="R39" s="667"/>
      <c r="S39" s="1177"/>
      <c r="T39" s="1187"/>
      <c r="U39" s="1187"/>
      <c r="V39" s="1177"/>
      <c r="W39" s="1177"/>
      <c r="X39" s="667"/>
      <c r="Y39" s="660"/>
    </row>
    <row r="40" spans="2:37" collapsed="1">
      <c r="B40" s="436"/>
      <c r="D40" s="1110"/>
      <c r="E40" s="1110"/>
      <c r="F40" s="1110"/>
      <c r="G40" s="1110"/>
      <c r="H40" s="1110"/>
      <c r="I40" s="1110"/>
      <c r="J40" s="1110"/>
      <c r="K40" s="1110"/>
      <c r="L40" s="1110"/>
      <c r="M40" s="1110"/>
      <c r="N40" s="1110"/>
      <c r="O40" s="1111"/>
      <c r="P40" s="1111"/>
      <c r="Q40" s="1110"/>
      <c r="R40" s="1191"/>
      <c r="S40" s="1191"/>
      <c r="T40" s="455"/>
      <c r="U40" s="1191"/>
      <c r="V40" s="1191"/>
      <c r="W40" s="1191"/>
      <c r="X40" s="1191"/>
      <c r="Y40" s="1110"/>
    </row>
    <row r="41" spans="2:37">
      <c r="E41" s="1155" t="s">
        <v>216</v>
      </c>
      <c r="F41" s="1156">
        <f>MAX(F10:F39)</f>
        <v>0</v>
      </c>
      <c r="G41" s="1156">
        <f t="shared" ref="G41:M41" si="0">MAX(G10:G39)</f>
        <v>0</v>
      </c>
      <c r="H41" s="1156">
        <f t="shared" si="0"/>
        <v>0</v>
      </c>
      <c r="I41" s="1156">
        <f t="shared" si="0"/>
        <v>0</v>
      </c>
      <c r="J41" s="1156">
        <f t="shared" si="0"/>
        <v>0</v>
      </c>
      <c r="K41" s="1156">
        <f t="shared" si="0"/>
        <v>0</v>
      </c>
      <c r="L41" s="1156">
        <f t="shared" si="0"/>
        <v>0</v>
      </c>
      <c r="M41" s="1156">
        <f t="shared" si="0"/>
        <v>0</v>
      </c>
      <c r="N41" s="1110"/>
      <c r="O41" s="1111"/>
      <c r="P41" s="1111"/>
      <c r="Q41" s="1110"/>
      <c r="R41" s="1191"/>
      <c r="S41" s="1191"/>
      <c r="T41" s="1191"/>
      <c r="U41" s="1191"/>
      <c r="V41" s="1191"/>
      <c r="W41" s="1191"/>
      <c r="X41" s="1191"/>
      <c r="Y41" s="1110"/>
    </row>
    <row r="42" spans="2:37">
      <c r="E42" s="1157" t="s">
        <v>1479</v>
      </c>
      <c r="F42" s="1158">
        <f>PERCENTILE(F10:F39,0.75)</f>
        <v>0</v>
      </c>
      <c r="G42" s="1158">
        <f t="shared" ref="G42:M42" si="1">PERCENTILE(G10:G39,0.75)</f>
        <v>0</v>
      </c>
      <c r="H42" s="1158">
        <f t="shared" si="1"/>
        <v>0</v>
      </c>
      <c r="I42" s="1158">
        <f t="shared" si="1"/>
        <v>0</v>
      </c>
      <c r="J42" s="1158">
        <f t="shared" si="1"/>
        <v>0</v>
      </c>
      <c r="K42" s="1158">
        <f t="shared" si="1"/>
        <v>0</v>
      </c>
      <c r="L42" s="1158">
        <f t="shared" si="1"/>
        <v>0</v>
      </c>
      <c r="M42" s="1158">
        <f t="shared" si="1"/>
        <v>0</v>
      </c>
      <c r="N42" s="1110"/>
      <c r="O42" s="1111"/>
      <c r="P42" s="1111"/>
      <c r="Q42" s="1110"/>
      <c r="R42" s="1191"/>
      <c r="S42" s="1191"/>
      <c r="T42" s="1191"/>
      <c r="U42" s="1191"/>
      <c r="V42" s="1191"/>
      <c r="W42" s="1191"/>
      <c r="X42" s="1191"/>
      <c r="Y42" s="1110"/>
    </row>
    <row r="43" spans="2:37">
      <c r="E43" s="1157" t="s">
        <v>1380</v>
      </c>
      <c r="F43" s="1158">
        <f>AVERAGE(F10:F39)</f>
        <v>0</v>
      </c>
      <c r="G43" s="1158">
        <f t="shared" ref="G43:M43" si="2">AVERAGE(G10:G39)</f>
        <v>0</v>
      </c>
      <c r="H43" s="1158">
        <f t="shared" si="2"/>
        <v>0</v>
      </c>
      <c r="I43" s="1158">
        <f t="shared" si="2"/>
        <v>0</v>
      </c>
      <c r="J43" s="1158">
        <f t="shared" si="2"/>
        <v>0</v>
      </c>
      <c r="K43" s="1158">
        <f t="shared" si="2"/>
        <v>0</v>
      </c>
      <c r="L43" s="1158">
        <f t="shared" si="2"/>
        <v>0</v>
      </c>
      <c r="M43" s="1158">
        <f t="shared" si="2"/>
        <v>0</v>
      </c>
      <c r="N43" s="1111" t="s">
        <v>1503</v>
      </c>
      <c r="O43" s="1111"/>
      <c r="P43" s="1111"/>
      <c r="Q43" s="1111"/>
      <c r="R43" s="1117"/>
      <c r="S43" s="1117"/>
      <c r="T43" s="1117"/>
      <c r="U43" s="1117"/>
      <c r="V43" s="1117"/>
      <c r="W43" s="1117"/>
      <c r="X43" s="1117"/>
      <c r="Y43" s="1111"/>
    </row>
    <row r="44" spans="2:37" ht="12">
      <c r="E44" s="1122" t="s">
        <v>1381</v>
      </c>
      <c r="F44" s="1120">
        <f>MEDIAN(F10:F39)</f>
        <v>0</v>
      </c>
      <c r="G44" s="1120">
        <f t="shared" ref="G44:M44" si="3">MEDIAN(G10:G39)</f>
        <v>0</v>
      </c>
      <c r="H44" s="1120">
        <f t="shared" si="3"/>
        <v>0</v>
      </c>
      <c r="I44" s="1120">
        <f t="shared" si="3"/>
        <v>0</v>
      </c>
      <c r="J44" s="1120">
        <f t="shared" si="3"/>
        <v>0</v>
      </c>
      <c r="K44" s="1120">
        <f t="shared" si="3"/>
        <v>0</v>
      </c>
      <c r="L44" s="1120">
        <f t="shared" si="3"/>
        <v>0</v>
      </c>
      <c r="M44" s="1120">
        <f t="shared" si="3"/>
        <v>0</v>
      </c>
      <c r="N44" s="1125" t="s">
        <v>1503</v>
      </c>
      <c r="O44" s="1111"/>
      <c r="P44" s="1111"/>
      <c r="Q44" s="1125"/>
      <c r="R44" s="1192"/>
      <c r="S44" s="1192"/>
      <c r="T44" s="1192"/>
      <c r="U44" s="1192"/>
      <c r="V44" s="1192"/>
      <c r="W44" s="1192"/>
      <c r="X44" s="1192"/>
      <c r="Y44" s="1125"/>
    </row>
    <row r="45" spans="2:37" ht="12">
      <c r="E45" s="1157" t="s">
        <v>1480</v>
      </c>
      <c r="F45" s="1158">
        <f>PERCENTILE(F10:F39,0.25)</f>
        <v>0</v>
      </c>
      <c r="G45" s="1158">
        <f t="shared" ref="G45:M45" si="4">PERCENTILE(G10:G39,0.25)</f>
        <v>0</v>
      </c>
      <c r="H45" s="1158">
        <f t="shared" si="4"/>
        <v>0</v>
      </c>
      <c r="I45" s="1158">
        <f t="shared" si="4"/>
        <v>0</v>
      </c>
      <c r="J45" s="1158">
        <f t="shared" si="4"/>
        <v>0</v>
      </c>
      <c r="K45" s="1158">
        <f t="shared" si="4"/>
        <v>0</v>
      </c>
      <c r="L45" s="1158">
        <f t="shared" si="4"/>
        <v>0</v>
      </c>
      <c r="M45" s="1158">
        <f t="shared" si="4"/>
        <v>0</v>
      </c>
      <c r="N45" s="1125"/>
      <c r="O45" s="738"/>
      <c r="P45" s="738"/>
      <c r="Q45" s="738"/>
      <c r="R45" s="1193"/>
      <c r="S45" s="1193"/>
      <c r="T45" s="1193"/>
      <c r="U45" s="1193"/>
      <c r="V45" s="1193"/>
      <c r="W45" s="1193"/>
      <c r="X45" s="1193"/>
      <c r="Y45" s="738"/>
      <c r="Z45" s="738"/>
      <c r="AA45" s="738"/>
      <c r="AB45" s="738"/>
      <c r="AC45" s="738"/>
      <c r="AD45" s="738"/>
      <c r="AE45" s="738"/>
      <c r="AF45" s="738"/>
      <c r="AG45" s="738"/>
      <c r="AH45" s="738"/>
      <c r="AI45" s="738"/>
      <c r="AJ45" s="738"/>
      <c r="AK45" s="738"/>
    </row>
    <row r="46" spans="2:37">
      <c r="E46" s="1159" t="s">
        <v>215</v>
      </c>
      <c r="F46" s="1160">
        <f>MIN(F10:F39)</f>
        <v>0</v>
      </c>
      <c r="G46" s="1160">
        <f t="shared" ref="G46:M46" si="5">MIN(G10:G39)</f>
        <v>0</v>
      </c>
      <c r="H46" s="1160">
        <f t="shared" si="5"/>
        <v>0</v>
      </c>
      <c r="I46" s="1160">
        <f t="shared" si="5"/>
        <v>0</v>
      </c>
      <c r="J46" s="1160">
        <f t="shared" si="5"/>
        <v>0</v>
      </c>
      <c r="K46" s="1160">
        <f t="shared" si="5"/>
        <v>0</v>
      </c>
      <c r="L46" s="1160">
        <f t="shared" si="5"/>
        <v>0</v>
      </c>
      <c r="M46" s="1160">
        <f t="shared" si="5"/>
        <v>0</v>
      </c>
      <c r="N46" s="1129"/>
      <c r="O46" s="738"/>
      <c r="P46" s="738"/>
      <c r="Q46" s="738"/>
      <c r="R46" s="1193"/>
      <c r="S46" s="1193"/>
      <c r="T46" s="1193"/>
      <c r="U46" s="1193"/>
      <c r="V46" s="1193"/>
      <c r="W46" s="1193"/>
      <c r="X46" s="1193"/>
      <c r="Y46" s="738"/>
      <c r="Z46" s="738"/>
      <c r="AA46" s="738"/>
      <c r="AB46" s="738"/>
      <c r="AC46" s="738"/>
      <c r="AD46" s="738"/>
      <c r="AE46" s="738"/>
      <c r="AF46" s="738"/>
      <c r="AG46" s="738"/>
      <c r="AH46" s="738"/>
      <c r="AI46" s="738"/>
      <c r="AJ46" s="738"/>
      <c r="AK46" s="738"/>
    </row>
    <row r="47" spans="2:37">
      <c r="E47" s="1161"/>
      <c r="F47" s="1054"/>
      <c r="G47" s="1054"/>
      <c r="H47" s="1054"/>
      <c r="I47" s="1054"/>
      <c r="J47" s="1054"/>
      <c r="K47" s="1111"/>
      <c r="L47" s="1111"/>
      <c r="N47" s="1111"/>
      <c r="O47" s="738"/>
      <c r="P47" s="738"/>
      <c r="Q47" s="738"/>
      <c r="R47" s="1193"/>
      <c r="S47" s="1193"/>
      <c r="T47" s="1193"/>
      <c r="U47" s="1193"/>
      <c r="V47" s="1193"/>
      <c r="W47" s="1193"/>
      <c r="X47" s="1193"/>
      <c r="Y47" s="738"/>
      <c r="Z47" s="738"/>
      <c r="AA47" s="738"/>
      <c r="AB47" s="738"/>
      <c r="AC47" s="738"/>
      <c r="AD47" s="738"/>
      <c r="AE47" s="738"/>
      <c r="AF47" s="738"/>
      <c r="AG47" s="738"/>
      <c r="AH47" s="738"/>
      <c r="AI47" s="738"/>
      <c r="AJ47" s="738"/>
      <c r="AK47" s="738"/>
    </row>
    <row r="48" spans="2:37">
      <c r="E48" s="703" t="s">
        <v>1382</v>
      </c>
      <c r="F48" s="1054"/>
      <c r="G48" s="1054"/>
      <c r="H48" s="1054"/>
      <c r="I48" s="1054"/>
      <c r="J48" s="1054"/>
      <c r="K48" s="1111"/>
      <c r="L48" s="1111"/>
      <c r="N48" s="1111"/>
      <c r="O48" s="738"/>
      <c r="P48" s="738"/>
      <c r="Q48" s="738"/>
      <c r="R48" s="1193"/>
      <c r="S48" s="1193"/>
      <c r="T48" s="1193"/>
      <c r="U48" s="1193"/>
      <c r="V48" s="1193"/>
      <c r="W48" s="1193"/>
      <c r="X48" s="1193"/>
      <c r="Y48" s="738"/>
      <c r="Z48" s="738"/>
      <c r="AA48" s="738"/>
      <c r="AB48" s="738"/>
      <c r="AC48" s="738"/>
      <c r="AD48" s="738"/>
      <c r="AE48" s="738"/>
      <c r="AF48" s="738"/>
      <c r="AG48" s="738"/>
      <c r="AH48" s="738"/>
      <c r="AI48" s="738"/>
      <c r="AJ48" s="738"/>
      <c r="AK48" s="738"/>
    </row>
    <row r="49" spans="2:37">
      <c r="E49" s="1155" t="s">
        <v>216</v>
      </c>
      <c r="F49" s="1156" cm="1">
        <f t="array" ref="F49">IFERROR(MAX(IF($P$10:$P$39="No",F10:F39)),"")</f>
        <v>0</v>
      </c>
      <c r="G49" s="1115" cm="1">
        <f t="array" ref="G49">IFERROR(MAX(IF($P$10:$P$39="No",G10:G39)),"")</f>
        <v>0</v>
      </c>
      <c r="H49" s="1115" cm="1">
        <f t="array" ref="H49">IFERROR(MAX(IF($P$10:$P$39="No",H10:H39)),"")</f>
        <v>0</v>
      </c>
      <c r="I49" s="1115" cm="1">
        <f t="array" ref="I49">IFERROR(MAX(IF($P$10:$P$39="No",I10:I39)),"")</f>
        <v>0</v>
      </c>
      <c r="J49" s="1115" cm="1">
        <f t="array" ref="J49">IFERROR(MAX(IF($P$10:$P$39="No",J10:J39)),"")</f>
        <v>0</v>
      </c>
      <c r="K49" s="1115" cm="1">
        <f t="array" ref="K49">IFERROR(MAX(IF($P$10:$P$39="No",K10:K39)),"")</f>
        <v>0</v>
      </c>
      <c r="L49" s="1115" cm="1">
        <f t="array" ref="L49">IFERROR(MAX(IF($P$10:$P$39="No",L10:L39)),"")</f>
        <v>0</v>
      </c>
      <c r="M49" s="1115" cm="1">
        <f t="array" ref="M49">IFERROR(MAX(IF($P$10:$P$39="No",M10:M39)),"")</f>
        <v>0</v>
      </c>
      <c r="N49" s="1111"/>
      <c r="O49" s="738"/>
      <c r="P49" s="738"/>
      <c r="Q49" s="738"/>
      <c r="R49" s="1193"/>
      <c r="S49" s="1193"/>
      <c r="T49" s="1193"/>
      <c r="U49" s="1193"/>
      <c r="V49" s="1193"/>
      <c r="W49" s="1193"/>
      <c r="X49" s="1193"/>
      <c r="Y49" s="738"/>
      <c r="Z49" s="738"/>
      <c r="AA49" s="738"/>
      <c r="AB49" s="738"/>
      <c r="AC49" s="738"/>
      <c r="AD49" s="738"/>
      <c r="AE49" s="738"/>
      <c r="AF49" s="738"/>
      <c r="AG49" s="738"/>
      <c r="AH49" s="738"/>
      <c r="AI49" s="738"/>
      <c r="AJ49" s="738"/>
      <c r="AK49" s="738"/>
    </row>
    <row r="50" spans="2:37">
      <c r="E50" s="1157" t="s">
        <v>1479</v>
      </c>
      <c r="F50" s="1158" cm="1">
        <f t="array" ref="F50">PERCENTILE(IF($P$10:$P$39="No",F10:F39),0.74)</f>
        <v>0</v>
      </c>
      <c r="G50" s="1054" cm="1">
        <f t="array" ref="G50">PERCENTILE(IF($P$10:$P$39="No",G10:G39),0.74)</f>
        <v>0</v>
      </c>
      <c r="H50" s="1054" cm="1">
        <f t="array" ref="H50">PERCENTILE(IF($P$10:$P$39="No",H10:H39),0.74)</f>
        <v>0</v>
      </c>
      <c r="I50" s="1054" cm="1">
        <f t="array" ref="I50">PERCENTILE(IF($P$10:$P$39="No",I10:I39),0.74)</f>
        <v>0</v>
      </c>
      <c r="J50" s="1054" cm="1">
        <f t="array" ref="J50">PERCENTILE(IF($P$10:$P$39="No",J10:J39),0.74)</f>
        <v>0</v>
      </c>
      <c r="K50" s="1054" cm="1">
        <f t="array" ref="K50">PERCENTILE(IF($P$10:$P$39="No",K10:K39),0.74)</f>
        <v>0</v>
      </c>
      <c r="L50" s="1054" cm="1">
        <f t="array" ref="L50">PERCENTILE(IF($P$10:$P$39="No",L10:L39),0.74)</f>
        <v>0</v>
      </c>
      <c r="M50" s="1054" cm="1">
        <f t="array" ref="M50">PERCENTILE(IF($P$10:$P$39="No",M10:M39),0.74)</f>
        <v>0</v>
      </c>
      <c r="N50" s="1111"/>
      <c r="O50" s="738"/>
      <c r="P50" s="738"/>
      <c r="Q50" s="738"/>
      <c r="R50" s="1193"/>
      <c r="S50" s="1193"/>
      <c r="T50" s="1193"/>
      <c r="U50" s="1193"/>
      <c r="V50" s="1193"/>
      <c r="W50" s="1193"/>
      <c r="X50" s="1193"/>
      <c r="Y50" s="738"/>
      <c r="Z50" s="738"/>
      <c r="AA50" s="738"/>
      <c r="AB50" s="738"/>
      <c r="AC50" s="738"/>
      <c r="AD50" s="738"/>
      <c r="AE50" s="738"/>
      <c r="AF50" s="738"/>
      <c r="AG50" s="738"/>
      <c r="AH50" s="738"/>
      <c r="AI50" s="738"/>
      <c r="AJ50" s="738"/>
      <c r="AK50" s="738"/>
    </row>
    <row r="51" spans="2:37">
      <c r="E51" s="1157" t="s">
        <v>1380</v>
      </c>
      <c r="F51" s="1158">
        <f>IFERROR(AVERAGEIF($P$10:$P$39,"No",F10:F39),"")</f>
        <v>0</v>
      </c>
      <c r="G51" s="1158">
        <f t="shared" ref="G51:M51" si="6">IFERROR(AVERAGEIF($P$10:$P$39,"No",G10:G39),"")</f>
        <v>0</v>
      </c>
      <c r="H51" s="1158">
        <f t="shared" si="6"/>
        <v>0</v>
      </c>
      <c r="I51" s="1158">
        <f t="shared" si="6"/>
        <v>0</v>
      </c>
      <c r="J51" s="1158">
        <f t="shared" si="6"/>
        <v>0</v>
      </c>
      <c r="K51" s="1158">
        <f t="shared" si="6"/>
        <v>0</v>
      </c>
      <c r="L51" s="1158">
        <f t="shared" si="6"/>
        <v>0</v>
      </c>
      <c r="M51" s="1158">
        <f t="shared" si="6"/>
        <v>0</v>
      </c>
      <c r="N51" s="1111"/>
      <c r="O51" s="738"/>
      <c r="P51" s="738"/>
      <c r="Q51" s="738"/>
      <c r="R51" s="1193"/>
      <c r="S51" s="1193"/>
      <c r="T51" s="1193"/>
      <c r="U51" s="1193"/>
      <c r="V51" s="1193"/>
      <c r="W51" s="1193"/>
      <c r="X51" s="1193"/>
      <c r="Y51" s="738"/>
      <c r="Z51" s="738"/>
      <c r="AA51" s="738"/>
      <c r="AB51" s="738"/>
      <c r="AC51" s="738"/>
      <c r="AD51" s="738"/>
      <c r="AE51" s="738"/>
      <c r="AF51" s="738"/>
      <c r="AG51" s="738"/>
      <c r="AH51" s="738"/>
      <c r="AI51" s="738"/>
      <c r="AJ51" s="738"/>
      <c r="AK51" s="738"/>
    </row>
    <row r="52" spans="2:37">
      <c r="E52" s="1122" t="s">
        <v>1381</v>
      </c>
      <c r="F52" s="1120" cm="1">
        <f t="array" ref="F52">IFERROR(MEDIAN(IF($P$10:$P$39="No",F10:F39)),"")</f>
        <v>0</v>
      </c>
      <c r="G52" s="1162" cm="1">
        <f t="array" ref="G52">IFERROR(MEDIAN(IF($P$10:$P$39="No",G10:G39)),"")</f>
        <v>0</v>
      </c>
      <c r="H52" s="1162" cm="1">
        <f t="array" ref="H52">IFERROR(MEDIAN(IF($P$10:$P$39="No",H10:H39)),"")</f>
        <v>0</v>
      </c>
      <c r="I52" s="1162" cm="1">
        <f t="array" ref="I52">IFERROR(MEDIAN(IF($P$10:$P$39="No",I10:I39)),"")</f>
        <v>0</v>
      </c>
      <c r="J52" s="1162" cm="1">
        <f t="array" ref="J52">IFERROR(MEDIAN(IF($P$10:$P$39="No",J10:J39)),"")</f>
        <v>0</v>
      </c>
      <c r="K52" s="1162" cm="1">
        <f t="array" ref="K52">IFERROR(MEDIAN(IF($P$10:$P$39="No",K10:K39)),"")</f>
        <v>0</v>
      </c>
      <c r="L52" s="1162" cm="1">
        <f t="array" ref="L52">IFERROR(MEDIAN(IF($P$10:$P$39="No",L10:L39)),"")</f>
        <v>0</v>
      </c>
      <c r="M52" s="1162" cm="1">
        <f t="array" ref="M52">IFERROR(MEDIAN(IF($P$10:$P$39="No",M10:M39)),"")</f>
        <v>0</v>
      </c>
      <c r="N52" s="1111"/>
      <c r="O52" s="738"/>
      <c r="P52" s="738"/>
      <c r="Q52" s="738"/>
      <c r="R52" s="738"/>
      <c r="S52" s="738"/>
      <c r="T52" s="738"/>
      <c r="U52" s="738"/>
      <c r="V52" s="738"/>
      <c r="W52" s="738"/>
      <c r="X52" s="738"/>
      <c r="Y52" s="738"/>
      <c r="Z52" s="738"/>
      <c r="AA52" s="738"/>
      <c r="AB52" s="738"/>
      <c r="AC52" s="738"/>
      <c r="AD52" s="738"/>
      <c r="AE52" s="738"/>
      <c r="AF52" s="738"/>
      <c r="AG52" s="738"/>
      <c r="AH52" s="738"/>
      <c r="AI52" s="738"/>
      <c r="AJ52" s="738"/>
      <c r="AK52" s="738"/>
    </row>
    <row r="53" spans="2:37">
      <c r="E53" s="1157" t="s">
        <v>1480</v>
      </c>
      <c r="F53" s="1158" cm="1">
        <f t="array" ref="F53">PERCENTILE(IF($P$10:$P$39="No",F10:F39),0.25)</f>
        <v>0</v>
      </c>
      <c r="G53" s="1054" cm="1">
        <f t="array" ref="G53">PERCENTILE(IF($P$10:$P$39="No",G10:G39),0.25)</f>
        <v>0</v>
      </c>
      <c r="H53" s="1054" cm="1">
        <f t="array" ref="H53">PERCENTILE(IF($P$10:$P$39="No",H10:H39),0.25)</f>
        <v>0</v>
      </c>
      <c r="I53" s="1054" cm="1">
        <f t="array" ref="I53">PERCENTILE(IF($P$10:$P$39="No",I10:I39),0.25)</f>
        <v>0</v>
      </c>
      <c r="J53" s="1054" cm="1">
        <f t="array" ref="J53">PERCENTILE(IF($P$10:$P$39="No",J10:J39),0.25)</f>
        <v>0</v>
      </c>
      <c r="K53" s="1054" cm="1">
        <f t="array" ref="K53">PERCENTILE(IF($P$10:$P$39="No",K10:K39),0.25)</f>
        <v>0</v>
      </c>
      <c r="L53" s="1054" cm="1">
        <f t="array" ref="L53">PERCENTILE(IF($P$10:$P$39="No",L10:L39),0.25)</f>
        <v>0</v>
      </c>
      <c r="M53" s="1054" cm="1">
        <f t="array" ref="M53">PERCENTILE(IF($P$10:$P$39="No",M10:M39),0.25)</f>
        <v>0</v>
      </c>
      <c r="N53" s="1111"/>
      <c r="O53" s="738"/>
      <c r="P53" s="738"/>
      <c r="Q53" s="738"/>
      <c r="R53" s="738"/>
      <c r="S53" s="738"/>
      <c r="T53" s="738"/>
      <c r="U53" s="738"/>
      <c r="V53" s="738"/>
      <c r="W53" s="738"/>
      <c r="X53" s="738"/>
      <c r="Y53" s="738"/>
      <c r="Z53" s="738"/>
      <c r="AA53" s="738"/>
      <c r="AB53" s="738"/>
      <c r="AC53" s="738"/>
      <c r="AD53" s="738"/>
      <c r="AE53" s="738"/>
      <c r="AF53" s="738"/>
      <c r="AG53" s="738"/>
      <c r="AH53" s="738"/>
      <c r="AI53" s="738"/>
      <c r="AJ53" s="738"/>
      <c r="AK53" s="738"/>
    </row>
    <row r="54" spans="2:37">
      <c r="E54" s="1159" t="s">
        <v>215</v>
      </c>
      <c r="F54" s="1160" cm="1">
        <f t="array" ref="F54">IFERROR(MIN(IF($P$10:$P$39="No",F10:F39)),"")</f>
        <v>0</v>
      </c>
      <c r="G54" s="1129" cm="1">
        <f t="array" ref="G54">IFERROR(MIN(IF($P$10:$P$39="No",G10:G39)),"")</f>
        <v>0</v>
      </c>
      <c r="H54" s="1129" cm="1">
        <f t="array" ref="H54">IFERROR(MIN(IF($P$10:$P$39="No",H10:H39)),"")</f>
        <v>0</v>
      </c>
      <c r="I54" s="1129" cm="1">
        <f t="array" ref="I54">IFERROR(MIN(IF($P$10:$P$39="No",I10:I39)),"")</f>
        <v>0</v>
      </c>
      <c r="J54" s="1129" cm="1">
        <f t="array" ref="J54">IFERROR(MIN(IF($P$10:$P$39="No",J10:J39)),"")</f>
        <v>0</v>
      </c>
      <c r="K54" s="1129" cm="1">
        <f t="array" ref="K54">IFERROR(MIN(IF($P$10:$P$39="No",K10:K39)),"")</f>
        <v>0</v>
      </c>
      <c r="L54" s="1129" cm="1">
        <f t="array" ref="L54">IFERROR(MIN(IF($P$10:$P$39="No",L10:L39)),"")</f>
        <v>0</v>
      </c>
      <c r="M54" s="1129" cm="1">
        <f t="array" ref="M54">IFERROR(MIN(IF($P$10:$P$39="No",M10:M39)),"")</f>
        <v>0</v>
      </c>
      <c r="N54" s="1111"/>
      <c r="O54" s="738"/>
      <c r="P54" s="738"/>
      <c r="Q54" s="738"/>
      <c r="R54" s="738"/>
      <c r="S54" s="738"/>
      <c r="T54" s="738"/>
      <c r="U54" s="738"/>
      <c r="V54" s="738"/>
      <c r="W54" s="738"/>
      <c r="X54" s="738"/>
      <c r="Y54" s="738"/>
      <c r="Z54" s="738"/>
      <c r="AA54" s="738"/>
      <c r="AB54" s="738"/>
      <c r="AC54" s="738"/>
      <c r="AD54" s="738"/>
      <c r="AE54" s="738"/>
      <c r="AF54" s="738"/>
      <c r="AG54" s="738"/>
      <c r="AH54" s="738"/>
      <c r="AI54" s="738"/>
      <c r="AJ54" s="738"/>
      <c r="AK54" s="738"/>
    </row>
    <row r="55" spans="2:37">
      <c r="B55" s="455"/>
      <c r="C55" s="455"/>
      <c r="D55" s="455"/>
      <c r="F55" s="455"/>
      <c r="G55" s="455"/>
      <c r="H55" s="455"/>
      <c r="I55" s="455"/>
      <c r="J55" s="455"/>
      <c r="K55" s="455"/>
      <c r="L55" s="455"/>
      <c r="M55" s="455"/>
      <c r="N55" s="455"/>
      <c r="O55" s="738"/>
      <c r="P55" s="738"/>
      <c r="Q55" s="738"/>
      <c r="R55" s="738"/>
      <c r="S55" s="738"/>
      <c r="T55" s="738"/>
      <c r="U55" s="738"/>
      <c r="V55" s="738"/>
      <c r="W55" s="738"/>
      <c r="X55" s="738"/>
      <c r="Y55" s="738"/>
      <c r="Z55" s="738"/>
      <c r="AA55" s="738"/>
      <c r="AB55" s="738"/>
      <c r="AC55" s="738"/>
      <c r="AD55" s="738"/>
      <c r="AE55" s="738"/>
      <c r="AF55" s="738"/>
      <c r="AG55" s="738"/>
      <c r="AH55" s="738"/>
      <c r="AI55" s="738"/>
      <c r="AJ55" s="738"/>
      <c r="AK55" s="738"/>
    </row>
    <row r="56" spans="2:37">
      <c r="B56" s="1194"/>
      <c r="C56" s="1193"/>
      <c r="D56" s="455"/>
      <c r="E56" s="455"/>
      <c r="F56" s="455"/>
      <c r="G56" s="455"/>
      <c r="H56" s="455"/>
      <c r="I56" s="455"/>
      <c r="J56" s="455"/>
      <c r="K56" s="455"/>
      <c r="L56" s="455"/>
      <c r="M56" s="455"/>
      <c r="N56" s="455"/>
      <c r="O56" s="738"/>
      <c r="P56" s="738"/>
      <c r="Q56" s="738"/>
      <c r="R56" s="738"/>
      <c r="S56" s="738"/>
      <c r="T56" s="738"/>
      <c r="U56" s="738"/>
      <c r="V56" s="738"/>
      <c r="W56" s="738"/>
      <c r="X56" s="738"/>
      <c r="Y56" s="738"/>
      <c r="Z56" s="738"/>
      <c r="AA56" s="738"/>
      <c r="AB56" s="738"/>
      <c r="AC56" s="738"/>
      <c r="AD56" s="738"/>
      <c r="AE56" s="738"/>
      <c r="AF56" s="738"/>
      <c r="AG56" s="738"/>
      <c r="AH56" s="738"/>
      <c r="AI56" s="738"/>
      <c r="AJ56" s="738"/>
      <c r="AK56" s="738"/>
    </row>
    <row r="57" spans="2:37">
      <c r="O57" s="738"/>
      <c r="P57" s="738"/>
      <c r="Q57" s="738"/>
      <c r="R57" s="738"/>
      <c r="S57" s="738"/>
      <c r="T57" s="738"/>
      <c r="U57" s="738"/>
      <c r="V57" s="738"/>
      <c r="W57" s="738"/>
      <c r="X57" s="738"/>
      <c r="Y57" s="738"/>
      <c r="Z57" s="738"/>
      <c r="AA57" s="738"/>
      <c r="AB57" s="738"/>
      <c r="AC57" s="738"/>
      <c r="AD57" s="738"/>
      <c r="AE57" s="738"/>
      <c r="AF57" s="738"/>
      <c r="AG57" s="738"/>
      <c r="AH57" s="738"/>
      <c r="AI57" s="738"/>
      <c r="AJ57" s="738"/>
      <c r="AK57" s="738"/>
    </row>
    <row r="58" spans="2:37" ht="12">
      <c r="D58" s="1195" t="s">
        <v>235</v>
      </c>
      <c r="E58" s="1110"/>
      <c r="F58" s="1110"/>
      <c r="G58" s="1110"/>
      <c r="H58" s="1110"/>
      <c r="I58" s="1110"/>
      <c r="J58" s="1110"/>
      <c r="K58" s="1110"/>
      <c r="L58" s="1110"/>
      <c r="M58" s="1110"/>
      <c r="N58" s="1111"/>
      <c r="O58" s="1125"/>
    </row>
    <row r="59" spans="2:37">
      <c r="D59" s="1175"/>
      <c r="E59" s="1176"/>
      <c r="F59" s="1196"/>
      <c r="G59" s="1196"/>
      <c r="H59" s="1196"/>
      <c r="I59" s="1196"/>
      <c r="J59" s="1196"/>
      <c r="K59" s="1197" t="s">
        <v>1500</v>
      </c>
      <c r="L59" s="1197"/>
      <c r="M59" s="1197"/>
      <c r="N59" s="662"/>
      <c r="O59" s="662"/>
    </row>
    <row r="60" spans="2:37" ht="11" thickBot="1">
      <c r="D60" s="1180" t="s">
        <v>94</v>
      </c>
      <c r="E60" s="1198" t="s">
        <v>1505</v>
      </c>
      <c r="F60" s="1181" t="str">
        <f>F9</f>
        <v>FYE-3</v>
      </c>
      <c r="G60" s="1181" t="str">
        <f>G9</f>
        <v>FYE-2</v>
      </c>
      <c r="H60" s="1181" t="str">
        <f>H9</f>
        <v>FYE-1</v>
      </c>
      <c r="I60" s="1181" t="str">
        <f>I9</f>
        <v>FYE</v>
      </c>
      <c r="J60" s="1181" t="str">
        <f>J9</f>
        <v>TTM</v>
      </c>
      <c r="K60" s="1181" t="s">
        <v>1506</v>
      </c>
      <c r="L60" s="1181" t="s">
        <v>1507</v>
      </c>
      <c r="M60" s="1182" t="s">
        <v>1508</v>
      </c>
      <c r="O60" s="660"/>
      <c r="P60" s="755" t="s">
        <v>1455</v>
      </c>
    </row>
    <row r="61" spans="2:37" ht="11" thickBot="1">
      <c r="D61" s="1184" t="str">
        <f>D10</f>
        <v>Comp 1</v>
      </c>
      <c r="E61" s="1089">
        <f>'GPC Data'!P22</f>
        <v>0</v>
      </c>
      <c r="F61" s="1199">
        <f>'GPC Data'!Z158</f>
        <v>0</v>
      </c>
      <c r="G61" s="1199">
        <f>'GPC Data'!AA158</f>
        <v>0</v>
      </c>
      <c r="H61" s="1199">
        <f>'GPC Data'!AB158</f>
        <v>0</v>
      </c>
      <c r="I61" s="1199">
        <f>'GPC Data'!AC158</f>
        <v>0</v>
      </c>
      <c r="J61" s="1199">
        <f>'GPC Data'!AD158</f>
        <v>0</v>
      </c>
      <c r="K61" s="1200">
        <f>'GPC Data'!AE158</f>
        <v>0</v>
      </c>
      <c r="L61" s="1200">
        <f>'GPC Data'!AF158</f>
        <v>0</v>
      </c>
      <c r="M61" s="1200">
        <f>'GPC Data'!AG158</f>
        <v>0</v>
      </c>
      <c r="O61" s="660"/>
      <c r="P61" s="677" t="s">
        <v>1368</v>
      </c>
    </row>
    <row r="62" spans="2:37" ht="11" thickBot="1">
      <c r="D62" s="1188" t="str">
        <f t="shared" ref="D62:D90" si="7">D11</f>
        <v>Comp 2</v>
      </c>
      <c r="E62" s="1101">
        <f>'GPC Data'!P23</f>
        <v>0</v>
      </c>
      <c r="F62" s="1201">
        <f>'GPC Data'!Z159</f>
        <v>0</v>
      </c>
      <c r="G62" s="1201">
        <f>'GPC Data'!AA159</f>
        <v>0</v>
      </c>
      <c r="H62" s="1201">
        <f>'GPC Data'!AB159</f>
        <v>0</v>
      </c>
      <c r="I62" s="1201">
        <f>'GPC Data'!AC159</f>
        <v>0</v>
      </c>
      <c r="J62" s="1201">
        <f>'GPC Data'!AD159</f>
        <v>0</v>
      </c>
      <c r="K62" s="1202">
        <f>'GPC Data'!AE159</f>
        <v>0</v>
      </c>
      <c r="L62" s="1202">
        <f>'GPC Data'!AF159</f>
        <v>0</v>
      </c>
      <c r="M62" s="1202">
        <f>'GPC Data'!AG159</f>
        <v>0</v>
      </c>
      <c r="O62" s="660"/>
      <c r="P62" s="677" t="s">
        <v>1368</v>
      </c>
    </row>
    <row r="63" spans="2:37" ht="11" thickBot="1">
      <c r="D63" s="1188" t="str">
        <f t="shared" si="7"/>
        <v>Comp 3</v>
      </c>
      <c r="E63" s="1101">
        <f>'GPC Data'!P24</f>
        <v>0</v>
      </c>
      <c r="F63" s="1201">
        <f>'GPC Data'!Z160</f>
        <v>0</v>
      </c>
      <c r="G63" s="1201">
        <f>'GPC Data'!AA160</f>
        <v>0</v>
      </c>
      <c r="H63" s="1201">
        <f>'GPC Data'!AB160</f>
        <v>0</v>
      </c>
      <c r="I63" s="1201">
        <f>'GPC Data'!AC160</f>
        <v>0</v>
      </c>
      <c r="J63" s="1201">
        <f>'GPC Data'!AD160</f>
        <v>0</v>
      </c>
      <c r="K63" s="1202">
        <f>'GPC Data'!AE160</f>
        <v>0</v>
      </c>
      <c r="L63" s="1202">
        <f>'GPC Data'!AF160</f>
        <v>0</v>
      </c>
      <c r="M63" s="1202">
        <f>'GPC Data'!AG160</f>
        <v>0</v>
      </c>
      <c r="O63" s="660"/>
      <c r="P63" s="677" t="s">
        <v>1368</v>
      </c>
    </row>
    <row r="64" spans="2:37" ht="11" thickBot="1">
      <c r="D64" s="1188" t="str">
        <f t="shared" si="7"/>
        <v>Comp 4</v>
      </c>
      <c r="E64" s="1101">
        <f>'GPC Data'!P25</f>
        <v>0</v>
      </c>
      <c r="F64" s="1201">
        <f>'GPC Data'!Z161</f>
        <v>0</v>
      </c>
      <c r="G64" s="1201">
        <f>'GPC Data'!AA161</f>
        <v>0</v>
      </c>
      <c r="H64" s="1201">
        <f>'GPC Data'!AB161</f>
        <v>0</v>
      </c>
      <c r="I64" s="1201">
        <f>'GPC Data'!AC161</f>
        <v>0</v>
      </c>
      <c r="J64" s="1201">
        <f>'GPC Data'!AD161</f>
        <v>0</v>
      </c>
      <c r="K64" s="1202">
        <f>'GPC Data'!AE161</f>
        <v>0</v>
      </c>
      <c r="L64" s="1202">
        <f>'GPC Data'!AF161</f>
        <v>0</v>
      </c>
      <c r="M64" s="1202">
        <f>'GPC Data'!AG161</f>
        <v>0</v>
      </c>
      <c r="O64" s="660"/>
      <c r="P64" s="677" t="s">
        <v>1368</v>
      </c>
    </row>
    <row r="65" spans="4:16" ht="11" thickBot="1">
      <c r="D65" s="1188" t="str">
        <f t="shared" si="7"/>
        <v>Comp 5</v>
      </c>
      <c r="E65" s="1101">
        <f>'GPC Data'!P26</f>
        <v>0</v>
      </c>
      <c r="F65" s="1201">
        <f>'GPC Data'!Z162</f>
        <v>0</v>
      </c>
      <c r="G65" s="1201">
        <f>'GPC Data'!AA162</f>
        <v>0</v>
      </c>
      <c r="H65" s="1201">
        <f>'GPC Data'!AB162</f>
        <v>0</v>
      </c>
      <c r="I65" s="1201">
        <f>'GPC Data'!AC162</f>
        <v>0</v>
      </c>
      <c r="J65" s="1201">
        <f>'GPC Data'!AD162</f>
        <v>0</v>
      </c>
      <c r="K65" s="1202">
        <f>'GPC Data'!AE162</f>
        <v>0</v>
      </c>
      <c r="L65" s="1202">
        <f>'GPC Data'!AF162</f>
        <v>0</v>
      </c>
      <c r="M65" s="1202">
        <f>'GPC Data'!AG162</f>
        <v>0</v>
      </c>
      <c r="O65" s="660"/>
      <c r="P65" s="677" t="s">
        <v>1368</v>
      </c>
    </row>
    <row r="66" spans="4:16" ht="11" thickBot="1">
      <c r="D66" s="1188" t="str">
        <f t="shared" si="7"/>
        <v>Comp 6</v>
      </c>
      <c r="E66" s="1101">
        <f>'GPC Data'!P27</f>
        <v>0</v>
      </c>
      <c r="F66" s="1201">
        <f>'GPC Data'!Z163</f>
        <v>0</v>
      </c>
      <c r="G66" s="1201">
        <f>'GPC Data'!AA163</f>
        <v>0</v>
      </c>
      <c r="H66" s="1201">
        <f>'GPC Data'!AB163</f>
        <v>0</v>
      </c>
      <c r="I66" s="1201">
        <f>'GPC Data'!AC163</f>
        <v>0</v>
      </c>
      <c r="J66" s="1201">
        <f>'GPC Data'!AD163</f>
        <v>0</v>
      </c>
      <c r="K66" s="1202">
        <f>'GPC Data'!AE163</f>
        <v>0</v>
      </c>
      <c r="L66" s="1202">
        <f>'GPC Data'!AF163</f>
        <v>0</v>
      </c>
      <c r="M66" s="1202">
        <f>'GPC Data'!AG163</f>
        <v>0</v>
      </c>
      <c r="O66" s="660"/>
      <c r="P66" s="677" t="s">
        <v>1368</v>
      </c>
    </row>
    <row r="67" spans="4:16" ht="11" thickBot="1">
      <c r="D67" s="1188" t="str">
        <f t="shared" si="7"/>
        <v>Comp 7</v>
      </c>
      <c r="E67" s="1101">
        <f>'GPC Data'!P28</f>
        <v>0</v>
      </c>
      <c r="F67" s="1201">
        <f>'GPC Data'!Z164</f>
        <v>0</v>
      </c>
      <c r="G67" s="1201">
        <f>'GPC Data'!AA164</f>
        <v>0</v>
      </c>
      <c r="H67" s="1201">
        <f>'GPC Data'!AB164</f>
        <v>0</v>
      </c>
      <c r="I67" s="1201">
        <f>'GPC Data'!AC164</f>
        <v>0</v>
      </c>
      <c r="J67" s="1201">
        <f>'GPC Data'!AD164</f>
        <v>0</v>
      </c>
      <c r="K67" s="1202">
        <f>'GPC Data'!AE164</f>
        <v>0</v>
      </c>
      <c r="L67" s="1202">
        <f>'GPC Data'!AF164</f>
        <v>0</v>
      </c>
      <c r="M67" s="1202">
        <f>'GPC Data'!AG164</f>
        <v>0</v>
      </c>
      <c r="O67" s="660"/>
      <c r="P67" s="677" t="s">
        <v>1368</v>
      </c>
    </row>
    <row r="68" spans="4:16" ht="11" thickBot="1">
      <c r="D68" s="1188" t="str">
        <f t="shared" si="7"/>
        <v>Comp 8</v>
      </c>
      <c r="E68" s="1101">
        <f>'GPC Data'!P29</f>
        <v>0</v>
      </c>
      <c r="F68" s="1201">
        <f>'GPC Data'!Z165</f>
        <v>0</v>
      </c>
      <c r="G68" s="1201">
        <f>'GPC Data'!AA165</f>
        <v>0</v>
      </c>
      <c r="H68" s="1201">
        <f>'GPC Data'!AB165</f>
        <v>0</v>
      </c>
      <c r="I68" s="1201">
        <f>'GPC Data'!AC165</f>
        <v>0</v>
      </c>
      <c r="J68" s="1201">
        <f>'GPC Data'!AD165</f>
        <v>0</v>
      </c>
      <c r="K68" s="1202">
        <f>'GPC Data'!AE165</f>
        <v>0</v>
      </c>
      <c r="L68" s="1202">
        <f>'GPC Data'!AF165</f>
        <v>0</v>
      </c>
      <c r="M68" s="1202">
        <f>'GPC Data'!AG165</f>
        <v>0</v>
      </c>
      <c r="O68" s="660"/>
      <c r="P68" s="677" t="s">
        <v>1368</v>
      </c>
    </row>
    <row r="69" spans="4:16" ht="11" thickBot="1">
      <c r="D69" s="1188" t="str">
        <f t="shared" si="7"/>
        <v>Comp 9</v>
      </c>
      <c r="E69" s="1101">
        <f>'GPC Data'!P30</f>
        <v>0</v>
      </c>
      <c r="F69" s="1201">
        <f>'GPC Data'!Z166</f>
        <v>0</v>
      </c>
      <c r="G69" s="1201">
        <f>'GPC Data'!AA166</f>
        <v>0</v>
      </c>
      <c r="H69" s="1201">
        <f>'GPC Data'!AB166</f>
        <v>0</v>
      </c>
      <c r="I69" s="1201">
        <f>'GPC Data'!AC166</f>
        <v>0</v>
      </c>
      <c r="J69" s="1201">
        <f>'GPC Data'!AD166</f>
        <v>0</v>
      </c>
      <c r="K69" s="1202">
        <f>'GPC Data'!AE166</f>
        <v>0</v>
      </c>
      <c r="L69" s="1202">
        <f>'GPC Data'!AF166</f>
        <v>0</v>
      </c>
      <c r="M69" s="1202">
        <f>'GPC Data'!AG166</f>
        <v>0</v>
      </c>
      <c r="O69" s="660"/>
      <c r="P69" s="677" t="s">
        <v>1368</v>
      </c>
    </row>
    <row r="70" spans="4:16" ht="11" thickBot="1">
      <c r="D70" s="1188" t="str">
        <f t="shared" si="7"/>
        <v>Comp 10</v>
      </c>
      <c r="E70" s="1101">
        <f>'GPC Data'!P31</f>
        <v>0</v>
      </c>
      <c r="F70" s="1201">
        <f>'GPC Data'!Z167</f>
        <v>0</v>
      </c>
      <c r="G70" s="1201">
        <f>'GPC Data'!AA167</f>
        <v>0</v>
      </c>
      <c r="H70" s="1201">
        <f>'GPC Data'!AB167</f>
        <v>0</v>
      </c>
      <c r="I70" s="1201">
        <f>'GPC Data'!AC167</f>
        <v>0</v>
      </c>
      <c r="J70" s="1201">
        <f>'GPC Data'!AD167</f>
        <v>0</v>
      </c>
      <c r="K70" s="1202">
        <f>'GPC Data'!AE167</f>
        <v>0</v>
      </c>
      <c r="L70" s="1202">
        <f>'GPC Data'!AF167</f>
        <v>0</v>
      </c>
      <c r="M70" s="1202">
        <f>'GPC Data'!AG167</f>
        <v>0</v>
      </c>
      <c r="O70" s="660"/>
      <c r="P70" s="677" t="s">
        <v>1368</v>
      </c>
    </row>
    <row r="71" spans="4:16" ht="11" thickBot="1">
      <c r="D71" s="1188" t="str">
        <f t="shared" si="7"/>
        <v>Comp 11</v>
      </c>
      <c r="E71" s="1101">
        <f>'GPC Data'!P32</f>
        <v>0</v>
      </c>
      <c r="F71" s="1201">
        <f>'GPC Data'!Z168</f>
        <v>0</v>
      </c>
      <c r="G71" s="1201">
        <f>'GPC Data'!AA168</f>
        <v>0</v>
      </c>
      <c r="H71" s="1201">
        <f>'GPC Data'!AB168</f>
        <v>0</v>
      </c>
      <c r="I71" s="1201">
        <f>'GPC Data'!AC168</f>
        <v>0</v>
      </c>
      <c r="J71" s="1201">
        <f>'GPC Data'!AD168</f>
        <v>0</v>
      </c>
      <c r="K71" s="1202">
        <f>'GPC Data'!AE168</f>
        <v>0</v>
      </c>
      <c r="L71" s="1202">
        <f>'GPC Data'!AF168</f>
        <v>0</v>
      </c>
      <c r="M71" s="1202">
        <f>'GPC Data'!AG168</f>
        <v>0</v>
      </c>
      <c r="O71" s="660"/>
      <c r="P71" s="677" t="s">
        <v>106</v>
      </c>
    </row>
    <row r="72" spans="4:16" ht="11" thickBot="1">
      <c r="D72" s="1188" t="str">
        <f t="shared" si="7"/>
        <v>Comp 12</v>
      </c>
      <c r="E72" s="1101">
        <f>'GPC Data'!P33</f>
        <v>0</v>
      </c>
      <c r="F72" s="1201">
        <f>'GPC Data'!Z169</f>
        <v>0</v>
      </c>
      <c r="G72" s="1201">
        <f>'GPC Data'!AA169</f>
        <v>0</v>
      </c>
      <c r="H72" s="1201">
        <f>'GPC Data'!AB169</f>
        <v>0</v>
      </c>
      <c r="I72" s="1201">
        <f>'GPC Data'!AC169</f>
        <v>0</v>
      </c>
      <c r="J72" s="1201">
        <f>'GPC Data'!AD169</f>
        <v>0</v>
      </c>
      <c r="K72" s="1202">
        <f>'GPC Data'!AE169</f>
        <v>0</v>
      </c>
      <c r="L72" s="1202">
        <f>'GPC Data'!AF169</f>
        <v>0</v>
      </c>
      <c r="M72" s="1202">
        <f>'GPC Data'!AG169</f>
        <v>0</v>
      </c>
      <c r="O72" s="660"/>
      <c r="P72" s="677" t="s">
        <v>106</v>
      </c>
    </row>
    <row r="73" spans="4:16" ht="11" thickBot="1">
      <c r="D73" s="1188" t="str">
        <f t="shared" si="7"/>
        <v>Comp 13</v>
      </c>
      <c r="E73" s="1101">
        <f>'GPC Data'!P34</f>
        <v>0</v>
      </c>
      <c r="F73" s="1201">
        <f>'GPC Data'!Z170</f>
        <v>0</v>
      </c>
      <c r="G73" s="1201">
        <f>'GPC Data'!AA170</f>
        <v>0</v>
      </c>
      <c r="H73" s="1201">
        <f>'GPC Data'!AB170</f>
        <v>0</v>
      </c>
      <c r="I73" s="1201">
        <f>'GPC Data'!AC170</f>
        <v>0</v>
      </c>
      <c r="J73" s="1201">
        <f>'GPC Data'!AD170</f>
        <v>0</v>
      </c>
      <c r="K73" s="1202">
        <f>'GPC Data'!AE170</f>
        <v>0</v>
      </c>
      <c r="L73" s="1202">
        <f>'GPC Data'!AF170</f>
        <v>0</v>
      </c>
      <c r="M73" s="1202">
        <f>'GPC Data'!AG170</f>
        <v>0</v>
      </c>
      <c r="O73" s="660"/>
      <c r="P73" s="677" t="s">
        <v>106</v>
      </c>
    </row>
    <row r="74" spans="4:16" ht="11" thickBot="1">
      <c r="D74" s="1188" t="str">
        <f t="shared" si="7"/>
        <v>Comp 14</v>
      </c>
      <c r="E74" s="1101">
        <f>'GPC Data'!P35</f>
        <v>0</v>
      </c>
      <c r="F74" s="1201">
        <f>'GPC Data'!Z171</f>
        <v>0</v>
      </c>
      <c r="G74" s="1201">
        <f>'GPC Data'!AA171</f>
        <v>0</v>
      </c>
      <c r="H74" s="1201">
        <f>'GPC Data'!AB171</f>
        <v>0</v>
      </c>
      <c r="I74" s="1201">
        <f>'GPC Data'!AC171</f>
        <v>0</v>
      </c>
      <c r="J74" s="1201">
        <f>'GPC Data'!AD171</f>
        <v>0</v>
      </c>
      <c r="K74" s="1202">
        <f>'GPC Data'!AE171</f>
        <v>0</v>
      </c>
      <c r="L74" s="1202">
        <f>'GPC Data'!AF171</f>
        <v>0</v>
      </c>
      <c r="M74" s="1202">
        <f>'GPC Data'!AG171</f>
        <v>0</v>
      </c>
      <c r="O74" s="660"/>
      <c r="P74" s="677" t="s">
        <v>106</v>
      </c>
    </row>
    <row r="75" spans="4:16" ht="11" thickBot="1">
      <c r="D75" s="1188" t="str">
        <f t="shared" si="7"/>
        <v>Comp 15</v>
      </c>
      <c r="E75" s="1101">
        <f>'GPC Data'!P36</f>
        <v>0</v>
      </c>
      <c r="F75" s="1201">
        <f>'GPC Data'!Z172</f>
        <v>0</v>
      </c>
      <c r="G75" s="1201">
        <f>'GPC Data'!AA172</f>
        <v>0</v>
      </c>
      <c r="H75" s="1201">
        <f>'GPC Data'!AB172</f>
        <v>0</v>
      </c>
      <c r="I75" s="1201">
        <f>'GPC Data'!AC172</f>
        <v>0</v>
      </c>
      <c r="J75" s="1201">
        <f>'GPC Data'!AD172</f>
        <v>0</v>
      </c>
      <c r="K75" s="1202">
        <f>'GPC Data'!AE172</f>
        <v>0</v>
      </c>
      <c r="L75" s="1202">
        <f>'GPC Data'!AF172</f>
        <v>0</v>
      </c>
      <c r="M75" s="1202">
        <f>'GPC Data'!AG172</f>
        <v>0</v>
      </c>
      <c r="O75" s="660"/>
      <c r="P75" s="677" t="s">
        <v>106</v>
      </c>
    </row>
    <row r="76" spans="4:16" ht="11" thickBot="1">
      <c r="D76" s="1188" t="str">
        <f t="shared" si="7"/>
        <v>Comp 16</v>
      </c>
      <c r="E76" s="1101">
        <f>'GPC Data'!P37</f>
        <v>0</v>
      </c>
      <c r="F76" s="1201">
        <f>'GPC Data'!Z173</f>
        <v>0</v>
      </c>
      <c r="G76" s="1201">
        <f>'GPC Data'!AA173</f>
        <v>0</v>
      </c>
      <c r="H76" s="1201">
        <f>'GPC Data'!AB173</f>
        <v>0</v>
      </c>
      <c r="I76" s="1201">
        <f>'GPC Data'!AC173</f>
        <v>0</v>
      </c>
      <c r="J76" s="1201">
        <f>'GPC Data'!AD173</f>
        <v>0</v>
      </c>
      <c r="K76" s="1202">
        <f>'GPC Data'!AE173</f>
        <v>0</v>
      </c>
      <c r="L76" s="1202">
        <f>'GPC Data'!AF173</f>
        <v>0</v>
      </c>
      <c r="M76" s="1202">
        <f>'GPC Data'!AG173</f>
        <v>0</v>
      </c>
      <c r="O76" s="660"/>
      <c r="P76" s="677" t="s">
        <v>106</v>
      </c>
    </row>
    <row r="77" spans="4:16" ht="11" thickBot="1">
      <c r="D77" s="1188" t="str">
        <f t="shared" si="7"/>
        <v>Comp 17</v>
      </c>
      <c r="E77" s="1101">
        <f>'GPC Data'!P38</f>
        <v>0</v>
      </c>
      <c r="F77" s="1201">
        <f>'GPC Data'!Z174</f>
        <v>0</v>
      </c>
      <c r="G77" s="1201">
        <f>'GPC Data'!AA174</f>
        <v>0</v>
      </c>
      <c r="H77" s="1201">
        <f>'GPC Data'!AB174</f>
        <v>0</v>
      </c>
      <c r="I77" s="1201">
        <f>'GPC Data'!AC174</f>
        <v>0</v>
      </c>
      <c r="J77" s="1201">
        <f>'GPC Data'!AD174</f>
        <v>0</v>
      </c>
      <c r="K77" s="1202">
        <f>'GPC Data'!AE174</f>
        <v>0</v>
      </c>
      <c r="L77" s="1202">
        <f>'GPC Data'!AF174</f>
        <v>0</v>
      </c>
      <c r="M77" s="1202">
        <f>'GPC Data'!AG174</f>
        <v>0</v>
      </c>
      <c r="O77" s="660"/>
      <c r="P77" s="677" t="s">
        <v>106</v>
      </c>
    </row>
    <row r="78" spans="4:16" ht="11" thickBot="1">
      <c r="D78" s="1188" t="str">
        <f t="shared" si="7"/>
        <v>Comp 18</v>
      </c>
      <c r="E78" s="1101">
        <f>'GPC Data'!P39</f>
        <v>0</v>
      </c>
      <c r="F78" s="1201">
        <f>'GPC Data'!Z175</f>
        <v>0</v>
      </c>
      <c r="G78" s="1201">
        <f>'GPC Data'!AA175</f>
        <v>0</v>
      </c>
      <c r="H78" s="1201">
        <f>'GPC Data'!AB175</f>
        <v>0</v>
      </c>
      <c r="I78" s="1201">
        <f>'GPC Data'!AC175</f>
        <v>0</v>
      </c>
      <c r="J78" s="1201">
        <f>'GPC Data'!AD175</f>
        <v>0</v>
      </c>
      <c r="K78" s="1202">
        <f>'GPC Data'!AE175</f>
        <v>0</v>
      </c>
      <c r="L78" s="1202">
        <f>'GPC Data'!AF175</f>
        <v>0</v>
      </c>
      <c r="M78" s="1202">
        <f>'GPC Data'!AG175</f>
        <v>0</v>
      </c>
      <c r="O78" s="660"/>
      <c r="P78" s="677" t="s">
        <v>106</v>
      </c>
    </row>
    <row r="79" spans="4:16" ht="11" thickBot="1">
      <c r="D79" s="1188" t="str">
        <f t="shared" si="7"/>
        <v>Comp 19</v>
      </c>
      <c r="E79" s="1101">
        <f>'GPC Data'!P40</f>
        <v>0</v>
      </c>
      <c r="F79" s="1201">
        <f>'GPC Data'!Z176</f>
        <v>0</v>
      </c>
      <c r="G79" s="1201">
        <f>'GPC Data'!AA176</f>
        <v>0</v>
      </c>
      <c r="H79" s="1201">
        <f>'GPC Data'!AB176</f>
        <v>0</v>
      </c>
      <c r="I79" s="1201">
        <f>'GPC Data'!AC176</f>
        <v>0</v>
      </c>
      <c r="J79" s="1201">
        <f>'GPC Data'!AD176</f>
        <v>0</v>
      </c>
      <c r="K79" s="1202">
        <f>'GPC Data'!AE176</f>
        <v>0</v>
      </c>
      <c r="L79" s="1202">
        <f>'GPC Data'!AF176</f>
        <v>0</v>
      </c>
      <c r="M79" s="1202">
        <f>'GPC Data'!AG176</f>
        <v>0</v>
      </c>
      <c r="O79" s="660"/>
      <c r="P79" s="677" t="s">
        <v>106</v>
      </c>
    </row>
    <row r="80" spans="4:16" ht="11" thickBot="1">
      <c r="D80" s="1188" t="str">
        <f t="shared" si="7"/>
        <v>Comp 20</v>
      </c>
      <c r="E80" s="1101">
        <f>'GPC Data'!P41</f>
        <v>0</v>
      </c>
      <c r="F80" s="1201">
        <f>'GPC Data'!Z177</f>
        <v>0</v>
      </c>
      <c r="G80" s="1201">
        <f>'GPC Data'!AA177</f>
        <v>0</v>
      </c>
      <c r="H80" s="1201">
        <f>'GPC Data'!AB177</f>
        <v>0</v>
      </c>
      <c r="I80" s="1201">
        <f>'GPC Data'!AC177</f>
        <v>0</v>
      </c>
      <c r="J80" s="1201">
        <f>'GPC Data'!AD177</f>
        <v>0</v>
      </c>
      <c r="K80" s="1202">
        <f>'GPC Data'!AE177</f>
        <v>0</v>
      </c>
      <c r="L80" s="1202">
        <f>'GPC Data'!AF177</f>
        <v>0</v>
      </c>
      <c r="M80" s="1202">
        <f>'GPC Data'!AG177</f>
        <v>0</v>
      </c>
      <c r="O80" s="660"/>
      <c r="P80" s="677" t="s">
        <v>106</v>
      </c>
    </row>
    <row r="81" spans="2:16" ht="11" thickBot="1">
      <c r="D81" s="1188" t="str">
        <f t="shared" si="7"/>
        <v>Comp 21</v>
      </c>
      <c r="E81" s="1101">
        <f>'GPC Data'!P42</f>
        <v>0</v>
      </c>
      <c r="F81" s="1201">
        <f>'GPC Data'!Z178</f>
        <v>0</v>
      </c>
      <c r="G81" s="1201">
        <f>'GPC Data'!AA178</f>
        <v>0</v>
      </c>
      <c r="H81" s="1201">
        <f>'GPC Data'!AB178</f>
        <v>0</v>
      </c>
      <c r="I81" s="1201">
        <f>'GPC Data'!AC178</f>
        <v>0</v>
      </c>
      <c r="J81" s="1201">
        <f>'GPC Data'!AD178</f>
        <v>0</v>
      </c>
      <c r="K81" s="1202">
        <f>'GPC Data'!AE178</f>
        <v>0</v>
      </c>
      <c r="L81" s="1202">
        <f>'GPC Data'!AF178</f>
        <v>0</v>
      </c>
      <c r="M81" s="1202">
        <f>'GPC Data'!AG178</f>
        <v>0</v>
      </c>
      <c r="O81" s="660"/>
      <c r="P81" s="677" t="s">
        <v>106</v>
      </c>
    </row>
    <row r="82" spans="2:16" ht="11" thickBot="1">
      <c r="D82" s="1188" t="str">
        <f t="shared" si="7"/>
        <v>Comp 22</v>
      </c>
      <c r="E82" s="1101">
        <f>'GPC Data'!P43</f>
        <v>0</v>
      </c>
      <c r="F82" s="1201">
        <f>'GPC Data'!Z179</f>
        <v>0</v>
      </c>
      <c r="G82" s="1201">
        <f>'GPC Data'!AA179</f>
        <v>0</v>
      </c>
      <c r="H82" s="1201">
        <f>'GPC Data'!AB179</f>
        <v>0</v>
      </c>
      <c r="I82" s="1201">
        <f>'GPC Data'!AC179</f>
        <v>0</v>
      </c>
      <c r="J82" s="1201">
        <f>'GPC Data'!AD179</f>
        <v>0</v>
      </c>
      <c r="K82" s="1202">
        <f>'GPC Data'!AE179</f>
        <v>0</v>
      </c>
      <c r="L82" s="1202">
        <f>'GPC Data'!AF179</f>
        <v>0</v>
      </c>
      <c r="M82" s="1202">
        <f>'GPC Data'!AG179</f>
        <v>0</v>
      </c>
      <c r="O82" s="660"/>
      <c r="P82" s="677" t="s">
        <v>106</v>
      </c>
    </row>
    <row r="83" spans="2:16" ht="11" thickBot="1">
      <c r="D83" s="1188" t="str">
        <f t="shared" si="7"/>
        <v>Comp 23</v>
      </c>
      <c r="E83" s="1101">
        <f>'GPC Data'!P44</f>
        <v>0</v>
      </c>
      <c r="F83" s="1201">
        <f>'GPC Data'!Z180</f>
        <v>0</v>
      </c>
      <c r="G83" s="1201">
        <f>'GPC Data'!AA180</f>
        <v>0</v>
      </c>
      <c r="H83" s="1201">
        <f>'GPC Data'!AB180</f>
        <v>0</v>
      </c>
      <c r="I83" s="1201">
        <f>'GPC Data'!AC180</f>
        <v>0</v>
      </c>
      <c r="J83" s="1201">
        <f>'GPC Data'!AD180</f>
        <v>0</v>
      </c>
      <c r="K83" s="1202">
        <f>'GPC Data'!AE180</f>
        <v>0</v>
      </c>
      <c r="L83" s="1202">
        <f>'GPC Data'!AF180</f>
        <v>0</v>
      </c>
      <c r="M83" s="1202">
        <f>'GPC Data'!AG180</f>
        <v>0</v>
      </c>
      <c r="O83" s="660"/>
      <c r="P83" s="677" t="s">
        <v>106</v>
      </c>
    </row>
    <row r="84" spans="2:16" ht="11" thickBot="1">
      <c r="D84" s="1188" t="str">
        <f t="shared" si="7"/>
        <v>Comp 24</v>
      </c>
      <c r="E84" s="1101">
        <f>'GPC Data'!P45</f>
        <v>0</v>
      </c>
      <c r="F84" s="1201">
        <f>'GPC Data'!Z181</f>
        <v>0</v>
      </c>
      <c r="G84" s="1201">
        <f>'GPC Data'!AA181</f>
        <v>0</v>
      </c>
      <c r="H84" s="1201">
        <f>'GPC Data'!AB181</f>
        <v>0</v>
      </c>
      <c r="I84" s="1201">
        <f>'GPC Data'!AC181</f>
        <v>0</v>
      </c>
      <c r="J84" s="1201">
        <f>'GPC Data'!AD181</f>
        <v>0</v>
      </c>
      <c r="K84" s="1202">
        <f>'GPC Data'!AE181</f>
        <v>0</v>
      </c>
      <c r="L84" s="1202">
        <f>'GPC Data'!AF181</f>
        <v>0</v>
      </c>
      <c r="M84" s="1202">
        <f>'GPC Data'!AG181</f>
        <v>0</v>
      </c>
      <c r="O84" s="660"/>
      <c r="P84" s="677" t="s">
        <v>106</v>
      </c>
    </row>
    <row r="85" spans="2:16" ht="11" thickBot="1">
      <c r="D85" s="1188" t="str">
        <f t="shared" si="7"/>
        <v>Comp 25</v>
      </c>
      <c r="E85" s="1101">
        <f>'GPC Data'!P46</f>
        <v>0</v>
      </c>
      <c r="F85" s="1201">
        <f>'GPC Data'!Z182</f>
        <v>0</v>
      </c>
      <c r="G85" s="1201">
        <f>'GPC Data'!AA182</f>
        <v>0</v>
      </c>
      <c r="H85" s="1201">
        <f>'GPC Data'!AB182</f>
        <v>0</v>
      </c>
      <c r="I85" s="1201">
        <f>'GPC Data'!AC182</f>
        <v>0</v>
      </c>
      <c r="J85" s="1201">
        <f>'GPC Data'!AD182</f>
        <v>0</v>
      </c>
      <c r="K85" s="1202">
        <f>'GPC Data'!AE182</f>
        <v>0</v>
      </c>
      <c r="L85" s="1202">
        <f>'GPC Data'!AF182</f>
        <v>0</v>
      </c>
      <c r="M85" s="1202">
        <f>'GPC Data'!AG182</f>
        <v>0</v>
      </c>
      <c r="O85" s="660"/>
      <c r="P85" s="677" t="s">
        <v>106</v>
      </c>
    </row>
    <row r="86" spans="2:16" ht="11" thickBot="1">
      <c r="D86" s="1188" t="str">
        <f t="shared" si="7"/>
        <v>Comp 26</v>
      </c>
      <c r="E86" s="1101">
        <f>'GPC Data'!P47</f>
        <v>0</v>
      </c>
      <c r="F86" s="1201">
        <f>'GPC Data'!Z183</f>
        <v>0</v>
      </c>
      <c r="G86" s="1201">
        <f>'GPC Data'!AA183</f>
        <v>0</v>
      </c>
      <c r="H86" s="1201">
        <f>'GPC Data'!AB183</f>
        <v>0</v>
      </c>
      <c r="I86" s="1201">
        <f>'GPC Data'!AC183</f>
        <v>0</v>
      </c>
      <c r="J86" s="1201">
        <f>'GPC Data'!AD183</f>
        <v>0</v>
      </c>
      <c r="K86" s="1202">
        <f>'GPC Data'!AE183</f>
        <v>0</v>
      </c>
      <c r="L86" s="1202">
        <f>'GPC Data'!AF183</f>
        <v>0</v>
      </c>
      <c r="M86" s="1202">
        <f>'GPC Data'!AG183</f>
        <v>0</v>
      </c>
      <c r="O86" s="660"/>
      <c r="P86" s="677" t="s">
        <v>106</v>
      </c>
    </row>
    <row r="87" spans="2:16" ht="11" thickBot="1">
      <c r="D87" s="1188" t="str">
        <f t="shared" si="7"/>
        <v>Comp 27</v>
      </c>
      <c r="E87" s="1101">
        <f>'GPC Data'!P48</f>
        <v>0</v>
      </c>
      <c r="F87" s="1201">
        <f>'GPC Data'!Z184</f>
        <v>0</v>
      </c>
      <c r="G87" s="1201">
        <f>'GPC Data'!AA184</f>
        <v>0</v>
      </c>
      <c r="H87" s="1201">
        <f>'GPC Data'!AB184</f>
        <v>0</v>
      </c>
      <c r="I87" s="1201">
        <f>'GPC Data'!AC184</f>
        <v>0</v>
      </c>
      <c r="J87" s="1201">
        <f>'GPC Data'!AD184</f>
        <v>0</v>
      </c>
      <c r="K87" s="1202">
        <f>'GPC Data'!AE184</f>
        <v>0</v>
      </c>
      <c r="L87" s="1202">
        <f>'GPC Data'!AF184</f>
        <v>0</v>
      </c>
      <c r="M87" s="1202">
        <f>'GPC Data'!AG184</f>
        <v>0</v>
      </c>
      <c r="O87" s="660"/>
      <c r="P87" s="677" t="s">
        <v>106</v>
      </c>
    </row>
    <row r="88" spans="2:16" ht="11" thickBot="1">
      <c r="D88" s="1188" t="str">
        <f t="shared" si="7"/>
        <v>Comp 28</v>
      </c>
      <c r="E88" s="1101">
        <f>'GPC Data'!P49</f>
        <v>0</v>
      </c>
      <c r="F88" s="1201">
        <f>'GPC Data'!Z185</f>
        <v>0</v>
      </c>
      <c r="G88" s="1201">
        <f>'GPC Data'!AA185</f>
        <v>0</v>
      </c>
      <c r="H88" s="1201">
        <f>'GPC Data'!AB185</f>
        <v>0</v>
      </c>
      <c r="I88" s="1201">
        <f>'GPC Data'!AC185</f>
        <v>0</v>
      </c>
      <c r="J88" s="1201">
        <f>'GPC Data'!AD185</f>
        <v>0</v>
      </c>
      <c r="K88" s="1202">
        <f>'GPC Data'!AE185</f>
        <v>0</v>
      </c>
      <c r="L88" s="1202">
        <f>'GPC Data'!AF185</f>
        <v>0</v>
      </c>
      <c r="M88" s="1202">
        <f>'GPC Data'!AG185</f>
        <v>0</v>
      </c>
      <c r="O88" s="660"/>
      <c r="P88" s="677" t="s">
        <v>106</v>
      </c>
    </row>
    <row r="89" spans="2:16" ht="11" thickBot="1">
      <c r="D89" s="1188" t="str">
        <f t="shared" si="7"/>
        <v>Comp 29</v>
      </c>
      <c r="E89" s="1101">
        <f>'GPC Data'!P50</f>
        <v>0</v>
      </c>
      <c r="F89" s="1201">
        <f>'GPC Data'!Z186</f>
        <v>0</v>
      </c>
      <c r="G89" s="1201">
        <f>'GPC Data'!AA186</f>
        <v>0</v>
      </c>
      <c r="H89" s="1201">
        <f>'GPC Data'!AB186</f>
        <v>0</v>
      </c>
      <c r="I89" s="1201">
        <f>'GPC Data'!AC186</f>
        <v>0</v>
      </c>
      <c r="J89" s="1201">
        <f>'GPC Data'!AD186</f>
        <v>0</v>
      </c>
      <c r="K89" s="1202">
        <f>'GPC Data'!AE186</f>
        <v>0</v>
      </c>
      <c r="L89" s="1202">
        <f>'GPC Data'!AF186</f>
        <v>0</v>
      </c>
      <c r="M89" s="1202">
        <f>'GPC Data'!AG186</f>
        <v>0</v>
      </c>
      <c r="O89" s="660"/>
      <c r="P89" s="677" t="s">
        <v>106</v>
      </c>
    </row>
    <row r="90" spans="2:16" ht="11" thickBot="1">
      <c r="D90" s="1188" t="str">
        <f t="shared" si="7"/>
        <v>Comp 30</v>
      </c>
      <c r="E90" s="1101">
        <f>'GPC Data'!P51</f>
        <v>0</v>
      </c>
      <c r="F90" s="1201">
        <f>'GPC Data'!Z187</f>
        <v>0</v>
      </c>
      <c r="G90" s="1201">
        <f>'GPC Data'!AA187</f>
        <v>0</v>
      </c>
      <c r="H90" s="1201">
        <f>'GPC Data'!AB187</f>
        <v>0</v>
      </c>
      <c r="I90" s="1201">
        <f>'GPC Data'!AC187</f>
        <v>0</v>
      </c>
      <c r="J90" s="1201">
        <f>'GPC Data'!AD187</f>
        <v>0</v>
      </c>
      <c r="K90" s="1202">
        <f>'GPC Data'!AE187</f>
        <v>0</v>
      </c>
      <c r="L90" s="1202">
        <f>'GPC Data'!AF187</f>
        <v>0</v>
      </c>
      <c r="M90" s="1202">
        <f>'GPC Data'!AG187</f>
        <v>0</v>
      </c>
      <c r="O90" s="660"/>
      <c r="P90" s="677" t="s">
        <v>106</v>
      </c>
    </row>
    <row r="91" spans="2:16">
      <c r="B91" s="1110"/>
      <c r="C91" s="1110"/>
      <c r="D91" s="1110"/>
      <c r="E91" s="1110"/>
      <c r="F91" s="1110"/>
      <c r="G91" s="1110"/>
      <c r="H91" s="1110"/>
      <c r="I91" s="1110"/>
      <c r="J91" s="1110"/>
      <c r="K91" s="1110"/>
      <c r="L91" s="1110"/>
      <c r="M91" s="1111"/>
      <c r="N91" s="1111"/>
      <c r="O91" s="1110"/>
    </row>
    <row r="92" spans="2:16">
      <c r="E92" s="1155" t="s">
        <v>216</v>
      </c>
      <c r="F92" s="1156">
        <f t="shared" ref="F92:M92" si="8">MAX(F61:F90)</f>
        <v>0</v>
      </c>
      <c r="G92" s="1156">
        <f t="shared" si="8"/>
        <v>0</v>
      </c>
      <c r="H92" s="1156">
        <f t="shared" si="8"/>
        <v>0</v>
      </c>
      <c r="I92" s="1156">
        <f t="shared" si="8"/>
        <v>0</v>
      </c>
      <c r="J92" s="1156">
        <f t="shared" si="8"/>
        <v>0</v>
      </c>
      <c r="K92" s="1156">
        <f t="shared" si="8"/>
        <v>0</v>
      </c>
      <c r="L92" s="1156">
        <f t="shared" si="8"/>
        <v>0</v>
      </c>
      <c r="M92" s="1156">
        <f t="shared" si="8"/>
        <v>0</v>
      </c>
      <c r="O92" s="1110"/>
    </row>
    <row r="93" spans="2:16">
      <c r="E93" s="1157" t="s">
        <v>1479</v>
      </c>
      <c r="F93" s="1158">
        <f t="shared" ref="F93:M93" si="9">PERCENTILE(F61:F90,0.75)</f>
        <v>0</v>
      </c>
      <c r="G93" s="1158">
        <f t="shared" si="9"/>
        <v>0</v>
      </c>
      <c r="H93" s="1158">
        <f t="shared" si="9"/>
        <v>0</v>
      </c>
      <c r="I93" s="1158">
        <f t="shared" si="9"/>
        <v>0</v>
      </c>
      <c r="J93" s="1158">
        <f t="shared" si="9"/>
        <v>0</v>
      </c>
      <c r="K93" s="1158">
        <f t="shared" si="9"/>
        <v>0</v>
      </c>
      <c r="L93" s="1158">
        <f t="shared" si="9"/>
        <v>0</v>
      </c>
      <c r="M93" s="1158">
        <f t="shared" si="9"/>
        <v>0</v>
      </c>
      <c r="O93" s="1110"/>
    </row>
    <row r="94" spans="2:16">
      <c r="E94" s="1157" t="s">
        <v>1380</v>
      </c>
      <c r="F94" s="1158">
        <f t="shared" ref="F94:M94" si="10">AVERAGE(F61:F90)</f>
        <v>0</v>
      </c>
      <c r="G94" s="1158">
        <f t="shared" si="10"/>
        <v>0</v>
      </c>
      <c r="H94" s="1158">
        <f t="shared" si="10"/>
        <v>0</v>
      </c>
      <c r="I94" s="1158">
        <f t="shared" si="10"/>
        <v>0</v>
      </c>
      <c r="J94" s="1158">
        <f t="shared" si="10"/>
        <v>0</v>
      </c>
      <c r="K94" s="1158">
        <f t="shared" si="10"/>
        <v>0</v>
      </c>
      <c r="L94" s="1158">
        <f t="shared" si="10"/>
        <v>0</v>
      </c>
      <c r="M94" s="1158">
        <f t="shared" si="10"/>
        <v>0</v>
      </c>
      <c r="O94" s="1111"/>
    </row>
    <row r="95" spans="2:16" ht="12">
      <c r="E95" s="1122" t="s">
        <v>1381</v>
      </c>
      <c r="F95" s="1120">
        <f t="shared" ref="F95:M95" si="11">MEDIAN(F61:F90)</f>
        <v>0</v>
      </c>
      <c r="G95" s="1120">
        <f t="shared" si="11"/>
        <v>0</v>
      </c>
      <c r="H95" s="1120">
        <f t="shared" si="11"/>
        <v>0</v>
      </c>
      <c r="I95" s="1120">
        <f t="shared" si="11"/>
        <v>0</v>
      </c>
      <c r="J95" s="1120">
        <f t="shared" si="11"/>
        <v>0</v>
      </c>
      <c r="K95" s="1120">
        <f t="shared" si="11"/>
        <v>0</v>
      </c>
      <c r="L95" s="1120">
        <f t="shared" si="11"/>
        <v>0</v>
      </c>
      <c r="M95" s="1120">
        <f t="shared" si="11"/>
        <v>0</v>
      </c>
      <c r="O95" s="1125"/>
    </row>
    <row r="96" spans="2:16">
      <c r="E96" s="1157" t="s">
        <v>1480</v>
      </c>
      <c r="F96" s="1158">
        <f t="shared" ref="F96:M96" si="12">PERCENTILE(F61:F90,0.25)</f>
        <v>0</v>
      </c>
      <c r="G96" s="1158">
        <f t="shared" si="12"/>
        <v>0</v>
      </c>
      <c r="H96" s="1158">
        <f t="shared" si="12"/>
        <v>0</v>
      </c>
      <c r="I96" s="1158">
        <f t="shared" si="12"/>
        <v>0</v>
      </c>
      <c r="J96" s="1158">
        <f t="shared" si="12"/>
        <v>0</v>
      </c>
      <c r="K96" s="1158">
        <f t="shared" si="12"/>
        <v>0</v>
      </c>
      <c r="L96" s="1158">
        <f t="shared" si="12"/>
        <v>0</v>
      </c>
      <c r="M96" s="1158">
        <f t="shared" si="12"/>
        <v>0</v>
      </c>
      <c r="O96" s="738"/>
    </row>
    <row r="97" spans="3:26">
      <c r="E97" s="1159" t="s">
        <v>215</v>
      </c>
      <c r="F97" s="1160">
        <f t="shared" ref="F97:M97" si="13">MIN(F61:F90)</f>
        <v>0</v>
      </c>
      <c r="G97" s="1160">
        <f t="shared" si="13"/>
        <v>0</v>
      </c>
      <c r="H97" s="1160">
        <f t="shared" si="13"/>
        <v>0</v>
      </c>
      <c r="I97" s="1160">
        <f t="shared" si="13"/>
        <v>0</v>
      </c>
      <c r="J97" s="1160">
        <f t="shared" si="13"/>
        <v>0</v>
      </c>
      <c r="K97" s="1160">
        <f t="shared" si="13"/>
        <v>0</v>
      </c>
      <c r="L97" s="1160">
        <f t="shared" si="13"/>
        <v>0</v>
      </c>
      <c r="M97" s="1160">
        <f t="shared" si="13"/>
        <v>0</v>
      </c>
      <c r="O97" s="738"/>
    </row>
    <row r="98" spans="3:26">
      <c r="E98" s="1161"/>
      <c r="F98" s="1054"/>
      <c r="G98" s="1054"/>
      <c r="H98" s="1054"/>
      <c r="I98" s="1054"/>
      <c r="J98" s="1054"/>
      <c r="K98" s="1111"/>
      <c r="L98" s="1111"/>
      <c r="O98" s="738"/>
    </row>
    <row r="99" spans="3:26">
      <c r="E99" s="703" t="s">
        <v>1382</v>
      </c>
      <c r="F99" s="1054"/>
      <c r="G99" s="1054"/>
      <c r="H99" s="1054"/>
      <c r="I99" s="1054"/>
      <c r="J99" s="1054"/>
      <c r="K99" s="1111"/>
      <c r="L99" s="1111"/>
      <c r="O99" s="738"/>
    </row>
    <row r="100" spans="3:26">
      <c r="E100" s="1155" t="s">
        <v>216</v>
      </c>
      <c r="F100" s="1156">
        <f t="array" ref="F100">IFERROR(MAX(IF($P$61:$P$90="No",F61:F90)),"")</f>
        <v>0</v>
      </c>
      <c r="G100" s="1156">
        <f t="array" ref="G100">IFERROR(MAX(IF($P$61:$P$90="No",G61:G90)),"")</f>
        <v>0</v>
      </c>
      <c r="H100" s="1156">
        <f t="array" ref="H100">IFERROR(MAX(IF($P$61:$P$90="No",H61:H90)),"")</f>
        <v>0</v>
      </c>
      <c r="I100" s="1156">
        <f t="array" ref="I100">IFERROR(MAX(IF($P$61:$P$90="No",I61:I90)),"")</f>
        <v>0</v>
      </c>
      <c r="J100" s="1156">
        <f t="array" ref="J100">IFERROR(MAX(IF($P$61:$P$90="No",J61:J90)),"")</f>
        <v>0</v>
      </c>
      <c r="K100" s="1156">
        <f t="array" ref="K100">IFERROR(MAX(IF($P$61:$P$90="No",K61:K90)),"")</f>
        <v>0</v>
      </c>
      <c r="L100" s="1156">
        <f t="array" ref="L100">IFERROR(MAX(IF($P$61:$P$90="No",L61:L90)),"")</f>
        <v>0</v>
      </c>
      <c r="M100" s="1156">
        <f t="array" ref="M100">IFERROR(MAX(IF($P$61:$P$90="No",M61:M90)),"")</f>
        <v>0</v>
      </c>
      <c r="O100" s="738"/>
    </row>
    <row r="101" spans="3:26">
      <c r="E101" s="1157" t="s">
        <v>1479</v>
      </c>
      <c r="F101" s="1158">
        <f t="array" ref="F101">PERCENTILE(IF($P$61:$P$90="No",F61:F90),0.74)</f>
        <v>0</v>
      </c>
      <c r="G101" s="1158">
        <f t="array" ref="G101">PERCENTILE(IF($P$61:$P$90="No",G61:G90),0.74)</f>
        <v>0</v>
      </c>
      <c r="H101" s="1158" cm="1">
        <f t="array" ref="H101">PERCENTILE(IF($P$61:$P$90="No",H61:H90),0.74)</f>
        <v>0</v>
      </c>
      <c r="I101" s="1158">
        <f t="array" ref="I101">PERCENTILE(IF($P$61:$P$90="No",I61:I90),0.74)</f>
        <v>0</v>
      </c>
      <c r="J101" s="1158">
        <f t="array" ref="J101">PERCENTILE(IF($P$61:$P$90="No",J61:J90),0.74)</f>
        <v>0</v>
      </c>
      <c r="K101" s="1158">
        <f t="array" ref="K101">PERCENTILE(IF($P$61:$P$90="No",K61:K90),0.74)</f>
        <v>0</v>
      </c>
      <c r="L101" s="1158">
        <f t="array" ref="L101">PERCENTILE(IF($P$61:$P$90="No",L61:L90),0.74)</f>
        <v>0</v>
      </c>
      <c r="M101" s="1158">
        <f t="array" ref="M101">PERCENTILE(IF($P$61:$P$90="No",M61:M90),0.74)</f>
        <v>0</v>
      </c>
      <c r="O101" s="738"/>
    </row>
    <row r="102" spans="3:26">
      <c r="E102" s="1157" t="s">
        <v>1380</v>
      </c>
      <c r="F102" s="1158">
        <f t="array" ref="F102">IFERROR(AVERAGEIF($P$61:$P$90,"No",F61:F90),"")</f>
        <v>0</v>
      </c>
      <c r="G102" s="1158">
        <f t="array" ref="G102">IFERROR(AVERAGEIF($P$61:$P$90,"No",G61:G90),"")</f>
        <v>0</v>
      </c>
      <c r="H102" s="1158">
        <f t="array" ref="H102">IFERROR(AVERAGEIF($P$61:$P$90,"No",H61:H90),"")</f>
        <v>0</v>
      </c>
      <c r="I102" s="1158">
        <f t="array" ref="I102">IFERROR(AVERAGEIF($P$61:$P$90,"No",I61:I90),"")</f>
        <v>0</v>
      </c>
      <c r="J102" s="1158">
        <f t="array" ref="J102">IFERROR(AVERAGEIF($P$61:$P$90,"No",J61:J90),"")</f>
        <v>0</v>
      </c>
      <c r="K102" s="1158">
        <f t="array" ref="K102">IFERROR(AVERAGEIF($P$61:$P$90,"No",K61:K90),"")</f>
        <v>0</v>
      </c>
      <c r="L102" s="1158">
        <f t="array" ref="L102">IFERROR(AVERAGEIF($P$61:$P$90,"No",L61:L90),"")</f>
        <v>0</v>
      </c>
      <c r="M102" s="1158">
        <f t="array" ref="M102">IFERROR(AVERAGEIF($P$61:$P$90,"No",M61:M90),"")</f>
        <v>0</v>
      </c>
      <c r="O102" s="738"/>
    </row>
    <row r="103" spans="3:26">
      <c r="E103" s="1122" t="s">
        <v>1381</v>
      </c>
      <c r="F103" s="1120">
        <f t="array" ref="F103">IFERROR(MEDIAN(IF($P$61:$P$90="No",F61:F90)),"")</f>
        <v>0</v>
      </c>
      <c r="G103" s="1120">
        <f t="array" ref="G103">IFERROR(MEDIAN(IF($P$61:$P$90="No",G61:G90)),"")</f>
        <v>0</v>
      </c>
      <c r="H103" s="1120">
        <f t="array" ref="H103">IFERROR(MEDIAN(IF($P$61:$P$90="No",H61:H90)),"")</f>
        <v>0</v>
      </c>
      <c r="I103" s="1120">
        <f t="array" ref="I103">IFERROR(MEDIAN(IF($P$61:$P$90="No",I61:I90)),"")</f>
        <v>0</v>
      </c>
      <c r="J103" s="1120">
        <f t="array" ref="J103">IFERROR(MEDIAN(IF($P$61:$P$90="No",J61:J90)),"")</f>
        <v>0</v>
      </c>
      <c r="K103" s="1120">
        <f t="array" ref="K103">IFERROR(MEDIAN(IF($P$61:$P$90="No",K61:K90)),"")</f>
        <v>0</v>
      </c>
      <c r="L103" s="1120">
        <f t="array" ref="L103">IFERROR(MEDIAN(IF($P$61:$P$90="No",L61:L90)),"")</f>
        <v>0</v>
      </c>
      <c r="M103" s="1120">
        <f t="array" ref="M103">IFERROR(MEDIAN(IF($P$61:$P$90="No",M61:M90)),"")</f>
        <v>0</v>
      </c>
      <c r="O103" s="738"/>
    </row>
    <row r="104" spans="3:26">
      <c r="E104" s="1157" t="s">
        <v>1480</v>
      </c>
      <c r="F104" s="1158">
        <f t="array" ref="F104">PERCENTILE(IF($P$61:$P$90="No",F61:F90),0.25)</f>
        <v>0</v>
      </c>
      <c r="G104" s="1158">
        <f t="array" ref="G104">PERCENTILE(IF($P$61:$P$90="No",G61:G90),0.25)</f>
        <v>0</v>
      </c>
      <c r="H104" s="1158">
        <f t="array" ref="H104">PERCENTILE(IF($P$61:$P$90="No",H61:H90),0.25)</f>
        <v>0</v>
      </c>
      <c r="I104" s="1158">
        <f t="array" ref="I104">PERCENTILE(IF($P$61:$P$90="No",I61:I90),0.25)</f>
        <v>0</v>
      </c>
      <c r="J104" s="1158">
        <f t="array" ref="J104">PERCENTILE(IF($P$61:$P$90="No",J61:J90),0.25)</f>
        <v>0</v>
      </c>
      <c r="K104" s="1158">
        <f t="array" ref="K104">PERCENTILE(IF($P$61:$P$90="No",K61:K90),0.25)</f>
        <v>0</v>
      </c>
      <c r="L104" s="1158">
        <f t="array" ref="L104">PERCENTILE(IF($P$61:$P$90="No",L61:L90),0.25)</f>
        <v>0</v>
      </c>
      <c r="M104" s="1158">
        <f t="array" ref="M104">PERCENTILE(IF($P$61:$P$90="No",M61:M90),0.25)</f>
        <v>0</v>
      </c>
      <c r="O104" s="738"/>
    </row>
    <row r="105" spans="3:26">
      <c r="E105" s="1159" t="s">
        <v>215</v>
      </c>
      <c r="F105" s="1160">
        <f t="array" ref="F105">IFERROR(MIN(IF($P$61:$P$90="No",F61:F90)),"")</f>
        <v>0</v>
      </c>
      <c r="G105" s="1160">
        <f t="array" ref="G105">IFERROR(MIN(IF($P$61:$P$90="No",G61:G90)),"")</f>
        <v>0</v>
      </c>
      <c r="H105" s="1160">
        <f t="array" ref="H105">IFERROR(MIN(IF($P$61:$P$90="No",H61:H90)),"")</f>
        <v>0</v>
      </c>
      <c r="I105" s="1160">
        <f t="array" ref="I105">IFERROR(MIN(IF($P$61:$P$90="No",I61:I90)),"")</f>
        <v>0</v>
      </c>
      <c r="J105" s="1160">
        <f t="array" ref="J105">IFERROR(MIN(IF($P$61:$P$90="No",J61:J90)),"")</f>
        <v>0</v>
      </c>
      <c r="K105" s="1160">
        <f t="array" ref="K105">IFERROR(MIN(IF($P$61:$P$90="No",K61:K90)),"")</f>
        <v>0</v>
      </c>
      <c r="L105" s="1160">
        <f t="array" ref="L105">IFERROR(MIN(IF($P$61:$P$90="No",L61:L90)),"")</f>
        <v>0</v>
      </c>
      <c r="M105" s="1160">
        <f t="array" ref="M105">IFERROR(MIN(IF($P$61:$P$90="No",M61:M90)),"")</f>
        <v>0</v>
      </c>
      <c r="O105" s="738"/>
    </row>
    <row r="108" spans="3:26">
      <c r="C108" s="1203"/>
      <c r="D108" s="573" t="s">
        <v>2387</v>
      </c>
    </row>
    <row r="109" spans="3:26">
      <c r="D109" s="1175"/>
      <c r="E109" s="1176"/>
      <c r="F109" s="1805"/>
      <c r="G109" s="1805"/>
      <c r="H109" s="1805"/>
      <c r="I109" s="1805"/>
      <c r="J109" s="1805"/>
      <c r="K109" s="1779"/>
      <c r="L109" s="1779"/>
      <c r="M109" s="662" t="s">
        <v>1503</v>
      </c>
      <c r="N109" s="662"/>
      <c r="O109" s="662"/>
      <c r="P109" s="662"/>
      <c r="Q109" s="662" t="s">
        <v>1503</v>
      </c>
      <c r="R109" s="662" t="s">
        <v>1503</v>
      </c>
      <c r="S109" s="662" t="s">
        <v>1503</v>
      </c>
      <c r="T109" s="436"/>
      <c r="U109" s="436"/>
      <c r="V109" s="436"/>
      <c r="W109" s="436"/>
    </row>
    <row r="110" spans="3:26" ht="11" thickBot="1">
      <c r="D110" s="1180" t="s">
        <v>1516</v>
      </c>
      <c r="E110" s="1181" t="s">
        <v>1505</v>
      </c>
      <c r="F110" s="1181" t="s">
        <v>146</v>
      </c>
      <c r="G110" s="1181" t="s">
        <v>144</v>
      </c>
      <c r="H110" s="1181" t="s">
        <v>141</v>
      </c>
      <c r="I110" s="1181" t="s">
        <v>138</v>
      </c>
      <c r="J110" s="1182" t="s">
        <v>136</v>
      </c>
      <c r="K110" s="660"/>
      <c r="L110" s="660"/>
      <c r="P110" s="755" t="s">
        <v>1455</v>
      </c>
      <c r="Q110" s="660"/>
      <c r="R110" s="660"/>
      <c r="S110" s="660"/>
      <c r="T110" s="660"/>
      <c r="U110" s="660"/>
      <c r="V110" s="660"/>
      <c r="W110" s="436"/>
      <c r="X110" s="436"/>
      <c r="Y110" s="436"/>
      <c r="Z110" s="436"/>
    </row>
    <row r="111" spans="3:26" ht="11" thickBot="1">
      <c r="D111" s="1184" t="str">
        <f>WACC!C29</f>
        <v>Comp 1</v>
      </c>
      <c r="E111" s="1133">
        <f>'GPC Data'!P22</f>
        <v>0</v>
      </c>
      <c r="F111" s="1204">
        <f>'GPC Data'!AH158</f>
        <v>0</v>
      </c>
      <c r="G111" s="1204">
        <f>'GPC Data'!AI158</f>
        <v>0</v>
      </c>
      <c r="H111" s="1205">
        <f>'GPC Data'!AJ158</f>
        <v>0</v>
      </c>
      <c r="I111" s="1205">
        <f>'GPC Data'!AK158</f>
        <v>0</v>
      </c>
      <c r="J111" s="1205">
        <f>'GPC Data'!AL158</f>
        <v>0</v>
      </c>
      <c r="K111" s="1206"/>
      <c r="L111" s="1206"/>
      <c r="P111" s="677" t="s">
        <v>1368</v>
      </c>
      <c r="Q111" s="660"/>
      <c r="R111" s="1207" t="s">
        <v>1517</v>
      </c>
      <c r="S111" s="1208"/>
      <c r="T111" s="436"/>
      <c r="U111" s="660"/>
      <c r="V111" s="660"/>
      <c r="W111" s="436"/>
      <c r="X111" s="436"/>
      <c r="Y111" s="436"/>
      <c r="Z111" s="436"/>
    </row>
    <row r="112" spans="3:26" ht="11" thickBot="1">
      <c r="D112" s="1188" t="str">
        <f>WACC!C30</f>
        <v>Comp 2</v>
      </c>
      <c r="E112" s="1135">
        <f>'GPC Data'!P23</f>
        <v>0</v>
      </c>
      <c r="F112" s="1209">
        <f>'GPC Data'!AH159</f>
        <v>0</v>
      </c>
      <c r="G112" s="1209">
        <f>'GPC Data'!AI159</f>
        <v>0</v>
      </c>
      <c r="H112" s="1210">
        <f>'GPC Data'!AJ159</f>
        <v>0</v>
      </c>
      <c r="I112" s="1210">
        <f>'GPC Data'!AK159</f>
        <v>0</v>
      </c>
      <c r="J112" s="1210">
        <f>'GPC Data'!AL159</f>
        <v>0</v>
      </c>
      <c r="K112" s="1206"/>
      <c r="L112" s="1206"/>
      <c r="P112" s="677" t="s">
        <v>1368</v>
      </c>
      <c r="Q112" s="660"/>
      <c r="R112" s="1211"/>
      <c r="S112" s="1212" t="s">
        <v>1518</v>
      </c>
      <c r="T112" s="436"/>
      <c r="U112" s="660"/>
      <c r="V112" s="436"/>
      <c r="W112" s="1212" t="s">
        <v>1519</v>
      </c>
      <c r="X112" s="436"/>
      <c r="Y112" s="436"/>
      <c r="Z112" s="436"/>
    </row>
    <row r="113" spans="4:26" ht="11" thickBot="1">
      <c r="D113" s="1188" t="str">
        <f>WACC!C31</f>
        <v>Comp 3</v>
      </c>
      <c r="E113" s="1135">
        <f>'GPC Data'!P24</f>
        <v>0</v>
      </c>
      <c r="F113" s="1209">
        <f>'GPC Data'!AH160</f>
        <v>0</v>
      </c>
      <c r="G113" s="1209">
        <f>'GPC Data'!AI160</f>
        <v>0</v>
      </c>
      <c r="H113" s="1210">
        <f>'GPC Data'!AJ160</f>
        <v>0</v>
      </c>
      <c r="I113" s="1210">
        <f>'GPC Data'!AK160</f>
        <v>0</v>
      </c>
      <c r="J113" s="1210">
        <f>'GPC Data'!AL160</f>
        <v>0</v>
      </c>
      <c r="K113" s="1206"/>
      <c r="L113" s="1206"/>
      <c r="P113" s="677" t="s">
        <v>1368</v>
      </c>
      <c r="Q113" s="660"/>
      <c r="R113" s="1211" t="s">
        <v>1465</v>
      </c>
      <c r="S113" s="1212" t="s">
        <v>1520</v>
      </c>
      <c r="T113" s="436"/>
      <c r="U113" s="660"/>
      <c r="V113" s="436"/>
      <c r="W113" s="1212" t="s">
        <v>1521</v>
      </c>
      <c r="X113" s="436"/>
      <c r="Y113" s="436"/>
      <c r="Z113" s="436"/>
    </row>
    <row r="114" spans="4:26" ht="11" thickBot="1">
      <c r="D114" s="1188" t="str">
        <f>WACC!C32</f>
        <v>Comp 4</v>
      </c>
      <c r="E114" s="1135">
        <f>'GPC Data'!P25</f>
        <v>0</v>
      </c>
      <c r="F114" s="1210">
        <f>'GPC Data'!AH161</f>
        <v>0</v>
      </c>
      <c r="G114" s="1210">
        <f>'GPC Data'!AI161</f>
        <v>0</v>
      </c>
      <c r="H114" s="1210">
        <f>'GPC Data'!AJ161</f>
        <v>0</v>
      </c>
      <c r="I114" s="1210">
        <f>'GPC Data'!AK161</f>
        <v>0</v>
      </c>
      <c r="J114" s="1210">
        <f>'GPC Data'!AL161</f>
        <v>0</v>
      </c>
      <c r="K114" s="1206"/>
      <c r="L114" s="1206"/>
      <c r="P114" s="677" t="s">
        <v>1368</v>
      </c>
      <c r="Q114" s="660"/>
      <c r="R114" s="1211" t="s">
        <v>1465</v>
      </c>
      <c r="S114" s="1212" t="s">
        <v>1522</v>
      </c>
      <c r="T114" s="436"/>
      <c r="U114" s="660"/>
      <c r="V114" s="436"/>
      <c r="W114" s="1212" t="s">
        <v>1523</v>
      </c>
      <c r="X114" s="436"/>
      <c r="Y114" s="436"/>
      <c r="Z114" s="436"/>
    </row>
    <row r="115" spans="4:26" ht="11" thickBot="1">
      <c r="D115" s="1188" t="str">
        <f>WACC!C33</f>
        <v>Comp 5</v>
      </c>
      <c r="E115" s="1135">
        <f>'GPC Data'!P26</f>
        <v>0</v>
      </c>
      <c r="F115" s="1210">
        <f>'GPC Data'!AH162</f>
        <v>0</v>
      </c>
      <c r="G115" s="1210">
        <f>'GPC Data'!AI162</f>
        <v>0</v>
      </c>
      <c r="H115" s="1210">
        <f>'GPC Data'!AJ162</f>
        <v>0</v>
      </c>
      <c r="I115" s="1210">
        <f>'GPC Data'!AK162</f>
        <v>0</v>
      </c>
      <c r="J115" s="1210">
        <f>'GPC Data'!AL162</f>
        <v>0</v>
      </c>
      <c r="K115" s="1206"/>
      <c r="L115" s="1206"/>
      <c r="P115" s="677" t="s">
        <v>1368</v>
      </c>
      <c r="Q115" s="660"/>
      <c r="R115" s="1211" t="s">
        <v>1524</v>
      </c>
      <c r="S115" s="1212" t="s">
        <v>1460</v>
      </c>
      <c r="T115" s="436"/>
      <c r="U115" s="660"/>
      <c r="V115" s="660"/>
      <c r="W115" s="436"/>
      <c r="X115" s="436"/>
      <c r="Y115" s="436"/>
      <c r="Z115" s="436"/>
    </row>
    <row r="116" spans="4:26" ht="11" thickBot="1">
      <c r="D116" s="1188" t="str">
        <f>WACC!C34</f>
        <v>Comp 6</v>
      </c>
      <c r="E116" s="1135">
        <f>'GPC Data'!P27</f>
        <v>0</v>
      </c>
      <c r="F116" s="1210">
        <f>'GPC Data'!AH163</f>
        <v>0</v>
      </c>
      <c r="G116" s="1210">
        <f>'GPC Data'!AI163</f>
        <v>0</v>
      </c>
      <c r="H116" s="1210">
        <f>'GPC Data'!AJ163</f>
        <v>0</v>
      </c>
      <c r="I116" s="1210">
        <f>'GPC Data'!AK163</f>
        <v>0</v>
      </c>
      <c r="J116" s="1210">
        <f>'GPC Data'!AL163</f>
        <v>0</v>
      </c>
      <c r="K116" s="1206"/>
      <c r="L116" s="1206"/>
      <c r="P116" s="677" t="s">
        <v>1368</v>
      </c>
      <c r="Q116" s="660"/>
      <c r="R116" s="436"/>
      <c r="S116" s="436"/>
      <c r="T116" s="436"/>
      <c r="U116" s="660"/>
      <c r="V116" s="660" t="s">
        <v>1503</v>
      </c>
      <c r="W116" s="436"/>
      <c r="X116" s="436"/>
      <c r="Y116" s="436"/>
      <c r="Z116" s="436"/>
    </row>
    <row r="117" spans="4:26" ht="11" thickBot="1">
      <c r="D117" s="1188" t="str">
        <f>WACC!C35</f>
        <v>Comp 7</v>
      </c>
      <c r="E117" s="1135">
        <f>'GPC Data'!P28</f>
        <v>0</v>
      </c>
      <c r="F117" s="1210">
        <f>'GPC Data'!AH164</f>
        <v>0</v>
      </c>
      <c r="G117" s="1210">
        <f>'GPC Data'!AI164</f>
        <v>0</v>
      </c>
      <c r="H117" s="1210">
        <f>'GPC Data'!AJ164</f>
        <v>0</v>
      </c>
      <c r="I117" s="1210">
        <f>'GPC Data'!AK164</f>
        <v>0</v>
      </c>
      <c r="J117" s="1210">
        <f>'GPC Data'!AL164</f>
        <v>0</v>
      </c>
      <c r="K117" s="1206"/>
      <c r="L117" s="1206"/>
      <c r="P117" s="677" t="s">
        <v>1368</v>
      </c>
      <c r="Q117" s="660"/>
      <c r="R117" s="660"/>
      <c r="S117" s="660"/>
      <c r="T117" s="1213" t="s">
        <v>1503</v>
      </c>
      <c r="U117" s="660"/>
      <c r="V117" s="660" t="s">
        <v>1503</v>
      </c>
      <c r="W117" s="436"/>
      <c r="X117" s="436"/>
      <c r="Y117" s="436"/>
      <c r="Z117" s="436"/>
    </row>
    <row r="118" spans="4:26" ht="11" thickBot="1">
      <c r="D118" s="1188" t="str">
        <f>WACC!C36</f>
        <v>Comp 8</v>
      </c>
      <c r="E118" s="1135">
        <f>'GPC Data'!P29</f>
        <v>0</v>
      </c>
      <c r="F118" s="1210">
        <f>'GPC Data'!AH165</f>
        <v>0</v>
      </c>
      <c r="G118" s="1210">
        <f>'GPC Data'!AI165</f>
        <v>0</v>
      </c>
      <c r="H118" s="1210">
        <f>'GPC Data'!AJ165</f>
        <v>0</v>
      </c>
      <c r="I118" s="1210">
        <f>'GPC Data'!AK165</f>
        <v>0</v>
      </c>
      <c r="J118" s="1210">
        <f>'GPC Data'!AL165</f>
        <v>0</v>
      </c>
      <c r="K118" s="1206"/>
      <c r="L118" s="1206"/>
      <c r="P118" s="677" t="s">
        <v>1368</v>
      </c>
      <c r="Q118" s="660"/>
      <c r="R118" s="660"/>
      <c r="S118" s="660"/>
      <c r="T118" s="660"/>
      <c r="U118" s="660"/>
      <c r="V118" s="660"/>
      <c r="W118" s="436"/>
      <c r="X118" s="436"/>
      <c r="Y118" s="436"/>
      <c r="Z118" s="436"/>
    </row>
    <row r="119" spans="4:26" ht="11" thickBot="1">
      <c r="D119" s="1188" t="str">
        <f>WACC!C37</f>
        <v>Comp 9</v>
      </c>
      <c r="E119" s="1135">
        <f>'GPC Data'!P30</f>
        <v>0</v>
      </c>
      <c r="F119" s="1210">
        <f>'GPC Data'!AH166</f>
        <v>0</v>
      </c>
      <c r="G119" s="1210">
        <f>'GPC Data'!AI166</f>
        <v>0</v>
      </c>
      <c r="H119" s="1210">
        <f>'GPC Data'!AJ166</f>
        <v>0</v>
      </c>
      <c r="I119" s="1210">
        <f>'GPC Data'!AK166</f>
        <v>0</v>
      </c>
      <c r="J119" s="1210">
        <f>'GPC Data'!AL166</f>
        <v>0</v>
      </c>
      <c r="K119" s="1206"/>
      <c r="L119" s="1206"/>
      <c r="P119" s="677" t="s">
        <v>1368</v>
      </c>
      <c r="Q119" s="660"/>
      <c r="R119" s="660"/>
      <c r="S119" s="660"/>
      <c r="T119" s="660" t="s">
        <v>1503</v>
      </c>
      <c r="U119" s="660" t="s">
        <v>1503</v>
      </c>
      <c r="V119" s="660" t="s">
        <v>1503</v>
      </c>
      <c r="W119" s="436"/>
      <c r="X119" s="436"/>
      <c r="Y119" s="436"/>
      <c r="Z119" s="436"/>
    </row>
    <row r="120" spans="4:26" ht="11" thickBot="1">
      <c r="D120" s="1188" t="str">
        <f>WACC!C38</f>
        <v>Comp 10</v>
      </c>
      <c r="E120" s="1135">
        <f>'GPC Data'!P31</f>
        <v>0</v>
      </c>
      <c r="F120" s="1210">
        <f>'GPC Data'!AH167</f>
        <v>0</v>
      </c>
      <c r="G120" s="1210">
        <f>'GPC Data'!AI167</f>
        <v>0</v>
      </c>
      <c r="H120" s="1210">
        <f>'GPC Data'!AJ167</f>
        <v>0</v>
      </c>
      <c r="I120" s="1210">
        <f>'GPC Data'!AK167</f>
        <v>0</v>
      </c>
      <c r="J120" s="1210">
        <f>'GPC Data'!AL167</f>
        <v>0</v>
      </c>
      <c r="K120" s="1206"/>
      <c r="L120" s="1206"/>
      <c r="P120" s="677" t="s">
        <v>1368</v>
      </c>
      <c r="Q120" s="660"/>
      <c r="R120" s="660"/>
      <c r="S120" s="660"/>
      <c r="T120" s="660" t="s">
        <v>1503</v>
      </c>
      <c r="U120" s="660" t="s">
        <v>1503</v>
      </c>
      <c r="V120" s="660" t="s">
        <v>1503</v>
      </c>
      <c r="W120" s="436"/>
      <c r="X120" s="436"/>
      <c r="Y120" s="436"/>
      <c r="Z120" s="436"/>
    </row>
    <row r="121" spans="4:26" ht="11" thickBot="1">
      <c r="D121" s="1188" t="str">
        <f>WACC!C39</f>
        <v>Comp 11</v>
      </c>
      <c r="E121" s="1214">
        <f>'GPC Data'!P32</f>
        <v>0</v>
      </c>
      <c r="F121" s="1215">
        <f>'GPC Data'!AH168</f>
        <v>0</v>
      </c>
      <c r="G121" s="1215">
        <f>'GPC Data'!AI168</f>
        <v>0</v>
      </c>
      <c r="H121" s="1215">
        <f>'GPC Data'!AJ168</f>
        <v>0</v>
      </c>
      <c r="I121" s="1215">
        <f>'GPC Data'!AK168</f>
        <v>0</v>
      </c>
      <c r="J121" s="1215">
        <f>'GPC Data'!AL168</f>
        <v>0</v>
      </c>
      <c r="K121" s="1216"/>
      <c r="L121" s="1206"/>
      <c r="P121" s="677" t="s">
        <v>106</v>
      </c>
      <c r="Q121" s="660"/>
      <c r="R121" s="660"/>
      <c r="S121" s="660"/>
      <c r="T121" s="660" t="s">
        <v>1503</v>
      </c>
      <c r="U121" s="660" t="s">
        <v>1503</v>
      </c>
      <c r="V121" s="660" t="s">
        <v>1503</v>
      </c>
      <c r="W121" s="436"/>
      <c r="X121" s="436"/>
      <c r="Y121" s="436"/>
      <c r="Z121" s="436"/>
    </row>
    <row r="122" spans="4:26" ht="11" thickBot="1">
      <c r="D122" s="1188" t="str">
        <f>WACC!C40</f>
        <v>Comp 12</v>
      </c>
      <c r="E122" s="1214">
        <f>'GPC Data'!P33</f>
        <v>0</v>
      </c>
      <c r="F122" s="1215">
        <f>'GPC Data'!AH169</f>
        <v>0</v>
      </c>
      <c r="G122" s="1215">
        <f>'GPC Data'!AI169</f>
        <v>0</v>
      </c>
      <c r="H122" s="1215">
        <f>'GPC Data'!AJ169</f>
        <v>0</v>
      </c>
      <c r="I122" s="1215">
        <f>'GPC Data'!AK169</f>
        <v>0</v>
      </c>
      <c r="J122" s="1215">
        <f>'GPC Data'!AL169</f>
        <v>0</v>
      </c>
      <c r="K122" s="1216"/>
      <c r="L122" s="1206"/>
      <c r="P122" s="677" t="s">
        <v>106</v>
      </c>
      <c r="Q122" s="660"/>
      <c r="R122" s="660"/>
      <c r="S122" s="660"/>
      <c r="T122" s="660" t="s">
        <v>1503</v>
      </c>
      <c r="U122" s="660" t="s">
        <v>1503</v>
      </c>
      <c r="V122" s="660" t="s">
        <v>1503</v>
      </c>
      <c r="W122" s="436"/>
      <c r="X122" s="436"/>
      <c r="Y122" s="436"/>
      <c r="Z122" s="436"/>
    </row>
    <row r="123" spans="4:26" ht="11" thickBot="1">
      <c r="D123" s="1188" t="str">
        <f>WACC!C41</f>
        <v>Comp 13</v>
      </c>
      <c r="E123" s="1214">
        <f>'GPC Data'!P34</f>
        <v>0</v>
      </c>
      <c r="F123" s="1215">
        <f>'GPC Data'!AH170</f>
        <v>0</v>
      </c>
      <c r="G123" s="1215">
        <f>'GPC Data'!AI170</f>
        <v>0</v>
      </c>
      <c r="H123" s="1215">
        <f>'GPC Data'!AJ170</f>
        <v>0</v>
      </c>
      <c r="I123" s="1215">
        <f>'GPC Data'!AK170</f>
        <v>0</v>
      </c>
      <c r="J123" s="1215">
        <f>'GPC Data'!AL170</f>
        <v>0</v>
      </c>
      <c r="K123" s="1216"/>
      <c r="L123" s="1206"/>
      <c r="P123" s="677" t="s">
        <v>106</v>
      </c>
      <c r="Q123" s="660"/>
      <c r="R123" s="660"/>
      <c r="S123" s="660"/>
      <c r="T123" s="660" t="s">
        <v>1503</v>
      </c>
      <c r="U123" s="660" t="s">
        <v>1503</v>
      </c>
      <c r="V123" s="660" t="s">
        <v>1503</v>
      </c>
      <c r="W123" s="436"/>
      <c r="X123" s="436"/>
      <c r="Y123" s="436"/>
      <c r="Z123" s="436"/>
    </row>
    <row r="124" spans="4:26" ht="11" thickBot="1">
      <c r="D124" s="1188" t="str">
        <f>WACC!C42</f>
        <v>Comp 14</v>
      </c>
      <c r="E124" s="1214">
        <f>'GPC Data'!P35</f>
        <v>0</v>
      </c>
      <c r="F124" s="1215">
        <f>'GPC Data'!AH171</f>
        <v>0</v>
      </c>
      <c r="G124" s="1215">
        <f>'GPC Data'!AI171</f>
        <v>0</v>
      </c>
      <c r="H124" s="1215">
        <f>'GPC Data'!AJ171</f>
        <v>0</v>
      </c>
      <c r="I124" s="1215">
        <f>'GPC Data'!AK171</f>
        <v>0</v>
      </c>
      <c r="J124" s="1215">
        <f>'GPC Data'!AL171</f>
        <v>0</v>
      </c>
      <c r="K124" s="1216"/>
      <c r="L124" s="1206"/>
      <c r="P124" s="677" t="s">
        <v>106</v>
      </c>
      <c r="Q124" s="660"/>
      <c r="R124" s="660"/>
      <c r="S124" s="660"/>
      <c r="T124" s="660" t="s">
        <v>1503</v>
      </c>
      <c r="U124" s="660" t="s">
        <v>1503</v>
      </c>
      <c r="V124" s="660" t="s">
        <v>1503</v>
      </c>
      <c r="W124" s="436"/>
      <c r="X124" s="436"/>
      <c r="Y124" s="436"/>
      <c r="Z124" s="436"/>
    </row>
    <row r="125" spans="4:26" ht="11" thickBot="1">
      <c r="D125" s="1188" t="str">
        <f>WACC!C43</f>
        <v>Comp 15</v>
      </c>
      <c r="E125" s="1214">
        <f>'GPC Data'!P36</f>
        <v>0</v>
      </c>
      <c r="F125" s="1215">
        <f>'GPC Data'!AH172</f>
        <v>0</v>
      </c>
      <c r="G125" s="1215">
        <f>'GPC Data'!AI172</f>
        <v>0</v>
      </c>
      <c r="H125" s="1215">
        <f>'GPC Data'!AJ172</f>
        <v>0</v>
      </c>
      <c r="I125" s="1215">
        <f>'GPC Data'!AK172</f>
        <v>0</v>
      </c>
      <c r="J125" s="1215">
        <f>'GPC Data'!AL172</f>
        <v>0</v>
      </c>
      <c r="K125" s="1216"/>
      <c r="L125" s="1206"/>
      <c r="P125" s="677" t="s">
        <v>106</v>
      </c>
      <c r="Q125" s="660"/>
      <c r="R125" s="660"/>
      <c r="S125" s="660"/>
      <c r="T125" s="660" t="s">
        <v>1503</v>
      </c>
      <c r="U125" s="660" t="s">
        <v>1503</v>
      </c>
      <c r="V125" s="660" t="s">
        <v>1503</v>
      </c>
      <c r="W125" s="436"/>
      <c r="X125" s="436"/>
      <c r="Y125" s="436"/>
      <c r="Z125" s="436"/>
    </row>
    <row r="126" spans="4:26" ht="11" thickBot="1">
      <c r="D126" s="1188" t="str">
        <f>WACC!C44</f>
        <v>Comp 16</v>
      </c>
      <c r="E126" s="1214">
        <f>'GPC Data'!P37</f>
        <v>0</v>
      </c>
      <c r="F126" s="1215">
        <f>'GPC Data'!AH173</f>
        <v>0</v>
      </c>
      <c r="G126" s="1215">
        <f>'GPC Data'!AI173</f>
        <v>0</v>
      </c>
      <c r="H126" s="1215">
        <f>'GPC Data'!AJ173</f>
        <v>0</v>
      </c>
      <c r="I126" s="1215">
        <f>'GPC Data'!AK173</f>
        <v>0</v>
      </c>
      <c r="J126" s="1215">
        <f>'GPC Data'!AL173</f>
        <v>0</v>
      </c>
      <c r="K126" s="1216"/>
      <c r="L126" s="1206"/>
      <c r="P126" s="677" t="s">
        <v>106</v>
      </c>
      <c r="Q126" s="660"/>
      <c r="R126" s="660"/>
      <c r="S126" s="660"/>
      <c r="T126" s="660" t="s">
        <v>1503</v>
      </c>
      <c r="U126" s="660" t="s">
        <v>1503</v>
      </c>
      <c r="V126" s="660" t="s">
        <v>1503</v>
      </c>
      <c r="W126" s="436"/>
      <c r="X126" s="436"/>
      <c r="Y126" s="436"/>
      <c r="Z126" s="436"/>
    </row>
    <row r="127" spans="4:26" ht="11" thickBot="1">
      <c r="D127" s="1188" t="str">
        <f>WACC!C45</f>
        <v>Comp 17</v>
      </c>
      <c r="E127" s="1214">
        <f>'GPC Data'!P38</f>
        <v>0</v>
      </c>
      <c r="F127" s="1215">
        <f>'GPC Data'!AH174</f>
        <v>0</v>
      </c>
      <c r="G127" s="1215">
        <f>'GPC Data'!AI174</f>
        <v>0</v>
      </c>
      <c r="H127" s="1215">
        <f>'GPC Data'!AJ174</f>
        <v>0</v>
      </c>
      <c r="I127" s="1215">
        <f>'GPC Data'!AK174</f>
        <v>0</v>
      </c>
      <c r="J127" s="1215">
        <f>'GPC Data'!AL174</f>
        <v>0</v>
      </c>
      <c r="K127" s="1216"/>
      <c r="L127" s="1206"/>
      <c r="P127" s="677" t="s">
        <v>106</v>
      </c>
      <c r="Q127" s="660"/>
      <c r="R127" s="660"/>
      <c r="S127" s="660"/>
      <c r="T127" s="660" t="s">
        <v>1503</v>
      </c>
      <c r="U127" s="660" t="s">
        <v>1503</v>
      </c>
      <c r="V127" s="660" t="s">
        <v>1503</v>
      </c>
      <c r="W127" s="436"/>
      <c r="X127" s="436"/>
      <c r="Y127" s="436"/>
      <c r="Z127" s="436"/>
    </row>
    <row r="128" spans="4:26" ht="11" thickBot="1">
      <c r="D128" s="1188" t="str">
        <f>WACC!C46</f>
        <v>Comp 18</v>
      </c>
      <c r="E128" s="1214">
        <f>'GPC Data'!P39</f>
        <v>0</v>
      </c>
      <c r="F128" s="1215">
        <f>'GPC Data'!AH175</f>
        <v>0</v>
      </c>
      <c r="G128" s="1215">
        <f>'GPC Data'!AI175</f>
        <v>0</v>
      </c>
      <c r="H128" s="1215">
        <f>'GPC Data'!AJ175</f>
        <v>0</v>
      </c>
      <c r="I128" s="1215">
        <f>'GPC Data'!AK175</f>
        <v>0</v>
      </c>
      <c r="J128" s="1215">
        <f>'GPC Data'!AL175</f>
        <v>0</v>
      </c>
      <c r="K128" s="1216"/>
      <c r="L128" s="1206"/>
      <c r="P128" s="677" t="s">
        <v>106</v>
      </c>
      <c r="Q128" s="660"/>
      <c r="R128" s="660"/>
      <c r="S128" s="660"/>
      <c r="T128" s="660" t="s">
        <v>1503</v>
      </c>
      <c r="U128" s="660" t="s">
        <v>1503</v>
      </c>
      <c r="V128" s="660" t="s">
        <v>1503</v>
      </c>
      <c r="W128" s="436"/>
      <c r="X128" s="436"/>
      <c r="Y128" s="436"/>
      <c r="Z128" s="436"/>
    </row>
    <row r="129" spans="4:26" ht="11" thickBot="1">
      <c r="D129" s="1188" t="str">
        <f>WACC!C47</f>
        <v>Comp 19</v>
      </c>
      <c r="E129" s="1214">
        <f>'GPC Data'!P40</f>
        <v>0</v>
      </c>
      <c r="F129" s="1215">
        <f>'GPC Data'!AH176</f>
        <v>0</v>
      </c>
      <c r="G129" s="1215">
        <f>'GPC Data'!AI176</f>
        <v>0</v>
      </c>
      <c r="H129" s="1215">
        <f>'GPC Data'!AJ176</f>
        <v>0</v>
      </c>
      <c r="I129" s="1215">
        <f>'GPC Data'!AK176</f>
        <v>0</v>
      </c>
      <c r="J129" s="1215">
        <f>'GPC Data'!AL176</f>
        <v>0</v>
      </c>
      <c r="K129" s="1216"/>
      <c r="L129" s="1206"/>
      <c r="P129" s="677" t="s">
        <v>106</v>
      </c>
      <c r="Q129" s="660"/>
      <c r="R129" s="660"/>
      <c r="S129" s="660"/>
      <c r="T129" s="660" t="s">
        <v>1503</v>
      </c>
      <c r="U129" s="660" t="s">
        <v>1503</v>
      </c>
      <c r="V129" s="660" t="s">
        <v>1503</v>
      </c>
      <c r="W129" s="436"/>
      <c r="X129" s="436"/>
      <c r="Y129" s="436"/>
      <c r="Z129" s="436"/>
    </row>
    <row r="130" spans="4:26" ht="11" thickBot="1">
      <c r="D130" s="1188" t="str">
        <f>WACC!C48</f>
        <v>Comp 20</v>
      </c>
      <c r="E130" s="1214">
        <f>'GPC Data'!P41</f>
        <v>0</v>
      </c>
      <c r="F130" s="1215">
        <f>'GPC Data'!AH177</f>
        <v>0</v>
      </c>
      <c r="G130" s="1215">
        <f>'GPC Data'!AI177</f>
        <v>0</v>
      </c>
      <c r="H130" s="1215">
        <f>'GPC Data'!AJ177</f>
        <v>0</v>
      </c>
      <c r="I130" s="1215">
        <f>'GPC Data'!AK177</f>
        <v>0</v>
      </c>
      <c r="J130" s="1215">
        <f>'GPC Data'!AL177</f>
        <v>0</v>
      </c>
      <c r="K130" s="1216"/>
      <c r="L130" s="1206"/>
      <c r="P130" s="677" t="s">
        <v>106</v>
      </c>
      <c r="Q130" s="660"/>
      <c r="R130" s="660"/>
      <c r="S130" s="660"/>
      <c r="T130" s="660" t="s">
        <v>1503</v>
      </c>
      <c r="U130" s="660" t="s">
        <v>1503</v>
      </c>
      <c r="V130" s="660" t="s">
        <v>1503</v>
      </c>
      <c r="W130" s="436"/>
      <c r="X130" s="436"/>
      <c r="Y130" s="436"/>
      <c r="Z130" s="436"/>
    </row>
    <row r="131" spans="4:26" ht="11" thickBot="1">
      <c r="D131" s="1188" t="str">
        <f>WACC!C49</f>
        <v>Comp 21</v>
      </c>
      <c r="E131" s="1214">
        <f>'GPC Data'!P42</f>
        <v>0</v>
      </c>
      <c r="F131" s="1215">
        <f>'GPC Data'!AH178</f>
        <v>0</v>
      </c>
      <c r="G131" s="1215">
        <f>'GPC Data'!AI178</f>
        <v>0</v>
      </c>
      <c r="H131" s="1215">
        <f>'GPC Data'!AJ178</f>
        <v>0</v>
      </c>
      <c r="I131" s="1215">
        <f>'GPC Data'!AK178</f>
        <v>0</v>
      </c>
      <c r="J131" s="1215">
        <f>'GPC Data'!AL178</f>
        <v>0</v>
      </c>
      <c r="K131" s="1216"/>
      <c r="L131" s="1206"/>
      <c r="P131" s="677" t="s">
        <v>106</v>
      </c>
      <c r="Q131" s="660"/>
      <c r="R131" s="660"/>
      <c r="S131" s="660"/>
      <c r="T131" s="660" t="s">
        <v>1503</v>
      </c>
      <c r="U131" s="660" t="s">
        <v>1503</v>
      </c>
      <c r="V131" s="660" t="s">
        <v>1503</v>
      </c>
      <c r="W131" s="436"/>
      <c r="X131" s="436"/>
      <c r="Y131" s="436"/>
      <c r="Z131" s="436"/>
    </row>
    <row r="132" spans="4:26" ht="11" thickBot="1">
      <c r="D132" s="1188" t="str">
        <f>WACC!C50</f>
        <v>Comp 22</v>
      </c>
      <c r="E132" s="1214">
        <f>'GPC Data'!P43</f>
        <v>0</v>
      </c>
      <c r="F132" s="1215">
        <f>'GPC Data'!AH179</f>
        <v>0</v>
      </c>
      <c r="G132" s="1215">
        <f>'GPC Data'!AI179</f>
        <v>0</v>
      </c>
      <c r="H132" s="1215">
        <f>'GPC Data'!AJ179</f>
        <v>0</v>
      </c>
      <c r="I132" s="1215">
        <f>'GPC Data'!AK179</f>
        <v>0</v>
      </c>
      <c r="J132" s="1215">
        <f>'GPC Data'!AL179</f>
        <v>0</v>
      </c>
      <c r="K132" s="1216"/>
      <c r="L132" s="1206"/>
      <c r="P132" s="677" t="s">
        <v>106</v>
      </c>
      <c r="Q132" s="660"/>
      <c r="R132" s="660"/>
      <c r="S132" s="660"/>
      <c r="T132" s="660" t="s">
        <v>1503</v>
      </c>
      <c r="U132" s="660" t="s">
        <v>1503</v>
      </c>
      <c r="V132" s="660" t="s">
        <v>1503</v>
      </c>
      <c r="W132" s="436"/>
      <c r="X132" s="436"/>
      <c r="Y132" s="436"/>
      <c r="Z132" s="436"/>
    </row>
    <row r="133" spans="4:26" ht="11" thickBot="1">
      <c r="D133" s="1188" t="str">
        <f>WACC!C51</f>
        <v>Comp 23</v>
      </c>
      <c r="E133" s="1214">
        <f>'GPC Data'!P44</f>
        <v>0</v>
      </c>
      <c r="F133" s="1215">
        <f>'GPC Data'!AH180</f>
        <v>0</v>
      </c>
      <c r="G133" s="1215">
        <f>'GPC Data'!AI180</f>
        <v>0</v>
      </c>
      <c r="H133" s="1215">
        <f>'GPC Data'!AJ180</f>
        <v>0</v>
      </c>
      <c r="I133" s="1215">
        <f>'GPC Data'!AK180</f>
        <v>0</v>
      </c>
      <c r="J133" s="1215">
        <f>'GPC Data'!AL180</f>
        <v>0</v>
      </c>
      <c r="K133" s="1216"/>
      <c r="L133" s="1206"/>
      <c r="P133" s="677" t="s">
        <v>106</v>
      </c>
      <c r="Q133" s="660"/>
      <c r="R133" s="660"/>
      <c r="S133" s="660"/>
      <c r="T133" s="660" t="s">
        <v>1503</v>
      </c>
      <c r="U133" s="660" t="s">
        <v>1503</v>
      </c>
      <c r="V133" s="660" t="s">
        <v>1503</v>
      </c>
      <c r="W133" s="436"/>
      <c r="X133" s="436"/>
      <c r="Y133" s="436"/>
      <c r="Z133" s="436"/>
    </row>
    <row r="134" spans="4:26" ht="11" thickBot="1">
      <c r="D134" s="1188" t="str">
        <f>WACC!C52</f>
        <v>Comp 24</v>
      </c>
      <c r="E134" s="1214">
        <f>'GPC Data'!P45</f>
        <v>0</v>
      </c>
      <c r="F134" s="1215">
        <f>'GPC Data'!AH181</f>
        <v>0</v>
      </c>
      <c r="G134" s="1215">
        <f>'GPC Data'!AI181</f>
        <v>0</v>
      </c>
      <c r="H134" s="1215">
        <f>'GPC Data'!AJ181</f>
        <v>0</v>
      </c>
      <c r="I134" s="1215">
        <f>'GPC Data'!AK181</f>
        <v>0</v>
      </c>
      <c r="J134" s="1215">
        <f>'GPC Data'!AL181</f>
        <v>0</v>
      </c>
      <c r="K134" s="1216"/>
      <c r="L134" s="1206"/>
      <c r="P134" s="677" t="s">
        <v>106</v>
      </c>
      <c r="Q134" s="660"/>
      <c r="R134" s="660"/>
      <c r="S134" s="660"/>
      <c r="T134" s="660" t="s">
        <v>1503</v>
      </c>
      <c r="U134" s="660" t="s">
        <v>1503</v>
      </c>
      <c r="V134" s="660" t="s">
        <v>1503</v>
      </c>
      <c r="W134" s="436"/>
      <c r="X134" s="436"/>
      <c r="Y134" s="436"/>
      <c r="Z134" s="436"/>
    </row>
    <row r="135" spans="4:26" ht="11" thickBot="1">
      <c r="D135" s="1188" t="str">
        <f>WACC!C53</f>
        <v>Comp 25</v>
      </c>
      <c r="E135" s="1214">
        <f>'GPC Data'!P46</f>
        <v>0</v>
      </c>
      <c r="F135" s="1215">
        <f>'GPC Data'!AH182</f>
        <v>0</v>
      </c>
      <c r="G135" s="1215">
        <f>'GPC Data'!AI182</f>
        <v>0</v>
      </c>
      <c r="H135" s="1215">
        <f>'GPC Data'!AJ182</f>
        <v>0</v>
      </c>
      <c r="I135" s="1215">
        <f>'GPC Data'!AK182</f>
        <v>0</v>
      </c>
      <c r="J135" s="1215">
        <f>'GPC Data'!AL182</f>
        <v>0</v>
      </c>
      <c r="K135" s="1216"/>
      <c r="L135" s="1206"/>
      <c r="P135" s="677" t="s">
        <v>106</v>
      </c>
      <c r="Q135" s="660"/>
      <c r="R135" s="660"/>
      <c r="S135" s="660"/>
      <c r="T135" s="660" t="s">
        <v>1503</v>
      </c>
      <c r="U135" s="660" t="s">
        <v>1503</v>
      </c>
      <c r="V135" s="660" t="s">
        <v>1503</v>
      </c>
      <c r="W135" s="436"/>
      <c r="X135" s="436"/>
      <c r="Y135" s="436"/>
      <c r="Z135" s="436"/>
    </row>
    <row r="136" spans="4:26" ht="11" thickBot="1">
      <c r="D136" s="1188" t="str">
        <f>WACC!C54</f>
        <v>Comp 26</v>
      </c>
      <c r="E136" s="1214">
        <f>'GPC Data'!P47</f>
        <v>0</v>
      </c>
      <c r="F136" s="1215">
        <f>'GPC Data'!AH183</f>
        <v>0</v>
      </c>
      <c r="G136" s="1215">
        <f>'GPC Data'!AI183</f>
        <v>0</v>
      </c>
      <c r="H136" s="1215">
        <f>'GPC Data'!AJ183</f>
        <v>0</v>
      </c>
      <c r="I136" s="1215">
        <f>'GPC Data'!AK183</f>
        <v>0</v>
      </c>
      <c r="J136" s="1215">
        <f>'GPC Data'!AL183</f>
        <v>0</v>
      </c>
      <c r="K136" s="1216"/>
      <c r="L136" s="1206"/>
      <c r="P136" s="677" t="s">
        <v>106</v>
      </c>
      <c r="Q136" s="660"/>
      <c r="R136" s="660"/>
      <c r="S136" s="660"/>
      <c r="T136" s="660" t="s">
        <v>1503</v>
      </c>
      <c r="U136" s="660" t="s">
        <v>1503</v>
      </c>
      <c r="V136" s="660" t="s">
        <v>1503</v>
      </c>
      <c r="W136" s="436"/>
      <c r="X136" s="436"/>
      <c r="Y136" s="436"/>
      <c r="Z136" s="436"/>
    </row>
    <row r="137" spans="4:26" ht="11" thickBot="1">
      <c r="D137" s="1188" t="str">
        <f>WACC!C55</f>
        <v>Comp 27</v>
      </c>
      <c r="E137" s="1214">
        <f>'GPC Data'!P48</f>
        <v>0</v>
      </c>
      <c r="F137" s="1215">
        <f>'GPC Data'!AH184</f>
        <v>0</v>
      </c>
      <c r="G137" s="1215">
        <f>'GPC Data'!AI184</f>
        <v>0</v>
      </c>
      <c r="H137" s="1215">
        <f>'GPC Data'!AJ184</f>
        <v>0</v>
      </c>
      <c r="I137" s="1215">
        <f>'GPC Data'!AK184</f>
        <v>0</v>
      </c>
      <c r="J137" s="1215">
        <f>'GPC Data'!AL184</f>
        <v>0</v>
      </c>
      <c r="K137" s="1216"/>
      <c r="L137" s="1206"/>
      <c r="P137" s="677" t="s">
        <v>106</v>
      </c>
      <c r="Q137" s="660"/>
      <c r="R137" s="660"/>
      <c r="S137" s="660"/>
      <c r="T137" s="660" t="s">
        <v>1503</v>
      </c>
      <c r="U137" s="660" t="s">
        <v>1503</v>
      </c>
      <c r="V137" s="660" t="s">
        <v>1503</v>
      </c>
      <c r="W137" s="436"/>
      <c r="X137" s="436"/>
      <c r="Y137" s="436"/>
      <c r="Z137" s="436"/>
    </row>
    <row r="138" spans="4:26" ht="11" thickBot="1">
      <c r="D138" s="1188" t="str">
        <f>WACC!C56</f>
        <v>Comp 28</v>
      </c>
      <c r="E138" s="1214">
        <f>'GPC Data'!P49</f>
        <v>0</v>
      </c>
      <c r="F138" s="1215">
        <f>'GPC Data'!AH185</f>
        <v>0</v>
      </c>
      <c r="G138" s="1215">
        <f>'GPC Data'!AI185</f>
        <v>0</v>
      </c>
      <c r="H138" s="1215">
        <f>'GPC Data'!AJ185</f>
        <v>0</v>
      </c>
      <c r="I138" s="1215">
        <f>'GPC Data'!AK185</f>
        <v>0</v>
      </c>
      <c r="J138" s="1215">
        <f>'GPC Data'!AL185</f>
        <v>0</v>
      </c>
      <c r="K138" s="1216"/>
      <c r="L138" s="1206"/>
      <c r="P138" s="677" t="s">
        <v>106</v>
      </c>
      <c r="Q138" s="660"/>
      <c r="R138" s="660"/>
      <c r="S138" s="660"/>
      <c r="T138" s="660" t="s">
        <v>1503</v>
      </c>
      <c r="U138" s="660" t="s">
        <v>1503</v>
      </c>
      <c r="V138" s="660" t="s">
        <v>1503</v>
      </c>
      <c r="W138" s="436"/>
      <c r="X138" s="436"/>
      <c r="Y138" s="436"/>
      <c r="Z138" s="436"/>
    </row>
    <row r="139" spans="4:26" ht="11" thickBot="1">
      <c r="D139" s="1188" t="str">
        <f>WACC!C57</f>
        <v>Comp 29</v>
      </c>
      <c r="E139" s="1214">
        <f>'GPC Data'!P50</f>
        <v>0</v>
      </c>
      <c r="F139" s="1215">
        <f>'GPC Data'!AH186</f>
        <v>0</v>
      </c>
      <c r="G139" s="1215">
        <f>'GPC Data'!AI186</f>
        <v>0</v>
      </c>
      <c r="H139" s="1215">
        <f>'GPC Data'!AJ186</f>
        <v>0</v>
      </c>
      <c r="I139" s="1215">
        <f>'GPC Data'!AK186</f>
        <v>0</v>
      </c>
      <c r="J139" s="1215">
        <f>'GPC Data'!AL186</f>
        <v>0</v>
      </c>
      <c r="K139" s="1216"/>
      <c r="L139" s="1206"/>
      <c r="P139" s="677" t="s">
        <v>106</v>
      </c>
      <c r="Q139" s="660"/>
      <c r="R139" s="660"/>
      <c r="S139" s="660"/>
      <c r="T139" s="660" t="s">
        <v>1503</v>
      </c>
      <c r="U139" s="660" t="s">
        <v>1503</v>
      </c>
      <c r="V139" s="660" t="s">
        <v>1503</v>
      </c>
      <c r="W139" s="436"/>
      <c r="X139" s="436"/>
      <c r="Y139" s="436"/>
      <c r="Z139" s="436"/>
    </row>
    <row r="140" spans="4:26" ht="11" thickBot="1">
      <c r="D140" s="1188" t="str">
        <f>WACC!C58</f>
        <v>Comp 30</v>
      </c>
      <c r="E140" s="1214">
        <f>'GPC Data'!P51</f>
        <v>0</v>
      </c>
      <c r="F140" s="1215">
        <f>'GPC Data'!AH187</f>
        <v>0</v>
      </c>
      <c r="G140" s="1215">
        <f>'GPC Data'!AI187</f>
        <v>0</v>
      </c>
      <c r="H140" s="1215">
        <f>'GPC Data'!AJ187</f>
        <v>0</v>
      </c>
      <c r="I140" s="1215">
        <f>'GPC Data'!AK187</f>
        <v>0</v>
      </c>
      <c r="J140" s="1215">
        <f>'GPC Data'!AL187</f>
        <v>0</v>
      </c>
      <c r="K140" s="1216"/>
      <c r="L140" s="1206"/>
      <c r="P140" s="677" t="s">
        <v>106</v>
      </c>
      <c r="Q140" s="660"/>
      <c r="R140" s="660"/>
      <c r="S140" s="660"/>
      <c r="T140" s="660" t="s">
        <v>1503</v>
      </c>
      <c r="U140" s="660" t="s">
        <v>1503</v>
      </c>
      <c r="V140" s="660" t="s">
        <v>1503</v>
      </c>
      <c r="W140" s="436"/>
      <c r="X140" s="436"/>
      <c r="Y140" s="436"/>
      <c r="Z140" s="436"/>
    </row>
    <row r="141" spans="4:26">
      <c r="D141" s="1217"/>
      <c r="E141" s="1217"/>
      <c r="F141" s="1218"/>
      <c r="G141" s="1218"/>
      <c r="H141" s="1218"/>
      <c r="I141" s="1218"/>
      <c r="J141" s="1218"/>
      <c r="K141" s="1217"/>
      <c r="L141" s="1110"/>
      <c r="M141" s="1110"/>
      <c r="N141" s="1111"/>
      <c r="O141" s="1111"/>
      <c r="P141" s="1110"/>
      <c r="Q141" s="1110"/>
      <c r="R141" s="1110"/>
      <c r="S141" s="1110"/>
    </row>
    <row r="142" spans="4:26">
      <c r="E142" s="1155" t="s">
        <v>216</v>
      </c>
      <c r="F142" s="1156">
        <f>MAX(F111:F140)</f>
        <v>0</v>
      </c>
      <c r="G142" s="1156">
        <f>MAX(G111:G140)</f>
        <v>0</v>
      </c>
      <c r="H142" s="1156">
        <f>MAX(H111:H140)</f>
        <v>0</v>
      </c>
      <c r="I142" s="1156">
        <f>MAX(I111:I140)</f>
        <v>0</v>
      </c>
      <c r="J142" s="1156">
        <f>MAX(J111:J140)</f>
        <v>0</v>
      </c>
      <c r="K142" s="1111"/>
      <c r="L142" s="1161"/>
      <c r="M142" s="1111"/>
      <c r="N142" s="1111"/>
      <c r="O142" s="1111"/>
      <c r="P142" s="1111"/>
      <c r="Q142" s="1111"/>
      <c r="R142" s="1111"/>
      <c r="S142" s="1111"/>
    </row>
    <row r="143" spans="4:26">
      <c r="E143" s="1157" t="s">
        <v>1479</v>
      </c>
      <c r="F143" s="1158">
        <f>PERCENTILE(F111:F140,0.75)</f>
        <v>0</v>
      </c>
      <c r="G143" s="1158">
        <f>PERCENTILE(G111:G140,0.75)</f>
        <v>0</v>
      </c>
      <c r="H143" s="1158">
        <f>PERCENTILE(H111:H140,0.75)</f>
        <v>0</v>
      </c>
      <c r="I143" s="1158">
        <f>PERCENTILE(I111:I140,0.75)</f>
        <v>0</v>
      </c>
      <c r="J143" s="1158">
        <f>PERCENTILE(J111:J140,0.75)</f>
        <v>0</v>
      </c>
      <c r="K143" s="1111"/>
      <c r="L143" s="1161"/>
      <c r="M143" s="1111"/>
      <c r="N143" s="1111"/>
      <c r="O143" s="1111"/>
      <c r="P143" s="1111"/>
      <c r="Q143" s="1111"/>
      <c r="R143" s="1111"/>
      <c r="S143" s="1111"/>
    </row>
    <row r="144" spans="4:26">
      <c r="E144" s="1157" t="s">
        <v>1380</v>
      </c>
      <c r="F144" s="1158">
        <f>AVERAGE(F111:F140)</f>
        <v>0</v>
      </c>
      <c r="G144" s="1158">
        <f>AVERAGE(G111:G140)</f>
        <v>0</v>
      </c>
      <c r="H144" s="1158">
        <f>AVERAGE(H111:H140)</f>
        <v>0</v>
      </c>
      <c r="I144" s="1158">
        <f>AVERAGE(I111:I140)</f>
        <v>0</v>
      </c>
      <c r="J144" s="1158">
        <f>AVERAGE(J111:J140)</f>
        <v>0</v>
      </c>
      <c r="K144" s="1111"/>
      <c r="L144" s="1161"/>
      <c r="M144" s="1111"/>
      <c r="N144" s="1111"/>
      <c r="O144" s="1111"/>
      <c r="P144" s="1111"/>
      <c r="Q144" s="1111"/>
      <c r="R144" s="1111"/>
      <c r="S144" s="1111"/>
    </row>
    <row r="145" spans="5:19">
      <c r="E145" s="1122" t="s">
        <v>1381</v>
      </c>
      <c r="F145" s="1120">
        <f>MEDIAN(F111:F140)</f>
        <v>0</v>
      </c>
      <c r="G145" s="1120">
        <f>MEDIAN(G111:G140)</f>
        <v>0</v>
      </c>
      <c r="H145" s="1120">
        <f>MEDIAN(H111:H140)</f>
        <v>0</v>
      </c>
      <c r="I145" s="1120">
        <f>MEDIAN(I111:I140)</f>
        <v>0</v>
      </c>
      <c r="J145" s="1120">
        <f>MEDIAN(J111:J140)</f>
        <v>0</v>
      </c>
      <c r="K145" s="1111"/>
      <c r="L145" s="1161"/>
      <c r="M145" s="1111"/>
      <c r="N145" s="1111"/>
      <c r="O145" s="1111"/>
      <c r="P145" s="1111"/>
      <c r="Q145" s="1111"/>
      <c r="R145" s="1111"/>
      <c r="S145" s="1111"/>
    </row>
    <row r="146" spans="5:19">
      <c r="E146" s="1157" t="s">
        <v>1480</v>
      </c>
      <c r="F146" s="1158">
        <f>PERCENTILE(F111:F140,0.25)</f>
        <v>0</v>
      </c>
      <c r="G146" s="1158">
        <f>PERCENTILE(G111:G140,0.25)</f>
        <v>0</v>
      </c>
      <c r="H146" s="1158">
        <f>PERCENTILE(H111:H140,0.25)</f>
        <v>0</v>
      </c>
      <c r="I146" s="1158">
        <f>PERCENTILE(I111:I140,0.25)</f>
        <v>0</v>
      </c>
      <c r="J146" s="1158">
        <f>PERCENTILE(J111:J140,0.25)</f>
        <v>0</v>
      </c>
      <c r="K146" s="1111"/>
      <c r="L146" s="1161"/>
      <c r="M146" s="1111"/>
      <c r="N146" s="1111"/>
      <c r="O146" s="1111"/>
      <c r="P146" s="1111"/>
      <c r="Q146" s="1111"/>
      <c r="R146" s="1111"/>
      <c r="S146" s="1111"/>
    </row>
    <row r="147" spans="5:19">
      <c r="E147" s="1159" t="s">
        <v>215</v>
      </c>
      <c r="F147" s="1160">
        <f>MIN(F111:F140)</f>
        <v>0</v>
      </c>
      <c r="G147" s="1160">
        <f>MIN(G111:G140)</f>
        <v>0</v>
      </c>
      <c r="H147" s="1160">
        <f>MIN(H111:H140)</f>
        <v>0</v>
      </c>
      <c r="I147" s="1160">
        <f>MIN(I111:I140)</f>
        <v>0</v>
      </c>
      <c r="J147" s="1160">
        <f>MIN(J111:J140)</f>
        <v>0</v>
      </c>
      <c r="K147" s="1111"/>
      <c r="L147" s="1161"/>
      <c r="M147" s="1111"/>
      <c r="N147" s="1111"/>
      <c r="O147" s="1111"/>
      <c r="P147" s="1111"/>
      <c r="Q147" s="1111"/>
      <c r="R147" s="1111"/>
      <c r="S147" s="1111"/>
    </row>
    <row r="148" spans="5:19">
      <c r="E148" s="1161"/>
      <c r="F148" s="1054"/>
      <c r="G148" s="1054"/>
      <c r="H148" s="1054"/>
      <c r="I148" s="1054"/>
      <c r="J148" s="1054"/>
      <c r="K148" s="1111"/>
      <c r="L148" s="1161"/>
      <c r="M148" s="1111"/>
      <c r="N148" s="1111"/>
      <c r="O148" s="1111"/>
      <c r="P148" s="1111"/>
      <c r="Q148" s="1111"/>
      <c r="R148" s="1111"/>
      <c r="S148" s="1111"/>
    </row>
    <row r="149" spans="5:19">
      <c r="E149" s="703" t="s">
        <v>1382</v>
      </c>
      <c r="F149" s="1054"/>
      <c r="G149" s="1054"/>
      <c r="H149" s="1054"/>
      <c r="I149" s="1054"/>
      <c r="J149" s="1054"/>
      <c r="K149" s="1111"/>
      <c r="L149" s="1161"/>
      <c r="M149" s="1111"/>
      <c r="N149" s="1111"/>
      <c r="O149" s="1111"/>
      <c r="P149" s="1111"/>
      <c r="Q149" s="1111"/>
      <c r="R149" s="1111"/>
      <c r="S149" s="1111"/>
    </row>
    <row r="150" spans="5:19">
      <c r="E150" s="1155" t="s">
        <v>216</v>
      </c>
      <c r="F150" s="1156">
        <f t="array" ref="F150">IFERROR(MAX(IF($P$111:$P$140="No",F111:F140)),"")</f>
        <v>0</v>
      </c>
      <c r="G150" s="1156">
        <f t="array" ref="G150">IFERROR(MAX(IF($P$111:$P$140="No",G111:G140)),"")</f>
        <v>0</v>
      </c>
      <c r="H150" s="1156">
        <f t="array" ref="H150">IFERROR(MAX(IF($P$111:$P$140="No",H111:H140)),"")</f>
        <v>0</v>
      </c>
      <c r="I150" s="1156">
        <f t="array" ref="I150">IFERROR(MAX(IF($P$111:$P$140="No",I111:I140)),"")</f>
        <v>0</v>
      </c>
      <c r="J150" s="1156">
        <f t="array" ref="J150">IFERROR(MAX(IF($P$111:$P$140="No",J111:J140)),"")</f>
        <v>0</v>
      </c>
      <c r="K150" s="1111"/>
      <c r="L150" s="1161"/>
      <c r="M150" s="1111"/>
      <c r="N150" s="1111"/>
      <c r="O150" s="1111"/>
      <c r="P150" s="1111"/>
      <c r="Q150" s="1111"/>
      <c r="R150" s="1111"/>
      <c r="S150" s="1111"/>
    </row>
    <row r="151" spans="5:19">
      <c r="E151" s="1157" t="s">
        <v>1479</v>
      </c>
      <c r="F151" s="1158">
        <f t="array" ref="F151">PERCENTILE(IF($P$111:$P$140="No",F111:F140),0.75)</f>
        <v>0</v>
      </c>
      <c r="G151" s="1158">
        <f t="array" ref="G151">PERCENTILE(IF($P$111:$P$140="No",G111:G140),0.75)</f>
        <v>0</v>
      </c>
      <c r="H151" s="1158">
        <f t="array" ref="H151">PERCENTILE(IF($P$111:$P$140="No",H111:H140),0.75)</f>
        <v>0</v>
      </c>
      <c r="I151" s="1158">
        <f t="array" ref="I151">PERCENTILE(IF($P$111:$P$140="No",I111:I140),0.75)</f>
        <v>0</v>
      </c>
      <c r="J151" s="1158">
        <f t="array" ref="J151">PERCENTILE(IF($P$111:$P$140="No",J111:J140),0.75)</f>
        <v>0</v>
      </c>
      <c r="K151" s="1111"/>
      <c r="L151" s="1161"/>
      <c r="M151" s="1111"/>
      <c r="N151" s="1111"/>
      <c r="O151" s="1111"/>
      <c r="P151" s="1111"/>
      <c r="Q151" s="1111"/>
      <c r="R151" s="1111"/>
      <c r="S151" s="1111"/>
    </row>
    <row r="152" spans="5:19">
      <c r="E152" s="1157" t="s">
        <v>1380</v>
      </c>
      <c r="F152" s="1158">
        <f t="array" ref="F152">IFERROR(AVERAGEIF($P$111:$P$140,"No",F111:F140),"")</f>
        <v>0</v>
      </c>
      <c r="G152" s="1158">
        <f t="array" ref="G152">IFERROR(AVERAGEIF($P$111:$P$140,"No",G111:G140),"")</f>
        <v>0</v>
      </c>
      <c r="H152" s="1158">
        <f>IFERROR(AVERAGEIF($P$111:$P$140,"No",H111:H140),"")</f>
        <v>0</v>
      </c>
      <c r="I152" s="1158">
        <f t="array" ref="I152">IFERROR(AVERAGEIF($P$111:$P$140,"No",I111:I140),"")</f>
        <v>0</v>
      </c>
      <c r="J152" s="1158">
        <f t="array" ref="J152">IFERROR(AVERAGEIF($P$111:$P$140,"No",J111:J140),"")</f>
        <v>0</v>
      </c>
      <c r="K152" s="1111"/>
      <c r="L152" s="1161"/>
      <c r="M152" s="1111"/>
      <c r="N152" s="1111"/>
      <c r="O152" s="1111"/>
      <c r="P152" s="1111"/>
      <c r="Q152" s="1111"/>
      <c r="R152" s="1111"/>
      <c r="S152" s="1111"/>
    </row>
    <row r="153" spans="5:19">
      <c r="E153" s="1122" t="s">
        <v>1381</v>
      </c>
      <c r="F153" s="1120">
        <f t="array" ref="F153">IFERROR(MEDIAN(IF($P$111:$P$140="No",F111:F140)),"")</f>
        <v>0</v>
      </c>
      <c r="G153" s="1120">
        <f t="array" ref="G153">IFERROR(MEDIAN(IF($P$111:$P$140="No",G111:G140)),"")</f>
        <v>0</v>
      </c>
      <c r="H153" s="1120">
        <f t="array" ref="H153">IFERROR(MEDIAN(IF($P$111:$P$140="No",H111:H140)),"")</f>
        <v>0</v>
      </c>
      <c r="I153" s="1120">
        <f t="array" ref="I153">IFERROR(MEDIAN(IF($P$111:$P$140="No",I111:I140)),"")</f>
        <v>0</v>
      </c>
      <c r="J153" s="1120">
        <f t="array" ref="J153">IFERROR(MEDIAN(IF($P$111:$P$140="No",J111:J140)),"")</f>
        <v>0</v>
      </c>
      <c r="K153" s="1111"/>
      <c r="L153" s="1161"/>
      <c r="M153" s="1111"/>
      <c r="N153" s="1111"/>
      <c r="O153" s="1111"/>
      <c r="P153" s="1111"/>
      <c r="Q153" s="1111"/>
      <c r="R153" s="1111"/>
      <c r="S153" s="1111"/>
    </row>
    <row r="154" spans="5:19">
      <c r="E154" s="1157" t="s">
        <v>1480</v>
      </c>
      <c r="F154" s="1158">
        <f t="array" ref="F154">PERCENTILE(IF($P$111:$P$140="No",F111:F140),0.25)</f>
        <v>0</v>
      </c>
      <c r="G154" s="1158">
        <f t="array" ref="G154">PERCENTILE(IF($P$111:$P$140="No",G111:G140),0.25)</f>
        <v>0</v>
      </c>
      <c r="H154" s="1158">
        <f t="array" ref="H154">PERCENTILE(IF($P$111:$P$140="No",H111:H140),0.25)</f>
        <v>0</v>
      </c>
      <c r="I154" s="1158">
        <f t="array" ref="I154">PERCENTILE(IF($P$111:$P$140="No",I111:I140),0.25)</f>
        <v>0</v>
      </c>
      <c r="J154" s="1158">
        <f t="array" ref="J154">PERCENTILE(IF($P$111:$P$140="No",J111:J140),0.25)</f>
        <v>0</v>
      </c>
      <c r="K154" s="1111"/>
      <c r="L154" s="1161"/>
      <c r="M154" s="1111"/>
      <c r="N154" s="1111"/>
      <c r="O154" s="1111"/>
      <c r="P154" s="1111"/>
      <c r="Q154" s="1111"/>
      <c r="R154" s="1111"/>
      <c r="S154" s="1111"/>
    </row>
    <row r="155" spans="5:19">
      <c r="E155" s="1159" t="s">
        <v>215</v>
      </c>
      <c r="F155" s="1160">
        <f t="array" ref="F155">IFERROR(MIN(IF($P$111:$P$140="No",F111:F140)),"")</f>
        <v>0</v>
      </c>
      <c r="G155" s="1160">
        <f t="array" ref="G155">IFERROR(MIN(IF($P$111:$P$140="No",G111:G140)),"")</f>
        <v>0</v>
      </c>
      <c r="H155" s="1160">
        <f t="array" ref="H155">IFERROR(MIN(IF($P$111:$P$140="No",H111:H140)),"")</f>
        <v>0</v>
      </c>
      <c r="I155" s="1160">
        <f t="array" ref="I155">IFERROR(MIN(IF($P$111:$P$140="No",I111:I140)),"")</f>
        <v>0</v>
      </c>
      <c r="J155" s="1160">
        <f t="array" ref="J155">IFERROR(MIN(IF($P$111:$P$140="No",J111:J140)),"")</f>
        <v>0</v>
      </c>
      <c r="K155" s="1111"/>
      <c r="L155" s="1161"/>
      <c r="M155" s="1111"/>
      <c r="N155" s="1111"/>
      <c r="O155" s="1111"/>
      <c r="P155" s="1111"/>
      <c r="Q155" s="1111"/>
      <c r="R155" s="1111"/>
      <c r="S155" s="1111"/>
    </row>
  </sheetData>
  <mergeCells count="5">
    <mergeCell ref="F109:J109"/>
    <mergeCell ref="K109:L109"/>
    <mergeCell ref="F8:J8"/>
    <mergeCell ref="Q3:R4"/>
    <mergeCell ref="K8:M8"/>
  </mergeCells>
  <conditionalFormatting sqref="D111:J140">
    <cfRule type="expression" dxfId="3" priority="124">
      <formula>$P111="Yes"</formula>
    </cfRule>
  </conditionalFormatting>
  <dataValidations count="2">
    <dataValidation allowBlank="1" showInputMessage="1" showErrorMessage="1" promptTitle="Warning:" prompt="Ensure cell value is consistent with that in GPCRevGrowth tab, Cell AE2_x000a_" sqref="Q3:R4" xr:uid="{00000000-0002-0000-0D00-000001000000}"/>
    <dataValidation type="list" allowBlank="1" showInputMessage="1" showErrorMessage="1" sqref="P10:P39 P61:P90 P111:P140" xr:uid="{00000000-0002-0000-0D00-000000000000}">
      <formula1>"Yes, No"</formula1>
    </dataValidation>
  </dataValidations>
  <pageMargins left="0.7" right="0.7" top="0.75" bottom="0.75" header="0.3" footer="0.3"/>
  <pageSetup scale="24" orientation="landscape" r:id="rId1"/>
  <headerFooter>
    <oddHeader>&amp;R&amp;"Arial"&amp;8&amp;K000000Confidential&amp;1#</oddHead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 id="{6D4C9653-6F91-4C20-A5E9-E1DFCBBCE5CD}">
            <xm:f>$Q$3&lt;&gt;Growth!AA2</xm:f>
            <x14:dxf>
              <font>
                <b/>
                <i val="0"/>
                <color rgb="FFC00000"/>
              </font>
              <fill>
                <patternFill>
                  <bgColor theme="5" tint="0.39994506668294322"/>
                </patternFill>
              </fill>
            </x14:dxf>
          </x14:cfRule>
          <xm:sqref>Q3:R4</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pageSetUpPr fitToPage="1"/>
  </sheetPr>
  <dimension ref="B1:AV86"/>
  <sheetViews>
    <sheetView showGridLines="0" view="pageBreakPreview" zoomScale="82" zoomScaleNormal="90" zoomScaleSheetLayoutView="82" workbookViewId="0">
      <selection activeCell="AK13" sqref="AK13"/>
    </sheetView>
  </sheetViews>
  <sheetFormatPr defaultColWidth="7.07421875" defaultRowHeight="10" outlineLevelCol="1"/>
  <cols>
    <col min="1" max="1" width="7.07421875" style="61"/>
    <col min="2" max="2" width="7.15234375" style="61" customWidth="1"/>
    <col min="3" max="4" width="2.84375" style="61" customWidth="1"/>
    <col min="5" max="5" width="8.4609375" style="61" bestFit="1" customWidth="1"/>
    <col min="6" max="6" width="3.84375" style="61" bestFit="1" customWidth="1"/>
    <col min="7" max="10" width="2.84375" style="61" customWidth="1"/>
    <col min="11" max="11" width="14.84375" style="61" customWidth="1"/>
    <col min="12" max="12" width="10.53515625" style="61" customWidth="1"/>
    <col min="13" max="17" width="9.61328125" style="61" customWidth="1"/>
    <col min="18" max="33" width="9.61328125" style="61" hidden="1" customWidth="1" outlineLevel="1"/>
    <col min="34" max="34" width="2.84375" style="61" customWidth="1" collapsed="1"/>
    <col min="35" max="42" width="11.84375" style="61" customWidth="1"/>
    <col min="43" max="48" width="11.84375" style="61" customWidth="1" outlineLevel="1"/>
    <col min="49" max="16384" width="7.07421875" style="61"/>
  </cols>
  <sheetData>
    <row r="1" spans="2:36" s="107" customFormat="1"/>
    <row r="2" spans="2:36" s="72" customFormat="1" ht="11.5">
      <c r="B2" s="51" t="str">
        <f>client.name.long</f>
        <v>Aerial Arts India XXXXXXXXXXXXXXXXX</v>
      </c>
      <c r="C2" s="108"/>
      <c r="D2" s="108"/>
      <c r="E2" s="108"/>
      <c r="F2" s="108"/>
      <c r="G2" s="108"/>
      <c r="H2" s="108"/>
      <c r="I2" s="108"/>
      <c r="J2" s="108"/>
      <c r="K2" s="108"/>
      <c r="L2" s="108"/>
      <c r="M2" s="108"/>
      <c r="N2" s="108"/>
      <c r="O2" s="108"/>
      <c r="P2" s="108"/>
      <c r="Q2" s="108"/>
      <c r="R2" s="108"/>
      <c r="S2" s="108"/>
      <c r="T2" s="108"/>
      <c r="U2" s="108"/>
      <c r="V2" s="108"/>
      <c r="W2" s="109"/>
      <c r="X2" s="109"/>
      <c r="Y2" s="109"/>
      <c r="Z2" s="109"/>
      <c r="AA2" s="109"/>
      <c r="AB2" s="109"/>
      <c r="AC2" s="109"/>
      <c r="AD2" s="109"/>
      <c r="AE2" s="109"/>
      <c r="AF2" s="109"/>
      <c r="AG2" s="109"/>
      <c r="AH2" s="5" t="s">
        <v>212</v>
      </c>
    </row>
    <row r="3" spans="2:36" s="72" customFormat="1" ht="11.5">
      <c r="B3" s="49" t="str">
        <f>project.title</f>
        <v>Aerial Arts India XXXXXXXXXXXXXXXXX - Self Valuation using DCF Method, Transaction Multiples Method, &amp; Market Multiples Method</v>
      </c>
      <c r="C3" s="110"/>
      <c r="D3" s="110"/>
      <c r="E3" s="110"/>
      <c r="F3" s="110"/>
      <c r="G3" s="110"/>
      <c r="H3" s="110"/>
      <c r="I3" s="110"/>
      <c r="J3" s="110"/>
      <c r="K3" s="110"/>
      <c r="L3" s="110"/>
      <c r="M3" s="110"/>
      <c r="N3" s="110"/>
      <c r="O3" s="110"/>
      <c r="P3" s="110"/>
      <c r="Q3" s="110"/>
      <c r="R3" s="110"/>
      <c r="S3" s="110"/>
      <c r="T3" s="110"/>
      <c r="U3" s="110"/>
      <c r="V3" s="110"/>
      <c r="W3" s="111"/>
      <c r="X3" s="111"/>
      <c r="Y3" s="111"/>
      <c r="Z3" s="111"/>
      <c r="AA3" s="111"/>
      <c r="AB3" s="111"/>
      <c r="AC3" s="111"/>
      <c r="AD3" s="111"/>
      <c r="AE3" s="111"/>
      <c r="AF3" s="111"/>
      <c r="AG3" s="111"/>
      <c r="AH3" s="50" t="e">
        <f>draft.toggle</f>
        <v>#NAME?</v>
      </c>
    </row>
    <row r="4" spans="2:36" s="72" customFormat="1" ht="11.5">
      <c r="B4" s="8" t="s">
        <v>1525</v>
      </c>
      <c r="C4" s="112"/>
      <c r="D4" s="112"/>
      <c r="E4" s="112"/>
      <c r="F4" s="112"/>
      <c r="G4" s="112"/>
      <c r="H4" s="112"/>
      <c r="I4" s="112"/>
      <c r="J4" s="112"/>
      <c r="K4" s="112"/>
      <c r="L4" s="112"/>
      <c r="M4" s="112"/>
      <c r="N4" s="112"/>
      <c r="O4" s="112"/>
      <c r="P4" s="112"/>
      <c r="Q4" s="112"/>
      <c r="R4" s="112"/>
      <c r="S4" s="112"/>
      <c r="T4" s="112"/>
      <c r="U4" s="112"/>
      <c r="V4" s="112"/>
      <c r="W4" s="113"/>
      <c r="X4" s="113"/>
      <c r="Y4" s="113"/>
      <c r="Z4" s="113"/>
      <c r="AA4" s="113"/>
      <c r="AB4" s="113"/>
      <c r="AC4" s="113"/>
      <c r="AD4" s="113"/>
      <c r="AE4" s="113"/>
      <c r="AF4" s="113"/>
      <c r="AG4" s="113"/>
      <c r="AH4" s="9" t="str">
        <f>valuation.date.header</f>
        <v>Valuation Date:  September 30, 2024</v>
      </c>
    </row>
    <row r="5" spans="2:36" s="114" customFormat="1" ht="10.5"/>
    <row r="10" spans="2:36" s="53" customFormat="1" ht="12" customHeight="1">
      <c r="C10" s="58"/>
      <c r="D10" s="58"/>
      <c r="E10" s="58"/>
      <c r="F10" s="58"/>
      <c r="G10" s="58"/>
      <c r="H10" s="58"/>
      <c r="I10" s="58"/>
      <c r="J10" s="58"/>
      <c r="K10" s="58"/>
      <c r="L10" s="58"/>
      <c r="M10" s="64" t="str">
        <f>IF(stub.toggle="Yes",TEXT(stub.period,"0.0")&amp;" Months","12 Months")</f>
        <v>3.0 Months</v>
      </c>
      <c r="N10" s="64"/>
      <c r="O10" s="64"/>
      <c r="P10" s="64"/>
      <c r="Q10" s="64"/>
      <c r="R10" s="58"/>
      <c r="S10" s="58"/>
      <c r="T10" s="58"/>
      <c r="U10" s="58"/>
      <c r="V10" s="58"/>
      <c r="W10" s="58"/>
      <c r="X10" s="58"/>
      <c r="Y10" s="58"/>
      <c r="Z10" s="58"/>
      <c r="AA10" s="58"/>
      <c r="AB10" s="58"/>
      <c r="AC10" s="58"/>
      <c r="AD10" s="58"/>
      <c r="AE10" s="58"/>
      <c r="AF10" s="58"/>
      <c r="AG10" s="58"/>
    </row>
    <row r="11" spans="2:36" ht="12" customHeight="1">
      <c r="B11" s="53"/>
      <c r="C11" s="59"/>
      <c r="D11" s="59"/>
      <c r="E11" s="59"/>
      <c r="F11" s="59"/>
      <c r="G11" s="59"/>
      <c r="H11" s="59"/>
      <c r="I11" s="59"/>
      <c r="J11" s="59"/>
      <c r="K11" s="59"/>
      <c r="L11" s="59"/>
      <c r="M11" s="148">
        <f>projected.year1.end</f>
        <v>45657</v>
      </c>
      <c r="N11" s="148">
        <f t="shared" ref="N11:AG11" si="0">EOMONTH(M11,12)</f>
        <v>46022</v>
      </c>
      <c r="O11" s="148">
        <f t="shared" si="0"/>
        <v>46387</v>
      </c>
      <c r="P11" s="148">
        <f t="shared" si="0"/>
        <v>46752</v>
      </c>
      <c r="Q11" s="148">
        <f t="shared" si="0"/>
        <v>47118</v>
      </c>
      <c r="R11" s="148">
        <f t="shared" si="0"/>
        <v>47483</v>
      </c>
      <c r="S11" s="148">
        <f t="shared" si="0"/>
        <v>47848</v>
      </c>
      <c r="T11" s="148">
        <f t="shared" si="0"/>
        <v>48213</v>
      </c>
      <c r="U11" s="148">
        <f t="shared" si="0"/>
        <v>48579</v>
      </c>
      <c r="V11" s="148">
        <f t="shared" si="0"/>
        <v>48944</v>
      </c>
      <c r="W11" s="148">
        <f t="shared" si="0"/>
        <v>49309</v>
      </c>
      <c r="X11" s="148">
        <f t="shared" si="0"/>
        <v>49674</v>
      </c>
      <c r="Y11" s="148">
        <f t="shared" si="0"/>
        <v>50040</v>
      </c>
      <c r="Z11" s="148">
        <f t="shared" si="0"/>
        <v>50405</v>
      </c>
      <c r="AA11" s="148">
        <f t="shared" si="0"/>
        <v>50770</v>
      </c>
      <c r="AB11" s="148">
        <f t="shared" si="0"/>
        <v>51135</v>
      </c>
      <c r="AC11" s="148">
        <f t="shared" si="0"/>
        <v>51501</v>
      </c>
      <c r="AD11" s="148">
        <f t="shared" si="0"/>
        <v>51866</v>
      </c>
      <c r="AE11" s="148">
        <f t="shared" si="0"/>
        <v>52231</v>
      </c>
      <c r="AF11" s="148">
        <f t="shared" si="0"/>
        <v>52596</v>
      </c>
      <c r="AG11" s="148">
        <f t="shared" si="0"/>
        <v>52962</v>
      </c>
      <c r="AH11" s="53"/>
      <c r="AI11" s="53"/>
      <c r="AJ11" s="53"/>
    </row>
    <row r="12" spans="2:36" s="115" customFormat="1" ht="10.5">
      <c r="C12" s="144" t="s">
        <v>1526</v>
      </c>
      <c r="D12" s="144"/>
      <c r="E12" s="144"/>
      <c r="F12" s="144"/>
      <c r="G12" s="144"/>
      <c r="H12" s="144"/>
      <c r="I12" s="144"/>
      <c r="J12" s="144"/>
      <c r="K12" s="144"/>
      <c r="L12" s="151"/>
      <c r="M12" s="145"/>
      <c r="N12" s="145"/>
      <c r="O12" s="145"/>
      <c r="P12" s="145"/>
      <c r="Q12" s="145"/>
      <c r="R12" s="145"/>
      <c r="S12" s="145"/>
      <c r="T12" s="145"/>
      <c r="U12" s="145"/>
      <c r="V12" s="145"/>
      <c r="W12" s="145"/>
      <c r="X12" s="145"/>
      <c r="Y12" s="145"/>
      <c r="Z12" s="145"/>
      <c r="AA12" s="145"/>
      <c r="AB12" s="145"/>
      <c r="AC12" s="145"/>
      <c r="AD12" s="145"/>
      <c r="AE12" s="145"/>
      <c r="AF12" s="145"/>
      <c r="AG12" s="145"/>
    </row>
    <row r="13" spans="2:36">
      <c r="C13" s="53"/>
      <c r="D13" s="53"/>
      <c r="E13" s="53"/>
      <c r="F13" s="53"/>
      <c r="G13" s="53"/>
      <c r="H13" s="53"/>
      <c r="I13" s="53"/>
      <c r="J13" s="53"/>
      <c r="K13" s="53"/>
      <c r="L13" s="65"/>
      <c r="M13" s="65"/>
      <c r="N13" s="65"/>
      <c r="O13" s="65"/>
      <c r="P13" s="65"/>
      <c r="Q13" s="65"/>
      <c r="R13" s="65"/>
      <c r="S13" s="65"/>
      <c r="T13" s="65"/>
      <c r="U13" s="65"/>
      <c r="V13" s="65"/>
      <c r="W13" s="65"/>
      <c r="X13" s="65"/>
      <c r="Y13" s="65"/>
      <c r="Z13" s="65"/>
      <c r="AA13" s="65"/>
      <c r="AB13" s="65"/>
      <c r="AC13" s="65"/>
      <c r="AD13" s="65"/>
      <c r="AE13" s="65"/>
      <c r="AF13" s="65"/>
      <c r="AG13" s="65"/>
    </row>
    <row r="14" spans="2:36" ht="10.5">
      <c r="C14" s="53"/>
      <c r="D14" s="53" t="s">
        <v>1527</v>
      </c>
      <c r="E14" s="53"/>
      <c r="F14" s="53"/>
      <c r="G14" s="53"/>
      <c r="H14" s="53"/>
      <c r="I14" s="53"/>
      <c r="J14" s="53"/>
      <c r="K14" s="53"/>
      <c r="L14" s="118">
        <v>5</v>
      </c>
      <c r="M14" s="53"/>
      <c r="N14" s="53"/>
      <c r="O14" s="53"/>
      <c r="P14" s="53"/>
      <c r="Q14" s="53"/>
      <c r="R14" s="53"/>
      <c r="S14" s="53"/>
      <c r="T14" s="53"/>
      <c r="U14" s="53"/>
      <c r="V14" s="53"/>
      <c r="W14" s="53"/>
      <c r="X14" s="53"/>
      <c r="Y14" s="53"/>
      <c r="Z14" s="53"/>
      <c r="AA14" s="53"/>
      <c r="AB14" s="53"/>
      <c r="AC14" s="53"/>
      <c r="AD14" s="53"/>
      <c r="AE14" s="53"/>
      <c r="AF14" s="53"/>
      <c r="AG14" s="53"/>
    </row>
    <row r="15" spans="2:36">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row>
    <row r="16" spans="2:36" s="115" customFormat="1" ht="10.5">
      <c r="C16" s="52" t="s">
        <v>1528</v>
      </c>
      <c r="D16" s="52"/>
      <c r="E16" s="52"/>
      <c r="F16" s="52"/>
      <c r="G16" s="52"/>
      <c r="H16" s="52"/>
      <c r="I16" s="52"/>
      <c r="J16" s="52"/>
      <c r="K16" s="52"/>
      <c r="L16" s="52"/>
      <c r="M16" s="116">
        <f>L12</f>
        <v>0</v>
      </c>
      <c r="N16" s="116" t="e">
        <f>M64</f>
        <v>#REF!</v>
      </c>
      <c r="O16" s="116" t="e">
        <f t="shared" ref="O16:AG16" si="1">N64</f>
        <v>#REF!</v>
      </c>
      <c r="P16" s="116" t="e">
        <f t="shared" si="1"/>
        <v>#REF!</v>
      </c>
      <c r="Q16" s="116" t="e">
        <f t="shared" si="1"/>
        <v>#REF!</v>
      </c>
      <c r="R16" s="116" t="e">
        <f t="shared" si="1"/>
        <v>#REF!</v>
      </c>
      <c r="S16" s="116" t="e">
        <f t="shared" si="1"/>
        <v>#REF!</v>
      </c>
      <c r="T16" s="116" t="e">
        <f t="shared" si="1"/>
        <v>#REF!</v>
      </c>
      <c r="U16" s="116" t="e">
        <f t="shared" si="1"/>
        <v>#REF!</v>
      </c>
      <c r="V16" s="116" t="e">
        <f t="shared" si="1"/>
        <v>#REF!</v>
      </c>
      <c r="W16" s="116" t="e">
        <f t="shared" si="1"/>
        <v>#REF!</v>
      </c>
      <c r="X16" s="116" t="e">
        <f t="shared" si="1"/>
        <v>#REF!</v>
      </c>
      <c r="Y16" s="116" t="e">
        <f t="shared" si="1"/>
        <v>#REF!</v>
      </c>
      <c r="Z16" s="116" t="e">
        <f t="shared" si="1"/>
        <v>#REF!</v>
      </c>
      <c r="AA16" s="116" t="e">
        <f t="shared" si="1"/>
        <v>#REF!</v>
      </c>
      <c r="AB16" s="116" t="e">
        <f t="shared" si="1"/>
        <v>#REF!</v>
      </c>
      <c r="AC16" s="116" t="e">
        <f t="shared" si="1"/>
        <v>#REF!</v>
      </c>
      <c r="AD16" s="116" t="e">
        <f t="shared" si="1"/>
        <v>#REF!</v>
      </c>
      <c r="AE16" s="116" t="e">
        <f t="shared" si="1"/>
        <v>#REF!</v>
      </c>
      <c r="AF16" s="116" t="e">
        <f t="shared" si="1"/>
        <v>#REF!</v>
      </c>
      <c r="AG16" s="116" t="e">
        <f t="shared" si="1"/>
        <v>#REF!</v>
      </c>
    </row>
    <row r="17" spans="3:36">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row>
    <row r="18" spans="3:36" s="115" customFormat="1" ht="10.5">
      <c r="C18" s="52" t="s">
        <v>1529</v>
      </c>
      <c r="D18" s="52"/>
      <c r="E18" s="52"/>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row>
    <row r="19" spans="3:36">
      <c r="C19" s="53"/>
      <c r="D19" s="53" t="s">
        <v>1530</v>
      </c>
      <c r="E19" s="53"/>
      <c r="F19" s="53"/>
      <c r="G19" s="53"/>
      <c r="H19" s="53"/>
      <c r="I19" s="53"/>
      <c r="J19" s="53"/>
      <c r="K19" s="53"/>
      <c r="L19" s="53"/>
      <c r="M19" s="119" t="e">
        <f>IS!#REF!</f>
        <v>#REF!</v>
      </c>
      <c r="N19" s="119" t="e">
        <f>IS!#REF!</f>
        <v>#REF!</v>
      </c>
      <c r="O19" s="119" t="e">
        <f>IS!#REF!</f>
        <v>#REF!</v>
      </c>
      <c r="P19" s="119" t="e">
        <f>IS!#REF!</f>
        <v>#REF!</v>
      </c>
      <c r="Q19" s="119" t="e">
        <f>IS!#REF!</f>
        <v>#REF!</v>
      </c>
      <c r="R19" s="119" t="e">
        <f>IS!#REF!</f>
        <v>#REF!</v>
      </c>
      <c r="S19" s="119" t="e">
        <f>IS!#REF!</f>
        <v>#REF!</v>
      </c>
      <c r="T19" s="119" t="e">
        <f>IS!#REF!</f>
        <v>#REF!</v>
      </c>
      <c r="U19" s="119" t="e">
        <f>IS!#REF!</f>
        <v>#REF!</v>
      </c>
      <c r="V19" s="119" t="e">
        <f>IS!#REF!</f>
        <v>#REF!</v>
      </c>
      <c r="W19" s="119" t="e">
        <f>IS!#REF!</f>
        <v>#REF!</v>
      </c>
      <c r="X19" s="119" t="e">
        <f>IS!#REF!</f>
        <v>#REF!</v>
      </c>
      <c r="Y19" s="119" t="e">
        <f>IS!#REF!</f>
        <v>#REF!</v>
      </c>
      <c r="Z19" s="119" t="e">
        <f>IS!#REF!</f>
        <v>#REF!</v>
      </c>
      <c r="AA19" s="119" t="e">
        <f>IS!#REF!</f>
        <v>#REF!</v>
      </c>
      <c r="AB19" s="119" t="e">
        <f>IS!#REF!</f>
        <v>#REF!</v>
      </c>
      <c r="AC19" s="119" t="e">
        <f>IS!#REF!</f>
        <v>#REF!</v>
      </c>
      <c r="AD19" s="119" t="e">
        <f>IS!#REF!</f>
        <v>#REF!</v>
      </c>
      <c r="AE19" s="119" t="e">
        <f>IS!#REF!</f>
        <v>#REF!</v>
      </c>
      <c r="AF19" s="119" t="e">
        <f>IS!#REF!</f>
        <v>#REF!</v>
      </c>
      <c r="AG19" s="119" t="e">
        <f>IS!#REF!</f>
        <v>#REF!</v>
      </c>
    </row>
    <row r="20" spans="3:36">
      <c r="C20" s="53"/>
      <c r="D20" s="53"/>
      <c r="E20" s="53"/>
      <c r="F20" s="53"/>
      <c r="G20" s="53"/>
      <c r="H20" s="53"/>
      <c r="I20" s="53"/>
      <c r="J20" s="53"/>
      <c r="K20" s="53"/>
      <c r="L20" s="53"/>
      <c r="M20" s="120"/>
      <c r="N20" s="120"/>
      <c r="O20" s="120"/>
      <c r="P20" s="120"/>
      <c r="Q20" s="120"/>
      <c r="R20" s="120"/>
      <c r="S20" s="120"/>
      <c r="T20" s="120"/>
      <c r="U20" s="120"/>
      <c r="V20" s="120"/>
      <c r="W20" s="120"/>
      <c r="X20" s="120"/>
      <c r="Y20" s="120"/>
      <c r="Z20" s="120"/>
      <c r="AA20" s="120"/>
      <c r="AB20" s="120"/>
      <c r="AC20" s="120"/>
      <c r="AD20" s="120"/>
      <c r="AE20" s="120"/>
      <c r="AF20" s="120"/>
      <c r="AG20" s="120"/>
    </row>
    <row r="21" spans="3:36" ht="10.5">
      <c r="C21" s="53"/>
      <c r="D21" s="53"/>
      <c r="E21" s="53"/>
      <c r="F21" s="53"/>
      <c r="G21" s="53"/>
      <c r="H21" s="53"/>
      <c r="I21" s="53"/>
      <c r="J21" s="52" t="s">
        <v>1531</v>
      </c>
      <c r="K21" s="53"/>
      <c r="L21" s="76" t="s">
        <v>1532</v>
      </c>
      <c r="M21" s="120"/>
      <c r="N21" s="120"/>
      <c r="O21" s="120"/>
      <c r="P21" s="120"/>
      <c r="Q21" s="120"/>
      <c r="R21" s="120"/>
      <c r="S21" s="120"/>
      <c r="T21" s="120"/>
      <c r="U21" s="120"/>
      <c r="V21" s="120"/>
      <c r="W21" s="120"/>
      <c r="X21" s="120"/>
      <c r="Y21" s="120"/>
      <c r="Z21" s="120"/>
      <c r="AA21" s="120"/>
      <c r="AB21" s="120"/>
      <c r="AC21" s="120"/>
      <c r="AD21" s="120"/>
      <c r="AE21" s="120"/>
      <c r="AF21" s="120"/>
      <c r="AG21" s="120"/>
    </row>
    <row r="22" spans="3:36" ht="13.5">
      <c r="C22" s="53"/>
      <c r="D22" s="53"/>
      <c r="E22" s="53"/>
      <c r="F22" s="53"/>
      <c r="G22" s="53"/>
      <c r="H22" s="53"/>
      <c r="I22" s="53"/>
      <c r="J22" s="53"/>
      <c r="K22" s="121" t="s">
        <v>1533</v>
      </c>
      <c r="L22" s="121" t="s">
        <v>1534</v>
      </c>
      <c r="M22" s="120"/>
      <c r="N22" s="120"/>
      <c r="O22" s="120"/>
      <c r="P22" s="120"/>
      <c r="Q22" s="120"/>
      <c r="R22" s="120"/>
      <c r="S22" s="120"/>
      <c r="T22" s="120"/>
      <c r="U22" s="120"/>
      <c r="V22" s="120"/>
      <c r="W22" s="120"/>
      <c r="X22" s="120"/>
      <c r="Y22" s="120"/>
      <c r="Z22" s="120"/>
      <c r="AA22" s="120"/>
      <c r="AB22" s="120"/>
      <c r="AC22" s="120"/>
      <c r="AD22" s="120"/>
      <c r="AE22" s="120"/>
      <c r="AF22" s="120"/>
      <c r="AG22" s="120"/>
    </row>
    <row r="23" spans="3:36">
      <c r="C23" s="53"/>
      <c r="D23" s="53"/>
      <c r="E23" s="53"/>
      <c r="F23" s="53"/>
      <c r="G23" s="53"/>
      <c r="H23" s="53"/>
      <c r="I23" s="53"/>
      <c r="J23" s="53"/>
      <c r="K23" s="152">
        <v>0</v>
      </c>
      <c r="L23" s="65">
        <v>3</v>
      </c>
      <c r="M23" s="152">
        <f t="shared" ref="M23:M28" si="2">1/$L23/2</f>
        <v>0.16666666666666666</v>
      </c>
      <c r="N23" s="152">
        <f t="shared" ref="N23:O28" si="3">1/$L23</f>
        <v>0.33333333333333331</v>
      </c>
      <c r="O23" s="152">
        <f t="shared" si="3"/>
        <v>0.33333333333333331</v>
      </c>
      <c r="P23" s="152">
        <f>1/$L23/2</f>
        <v>0.16666666666666666</v>
      </c>
      <c r="Q23" s="152">
        <v>0</v>
      </c>
      <c r="R23" s="152">
        <v>0</v>
      </c>
      <c r="S23" s="152">
        <v>0</v>
      </c>
      <c r="T23" s="152">
        <v>0</v>
      </c>
      <c r="U23" s="152">
        <v>0</v>
      </c>
      <c r="V23" s="152">
        <v>0</v>
      </c>
      <c r="W23" s="152">
        <v>0</v>
      </c>
      <c r="X23" s="152">
        <v>0</v>
      </c>
      <c r="Y23" s="152">
        <v>0</v>
      </c>
      <c r="Z23" s="152">
        <v>0</v>
      </c>
      <c r="AA23" s="152">
        <v>0</v>
      </c>
      <c r="AB23" s="152">
        <v>0</v>
      </c>
      <c r="AC23" s="152">
        <v>0</v>
      </c>
      <c r="AD23" s="152">
        <v>0</v>
      </c>
      <c r="AE23" s="152">
        <v>0</v>
      </c>
      <c r="AF23" s="152">
        <v>0</v>
      </c>
      <c r="AG23" s="152">
        <v>0</v>
      </c>
      <c r="AI23" s="123">
        <f t="shared" ref="AI23:AI28" si="4">SUM(M23:AG23)</f>
        <v>0.99999999999999989</v>
      </c>
      <c r="AJ23" s="123"/>
    </row>
    <row r="24" spans="3:36">
      <c r="C24" s="53"/>
      <c r="D24" s="53"/>
      <c r="E24" s="53"/>
      <c r="F24" s="53"/>
      <c r="G24" s="53"/>
      <c r="H24" s="53"/>
      <c r="I24" s="53"/>
      <c r="J24" s="53"/>
      <c r="K24" s="152">
        <v>0</v>
      </c>
      <c r="L24" s="65">
        <v>5</v>
      </c>
      <c r="M24" s="152">
        <f t="shared" si="2"/>
        <v>0.1</v>
      </c>
      <c r="N24" s="152">
        <f t="shared" si="3"/>
        <v>0.2</v>
      </c>
      <c r="O24" s="152">
        <f t="shared" si="3"/>
        <v>0.2</v>
      </c>
      <c r="P24" s="152">
        <f t="shared" ref="P24:Q28" si="5">1/$L24</f>
        <v>0.2</v>
      </c>
      <c r="Q24" s="152">
        <f t="shared" si="5"/>
        <v>0.2</v>
      </c>
      <c r="R24" s="152">
        <f>1/$L24/2</f>
        <v>0.1</v>
      </c>
      <c r="S24" s="152">
        <v>0</v>
      </c>
      <c r="T24" s="152">
        <v>0</v>
      </c>
      <c r="U24" s="152">
        <v>0</v>
      </c>
      <c r="V24" s="152">
        <v>0</v>
      </c>
      <c r="W24" s="152">
        <v>0</v>
      </c>
      <c r="X24" s="152">
        <v>0</v>
      </c>
      <c r="Y24" s="152">
        <v>0</v>
      </c>
      <c r="Z24" s="152">
        <v>0</v>
      </c>
      <c r="AA24" s="152">
        <v>0</v>
      </c>
      <c r="AB24" s="152">
        <v>0</v>
      </c>
      <c r="AC24" s="152">
        <v>0</v>
      </c>
      <c r="AD24" s="152">
        <v>0</v>
      </c>
      <c r="AE24" s="152">
        <v>0</v>
      </c>
      <c r="AF24" s="152">
        <v>0</v>
      </c>
      <c r="AG24" s="152">
        <v>0</v>
      </c>
      <c r="AI24" s="123">
        <f t="shared" si="4"/>
        <v>0.99999999999999989</v>
      </c>
      <c r="AJ24" s="123"/>
    </row>
    <row r="25" spans="3:36">
      <c r="C25" s="53"/>
      <c r="D25" s="53"/>
      <c r="E25" s="53"/>
      <c r="F25" s="53"/>
      <c r="G25" s="53"/>
      <c r="H25" s="53"/>
      <c r="I25" s="53"/>
      <c r="J25" s="53"/>
      <c r="K25" s="152">
        <v>0</v>
      </c>
      <c r="L25" s="65">
        <v>7</v>
      </c>
      <c r="M25" s="152">
        <f t="shared" si="2"/>
        <v>7.1428571428571425E-2</v>
      </c>
      <c r="N25" s="152">
        <f t="shared" si="3"/>
        <v>0.14285714285714285</v>
      </c>
      <c r="O25" s="152">
        <f t="shared" si="3"/>
        <v>0.14285714285714285</v>
      </c>
      <c r="P25" s="152">
        <f t="shared" si="5"/>
        <v>0.14285714285714285</v>
      </c>
      <c r="Q25" s="152">
        <f t="shared" si="5"/>
        <v>0.14285714285714285</v>
      </c>
      <c r="R25" s="152">
        <f t="shared" ref="R25:S28" si="6">1/$L25</f>
        <v>0.14285714285714285</v>
      </c>
      <c r="S25" s="152">
        <f t="shared" si="6"/>
        <v>0.14285714285714285</v>
      </c>
      <c r="T25" s="152">
        <f>1/$L25/2</f>
        <v>7.1428571428571425E-2</v>
      </c>
      <c r="U25" s="152">
        <v>0</v>
      </c>
      <c r="V25" s="152">
        <v>0</v>
      </c>
      <c r="W25" s="152">
        <v>0</v>
      </c>
      <c r="X25" s="152">
        <v>0</v>
      </c>
      <c r="Y25" s="152">
        <v>0</v>
      </c>
      <c r="Z25" s="152">
        <v>0</v>
      </c>
      <c r="AA25" s="152">
        <v>0</v>
      </c>
      <c r="AB25" s="152">
        <v>0</v>
      </c>
      <c r="AC25" s="152">
        <v>0</v>
      </c>
      <c r="AD25" s="152">
        <v>0</v>
      </c>
      <c r="AE25" s="152">
        <v>0</v>
      </c>
      <c r="AF25" s="152">
        <v>0</v>
      </c>
      <c r="AG25" s="152">
        <v>0</v>
      </c>
      <c r="AI25" s="123">
        <f t="shared" si="4"/>
        <v>0.99999999999999978</v>
      </c>
      <c r="AJ25" s="123"/>
    </row>
    <row r="26" spans="3:36">
      <c r="C26" s="53"/>
      <c r="D26" s="53"/>
      <c r="E26" s="53"/>
      <c r="F26" s="53"/>
      <c r="G26" s="53"/>
      <c r="H26" s="53"/>
      <c r="I26" s="53"/>
      <c r="J26" s="53"/>
      <c r="K26" s="152">
        <v>0</v>
      </c>
      <c r="L26" s="65">
        <v>10</v>
      </c>
      <c r="M26" s="152">
        <f t="shared" si="2"/>
        <v>0.05</v>
      </c>
      <c r="N26" s="152">
        <f t="shared" si="3"/>
        <v>0.1</v>
      </c>
      <c r="O26" s="152">
        <f t="shared" si="3"/>
        <v>0.1</v>
      </c>
      <c r="P26" s="152">
        <f t="shared" si="5"/>
        <v>0.1</v>
      </c>
      <c r="Q26" s="152">
        <f t="shared" si="5"/>
        <v>0.1</v>
      </c>
      <c r="R26" s="152">
        <f t="shared" si="6"/>
        <v>0.1</v>
      </c>
      <c r="S26" s="152">
        <f t="shared" si="6"/>
        <v>0.1</v>
      </c>
      <c r="T26" s="152">
        <f t="shared" ref="T26:V28" si="7">1/$L26</f>
        <v>0.1</v>
      </c>
      <c r="U26" s="152">
        <f t="shared" si="7"/>
        <v>0.1</v>
      </c>
      <c r="V26" s="152">
        <f t="shared" si="7"/>
        <v>0.1</v>
      </c>
      <c r="W26" s="152">
        <f>1/$L26/2</f>
        <v>0.05</v>
      </c>
      <c r="X26" s="152">
        <v>0</v>
      </c>
      <c r="Y26" s="152">
        <v>0</v>
      </c>
      <c r="Z26" s="152">
        <v>0</v>
      </c>
      <c r="AA26" s="152">
        <v>0</v>
      </c>
      <c r="AB26" s="152">
        <v>0</v>
      </c>
      <c r="AC26" s="152">
        <v>0</v>
      </c>
      <c r="AD26" s="152">
        <v>0</v>
      </c>
      <c r="AE26" s="152">
        <v>0</v>
      </c>
      <c r="AF26" s="152">
        <v>0</v>
      </c>
      <c r="AG26" s="152">
        <v>0</v>
      </c>
      <c r="AI26" s="123">
        <f t="shared" si="4"/>
        <v>0.99999999999999989</v>
      </c>
      <c r="AJ26" s="123"/>
    </row>
    <row r="27" spans="3:36">
      <c r="C27" s="53"/>
      <c r="D27" s="53"/>
      <c r="E27" s="53"/>
      <c r="F27" s="53"/>
      <c r="G27" s="53"/>
      <c r="H27" s="53"/>
      <c r="I27" s="53"/>
      <c r="J27" s="53"/>
      <c r="K27" s="152">
        <v>0</v>
      </c>
      <c r="L27" s="65">
        <v>15</v>
      </c>
      <c r="M27" s="152">
        <f t="shared" si="2"/>
        <v>3.3333333333333333E-2</v>
      </c>
      <c r="N27" s="152">
        <f t="shared" si="3"/>
        <v>6.6666666666666666E-2</v>
      </c>
      <c r="O27" s="152">
        <f t="shared" si="3"/>
        <v>6.6666666666666666E-2</v>
      </c>
      <c r="P27" s="152">
        <f t="shared" si="5"/>
        <v>6.6666666666666666E-2</v>
      </c>
      <c r="Q27" s="152">
        <f t="shared" si="5"/>
        <v>6.6666666666666666E-2</v>
      </c>
      <c r="R27" s="152">
        <f t="shared" si="6"/>
        <v>6.6666666666666666E-2</v>
      </c>
      <c r="S27" s="152">
        <f t="shared" si="6"/>
        <v>6.6666666666666666E-2</v>
      </c>
      <c r="T27" s="152">
        <f t="shared" si="7"/>
        <v>6.6666666666666666E-2</v>
      </c>
      <c r="U27" s="152">
        <f t="shared" si="7"/>
        <v>6.6666666666666666E-2</v>
      </c>
      <c r="V27" s="152">
        <f t="shared" si="7"/>
        <v>6.6666666666666666E-2</v>
      </c>
      <c r="W27" s="152">
        <f t="shared" ref="W27:AA28" si="8">1/$L27</f>
        <v>6.6666666666666666E-2</v>
      </c>
      <c r="X27" s="152">
        <f t="shared" si="8"/>
        <v>6.6666666666666666E-2</v>
      </c>
      <c r="Y27" s="152">
        <f t="shared" si="8"/>
        <v>6.6666666666666666E-2</v>
      </c>
      <c r="Z27" s="152">
        <f t="shared" si="8"/>
        <v>6.6666666666666666E-2</v>
      </c>
      <c r="AA27" s="152">
        <f t="shared" si="8"/>
        <v>6.6666666666666666E-2</v>
      </c>
      <c r="AB27" s="152">
        <f>1/$L27/2</f>
        <v>3.3333333333333333E-2</v>
      </c>
      <c r="AC27" s="152">
        <v>0</v>
      </c>
      <c r="AD27" s="152">
        <v>0</v>
      </c>
      <c r="AE27" s="152">
        <v>0</v>
      </c>
      <c r="AF27" s="152">
        <v>0</v>
      </c>
      <c r="AG27" s="152">
        <v>0</v>
      </c>
      <c r="AI27" s="123">
        <f t="shared" si="4"/>
        <v>0.99999999999999989</v>
      </c>
      <c r="AJ27" s="123"/>
    </row>
    <row r="28" spans="3:36">
      <c r="C28" s="53"/>
      <c r="D28" s="53"/>
      <c r="E28" s="53"/>
      <c r="F28" s="53"/>
      <c r="G28" s="53"/>
      <c r="H28" s="53"/>
      <c r="I28" s="53"/>
      <c r="J28" s="53"/>
      <c r="K28" s="152">
        <v>0</v>
      </c>
      <c r="L28" s="65">
        <v>39</v>
      </c>
      <c r="M28" s="152">
        <f t="shared" si="2"/>
        <v>1.282051282051282E-2</v>
      </c>
      <c r="N28" s="152">
        <f t="shared" si="3"/>
        <v>2.564102564102564E-2</v>
      </c>
      <c r="O28" s="152">
        <f t="shared" si="3"/>
        <v>2.564102564102564E-2</v>
      </c>
      <c r="P28" s="152">
        <f t="shared" si="5"/>
        <v>2.564102564102564E-2</v>
      </c>
      <c r="Q28" s="152">
        <f t="shared" si="5"/>
        <v>2.564102564102564E-2</v>
      </c>
      <c r="R28" s="152">
        <f t="shared" si="6"/>
        <v>2.564102564102564E-2</v>
      </c>
      <c r="S28" s="152">
        <f t="shared" si="6"/>
        <v>2.564102564102564E-2</v>
      </c>
      <c r="T28" s="152">
        <f t="shared" si="7"/>
        <v>2.564102564102564E-2</v>
      </c>
      <c r="U28" s="152">
        <f t="shared" si="7"/>
        <v>2.564102564102564E-2</v>
      </c>
      <c r="V28" s="152">
        <f t="shared" si="7"/>
        <v>2.564102564102564E-2</v>
      </c>
      <c r="W28" s="152">
        <f t="shared" si="8"/>
        <v>2.564102564102564E-2</v>
      </c>
      <c r="X28" s="152">
        <f t="shared" si="8"/>
        <v>2.564102564102564E-2</v>
      </c>
      <c r="Y28" s="152">
        <f t="shared" si="8"/>
        <v>2.564102564102564E-2</v>
      </c>
      <c r="Z28" s="152">
        <f t="shared" si="8"/>
        <v>2.564102564102564E-2</v>
      </c>
      <c r="AA28" s="152">
        <f t="shared" si="8"/>
        <v>2.564102564102564E-2</v>
      </c>
      <c r="AB28" s="152">
        <f t="shared" ref="AB28:AG28" si="9">1/$L28</f>
        <v>2.564102564102564E-2</v>
      </c>
      <c r="AC28" s="152">
        <f t="shared" si="9"/>
        <v>2.564102564102564E-2</v>
      </c>
      <c r="AD28" s="152">
        <f t="shared" si="9"/>
        <v>2.564102564102564E-2</v>
      </c>
      <c r="AE28" s="152">
        <f t="shared" si="9"/>
        <v>2.564102564102564E-2</v>
      </c>
      <c r="AF28" s="152">
        <f t="shared" si="9"/>
        <v>2.564102564102564E-2</v>
      </c>
      <c r="AG28" s="152">
        <f t="shared" si="9"/>
        <v>2.564102564102564E-2</v>
      </c>
      <c r="AI28" s="123">
        <f t="shared" si="4"/>
        <v>0.52564102564102577</v>
      </c>
      <c r="AJ28" s="123"/>
    </row>
    <row r="29" spans="3:36">
      <c r="C29" s="53"/>
      <c r="D29" s="53"/>
      <c r="E29" s="53"/>
      <c r="F29" s="53"/>
      <c r="G29" s="53"/>
      <c r="H29" s="53"/>
      <c r="I29" s="53"/>
      <c r="J29" s="53"/>
      <c r="K29" s="53"/>
      <c r="L29" s="53"/>
      <c r="M29" s="124"/>
      <c r="N29" s="124"/>
      <c r="O29" s="124"/>
      <c r="P29" s="124"/>
      <c r="Q29" s="124"/>
      <c r="R29" s="124"/>
      <c r="S29" s="124"/>
      <c r="T29" s="124"/>
      <c r="U29" s="124"/>
      <c r="V29" s="124"/>
      <c r="W29" s="124"/>
      <c r="X29" s="124"/>
      <c r="Y29" s="124"/>
      <c r="Z29" s="124"/>
      <c r="AA29" s="124"/>
      <c r="AB29" s="124"/>
      <c r="AC29" s="124"/>
      <c r="AD29" s="124"/>
      <c r="AE29" s="124"/>
      <c r="AF29" s="124"/>
      <c r="AG29" s="124"/>
      <c r="AH29" s="75"/>
      <c r="AI29" s="75"/>
    </row>
    <row r="30" spans="3:36" ht="10.5">
      <c r="C30" s="53"/>
      <c r="D30" s="53"/>
      <c r="E30" s="53"/>
      <c r="F30" s="53"/>
      <c r="G30" s="53"/>
      <c r="H30" s="53"/>
      <c r="I30" s="53"/>
      <c r="J30" s="52" t="s">
        <v>1535</v>
      </c>
      <c r="K30" s="53"/>
      <c r="L30" s="76" t="s">
        <v>1532</v>
      </c>
      <c r="M30" s="124"/>
      <c r="N30" s="124"/>
      <c r="O30" s="124"/>
      <c r="P30" s="124"/>
      <c r="Q30" s="124"/>
      <c r="R30" s="124"/>
      <c r="S30" s="124"/>
      <c r="T30" s="124"/>
      <c r="U30" s="124"/>
      <c r="V30" s="124"/>
      <c r="W30" s="124"/>
      <c r="X30" s="124"/>
      <c r="Y30" s="124"/>
      <c r="Z30" s="124"/>
      <c r="AA30" s="124"/>
      <c r="AB30" s="124"/>
      <c r="AC30" s="124"/>
      <c r="AD30" s="124"/>
      <c r="AE30" s="124"/>
      <c r="AF30" s="124"/>
      <c r="AG30" s="124"/>
      <c r="AH30" s="75"/>
      <c r="AI30" s="75"/>
    </row>
    <row r="31" spans="3:36" ht="13.5">
      <c r="C31" s="53"/>
      <c r="D31" s="53"/>
      <c r="E31" s="53"/>
      <c r="F31" s="53"/>
      <c r="G31" s="53"/>
      <c r="H31" s="53"/>
      <c r="I31" s="53"/>
      <c r="J31" s="53"/>
      <c r="K31" s="121" t="s">
        <v>1533</v>
      </c>
      <c r="L31" s="121" t="s">
        <v>1534</v>
      </c>
      <c r="M31" s="124"/>
      <c r="N31" s="124"/>
      <c r="O31" s="124"/>
      <c r="P31" s="124"/>
      <c r="Q31" s="124"/>
      <c r="R31" s="124"/>
      <c r="S31" s="124"/>
      <c r="T31" s="124"/>
      <c r="U31" s="124"/>
      <c r="V31" s="124"/>
      <c r="W31" s="124"/>
      <c r="X31" s="124"/>
      <c r="Y31" s="124"/>
      <c r="Z31" s="124"/>
      <c r="AA31" s="124"/>
      <c r="AB31" s="124"/>
      <c r="AC31" s="124"/>
      <c r="AD31" s="124"/>
      <c r="AE31" s="124"/>
      <c r="AF31" s="124"/>
      <c r="AG31" s="124"/>
      <c r="AH31" s="75"/>
      <c r="AI31" s="75"/>
    </row>
    <row r="32" spans="3:36">
      <c r="C32" s="53"/>
      <c r="D32" s="53"/>
      <c r="E32" s="53"/>
      <c r="F32" s="53"/>
      <c r="G32" s="53"/>
      <c r="H32" s="53"/>
      <c r="I32" s="53"/>
      <c r="J32" s="53"/>
      <c r="K32" s="74">
        <f>SUM(K23:K29)</f>
        <v>0</v>
      </c>
      <c r="L32" s="73">
        <f>SUMPRODUCT(K23:K29,L23:L29)</f>
        <v>0</v>
      </c>
      <c r="M32" s="74">
        <f t="shared" ref="M32:AG32" si="10">SUMPRODUCT($K$23:$K$29,M23:M29)</f>
        <v>0</v>
      </c>
      <c r="N32" s="74">
        <f t="shared" si="10"/>
        <v>0</v>
      </c>
      <c r="O32" s="74">
        <f t="shared" si="10"/>
        <v>0</v>
      </c>
      <c r="P32" s="74">
        <f t="shared" si="10"/>
        <v>0</v>
      </c>
      <c r="Q32" s="74">
        <f t="shared" si="10"/>
        <v>0</v>
      </c>
      <c r="R32" s="74">
        <f t="shared" si="10"/>
        <v>0</v>
      </c>
      <c r="S32" s="74">
        <f t="shared" si="10"/>
        <v>0</v>
      </c>
      <c r="T32" s="74">
        <f t="shared" si="10"/>
        <v>0</v>
      </c>
      <c r="U32" s="74">
        <f t="shared" si="10"/>
        <v>0</v>
      </c>
      <c r="V32" s="74">
        <f t="shared" si="10"/>
        <v>0</v>
      </c>
      <c r="W32" s="74">
        <f t="shared" si="10"/>
        <v>0</v>
      </c>
      <c r="X32" s="74">
        <f t="shared" si="10"/>
        <v>0</v>
      </c>
      <c r="Y32" s="74">
        <f t="shared" si="10"/>
        <v>0</v>
      </c>
      <c r="Z32" s="74">
        <f t="shared" si="10"/>
        <v>0</v>
      </c>
      <c r="AA32" s="74">
        <f t="shared" si="10"/>
        <v>0</v>
      </c>
      <c r="AB32" s="74">
        <f t="shared" si="10"/>
        <v>0</v>
      </c>
      <c r="AC32" s="74">
        <f t="shared" si="10"/>
        <v>0</v>
      </c>
      <c r="AD32" s="74">
        <f t="shared" si="10"/>
        <v>0</v>
      </c>
      <c r="AE32" s="74">
        <f t="shared" si="10"/>
        <v>0</v>
      </c>
      <c r="AF32" s="74">
        <f t="shared" si="10"/>
        <v>0</v>
      </c>
      <c r="AG32" s="74">
        <f t="shared" si="10"/>
        <v>0</v>
      </c>
      <c r="AH32" s="75"/>
      <c r="AI32" s="122">
        <f>SUM(M32:AG32)</f>
        <v>0</v>
      </c>
      <c r="AJ32" s="123"/>
    </row>
    <row r="33" spans="3:48">
      <c r="C33" s="53"/>
      <c r="D33" s="53"/>
      <c r="E33" s="53"/>
      <c r="F33" s="53"/>
      <c r="G33" s="53"/>
      <c r="H33" s="53"/>
      <c r="I33" s="53"/>
      <c r="J33" s="53"/>
      <c r="K33" s="53"/>
      <c r="L33" s="53"/>
      <c r="M33" s="120"/>
      <c r="N33" s="120"/>
      <c r="O33" s="120"/>
      <c r="P33" s="120"/>
      <c r="Q33" s="120"/>
      <c r="R33" s="120"/>
      <c r="S33" s="120"/>
      <c r="T33" s="120"/>
      <c r="U33" s="120"/>
      <c r="V33" s="120"/>
      <c r="W33" s="120"/>
      <c r="X33" s="120"/>
      <c r="Y33" s="120"/>
      <c r="Z33" s="120"/>
      <c r="AA33" s="120"/>
      <c r="AB33" s="120"/>
      <c r="AC33" s="120"/>
      <c r="AD33" s="120"/>
      <c r="AE33" s="120"/>
      <c r="AF33" s="120"/>
      <c r="AG33" s="120"/>
    </row>
    <row r="34" spans="3:48" s="115" customFormat="1" ht="13.5">
      <c r="C34" s="52" t="s">
        <v>1536</v>
      </c>
      <c r="D34" s="52"/>
      <c r="E34" s="52"/>
      <c r="F34" s="52"/>
      <c r="G34" s="52"/>
      <c r="H34" s="52"/>
      <c r="I34" s="52"/>
      <c r="J34" s="52"/>
      <c r="K34" s="52"/>
      <c r="L34" s="52"/>
      <c r="M34" s="117"/>
      <c r="N34" s="117"/>
      <c r="O34" s="117"/>
      <c r="P34" s="117"/>
      <c r="Q34" s="117"/>
      <c r="R34" s="117"/>
      <c r="S34" s="117"/>
      <c r="T34" s="117"/>
      <c r="U34" s="117"/>
      <c r="V34" s="117"/>
      <c r="W34" s="117"/>
      <c r="X34" s="117"/>
      <c r="Y34" s="117"/>
      <c r="Z34" s="117"/>
      <c r="AA34" s="117"/>
      <c r="AB34" s="117"/>
      <c r="AC34" s="117"/>
      <c r="AD34" s="117"/>
      <c r="AE34" s="117"/>
      <c r="AF34" s="117"/>
      <c r="AG34" s="117"/>
      <c r="AI34" s="125"/>
      <c r="AJ34" s="125"/>
      <c r="AK34" s="125"/>
      <c r="AL34" s="126"/>
      <c r="AM34" s="126"/>
      <c r="AN34" s="126"/>
      <c r="AO34" s="126"/>
      <c r="AP34" s="126"/>
      <c r="AQ34" s="126"/>
      <c r="AR34" s="126"/>
      <c r="AS34" s="126"/>
      <c r="AT34" s="126"/>
      <c r="AU34" s="126"/>
      <c r="AV34" s="126"/>
    </row>
    <row r="35" spans="3:48">
      <c r="C35" s="53"/>
      <c r="D35" s="127"/>
      <c r="E35" s="53"/>
      <c r="F35" s="53"/>
      <c r="G35" s="53"/>
      <c r="H35" s="53"/>
      <c r="I35" s="53"/>
      <c r="J35" s="53"/>
      <c r="K35" s="127">
        <f>M11</f>
        <v>45657</v>
      </c>
      <c r="L35" s="119" t="e">
        <f>$M$19</f>
        <v>#REF!</v>
      </c>
      <c r="M35" s="65" t="e">
        <f t="shared" ref="M35:AG35" si="11">$L35*M$32</f>
        <v>#REF!</v>
      </c>
      <c r="N35" s="65" t="e">
        <f t="shared" si="11"/>
        <v>#REF!</v>
      </c>
      <c r="O35" s="65" t="e">
        <f t="shared" si="11"/>
        <v>#REF!</v>
      </c>
      <c r="P35" s="65" t="e">
        <f t="shared" si="11"/>
        <v>#REF!</v>
      </c>
      <c r="Q35" s="65" t="e">
        <f t="shared" si="11"/>
        <v>#REF!</v>
      </c>
      <c r="R35" s="65" t="e">
        <f t="shared" si="11"/>
        <v>#REF!</v>
      </c>
      <c r="S35" s="65" t="e">
        <f t="shared" si="11"/>
        <v>#REF!</v>
      </c>
      <c r="T35" s="65" t="e">
        <f t="shared" si="11"/>
        <v>#REF!</v>
      </c>
      <c r="U35" s="65" t="e">
        <f t="shared" si="11"/>
        <v>#REF!</v>
      </c>
      <c r="V35" s="65" t="e">
        <f t="shared" si="11"/>
        <v>#REF!</v>
      </c>
      <c r="W35" s="65" t="e">
        <f t="shared" si="11"/>
        <v>#REF!</v>
      </c>
      <c r="X35" s="65" t="e">
        <f t="shared" si="11"/>
        <v>#REF!</v>
      </c>
      <c r="Y35" s="65" t="e">
        <f t="shared" si="11"/>
        <v>#REF!</v>
      </c>
      <c r="Z35" s="65" t="e">
        <f t="shared" si="11"/>
        <v>#REF!</v>
      </c>
      <c r="AA35" s="65" t="e">
        <f t="shared" si="11"/>
        <v>#REF!</v>
      </c>
      <c r="AB35" s="65" t="e">
        <f t="shared" si="11"/>
        <v>#REF!</v>
      </c>
      <c r="AC35" s="65" t="e">
        <f t="shared" si="11"/>
        <v>#REF!</v>
      </c>
      <c r="AD35" s="65" t="e">
        <f t="shared" si="11"/>
        <v>#REF!</v>
      </c>
      <c r="AE35" s="65" t="e">
        <f t="shared" si="11"/>
        <v>#REF!</v>
      </c>
      <c r="AF35" s="65" t="e">
        <f t="shared" si="11"/>
        <v>#REF!</v>
      </c>
      <c r="AG35" s="65" t="e">
        <f t="shared" si="11"/>
        <v>#REF!</v>
      </c>
      <c r="AI35" s="128" t="e">
        <f t="shared" ref="AI35:AI55" si="12">SUM(M35:AG35)</f>
        <v>#REF!</v>
      </c>
      <c r="AJ35" s="128" t="e">
        <f t="shared" ref="AJ35:AJ55" si="13">AI35-L35</f>
        <v>#REF!</v>
      </c>
      <c r="AK35" s="129"/>
      <c r="AL35" s="129"/>
      <c r="AM35" s="129"/>
      <c r="AN35" s="129"/>
      <c r="AO35" s="129"/>
      <c r="AP35" s="129"/>
      <c r="AQ35" s="129"/>
      <c r="AR35" s="129"/>
      <c r="AS35" s="129"/>
      <c r="AT35" s="129"/>
      <c r="AU35" s="129"/>
      <c r="AV35" s="129"/>
    </row>
    <row r="36" spans="3:48">
      <c r="C36" s="53"/>
      <c r="D36" s="53"/>
      <c r="E36" s="53"/>
      <c r="F36" s="53"/>
      <c r="G36" s="53"/>
      <c r="H36" s="53"/>
      <c r="I36" s="53"/>
      <c r="J36" s="53"/>
      <c r="K36" s="127">
        <f>N11</f>
        <v>46022</v>
      </c>
      <c r="L36" s="119" t="e">
        <f>$N$19</f>
        <v>#REF!</v>
      </c>
      <c r="M36" s="65"/>
      <c r="N36" s="65" t="e">
        <f t="shared" ref="N36:AG36" si="14">$L36*M$32</f>
        <v>#REF!</v>
      </c>
      <c r="O36" s="65" t="e">
        <f t="shared" si="14"/>
        <v>#REF!</v>
      </c>
      <c r="P36" s="65" t="e">
        <f t="shared" si="14"/>
        <v>#REF!</v>
      </c>
      <c r="Q36" s="65" t="e">
        <f t="shared" si="14"/>
        <v>#REF!</v>
      </c>
      <c r="R36" s="65" t="e">
        <f t="shared" si="14"/>
        <v>#REF!</v>
      </c>
      <c r="S36" s="65" t="e">
        <f t="shared" si="14"/>
        <v>#REF!</v>
      </c>
      <c r="T36" s="65" t="e">
        <f t="shared" si="14"/>
        <v>#REF!</v>
      </c>
      <c r="U36" s="65" t="e">
        <f t="shared" si="14"/>
        <v>#REF!</v>
      </c>
      <c r="V36" s="65" t="e">
        <f t="shared" si="14"/>
        <v>#REF!</v>
      </c>
      <c r="W36" s="65" t="e">
        <f t="shared" si="14"/>
        <v>#REF!</v>
      </c>
      <c r="X36" s="65" t="e">
        <f t="shared" si="14"/>
        <v>#REF!</v>
      </c>
      <c r="Y36" s="65" t="e">
        <f t="shared" si="14"/>
        <v>#REF!</v>
      </c>
      <c r="Z36" s="65" t="e">
        <f t="shared" si="14"/>
        <v>#REF!</v>
      </c>
      <c r="AA36" s="65" t="e">
        <f t="shared" si="14"/>
        <v>#REF!</v>
      </c>
      <c r="AB36" s="65" t="e">
        <f t="shared" si="14"/>
        <v>#REF!</v>
      </c>
      <c r="AC36" s="65" t="e">
        <f t="shared" si="14"/>
        <v>#REF!</v>
      </c>
      <c r="AD36" s="65" t="e">
        <f t="shared" si="14"/>
        <v>#REF!</v>
      </c>
      <c r="AE36" s="65" t="e">
        <f t="shared" si="14"/>
        <v>#REF!</v>
      </c>
      <c r="AF36" s="65" t="e">
        <f t="shared" si="14"/>
        <v>#REF!</v>
      </c>
      <c r="AG36" s="65" t="e">
        <f t="shared" si="14"/>
        <v>#REF!</v>
      </c>
      <c r="AI36" s="128" t="e">
        <f t="shared" si="12"/>
        <v>#REF!</v>
      </c>
      <c r="AJ36" s="128" t="e">
        <f t="shared" si="13"/>
        <v>#REF!</v>
      </c>
      <c r="AK36" s="129"/>
      <c r="AL36" s="129"/>
      <c r="AM36" s="129"/>
      <c r="AN36" s="129"/>
      <c r="AO36" s="129"/>
      <c r="AP36" s="129"/>
      <c r="AQ36" s="129"/>
      <c r="AR36" s="129"/>
      <c r="AS36" s="129"/>
      <c r="AT36" s="129"/>
      <c r="AU36" s="129"/>
      <c r="AV36" s="129"/>
    </row>
    <row r="37" spans="3:48">
      <c r="C37" s="53"/>
      <c r="D37" s="53"/>
      <c r="E37" s="53"/>
      <c r="F37" s="53"/>
      <c r="G37" s="53"/>
      <c r="H37" s="53"/>
      <c r="I37" s="53"/>
      <c r="J37" s="53"/>
      <c r="K37" s="127">
        <f>O11</f>
        <v>46387</v>
      </c>
      <c r="L37" s="119" t="e">
        <f>$O$19</f>
        <v>#REF!</v>
      </c>
      <c r="M37" s="65"/>
      <c r="N37" s="65"/>
      <c r="O37" s="65" t="e">
        <f t="shared" ref="O37:AG37" si="15">$L37*M$32</f>
        <v>#REF!</v>
      </c>
      <c r="P37" s="65" t="e">
        <f t="shared" si="15"/>
        <v>#REF!</v>
      </c>
      <c r="Q37" s="65" t="e">
        <f t="shared" si="15"/>
        <v>#REF!</v>
      </c>
      <c r="R37" s="65" t="e">
        <f t="shared" si="15"/>
        <v>#REF!</v>
      </c>
      <c r="S37" s="65" t="e">
        <f t="shared" si="15"/>
        <v>#REF!</v>
      </c>
      <c r="T37" s="65" t="e">
        <f t="shared" si="15"/>
        <v>#REF!</v>
      </c>
      <c r="U37" s="65" t="e">
        <f t="shared" si="15"/>
        <v>#REF!</v>
      </c>
      <c r="V37" s="65" t="e">
        <f t="shared" si="15"/>
        <v>#REF!</v>
      </c>
      <c r="W37" s="65" t="e">
        <f t="shared" si="15"/>
        <v>#REF!</v>
      </c>
      <c r="X37" s="65" t="e">
        <f t="shared" si="15"/>
        <v>#REF!</v>
      </c>
      <c r="Y37" s="65" t="e">
        <f t="shared" si="15"/>
        <v>#REF!</v>
      </c>
      <c r="Z37" s="65" t="e">
        <f t="shared" si="15"/>
        <v>#REF!</v>
      </c>
      <c r="AA37" s="65" t="e">
        <f t="shared" si="15"/>
        <v>#REF!</v>
      </c>
      <c r="AB37" s="65" t="e">
        <f t="shared" si="15"/>
        <v>#REF!</v>
      </c>
      <c r="AC37" s="65" t="e">
        <f t="shared" si="15"/>
        <v>#REF!</v>
      </c>
      <c r="AD37" s="65" t="e">
        <f t="shared" si="15"/>
        <v>#REF!</v>
      </c>
      <c r="AE37" s="65" t="e">
        <f t="shared" si="15"/>
        <v>#REF!</v>
      </c>
      <c r="AF37" s="65" t="e">
        <f t="shared" si="15"/>
        <v>#REF!</v>
      </c>
      <c r="AG37" s="65" t="e">
        <f t="shared" si="15"/>
        <v>#REF!</v>
      </c>
      <c r="AI37" s="128" t="e">
        <f t="shared" si="12"/>
        <v>#REF!</v>
      </c>
      <c r="AJ37" s="128" t="e">
        <f t="shared" si="13"/>
        <v>#REF!</v>
      </c>
      <c r="AK37" s="129"/>
      <c r="AL37" s="129"/>
      <c r="AM37" s="129"/>
      <c r="AN37" s="129"/>
      <c r="AO37" s="129"/>
      <c r="AP37" s="129"/>
      <c r="AQ37" s="129"/>
      <c r="AR37" s="129"/>
      <c r="AS37" s="129"/>
      <c r="AT37" s="129"/>
      <c r="AU37" s="129"/>
      <c r="AV37" s="129"/>
    </row>
    <row r="38" spans="3:48">
      <c r="C38" s="53"/>
      <c r="D38" s="53"/>
      <c r="E38" s="53"/>
      <c r="F38" s="53"/>
      <c r="G38" s="53"/>
      <c r="H38" s="53"/>
      <c r="I38" s="53"/>
      <c r="J38" s="53"/>
      <c r="K38" s="127">
        <f>P11</f>
        <v>46752</v>
      </c>
      <c r="L38" s="119" t="e">
        <f>$P$19</f>
        <v>#REF!</v>
      </c>
      <c r="M38" s="65"/>
      <c r="N38" s="65"/>
      <c r="O38" s="65"/>
      <c r="P38" s="65" t="e">
        <f t="shared" ref="P38:AG38" si="16">$L38*M$32</f>
        <v>#REF!</v>
      </c>
      <c r="Q38" s="65" t="e">
        <f t="shared" si="16"/>
        <v>#REF!</v>
      </c>
      <c r="R38" s="65" t="e">
        <f t="shared" si="16"/>
        <v>#REF!</v>
      </c>
      <c r="S38" s="65" t="e">
        <f t="shared" si="16"/>
        <v>#REF!</v>
      </c>
      <c r="T38" s="65" t="e">
        <f t="shared" si="16"/>
        <v>#REF!</v>
      </c>
      <c r="U38" s="65" t="e">
        <f t="shared" si="16"/>
        <v>#REF!</v>
      </c>
      <c r="V38" s="65" t="e">
        <f t="shared" si="16"/>
        <v>#REF!</v>
      </c>
      <c r="W38" s="65" t="e">
        <f t="shared" si="16"/>
        <v>#REF!</v>
      </c>
      <c r="X38" s="65" t="e">
        <f t="shared" si="16"/>
        <v>#REF!</v>
      </c>
      <c r="Y38" s="65" t="e">
        <f t="shared" si="16"/>
        <v>#REF!</v>
      </c>
      <c r="Z38" s="65" t="e">
        <f t="shared" si="16"/>
        <v>#REF!</v>
      </c>
      <c r="AA38" s="65" t="e">
        <f t="shared" si="16"/>
        <v>#REF!</v>
      </c>
      <c r="AB38" s="65" t="e">
        <f t="shared" si="16"/>
        <v>#REF!</v>
      </c>
      <c r="AC38" s="65" t="e">
        <f t="shared" si="16"/>
        <v>#REF!</v>
      </c>
      <c r="AD38" s="65" t="e">
        <f t="shared" si="16"/>
        <v>#REF!</v>
      </c>
      <c r="AE38" s="65" t="e">
        <f t="shared" si="16"/>
        <v>#REF!</v>
      </c>
      <c r="AF38" s="65" t="e">
        <f t="shared" si="16"/>
        <v>#REF!</v>
      </c>
      <c r="AG38" s="65" t="e">
        <f t="shared" si="16"/>
        <v>#REF!</v>
      </c>
      <c r="AI38" s="128" t="e">
        <f t="shared" si="12"/>
        <v>#REF!</v>
      </c>
      <c r="AJ38" s="128" t="e">
        <f t="shared" si="13"/>
        <v>#REF!</v>
      </c>
      <c r="AK38" s="129"/>
      <c r="AL38" s="129"/>
      <c r="AM38" s="129"/>
      <c r="AN38" s="129"/>
      <c r="AO38" s="129"/>
      <c r="AP38" s="129"/>
      <c r="AQ38" s="129"/>
      <c r="AR38" s="129"/>
      <c r="AS38" s="129"/>
      <c r="AT38" s="129"/>
      <c r="AU38" s="129"/>
      <c r="AV38" s="129"/>
    </row>
    <row r="39" spans="3:48">
      <c r="C39" s="53"/>
      <c r="D39" s="53"/>
      <c r="E39" s="53"/>
      <c r="F39" s="53"/>
      <c r="G39" s="53"/>
      <c r="H39" s="53"/>
      <c r="I39" s="53"/>
      <c r="J39" s="53"/>
      <c r="K39" s="127">
        <f>Q11</f>
        <v>47118</v>
      </c>
      <c r="L39" s="119" t="e">
        <f>$Q$19</f>
        <v>#REF!</v>
      </c>
      <c r="M39" s="65"/>
      <c r="N39" s="65"/>
      <c r="O39" s="65"/>
      <c r="P39" s="65"/>
      <c r="Q39" s="65" t="e">
        <f t="shared" ref="Q39:AG39" si="17">$L39*M$32</f>
        <v>#REF!</v>
      </c>
      <c r="R39" s="65" t="e">
        <f t="shared" si="17"/>
        <v>#REF!</v>
      </c>
      <c r="S39" s="65" t="e">
        <f t="shared" si="17"/>
        <v>#REF!</v>
      </c>
      <c r="T39" s="65" t="e">
        <f t="shared" si="17"/>
        <v>#REF!</v>
      </c>
      <c r="U39" s="65" t="e">
        <f t="shared" si="17"/>
        <v>#REF!</v>
      </c>
      <c r="V39" s="65" t="e">
        <f t="shared" si="17"/>
        <v>#REF!</v>
      </c>
      <c r="W39" s="65" t="e">
        <f t="shared" si="17"/>
        <v>#REF!</v>
      </c>
      <c r="X39" s="65" t="e">
        <f t="shared" si="17"/>
        <v>#REF!</v>
      </c>
      <c r="Y39" s="65" t="e">
        <f t="shared" si="17"/>
        <v>#REF!</v>
      </c>
      <c r="Z39" s="65" t="e">
        <f t="shared" si="17"/>
        <v>#REF!</v>
      </c>
      <c r="AA39" s="65" t="e">
        <f t="shared" si="17"/>
        <v>#REF!</v>
      </c>
      <c r="AB39" s="65" t="e">
        <f t="shared" si="17"/>
        <v>#REF!</v>
      </c>
      <c r="AC39" s="65" t="e">
        <f t="shared" si="17"/>
        <v>#REF!</v>
      </c>
      <c r="AD39" s="65" t="e">
        <f t="shared" si="17"/>
        <v>#REF!</v>
      </c>
      <c r="AE39" s="65" t="e">
        <f t="shared" si="17"/>
        <v>#REF!</v>
      </c>
      <c r="AF39" s="65" t="e">
        <f t="shared" si="17"/>
        <v>#REF!</v>
      </c>
      <c r="AG39" s="65" t="e">
        <f t="shared" si="17"/>
        <v>#REF!</v>
      </c>
      <c r="AI39" s="128" t="e">
        <f t="shared" si="12"/>
        <v>#REF!</v>
      </c>
      <c r="AJ39" s="128" t="e">
        <f t="shared" si="13"/>
        <v>#REF!</v>
      </c>
      <c r="AK39" s="129"/>
      <c r="AL39" s="129"/>
      <c r="AM39" s="129"/>
      <c r="AN39" s="129"/>
      <c r="AO39" s="129"/>
      <c r="AP39" s="129"/>
      <c r="AQ39" s="129"/>
      <c r="AR39" s="129"/>
      <c r="AS39" s="129"/>
      <c r="AT39" s="129"/>
      <c r="AU39" s="129"/>
      <c r="AV39" s="129"/>
    </row>
    <row r="40" spans="3:48">
      <c r="C40" s="53"/>
      <c r="D40" s="53"/>
      <c r="E40" s="53"/>
      <c r="F40" s="53"/>
      <c r="G40" s="53"/>
      <c r="H40" s="53"/>
      <c r="I40" s="53"/>
      <c r="J40" s="53"/>
      <c r="K40" s="127">
        <f>R11</f>
        <v>47483</v>
      </c>
      <c r="L40" s="119" t="e">
        <f>$R$19</f>
        <v>#REF!</v>
      </c>
      <c r="M40" s="65"/>
      <c r="N40" s="65"/>
      <c r="O40" s="65"/>
      <c r="P40" s="65"/>
      <c r="Q40" s="65"/>
      <c r="R40" s="65" t="e">
        <f t="shared" ref="R40:AG40" si="18">$L40*M$32</f>
        <v>#REF!</v>
      </c>
      <c r="S40" s="65" t="e">
        <f t="shared" si="18"/>
        <v>#REF!</v>
      </c>
      <c r="T40" s="65" t="e">
        <f t="shared" si="18"/>
        <v>#REF!</v>
      </c>
      <c r="U40" s="65" t="e">
        <f t="shared" si="18"/>
        <v>#REF!</v>
      </c>
      <c r="V40" s="65" t="e">
        <f t="shared" si="18"/>
        <v>#REF!</v>
      </c>
      <c r="W40" s="65" t="e">
        <f t="shared" si="18"/>
        <v>#REF!</v>
      </c>
      <c r="X40" s="65" t="e">
        <f t="shared" si="18"/>
        <v>#REF!</v>
      </c>
      <c r="Y40" s="65" t="e">
        <f t="shared" si="18"/>
        <v>#REF!</v>
      </c>
      <c r="Z40" s="65" t="e">
        <f t="shared" si="18"/>
        <v>#REF!</v>
      </c>
      <c r="AA40" s="65" t="e">
        <f t="shared" si="18"/>
        <v>#REF!</v>
      </c>
      <c r="AB40" s="65" t="e">
        <f t="shared" si="18"/>
        <v>#REF!</v>
      </c>
      <c r="AC40" s="65" t="e">
        <f t="shared" si="18"/>
        <v>#REF!</v>
      </c>
      <c r="AD40" s="65" t="e">
        <f t="shared" si="18"/>
        <v>#REF!</v>
      </c>
      <c r="AE40" s="65" t="e">
        <f t="shared" si="18"/>
        <v>#REF!</v>
      </c>
      <c r="AF40" s="65" t="e">
        <f t="shared" si="18"/>
        <v>#REF!</v>
      </c>
      <c r="AG40" s="65" t="e">
        <f t="shared" si="18"/>
        <v>#REF!</v>
      </c>
      <c r="AI40" s="128" t="e">
        <f t="shared" si="12"/>
        <v>#REF!</v>
      </c>
      <c r="AJ40" s="128" t="e">
        <f t="shared" si="13"/>
        <v>#REF!</v>
      </c>
      <c r="AK40" s="129"/>
      <c r="AL40" s="129"/>
      <c r="AM40" s="129"/>
      <c r="AN40" s="129"/>
      <c r="AO40" s="129"/>
      <c r="AP40" s="129"/>
      <c r="AQ40" s="129"/>
      <c r="AR40" s="129"/>
      <c r="AS40" s="129"/>
      <c r="AT40" s="129"/>
      <c r="AU40" s="129"/>
      <c r="AV40" s="129"/>
    </row>
    <row r="41" spans="3:48">
      <c r="C41" s="53"/>
      <c r="D41" s="53"/>
      <c r="E41" s="53"/>
      <c r="F41" s="53"/>
      <c r="G41" s="53"/>
      <c r="H41" s="53"/>
      <c r="I41" s="53"/>
      <c r="J41" s="53"/>
      <c r="K41" s="127">
        <f>S11</f>
        <v>47848</v>
      </c>
      <c r="L41" s="119" t="e">
        <f>$S$19</f>
        <v>#REF!</v>
      </c>
      <c r="M41" s="65"/>
      <c r="N41" s="65"/>
      <c r="O41" s="65"/>
      <c r="P41" s="65"/>
      <c r="Q41" s="65"/>
      <c r="R41" s="65"/>
      <c r="S41" s="65" t="e">
        <f t="shared" ref="S41:AG41" si="19">$L41*M$32</f>
        <v>#REF!</v>
      </c>
      <c r="T41" s="65" t="e">
        <f t="shared" si="19"/>
        <v>#REF!</v>
      </c>
      <c r="U41" s="65" t="e">
        <f t="shared" si="19"/>
        <v>#REF!</v>
      </c>
      <c r="V41" s="65" t="e">
        <f t="shared" si="19"/>
        <v>#REF!</v>
      </c>
      <c r="W41" s="65" t="e">
        <f t="shared" si="19"/>
        <v>#REF!</v>
      </c>
      <c r="X41" s="65" t="e">
        <f t="shared" si="19"/>
        <v>#REF!</v>
      </c>
      <c r="Y41" s="65" t="e">
        <f t="shared" si="19"/>
        <v>#REF!</v>
      </c>
      <c r="Z41" s="65" t="e">
        <f t="shared" si="19"/>
        <v>#REF!</v>
      </c>
      <c r="AA41" s="65" t="e">
        <f t="shared" si="19"/>
        <v>#REF!</v>
      </c>
      <c r="AB41" s="65" t="e">
        <f t="shared" si="19"/>
        <v>#REF!</v>
      </c>
      <c r="AC41" s="65" t="e">
        <f t="shared" si="19"/>
        <v>#REF!</v>
      </c>
      <c r="AD41" s="65" t="e">
        <f t="shared" si="19"/>
        <v>#REF!</v>
      </c>
      <c r="AE41" s="65" t="e">
        <f t="shared" si="19"/>
        <v>#REF!</v>
      </c>
      <c r="AF41" s="65" t="e">
        <f t="shared" si="19"/>
        <v>#REF!</v>
      </c>
      <c r="AG41" s="65" t="e">
        <f t="shared" si="19"/>
        <v>#REF!</v>
      </c>
      <c r="AI41" s="128" t="e">
        <f t="shared" si="12"/>
        <v>#REF!</v>
      </c>
      <c r="AJ41" s="128" t="e">
        <f t="shared" si="13"/>
        <v>#REF!</v>
      </c>
      <c r="AK41" s="129"/>
      <c r="AL41" s="129"/>
      <c r="AM41" s="129"/>
      <c r="AN41" s="129"/>
      <c r="AO41" s="129"/>
      <c r="AP41" s="129"/>
      <c r="AQ41" s="129"/>
      <c r="AR41" s="129"/>
      <c r="AS41" s="129"/>
      <c r="AT41" s="129"/>
      <c r="AU41" s="129"/>
      <c r="AV41" s="129"/>
    </row>
    <row r="42" spans="3:48">
      <c r="C42" s="53"/>
      <c r="D42" s="53"/>
      <c r="E42" s="53"/>
      <c r="F42" s="53"/>
      <c r="G42" s="53"/>
      <c r="H42" s="53"/>
      <c r="I42" s="53"/>
      <c r="J42" s="53"/>
      <c r="K42" s="127">
        <f>T11</f>
        <v>48213</v>
      </c>
      <c r="L42" s="119" t="e">
        <f>$T$19</f>
        <v>#REF!</v>
      </c>
      <c r="M42" s="65"/>
      <c r="N42" s="65"/>
      <c r="O42" s="65"/>
      <c r="P42" s="65"/>
      <c r="Q42" s="65"/>
      <c r="R42" s="65"/>
      <c r="S42" s="65"/>
      <c r="T42" s="65" t="e">
        <f t="shared" ref="T42:AG42" si="20">$L42*M$32</f>
        <v>#REF!</v>
      </c>
      <c r="U42" s="65" t="e">
        <f t="shared" si="20"/>
        <v>#REF!</v>
      </c>
      <c r="V42" s="65" t="e">
        <f t="shared" si="20"/>
        <v>#REF!</v>
      </c>
      <c r="W42" s="65" t="e">
        <f t="shared" si="20"/>
        <v>#REF!</v>
      </c>
      <c r="X42" s="65" t="e">
        <f t="shared" si="20"/>
        <v>#REF!</v>
      </c>
      <c r="Y42" s="65" t="e">
        <f t="shared" si="20"/>
        <v>#REF!</v>
      </c>
      <c r="Z42" s="65" t="e">
        <f t="shared" si="20"/>
        <v>#REF!</v>
      </c>
      <c r="AA42" s="65" t="e">
        <f t="shared" si="20"/>
        <v>#REF!</v>
      </c>
      <c r="AB42" s="65" t="e">
        <f t="shared" si="20"/>
        <v>#REF!</v>
      </c>
      <c r="AC42" s="65" t="e">
        <f t="shared" si="20"/>
        <v>#REF!</v>
      </c>
      <c r="AD42" s="65" t="e">
        <f t="shared" si="20"/>
        <v>#REF!</v>
      </c>
      <c r="AE42" s="65" t="e">
        <f t="shared" si="20"/>
        <v>#REF!</v>
      </c>
      <c r="AF42" s="65" t="e">
        <f t="shared" si="20"/>
        <v>#REF!</v>
      </c>
      <c r="AG42" s="65" t="e">
        <f t="shared" si="20"/>
        <v>#REF!</v>
      </c>
      <c r="AI42" s="128" t="e">
        <f t="shared" si="12"/>
        <v>#REF!</v>
      </c>
      <c r="AJ42" s="128" t="e">
        <f t="shared" si="13"/>
        <v>#REF!</v>
      </c>
      <c r="AK42" s="129"/>
      <c r="AL42" s="129"/>
      <c r="AM42" s="129"/>
      <c r="AN42" s="129"/>
      <c r="AO42" s="129"/>
      <c r="AP42" s="129"/>
      <c r="AQ42" s="129"/>
      <c r="AR42" s="129"/>
      <c r="AS42" s="129"/>
      <c r="AT42" s="129"/>
      <c r="AU42" s="129"/>
      <c r="AV42" s="129"/>
    </row>
    <row r="43" spans="3:48">
      <c r="C43" s="53"/>
      <c r="D43" s="53"/>
      <c r="E43" s="53"/>
      <c r="F43" s="53"/>
      <c r="G43" s="53"/>
      <c r="H43" s="53"/>
      <c r="I43" s="53"/>
      <c r="J43" s="53"/>
      <c r="K43" s="127">
        <f>U11</f>
        <v>48579</v>
      </c>
      <c r="L43" s="119" t="e">
        <f>$U$19</f>
        <v>#REF!</v>
      </c>
      <c r="M43" s="65"/>
      <c r="N43" s="65"/>
      <c r="O43" s="65"/>
      <c r="P43" s="65"/>
      <c r="Q43" s="65"/>
      <c r="R43" s="65"/>
      <c r="S43" s="65"/>
      <c r="T43" s="65"/>
      <c r="U43" s="65" t="e">
        <f t="shared" ref="U43:AG43" si="21">$L43*M$32</f>
        <v>#REF!</v>
      </c>
      <c r="V43" s="65" t="e">
        <f t="shared" si="21"/>
        <v>#REF!</v>
      </c>
      <c r="W43" s="65" t="e">
        <f t="shared" si="21"/>
        <v>#REF!</v>
      </c>
      <c r="X43" s="65" t="e">
        <f t="shared" si="21"/>
        <v>#REF!</v>
      </c>
      <c r="Y43" s="65" t="e">
        <f t="shared" si="21"/>
        <v>#REF!</v>
      </c>
      <c r="Z43" s="65" t="e">
        <f t="shared" si="21"/>
        <v>#REF!</v>
      </c>
      <c r="AA43" s="65" t="e">
        <f t="shared" si="21"/>
        <v>#REF!</v>
      </c>
      <c r="AB43" s="65" t="e">
        <f t="shared" si="21"/>
        <v>#REF!</v>
      </c>
      <c r="AC43" s="65" t="e">
        <f t="shared" si="21"/>
        <v>#REF!</v>
      </c>
      <c r="AD43" s="65" t="e">
        <f t="shared" si="21"/>
        <v>#REF!</v>
      </c>
      <c r="AE43" s="65" t="e">
        <f t="shared" si="21"/>
        <v>#REF!</v>
      </c>
      <c r="AF43" s="65" t="e">
        <f t="shared" si="21"/>
        <v>#REF!</v>
      </c>
      <c r="AG43" s="65" t="e">
        <f t="shared" si="21"/>
        <v>#REF!</v>
      </c>
      <c r="AI43" s="128" t="e">
        <f t="shared" si="12"/>
        <v>#REF!</v>
      </c>
      <c r="AJ43" s="128" t="e">
        <f t="shared" si="13"/>
        <v>#REF!</v>
      </c>
      <c r="AK43" s="129"/>
      <c r="AL43" s="129"/>
      <c r="AM43" s="129"/>
      <c r="AN43" s="129"/>
      <c r="AO43" s="129"/>
      <c r="AP43" s="129"/>
      <c r="AQ43" s="129"/>
      <c r="AR43" s="129"/>
      <c r="AS43" s="129"/>
      <c r="AT43" s="129"/>
      <c r="AU43" s="129"/>
      <c r="AV43" s="129"/>
    </row>
    <row r="44" spans="3:48">
      <c r="C44" s="53"/>
      <c r="D44" s="53"/>
      <c r="E44" s="53"/>
      <c r="F44" s="53"/>
      <c r="G44" s="53"/>
      <c r="H44" s="53"/>
      <c r="I44" s="53"/>
      <c r="J44" s="53"/>
      <c r="K44" s="127">
        <f>V11</f>
        <v>48944</v>
      </c>
      <c r="L44" s="119" t="e">
        <f>$V$19</f>
        <v>#REF!</v>
      </c>
      <c r="M44" s="65"/>
      <c r="N44" s="65"/>
      <c r="O44" s="65"/>
      <c r="P44" s="65"/>
      <c r="Q44" s="65"/>
      <c r="R44" s="65"/>
      <c r="S44" s="65"/>
      <c r="T44" s="65"/>
      <c r="U44" s="65"/>
      <c r="V44" s="65" t="e">
        <f t="shared" ref="V44:AG44" si="22">$L44*M$32</f>
        <v>#REF!</v>
      </c>
      <c r="W44" s="65" t="e">
        <f t="shared" si="22"/>
        <v>#REF!</v>
      </c>
      <c r="X44" s="65" t="e">
        <f t="shared" si="22"/>
        <v>#REF!</v>
      </c>
      <c r="Y44" s="65" t="e">
        <f t="shared" si="22"/>
        <v>#REF!</v>
      </c>
      <c r="Z44" s="65" t="e">
        <f t="shared" si="22"/>
        <v>#REF!</v>
      </c>
      <c r="AA44" s="65" t="e">
        <f t="shared" si="22"/>
        <v>#REF!</v>
      </c>
      <c r="AB44" s="65" t="e">
        <f t="shared" si="22"/>
        <v>#REF!</v>
      </c>
      <c r="AC44" s="65" t="e">
        <f t="shared" si="22"/>
        <v>#REF!</v>
      </c>
      <c r="AD44" s="65" t="e">
        <f t="shared" si="22"/>
        <v>#REF!</v>
      </c>
      <c r="AE44" s="65" t="e">
        <f t="shared" si="22"/>
        <v>#REF!</v>
      </c>
      <c r="AF44" s="65" t="e">
        <f t="shared" si="22"/>
        <v>#REF!</v>
      </c>
      <c r="AG44" s="65" t="e">
        <f t="shared" si="22"/>
        <v>#REF!</v>
      </c>
      <c r="AI44" s="128" t="e">
        <f t="shared" si="12"/>
        <v>#REF!</v>
      </c>
      <c r="AJ44" s="128" t="e">
        <f t="shared" si="13"/>
        <v>#REF!</v>
      </c>
      <c r="AK44" s="129"/>
      <c r="AL44" s="129"/>
      <c r="AM44" s="129"/>
      <c r="AN44" s="129"/>
      <c r="AO44" s="129"/>
      <c r="AP44" s="129"/>
      <c r="AQ44" s="129"/>
      <c r="AR44" s="129"/>
      <c r="AS44" s="129"/>
      <c r="AT44" s="129"/>
      <c r="AU44" s="129"/>
      <c r="AV44" s="129"/>
    </row>
    <row r="45" spans="3:48">
      <c r="C45" s="53"/>
      <c r="D45" s="53"/>
      <c r="E45" s="53"/>
      <c r="F45" s="53"/>
      <c r="G45" s="53"/>
      <c r="H45" s="53"/>
      <c r="I45" s="53"/>
      <c r="J45" s="53"/>
      <c r="K45" s="127">
        <f>W11</f>
        <v>49309</v>
      </c>
      <c r="L45" s="119" t="e">
        <f>$W$19</f>
        <v>#REF!</v>
      </c>
      <c r="M45" s="65"/>
      <c r="N45" s="65"/>
      <c r="O45" s="65"/>
      <c r="P45" s="65"/>
      <c r="Q45" s="65"/>
      <c r="R45" s="65"/>
      <c r="S45" s="65"/>
      <c r="T45" s="65"/>
      <c r="U45" s="65"/>
      <c r="V45" s="65"/>
      <c r="W45" s="65" t="e">
        <f t="shared" ref="W45:AG45" si="23">$L45*M$32</f>
        <v>#REF!</v>
      </c>
      <c r="X45" s="65" t="e">
        <f t="shared" si="23"/>
        <v>#REF!</v>
      </c>
      <c r="Y45" s="65" t="e">
        <f t="shared" si="23"/>
        <v>#REF!</v>
      </c>
      <c r="Z45" s="65" t="e">
        <f t="shared" si="23"/>
        <v>#REF!</v>
      </c>
      <c r="AA45" s="65" t="e">
        <f t="shared" si="23"/>
        <v>#REF!</v>
      </c>
      <c r="AB45" s="65" t="e">
        <f t="shared" si="23"/>
        <v>#REF!</v>
      </c>
      <c r="AC45" s="65" t="e">
        <f t="shared" si="23"/>
        <v>#REF!</v>
      </c>
      <c r="AD45" s="65" t="e">
        <f t="shared" si="23"/>
        <v>#REF!</v>
      </c>
      <c r="AE45" s="65" t="e">
        <f t="shared" si="23"/>
        <v>#REF!</v>
      </c>
      <c r="AF45" s="65" t="e">
        <f t="shared" si="23"/>
        <v>#REF!</v>
      </c>
      <c r="AG45" s="65" t="e">
        <f t="shared" si="23"/>
        <v>#REF!</v>
      </c>
      <c r="AI45" s="128" t="e">
        <f t="shared" si="12"/>
        <v>#REF!</v>
      </c>
      <c r="AJ45" s="128" t="e">
        <f t="shared" si="13"/>
        <v>#REF!</v>
      </c>
      <c r="AK45" s="129"/>
      <c r="AL45" s="129"/>
      <c r="AM45" s="129"/>
      <c r="AN45" s="129"/>
      <c r="AO45" s="129"/>
      <c r="AP45" s="129"/>
      <c r="AQ45" s="129"/>
      <c r="AR45" s="129"/>
      <c r="AS45" s="129"/>
      <c r="AT45" s="129"/>
      <c r="AU45" s="129"/>
      <c r="AV45" s="129"/>
    </row>
    <row r="46" spans="3:48">
      <c r="C46" s="53"/>
      <c r="D46" s="53"/>
      <c r="E46" s="53"/>
      <c r="F46" s="53"/>
      <c r="G46" s="53"/>
      <c r="H46" s="53"/>
      <c r="I46" s="53"/>
      <c r="J46" s="53"/>
      <c r="K46" s="127">
        <f>X11</f>
        <v>49674</v>
      </c>
      <c r="L46" s="119" t="e">
        <f>$X$19</f>
        <v>#REF!</v>
      </c>
      <c r="M46" s="65"/>
      <c r="N46" s="65"/>
      <c r="O46" s="65"/>
      <c r="P46" s="65"/>
      <c r="Q46" s="65"/>
      <c r="R46" s="65"/>
      <c r="S46" s="65"/>
      <c r="T46" s="65"/>
      <c r="U46" s="65"/>
      <c r="V46" s="65"/>
      <c r="W46" s="65"/>
      <c r="X46" s="65" t="e">
        <f t="shared" ref="X46:AG46" si="24">$L46*M$32</f>
        <v>#REF!</v>
      </c>
      <c r="Y46" s="65" t="e">
        <f t="shared" si="24"/>
        <v>#REF!</v>
      </c>
      <c r="Z46" s="65" t="e">
        <f t="shared" si="24"/>
        <v>#REF!</v>
      </c>
      <c r="AA46" s="65" t="e">
        <f t="shared" si="24"/>
        <v>#REF!</v>
      </c>
      <c r="AB46" s="65" t="e">
        <f t="shared" si="24"/>
        <v>#REF!</v>
      </c>
      <c r="AC46" s="65" t="e">
        <f t="shared" si="24"/>
        <v>#REF!</v>
      </c>
      <c r="AD46" s="65" t="e">
        <f t="shared" si="24"/>
        <v>#REF!</v>
      </c>
      <c r="AE46" s="65" t="e">
        <f t="shared" si="24"/>
        <v>#REF!</v>
      </c>
      <c r="AF46" s="65" t="e">
        <f t="shared" si="24"/>
        <v>#REF!</v>
      </c>
      <c r="AG46" s="65" t="e">
        <f t="shared" si="24"/>
        <v>#REF!</v>
      </c>
      <c r="AI46" s="128" t="e">
        <f t="shared" si="12"/>
        <v>#REF!</v>
      </c>
      <c r="AJ46" s="128" t="e">
        <f t="shared" si="13"/>
        <v>#REF!</v>
      </c>
    </row>
    <row r="47" spans="3:48">
      <c r="C47" s="53"/>
      <c r="D47" s="53"/>
      <c r="E47" s="53"/>
      <c r="F47" s="53"/>
      <c r="G47" s="53"/>
      <c r="H47" s="53"/>
      <c r="I47" s="53"/>
      <c r="J47" s="53"/>
      <c r="K47" s="127">
        <f>Y11</f>
        <v>50040</v>
      </c>
      <c r="L47" s="119" t="e">
        <f>$Y$19</f>
        <v>#REF!</v>
      </c>
      <c r="M47" s="65"/>
      <c r="N47" s="65"/>
      <c r="O47" s="65"/>
      <c r="P47" s="65"/>
      <c r="Q47" s="65"/>
      <c r="R47" s="65"/>
      <c r="S47" s="65"/>
      <c r="T47" s="65"/>
      <c r="U47" s="65"/>
      <c r="V47" s="65"/>
      <c r="W47" s="65"/>
      <c r="X47" s="65"/>
      <c r="Y47" s="65" t="e">
        <f t="shared" ref="Y47:AG47" si="25">$L47*M$32</f>
        <v>#REF!</v>
      </c>
      <c r="Z47" s="65" t="e">
        <f t="shared" si="25"/>
        <v>#REF!</v>
      </c>
      <c r="AA47" s="65" t="e">
        <f t="shared" si="25"/>
        <v>#REF!</v>
      </c>
      <c r="AB47" s="65" t="e">
        <f t="shared" si="25"/>
        <v>#REF!</v>
      </c>
      <c r="AC47" s="65" t="e">
        <f t="shared" si="25"/>
        <v>#REF!</v>
      </c>
      <c r="AD47" s="65" t="e">
        <f t="shared" si="25"/>
        <v>#REF!</v>
      </c>
      <c r="AE47" s="65" t="e">
        <f t="shared" si="25"/>
        <v>#REF!</v>
      </c>
      <c r="AF47" s="65" t="e">
        <f t="shared" si="25"/>
        <v>#REF!</v>
      </c>
      <c r="AG47" s="65" t="e">
        <f t="shared" si="25"/>
        <v>#REF!</v>
      </c>
      <c r="AI47" s="128" t="e">
        <f t="shared" si="12"/>
        <v>#REF!</v>
      </c>
      <c r="AJ47" s="128" t="e">
        <f t="shared" si="13"/>
        <v>#REF!</v>
      </c>
    </row>
    <row r="48" spans="3:48">
      <c r="C48" s="53"/>
      <c r="D48" s="53"/>
      <c r="E48" s="53"/>
      <c r="F48" s="53"/>
      <c r="G48" s="53"/>
      <c r="H48" s="53"/>
      <c r="I48" s="53"/>
      <c r="J48" s="53"/>
      <c r="K48" s="127">
        <f>Z11</f>
        <v>50405</v>
      </c>
      <c r="L48" s="119" t="e">
        <f>$Z$19</f>
        <v>#REF!</v>
      </c>
      <c r="M48" s="65"/>
      <c r="N48" s="65"/>
      <c r="O48" s="65"/>
      <c r="P48" s="65"/>
      <c r="Q48" s="65"/>
      <c r="R48" s="65"/>
      <c r="S48" s="65"/>
      <c r="T48" s="65"/>
      <c r="U48" s="65"/>
      <c r="V48" s="65"/>
      <c r="W48" s="65"/>
      <c r="X48" s="65"/>
      <c r="Y48" s="65"/>
      <c r="Z48" s="65" t="e">
        <f t="shared" ref="Z48:AG48" si="26">$L48*M$32</f>
        <v>#REF!</v>
      </c>
      <c r="AA48" s="65" t="e">
        <f t="shared" si="26"/>
        <v>#REF!</v>
      </c>
      <c r="AB48" s="65" t="e">
        <f t="shared" si="26"/>
        <v>#REF!</v>
      </c>
      <c r="AC48" s="65" t="e">
        <f t="shared" si="26"/>
        <v>#REF!</v>
      </c>
      <c r="AD48" s="65" t="e">
        <f t="shared" si="26"/>
        <v>#REF!</v>
      </c>
      <c r="AE48" s="65" t="e">
        <f t="shared" si="26"/>
        <v>#REF!</v>
      </c>
      <c r="AF48" s="65" t="e">
        <f t="shared" si="26"/>
        <v>#REF!</v>
      </c>
      <c r="AG48" s="65" t="e">
        <f t="shared" si="26"/>
        <v>#REF!</v>
      </c>
      <c r="AI48" s="128" t="e">
        <f t="shared" si="12"/>
        <v>#REF!</v>
      </c>
      <c r="AJ48" s="128" t="e">
        <f t="shared" si="13"/>
        <v>#REF!</v>
      </c>
    </row>
    <row r="49" spans="3:36">
      <c r="C49" s="53"/>
      <c r="D49" s="53"/>
      <c r="E49" s="53"/>
      <c r="F49" s="53"/>
      <c r="G49" s="53"/>
      <c r="H49" s="53"/>
      <c r="I49" s="53"/>
      <c r="J49" s="53"/>
      <c r="K49" s="127">
        <f>AA11</f>
        <v>50770</v>
      </c>
      <c r="L49" s="119" t="e">
        <f>$AA$19</f>
        <v>#REF!</v>
      </c>
      <c r="M49" s="65"/>
      <c r="N49" s="65"/>
      <c r="O49" s="65"/>
      <c r="P49" s="65"/>
      <c r="Q49" s="65"/>
      <c r="R49" s="65"/>
      <c r="S49" s="65"/>
      <c r="T49" s="65"/>
      <c r="U49" s="65"/>
      <c r="V49" s="65"/>
      <c r="W49" s="65"/>
      <c r="X49" s="65"/>
      <c r="Y49" s="65"/>
      <c r="Z49" s="65"/>
      <c r="AA49" s="65" t="e">
        <f t="shared" ref="AA49:AG49" si="27">$L49*M$32</f>
        <v>#REF!</v>
      </c>
      <c r="AB49" s="65" t="e">
        <f t="shared" si="27"/>
        <v>#REF!</v>
      </c>
      <c r="AC49" s="65" t="e">
        <f t="shared" si="27"/>
        <v>#REF!</v>
      </c>
      <c r="AD49" s="65" t="e">
        <f t="shared" si="27"/>
        <v>#REF!</v>
      </c>
      <c r="AE49" s="65" t="e">
        <f t="shared" si="27"/>
        <v>#REF!</v>
      </c>
      <c r="AF49" s="65" t="e">
        <f t="shared" si="27"/>
        <v>#REF!</v>
      </c>
      <c r="AG49" s="65" t="e">
        <f t="shared" si="27"/>
        <v>#REF!</v>
      </c>
      <c r="AI49" s="128" t="e">
        <f t="shared" si="12"/>
        <v>#REF!</v>
      </c>
      <c r="AJ49" s="128" t="e">
        <f t="shared" si="13"/>
        <v>#REF!</v>
      </c>
    </row>
    <row r="50" spans="3:36">
      <c r="C50" s="53"/>
      <c r="D50" s="53"/>
      <c r="E50" s="53"/>
      <c r="F50" s="53"/>
      <c r="G50" s="53"/>
      <c r="H50" s="53"/>
      <c r="I50" s="53"/>
      <c r="J50" s="53"/>
      <c r="K50" s="127">
        <f>AB11</f>
        <v>51135</v>
      </c>
      <c r="L50" s="119" t="e">
        <f>$AB$19</f>
        <v>#REF!</v>
      </c>
      <c r="M50" s="65"/>
      <c r="N50" s="65"/>
      <c r="O50" s="65"/>
      <c r="P50" s="65"/>
      <c r="Q50" s="65"/>
      <c r="R50" s="65"/>
      <c r="S50" s="65"/>
      <c r="T50" s="65"/>
      <c r="U50" s="65"/>
      <c r="V50" s="65"/>
      <c r="W50" s="65"/>
      <c r="X50" s="65"/>
      <c r="Y50" s="65"/>
      <c r="Z50" s="65"/>
      <c r="AA50" s="65"/>
      <c r="AB50" s="65" t="e">
        <f t="shared" ref="AB50:AG50" si="28">$L50*M$32</f>
        <v>#REF!</v>
      </c>
      <c r="AC50" s="65" t="e">
        <f t="shared" si="28"/>
        <v>#REF!</v>
      </c>
      <c r="AD50" s="65" t="e">
        <f t="shared" si="28"/>
        <v>#REF!</v>
      </c>
      <c r="AE50" s="65" t="e">
        <f t="shared" si="28"/>
        <v>#REF!</v>
      </c>
      <c r="AF50" s="65" t="e">
        <f t="shared" si="28"/>
        <v>#REF!</v>
      </c>
      <c r="AG50" s="65" t="e">
        <f t="shared" si="28"/>
        <v>#REF!</v>
      </c>
      <c r="AI50" s="128" t="e">
        <f t="shared" si="12"/>
        <v>#REF!</v>
      </c>
      <c r="AJ50" s="128" t="e">
        <f t="shared" si="13"/>
        <v>#REF!</v>
      </c>
    </row>
    <row r="51" spans="3:36">
      <c r="C51" s="53"/>
      <c r="D51" s="53"/>
      <c r="E51" s="53"/>
      <c r="F51" s="53"/>
      <c r="G51" s="53"/>
      <c r="H51" s="53"/>
      <c r="I51" s="53"/>
      <c r="J51" s="53"/>
      <c r="K51" s="127">
        <f>AC11</f>
        <v>51501</v>
      </c>
      <c r="L51" s="119" t="e">
        <f>$AC$19</f>
        <v>#REF!</v>
      </c>
      <c r="M51" s="65"/>
      <c r="N51" s="65"/>
      <c r="O51" s="65"/>
      <c r="P51" s="65"/>
      <c r="Q51" s="65"/>
      <c r="R51" s="65"/>
      <c r="S51" s="65"/>
      <c r="T51" s="65"/>
      <c r="U51" s="65"/>
      <c r="V51" s="65"/>
      <c r="W51" s="65"/>
      <c r="X51" s="65"/>
      <c r="Y51" s="65"/>
      <c r="Z51" s="65"/>
      <c r="AA51" s="65"/>
      <c r="AB51" s="65"/>
      <c r="AC51" s="65" t="e">
        <f>$L51*M$32</f>
        <v>#REF!</v>
      </c>
      <c r="AD51" s="65" t="e">
        <f>$L51*N$32</f>
        <v>#REF!</v>
      </c>
      <c r="AE51" s="65" t="e">
        <f>$L51*O$32</f>
        <v>#REF!</v>
      </c>
      <c r="AF51" s="65" t="e">
        <f>$L51*P$32</f>
        <v>#REF!</v>
      </c>
      <c r="AG51" s="65" t="e">
        <f>$L51*Q$32</f>
        <v>#REF!</v>
      </c>
      <c r="AI51" s="128" t="e">
        <f t="shared" si="12"/>
        <v>#REF!</v>
      </c>
      <c r="AJ51" s="128" t="e">
        <f t="shared" si="13"/>
        <v>#REF!</v>
      </c>
    </row>
    <row r="52" spans="3:36">
      <c r="C52" s="53"/>
      <c r="D52" s="53"/>
      <c r="E52" s="53"/>
      <c r="F52" s="53"/>
      <c r="G52" s="53"/>
      <c r="H52" s="53"/>
      <c r="I52" s="53"/>
      <c r="J52" s="53"/>
      <c r="K52" s="127">
        <f>AD11</f>
        <v>51866</v>
      </c>
      <c r="L52" s="119" t="e">
        <f>$AD$19</f>
        <v>#REF!</v>
      </c>
      <c r="M52" s="65"/>
      <c r="N52" s="65"/>
      <c r="O52" s="65"/>
      <c r="P52" s="65"/>
      <c r="Q52" s="65"/>
      <c r="R52" s="65"/>
      <c r="S52" s="65"/>
      <c r="T52" s="65"/>
      <c r="U52" s="65"/>
      <c r="V52" s="65"/>
      <c r="W52" s="65"/>
      <c r="X52" s="65"/>
      <c r="Y52" s="65"/>
      <c r="Z52" s="65"/>
      <c r="AA52" s="65"/>
      <c r="AB52" s="65"/>
      <c r="AC52" s="65"/>
      <c r="AD52" s="65" t="e">
        <f>$L52*M$32</f>
        <v>#REF!</v>
      </c>
      <c r="AE52" s="65" t="e">
        <f>$L52*N$32</f>
        <v>#REF!</v>
      </c>
      <c r="AF52" s="65" t="e">
        <f>$L52*O$32</f>
        <v>#REF!</v>
      </c>
      <c r="AG52" s="65" t="e">
        <f>$L52*P$32</f>
        <v>#REF!</v>
      </c>
      <c r="AI52" s="128" t="e">
        <f t="shared" si="12"/>
        <v>#REF!</v>
      </c>
      <c r="AJ52" s="128" t="e">
        <f t="shared" si="13"/>
        <v>#REF!</v>
      </c>
    </row>
    <row r="53" spans="3:36">
      <c r="C53" s="53"/>
      <c r="D53" s="53"/>
      <c r="E53" s="53"/>
      <c r="F53" s="53"/>
      <c r="G53" s="53"/>
      <c r="H53" s="53"/>
      <c r="I53" s="53"/>
      <c r="J53" s="53"/>
      <c r="K53" s="127">
        <f>AE11</f>
        <v>52231</v>
      </c>
      <c r="L53" s="119" t="e">
        <f>$AE$19</f>
        <v>#REF!</v>
      </c>
      <c r="M53" s="65"/>
      <c r="N53" s="65"/>
      <c r="O53" s="65"/>
      <c r="P53" s="65"/>
      <c r="Q53" s="65"/>
      <c r="R53" s="65"/>
      <c r="S53" s="65"/>
      <c r="T53" s="65"/>
      <c r="U53" s="65"/>
      <c r="V53" s="65"/>
      <c r="W53" s="65"/>
      <c r="X53" s="65"/>
      <c r="Y53" s="65"/>
      <c r="Z53" s="65"/>
      <c r="AA53" s="65"/>
      <c r="AB53" s="65"/>
      <c r="AC53" s="65"/>
      <c r="AD53" s="65"/>
      <c r="AE53" s="65" t="e">
        <f>$L53*M$32</f>
        <v>#REF!</v>
      </c>
      <c r="AF53" s="65" t="e">
        <f>$L53*N$32</f>
        <v>#REF!</v>
      </c>
      <c r="AG53" s="65" t="e">
        <f>$L53*O$32</f>
        <v>#REF!</v>
      </c>
      <c r="AI53" s="128" t="e">
        <f t="shared" si="12"/>
        <v>#REF!</v>
      </c>
      <c r="AJ53" s="128" t="e">
        <f t="shared" si="13"/>
        <v>#REF!</v>
      </c>
    </row>
    <row r="54" spans="3:36">
      <c r="C54" s="53"/>
      <c r="D54" s="53"/>
      <c r="E54" s="53"/>
      <c r="F54" s="53"/>
      <c r="G54" s="53"/>
      <c r="H54" s="53"/>
      <c r="I54" s="53"/>
      <c r="J54" s="53"/>
      <c r="K54" s="127">
        <f>AF11</f>
        <v>52596</v>
      </c>
      <c r="L54" s="119" t="e">
        <f>$AF$19</f>
        <v>#REF!</v>
      </c>
      <c r="M54" s="65"/>
      <c r="N54" s="65"/>
      <c r="O54" s="65"/>
      <c r="P54" s="65"/>
      <c r="Q54" s="65"/>
      <c r="R54" s="65"/>
      <c r="S54" s="65"/>
      <c r="T54" s="65"/>
      <c r="U54" s="65"/>
      <c r="V54" s="65"/>
      <c r="W54" s="65"/>
      <c r="X54" s="65"/>
      <c r="Y54" s="65"/>
      <c r="Z54" s="65"/>
      <c r="AA54" s="65"/>
      <c r="AB54" s="65"/>
      <c r="AC54" s="65"/>
      <c r="AD54" s="65"/>
      <c r="AE54" s="65"/>
      <c r="AF54" s="65" t="e">
        <f>$L54*M$32</f>
        <v>#REF!</v>
      </c>
      <c r="AG54" s="65" t="e">
        <f>$L54*N$32</f>
        <v>#REF!</v>
      </c>
      <c r="AI54" s="128" t="e">
        <f t="shared" si="12"/>
        <v>#REF!</v>
      </c>
      <c r="AJ54" s="128" t="e">
        <f t="shared" si="13"/>
        <v>#REF!</v>
      </c>
    </row>
    <row r="55" spans="3:36">
      <c r="C55" s="53"/>
      <c r="D55" s="53"/>
      <c r="E55" s="53"/>
      <c r="F55" s="53"/>
      <c r="G55" s="53"/>
      <c r="H55" s="53"/>
      <c r="I55" s="53"/>
      <c r="J55" s="53"/>
      <c r="K55" s="127">
        <f>AG11</f>
        <v>52962</v>
      </c>
      <c r="L55" s="119" t="e">
        <f>$AG$19</f>
        <v>#REF!</v>
      </c>
      <c r="M55" s="65"/>
      <c r="N55" s="65"/>
      <c r="O55" s="65"/>
      <c r="P55" s="65"/>
      <c r="Q55" s="65"/>
      <c r="R55" s="65"/>
      <c r="S55" s="65"/>
      <c r="T55" s="65"/>
      <c r="U55" s="65"/>
      <c r="V55" s="65"/>
      <c r="W55" s="65"/>
      <c r="X55" s="65"/>
      <c r="Y55" s="65"/>
      <c r="Z55" s="65"/>
      <c r="AA55" s="65"/>
      <c r="AB55" s="65"/>
      <c r="AC55" s="65"/>
      <c r="AD55" s="65"/>
      <c r="AE55" s="65"/>
      <c r="AF55" s="65"/>
      <c r="AG55" s="65" t="e">
        <f>$L55*M$32</f>
        <v>#REF!</v>
      </c>
      <c r="AI55" s="128" t="e">
        <f t="shared" si="12"/>
        <v>#REF!</v>
      </c>
      <c r="AJ55" s="128" t="e">
        <f t="shared" si="13"/>
        <v>#REF!</v>
      </c>
    </row>
    <row r="56" spans="3:36">
      <c r="C56" s="53"/>
      <c r="D56" s="53" t="s">
        <v>1537</v>
      </c>
      <c r="E56" s="53"/>
      <c r="F56" s="53"/>
      <c r="G56" s="53"/>
      <c r="H56" s="53"/>
      <c r="I56" s="53"/>
      <c r="J56" s="53"/>
      <c r="K56" s="53"/>
      <c r="L56" s="53"/>
      <c r="M56" s="65" t="e">
        <f t="shared" ref="M56:AG56" si="29">SUM(M35:M55)</f>
        <v>#REF!</v>
      </c>
      <c r="N56" s="65" t="e">
        <f t="shared" si="29"/>
        <v>#REF!</v>
      </c>
      <c r="O56" s="65" t="e">
        <f t="shared" si="29"/>
        <v>#REF!</v>
      </c>
      <c r="P56" s="65" t="e">
        <f t="shared" si="29"/>
        <v>#REF!</v>
      </c>
      <c r="Q56" s="65" t="e">
        <f t="shared" si="29"/>
        <v>#REF!</v>
      </c>
      <c r="R56" s="65" t="e">
        <f t="shared" si="29"/>
        <v>#REF!</v>
      </c>
      <c r="S56" s="65" t="e">
        <f t="shared" si="29"/>
        <v>#REF!</v>
      </c>
      <c r="T56" s="65" t="e">
        <f t="shared" si="29"/>
        <v>#REF!</v>
      </c>
      <c r="U56" s="65" t="e">
        <f t="shared" si="29"/>
        <v>#REF!</v>
      </c>
      <c r="V56" s="65" t="e">
        <f t="shared" si="29"/>
        <v>#REF!</v>
      </c>
      <c r="W56" s="65" t="e">
        <f t="shared" si="29"/>
        <v>#REF!</v>
      </c>
      <c r="X56" s="65" t="e">
        <f t="shared" si="29"/>
        <v>#REF!</v>
      </c>
      <c r="Y56" s="65" t="e">
        <f t="shared" si="29"/>
        <v>#REF!</v>
      </c>
      <c r="Z56" s="65" t="e">
        <f t="shared" si="29"/>
        <v>#REF!</v>
      </c>
      <c r="AA56" s="65" t="e">
        <f t="shared" si="29"/>
        <v>#REF!</v>
      </c>
      <c r="AB56" s="65" t="e">
        <f t="shared" si="29"/>
        <v>#REF!</v>
      </c>
      <c r="AC56" s="65" t="e">
        <f t="shared" si="29"/>
        <v>#REF!</v>
      </c>
      <c r="AD56" s="65" t="e">
        <f t="shared" si="29"/>
        <v>#REF!</v>
      </c>
      <c r="AE56" s="65" t="e">
        <f t="shared" si="29"/>
        <v>#REF!</v>
      </c>
      <c r="AF56" s="65" t="e">
        <f t="shared" si="29"/>
        <v>#REF!</v>
      </c>
      <c r="AG56" s="65" t="e">
        <f t="shared" si="29"/>
        <v>#REF!</v>
      </c>
      <c r="AI56" s="128"/>
      <c r="AJ56" s="128"/>
    </row>
    <row r="57" spans="3:36" ht="11.5">
      <c r="C57" s="53"/>
      <c r="D57" s="53" t="s">
        <v>1538</v>
      </c>
      <c r="E57" s="53"/>
      <c r="F57" s="53"/>
      <c r="G57" s="53"/>
      <c r="H57" s="53"/>
      <c r="I57" s="53"/>
      <c r="J57" s="53"/>
      <c r="K57" s="53"/>
      <c r="L57" s="53"/>
      <c r="M57" s="130">
        <f>$L$12/$L$14/12*stub.period</f>
        <v>0</v>
      </c>
      <c r="N57" s="130">
        <f>IF(SUM(M57,$L$12/$L$14)&gt;$L$12,$L$12-SUM(M57),$L$12/$L$14)</f>
        <v>0</v>
      </c>
      <c r="O57" s="130">
        <f>IF(SUM($M$57:N57,$L$12/$L$14)&gt;$L$12,$L$12-SUM($M$57:N57),$L$12/$L$14)</f>
        <v>0</v>
      </c>
      <c r="P57" s="130">
        <f>IF(SUM($M$57:O57,$L$12/$L$14)&gt;$L$12,$L$12-SUM($M$57:O57),$L$12/$L$14)</f>
        <v>0</v>
      </c>
      <c r="Q57" s="130">
        <f>IF(SUM($M$57:P57,$L$12/$L$14)&gt;$L$12,$L$12-SUM($M$57:P57),$L$12/$L$14)</f>
        <v>0</v>
      </c>
      <c r="R57" s="130">
        <f>IF(SUM($M$57:Q57,$L$12/$L$14)&gt;$L$12,$L$12-SUM($M$57:Q57),$L$12/$L$14)</f>
        <v>0</v>
      </c>
      <c r="S57" s="130">
        <f>IF(SUM($M$57:R57,$L$12/$L$14)&gt;$L$12,$L$12-SUM($M$57:R57),$L$12/$L$14)</f>
        <v>0</v>
      </c>
      <c r="T57" s="130">
        <f>IF(SUM($M$57:S57,$L$12/$L$14)&gt;$L$12,$L$12-SUM($M$57:S57),$L$12/$L$14)</f>
        <v>0</v>
      </c>
      <c r="U57" s="130">
        <f>IF(SUM($M$57:T57,$L$12/$L$14)&gt;$L$12,$L$12-SUM($M$57:T57),$L$12/$L$14)</f>
        <v>0</v>
      </c>
      <c r="V57" s="130">
        <f>IF(SUM($M$57:U57,$L$12/$L$14)&gt;$L$12,$L$12-SUM($M$57:U57),$L$12/$L$14)</f>
        <v>0</v>
      </c>
      <c r="W57" s="130">
        <f>IF(SUM($M$57:V57,$L$12/$L$14)&gt;$L$12,$L$12-SUM($M$57:V57),$L$12/$L$14)</f>
        <v>0</v>
      </c>
      <c r="X57" s="130">
        <f>IF(SUM($M$57:W57,$L$12/$L$14)&gt;$L$12,$L$12-SUM($M$57:W57),$L$12/$L$14)</f>
        <v>0</v>
      </c>
      <c r="Y57" s="130">
        <f>IF(SUM($M$57:X57,$L$12/$L$14)&gt;$L$12,$L$12-SUM($M$57:X57),$L$12/$L$14)</f>
        <v>0</v>
      </c>
      <c r="Z57" s="130">
        <f>IF(SUM($M$57:Y57,$L$12/$L$14)&gt;$L$12,$L$12-SUM($M$57:Y57),$L$12/$L$14)</f>
        <v>0</v>
      </c>
      <c r="AA57" s="130">
        <f>IF(SUM($M$57:Z57,$L$12/$L$14)&gt;$L$12,$L$12-SUM($M$57:Z57),$L$12/$L$14)</f>
        <v>0</v>
      </c>
      <c r="AB57" s="130">
        <f>IF(SUM($M$57:AA57,$L$12/$L$14)&gt;$L$12,$L$12-SUM($M$57:AA57),$L$12/$L$14)</f>
        <v>0</v>
      </c>
      <c r="AC57" s="130">
        <f>IF(SUM($M$57:AB57,$L$12/$L$14)&gt;$L$12,$L$12-SUM($M$57:AB57),$L$12/$L$14)</f>
        <v>0</v>
      </c>
      <c r="AD57" s="130">
        <f>IF(SUM($M$57:AC57,$L$12/$L$14)&gt;$L$12,$L$12-SUM($M$57:AC57),$L$12/$L$14)</f>
        <v>0</v>
      </c>
      <c r="AE57" s="130">
        <f>IF(SUM($M$57:AD57,$L$12/$L$14)&gt;$L$12,$L$12-SUM($M$57:AD57),$L$12/$L$14)</f>
        <v>0</v>
      </c>
      <c r="AF57" s="130">
        <f>IF(SUM($M$57:AE57,$L$12/$L$14)&gt;$L$12,$L$12-SUM($M$57:AE57),$L$12/$L$14)</f>
        <v>0</v>
      </c>
      <c r="AG57" s="130">
        <f>IF(SUM($M$57:AF57,$L$12/$L$14)&gt;$L$12,$L$12-SUM($M$57:AF57),$L$12/$L$14)</f>
        <v>0</v>
      </c>
      <c r="AI57" s="128"/>
      <c r="AJ57" s="128"/>
    </row>
    <row r="58" spans="3:36" s="115" customFormat="1" ht="10.5">
      <c r="C58" s="146" t="s">
        <v>1539</v>
      </c>
      <c r="D58" s="146"/>
      <c r="E58" s="146"/>
      <c r="F58" s="146"/>
      <c r="G58" s="146"/>
      <c r="H58" s="146"/>
      <c r="I58" s="146"/>
      <c r="J58" s="146"/>
      <c r="K58" s="146"/>
      <c r="L58" s="146"/>
      <c r="M58" s="147" t="e">
        <f t="shared" ref="M58:AG58" si="30">SUM(M56:M57)</f>
        <v>#REF!</v>
      </c>
      <c r="N58" s="147" t="e">
        <f t="shared" si="30"/>
        <v>#REF!</v>
      </c>
      <c r="O58" s="147" t="e">
        <f t="shared" si="30"/>
        <v>#REF!</v>
      </c>
      <c r="P58" s="147" t="e">
        <f t="shared" si="30"/>
        <v>#REF!</v>
      </c>
      <c r="Q58" s="147" t="e">
        <f t="shared" si="30"/>
        <v>#REF!</v>
      </c>
      <c r="R58" s="147" t="e">
        <f t="shared" si="30"/>
        <v>#REF!</v>
      </c>
      <c r="S58" s="147" t="e">
        <f t="shared" si="30"/>
        <v>#REF!</v>
      </c>
      <c r="T58" s="147" t="e">
        <f t="shared" si="30"/>
        <v>#REF!</v>
      </c>
      <c r="U58" s="147" t="e">
        <f t="shared" si="30"/>
        <v>#REF!</v>
      </c>
      <c r="V58" s="147" t="e">
        <f t="shared" si="30"/>
        <v>#REF!</v>
      </c>
      <c r="W58" s="147" t="e">
        <f t="shared" si="30"/>
        <v>#REF!</v>
      </c>
      <c r="X58" s="147" t="e">
        <f t="shared" si="30"/>
        <v>#REF!</v>
      </c>
      <c r="Y58" s="147" t="e">
        <f t="shared" si="30"/>
        <v>#REF!</v>
      </c>
      <c r="Z58" s="147" t="e">
        <f t="shared" si="30"/>
        <v>#REF!</v>
      </c>
      <c r="AA58" s="147" t="e">
        <f t="shared" si="30"/>
        <v>#REF!</v>
      </c>
      <c r="AB58" s="147" t="e">
        <f t="shared" si="30"/>
        <v>#REF!</v>
      </c>
      <c r="AC58" s="147" t="e">
        <f t="shared" si="30"/>
        <v>#REF!</v>
      </c>
      <c r="AD58" s="147" t="e">
        <f t="shared" si="30"/>
        <v>#REF!</v>
      </c>
      <c r="AE58" s="147" t="e">
        <f t="shared" si="30"/>
        <v>#REF!</v>
      </c>
      <c r="AF58" s="147" t="e">
        <f t="shared" si="30"/>
        <v>#REF!</v>
      </c>
      <c r="AG58" s="147" t="e">
        <f t="shared" si="30"/>
        <v>#REF!</v>
      </c>
    </row>
    <row r="59" spans="3:36">
      <c r="C59" s="53"/>
      <c r="D59" s="53"/>
      <c r="E59" s="53"/>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row>
    <row r="60" spans="3:36" ht="10.5">
      <c r="C60" s="153" t="s">
        <v>1540</v>
      </c>
      <c r="D60" s="153"/>
      <c r="E60" s="153"/>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row>
    <row r="61" spans="3:36" ht="10.5">
      <c r="C61" s="154"/>
      <c r="D61" s="154" t="s">
        <v>1541</v>
      </c>
      <c r="E61" s="154"/>
      <c r="F61" s="53"/>
      <c r="G61" s="53"/>
      <c r="H61" s="53"/>
      <c r="I61" s="53"/>
      <c r="J61" s="53"/>
      <c r="K61" s="53"/>
      <c r="L61" s="53"/>
      <c r="M61" s="149">
        <f>L12</f>
        <v>0</v>
      </c>
      <c r="N61" s="149">
        <f t="shared" ref="N61:AG61" si="31">M12</f>
        <v>0</v>
      </c>
      <c r="O61" s="149">
        <f t="shared" si="31"/>
        <v>0</v>
      </c>
      <c r="P61" s="149">
        <f t="shared" si="31"/>
        <v>0</v>
      </c>
      <c r="Q61" s="149">
        <f t="shared" si="31"/>
        <v>0</v>
      </c>
      <c r="R61" s="149">
        <f t="shared" si="31"/>
        <v>0</v>
      </c>
      <c r="S61" s="149">
        <f t="shared" si="31"/>
        <v>0</v>
      </c>
      <c r="T61" s="149">
        <f t="shared" si="31"/>
        <v>0</v>
      </c>
      <c r="U61" s="149">
        <f t="shared" si="31"/>
        <v>0</v>
      </c>
      <c r="V61" s="149">
        <f t="shared" si="31"/>
        <v>0</v>
      </c>
      <c r="W61" s="149">
        <f t="shared" si="31"/>
        <v>0</v>
      </c>
      <c r="X61" s="149">
        <f t="shared" si="31"/>
        <v>0</v>
      </c>
      <c r="Y61" s="149">
        <f t="shared" si="31"/>
        <v>0</v>
      </c>
      <c r="Z61" s="149">
        <f t="shared" si="31"/>
        <v>0</v>
      </c>
      <c r="AA61" s="149">
        <f t="shared" si="31"/>
        <v>0</v>
      </c>
      <c r="AB61" s="149">
        <f t="shared" si="31"/>
        <v>0</v>
      </c>
      <c r="AC61" s="149">
        <f t="shared" si="31"/>
        <v>0</v>
      </c>
      <c r="AD61" s="149">
        <f t="shared" si="31"/>
        <v>0</v>
      </c>
      <c r="AE61" s="149">
        <f t="shared" si="31"/>
        <v>0</v>
      </c>
      <c r="AF61" s="149">
        <f t="shared" si="31"/>
        <v>0</v>
      </c>
      <c r="AG61" s="149">
        <f t="shared" si="31"/>
        <v>0</v>
      </c>
      <c r="AH61" s="53"/>
    </row>
    <row r="62" spans="3:36" ht="10.5">
      <c r="C62" s="154"/>
      <c r="D62" s="154" t="s">
        <v>1542</v>
      </c>
      <c r="E62" s="154"/>
      <c r="F62" s="53"/>
      <c r="G62" s="53"/>
      <c r="H62" s="53"/>
      <c r="I62" s="53"/>
      <c r="J62" s="53"/>
      <c r="K62" s="53"/>
      <c r="L62" s="53"/>
      <c r="M62" s="149" t="e">
        <f>-M19</f>
        <v>#REF!</v>
      </c>
      <c r="N62" s="149" t="e">
        <f t="shared" ref="N62:AG62" si="32">-N19</f>
        <v>#REF!</v>
      </c>
      <c r="O62" s="149" t="e">
        <f t="shared" si="32"/>
        <v>#REF!</v>
      </c>
      <c r="P62" s="149" t="e">
        <f t="shared" si="32"/>
        <v>#REF!</v>
      </c>
      <c r="Q62" s="149" t="e">
        <f t="shared" si="32"/>
        <v>#REF!</v>
      </c>
      <c r="R62" s="149" t="e">
        <f t="shared" si="32"/>
        <v>#REF!</v>
      </c>
      <c r="S62" s="149" t="e">
        <f t="shared" si="32"/>
        <v>#REF!</v>
      </c>
      <c r="T62" s="149" t="e">
        <f t="shared" si="32"/>
        <v>#REF!</v>
      </c>
      <c r="U62" s="149" t="e">
        <f t="shared" si="32"/>
        <v>#REF!</v>
      </c>
      <c r="V62" s="149" t="e">
        <f t="shared" si="32"/>
        <v>#REF!</v>
      </c>
      <c r="W62" s="149" t="e">
        <f t="shared" si="32"/>
        <v>#REF!</v>
      </c>
      <c r="X62" s="149" t="e">
        <f t="shared" si="32"/>
        <v>#REF!</v>
      </c>
      <c r="Y62" s="149" t="e">
        <f t="shared" si="32"/>
        <v>#REF!</v>
      </c>
      <c r="Z62" s="149" t="e">
        <f t="shared" si="32"/>
        <v>#REF!</v>
      </c>
      <c r="AA62" s="149" t="e">
        <f t="shared" si="32"/>
        <v>#REF!</v>
      </c>
      <c r="AB62" s="149" t="e">
        <f t="shared" si="32"/>
        <v>#REF!</v>
      </c>
      <c r="AC62" s="149" t="e">
        <f t="shared" si="32"/>
        <v>#REF!</v>
      </c>
      <c r="AD62" s="149" t="e">
        <f t="shared" si="32"/>
        <v>#REF!</v>
      </c>
      <c r="AE62" s="149" t="e">
        <f t="shared" si="32"/>
        <v>#REF!</v>
      </c>
      <c r="AF62" s="149" t="e">
        <f t="shared" si="32"/>
        <v>#REF!</v>
      </c>
      <c r="AG62" s="149" t="e">
        <f t="shared" si="32"/>
        <v>#REF!</v>
      </c>
      <c r="AH62" s="53"/>
    </row>
    <row r="63" spans="3:36" ht="10.5">
      <c r="C63" s="154"/>
      <c r="D63" s="154" t="s">
        <v>236</v>
      </c>
      <c r="E63" s="154"/>
      <c r="F63" s="53"/>
      <c r="G63" s="53"/>
      <c r="H63" s="53"/>
      <c r="I63" s="53"/>
      <c r="J63" s="53"/>
      <c r="K63" s="53"/>
      <c r="L63" s="53"/>
      <c r="M63" s="150" t="e">
        <f>M58</f>
        <v>#REF!</v>
      </c>
      <c r="N63" s="150" t="e">
        <f t="shared" ref="N63:AG63" si="33">N58</f>
        <v>#REF!</v>
      </c>
      <c r="O63" s="150" t="e">
        <f t="shared" si="33"/>
        <v>#REF!</v>
      </c>
      <c r="P63" s="150" t="e">
        <f t="shared" si="33"/>
        <v>#REF!</v>
      </c>
      <c r="Q63" s="150" t="e">
        <f t="shared" si="33"/>
        <v>#REF!</v>
      </c>
      <c r="R63" s="150" t="e">
        <f t="shared" si="33"/>
        <v>#REF!</v>
      </c>
      <c r="S63" s="150" t="e">
        <f t="shared" si="33"/>
        <v>#REF!</v>
      </c>
      <c r="T63" s="150" t="e">
        <f t="shared" si="33"/>
        <v>#REF!</v>
      </c>
      <c r="U63" s="150" t="e">
        <f t="shared" si="33"/>
        <v>#REF!</v>
      </c>
      <c r="V63" s="150" t="e">
        <f t="shared" si="33"/>
        <v>#REF!</v>
      </c>
      <c r="W63" s="150" t="e">
        <f t="shared" si="33"/>
        <v>#REF!</v>
      </c>
      <c r="X63" s="150" t="e">
        <f t="shared" si="33"/>
        <v>#REF!</v>
      </c>
      <c r="Y63" s="150" t="e">
        <f t="shared" si="33"/>
        <v>#REF!</v>
      </c>
      <c r="Z63" s="150" t="e">
        <f t="shared" si="33"/>
        <v>#REF!</v>
      </c>
      <c r="AA63" s="150" t="e">
        <f t="shared" si="33"/>
        <v>#REF!</v>
      </c>
      <c r="AB63" s="150" t="e">
        <f t="shared" si="33"/>
        <v>#REF!</v>
      </c>
      <c r="AC63" s="150" t="e">
        <f t="shared" si="33"/>
        <v>#REF!</v>
      </c>
      <c r="AD63" s="150" t="e">
        <f t="shared" si="33"/>
        <v>#REF!</v>
      </c>
      <c r="AE63" s="150" t="e">
        <f t="shared" si="33"/>
        <v>#REF!</v>
      </c>
      <c r="AF63" s="150" t="e">
        <f t="shared" si="33"/>
        <v>#REF!</v>
      </c>
      <c r="AG63" s="150" t="e">
        <f t="shared" si="33"/>
        <v>#REF!</v>
      </c>
      <c r="AH63" s="53"/>
    </row>
    <row r="64" spans="3:36" ht="10.5">
      <c r="C64" s="153" t="s">
        <v>1543</v>
      </c>
      <c r="D64" s="153"/>
      <c r="E64" s="153"/>
      <c r="F64" s="53"/>
      <c r="G64" s="53"/>
      <c r="H64" s="53"/>
      <c r="I64" s="53"/>
      <c r="J64" s="53"/>
      <c r="K64" s="53"/>
      <c r="L64" s="53"/>
      <c r="M64" s="149" t="e">
        <f>SUM(M61:M63)</f>
        <v>#REF!</v>
      </c>
      <c r="N64" s="149" t="e">
        <f t="shared" ref="N64:AG64" si="34">SUM(N61:N63)</f>
        <v>#REF!</v>
      </c>
      <c r="O64" s="149" t="e">
        <f t="shared" si="34"/>
        <v>#REF!</v>
      </c>
      <c r="P64" s="149" t="e">
        <f t="shared" si="34"/>
        <v>#REF!</v>
      </c>
      <c r="Q64" s="149" t="e">
        <f t="shared" si="34"/>
        <v>#REF!</v>
      </c>
      <c r="R64" s="149" t="e">
        <f t="shared" si="34"/>
        <v>#REF!</v>
      </c>
      <c r="S64" s="149" t="e">
        <f t="shared" si="34"/>
        <v>#REF!</v>
      </c>
      <c r="T64" s="149" t="e">
        <f t="shared" si="34"/>
        <v>#REF!</v>
      </c>
      <c r="U64" s="149" t="e">
        <f t="shared" si="34"/>
        <v>#REF!</v>
      </c>
      <c r="V64" s="149" t="e">
        <f t="shared" si="34"/>
        <v>#REF!</v>
      </c>
      <c r="W64" s="149" t="e">
        <f t="shared" si="34"/>
        <v>#REF!</v>
      </c>
      <c r="X64" s="149" t="e">
        <f t="shared" si="34"/>
        <v>#REF!</v>
      </c>
      <c r="Y64" s="149" t="e">
        <f t="shared" si="34"/>
        <v>#REF!</v>
      </c>
      <c r="Z64" s="149" t="e">
        <f t="shared" si="34"/>
        <v>#REF!</v>
      </c>
      <c r="AA64" s="149" t="e">
        <f t="shared" si="34"/>
        <v>#REF!</v>
      </c>
      <c r="AB64" s="149" t="e">
        <f t="shared" si="34"/>
        <v>#REF!</v>
      </c>
      <c r="AC64" s="149" t="e">
        <f t="shared" si="34"/>
        <v>#REF!</v>
      </c>
      <c r="AD64" s="149" t="e">
        <f t="shared" si="34"/>
        <v>#REF!</v>
      </c>
      <c r="AE64" s="149" t="e">
        <f t="shared" si="34"/>
        <v>#REF!</v>
      </c>
      <c r="AF64" s="149" t="e">
        <f t="shared" si="34"/>
        <v>#REF!</v>
      </c>
      <c r="AG64" s="149" t="e">
        <f t="shared" si="34"/>
        <v>#REF!</v>
      </c>
      <c r="AH64" s="53"/>
    </row>
    <row r="65" spans="2:37">
      <c r="C65" s="53"/>
      <c r="D65" s="53"/>
      <c r="E65" s="53"/>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row>
    <row r="66" spans="2:37">
      <c r="C66" s="53"/>
      <c r="D66" s="53"/>
      <c r="E66" s="53"/>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3"/>
    </row>
    <row r="67" spans="2:37">
      <c r="B67" s="54"/>
      <c r="C67" s="54"/>
      <c r="D67" s="54"/>
      <c r="E67" s="54"/>
      <c r="F67" s="54"/>
      <c r="G67" s="54"/>
      <c r="H67" s="54"/>
      <c r="I67" s="54"/>
      <c r="J67" s="54"/>
      <c r="K67" s="54"/>
      <c r="L67" s="54"/>
      <c r="M67" s="54"/>
      <c r="N67" s="54"/>
      <c r="O67" s="54"/>
      <c r="P67" s="54"/>
      <c r="Q67" s="54"/>
      <c r="R67" s="54"/>
      <c r="S67" s="54"/>
      <c r="T67" s="54"/>
      <c r="U67" s="54"/>
      <c r="V67" s="54"/>
      <c r="W67" s="54"/>
      <c r="X67" s="54"/>
      <c r="Y67" s="54"/>
      <c r="Z67" s="54"/>
      <c r="AA67" s="54"/>
      <c r="AB67" s="54"/>
      <c r="AC67" s="54"/>
      <c r="AD67" s="54"/>
      <c r="AE67" s="54"/>
      <c r="AF67" s="54"/>
      <c r="AG67" s="54"/>
      <c r="AH67" s="54"/>
    </row>
    <row r="68" spans="2:37">
      <c r="B68" s="53"/>
      <c r="C68" s="131" t="s">
        <v>1394</v>
      </c>
      <c r="D68" s="53"/>
      <c r="E68" s="53"/>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row>
    <row r="69" spans="2:37" s="80" customFormat="1">
      <c r="B69" s="79"/>
      <c r="C69" s="132">
        <v>1</v>
      </c>
      <c r="D69" s="133" t="str">
        <f>value.premise&amp;" of tangible assets acquired, as of "&amp;TEXT(valuation.date,"mmmm dd, yyyy")&amp;", per XXX"</f>
        <v>Fair Value of tangible assets acquired, as of September 30, 2024, per XXX</v>
      </c>
      <c r="E69" s="133"/>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row>
    <row r="70" spans="2:37" s="80" customFormat="1">
      <c r="B70" s="79"/>
      <c r="C70" s="132">
        <v>2</v>
      </c>
      <c r="D70" s="134" t="str">
        <f>"Acquired tangible assets are estimated to have a remaining economic useful life of "&amp;TEXT($L$14,"0.0")&amp;" years, per XXX."</f>
        <v>Acquired tangible assets are estimated to have a remaining economic useful life of 5.0 years, per XXX.</v>
      </c>
      <c r="E70" s="134"/>
      <c r="F70" s="135"/>
      <c r="G70" s="135"/>
      <c r="H70" s="135"/>
      <c r="I70" s="135"/>
      <c r="J70" s="135"/>
      <c r="K70" s="135"/>
      <c r="L70" s="79"/>
      <c r="M70" s="79"/>
      <c r="N70" s="79"/>
      <c r="O70" s="79"/>
      <c r="P70" s="79"/>
      <c r="Q70" s="79"/>
      <c r="R70" s="79"/>
      <c r="S70" s="79"/>
      <c r="T70" s="79"/>
      <c r="U70" s="79"/>
      <c r="V70" s="79"/>
      <c r="W70" s="79"/>
      <c r="X70" s="79"/>
      <c r="Y70" s="79"/>
      <c r="Z70" s="79"/>
      <c r="AA70" s="79"/>
      <c r="AB70" s="79"/>
      <c r="AC70" s="79"/>
      <c r="AD70" s="79"/>
      <c r="AE70" s="79"/>
      <c r="AF70" s="79"/>
      <c r="AG70" s="79"/>
      <c r="AH70" s="79"/>
    </row>
    <row r="71" spans="2:37" s="80" customFormat="1">
      <c r="B71" s="79"/>
      <c r="C71" s="132">
        <v>3</v>
      </c>
      <c r="D71" s="133" t="e">
        <f>"Capital expenditures related to new / replacement assets is estimated to have a weighted average economic useful life of "&amp;TEXT($L$32,"0.0")&amp;" years, per "&amp;TEXT(client.name.short,"")&amp;" management."</f>
        <v>#NAME?</v>
      </c>
      <c r="E71" s="133"/>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row>
    <row r="74" spans="2:37" s="115" customFormat="1" ht="10.5">
      <c r="L74" s="136" t="s">
        <v>1544</v>
      </c>
      <c r="AK74" s="136" t="s">
        <v>1545</v>
      </c>
    </row>
    <row r="75" spans="2:37" s="115" customFormat="1" ht="13.5">
      <c r="C75" s="115" t="s">
        <v>1546</v>
      </c>
      <c r="L75" s="136" t="s">
        <v>1547</v>
      </c>
      <c r="M75" s="126">
        <f t="shared" ref="M75:AG75" si="35">M11</f>
        <v>45657</v>
      </c>
      <c r="N75" s="126">
        <f t="shared" si="35"/>
        <v>46022</v>
      </c>
      <c r="O75" s="126">
        <f t="shared" si="35"/>
        <v>46387</v>
      </c>
      <c r="P75" s="126">
        <f t="shared" si="35"/>
        <v>46752</v>
      </c>
      <c r="Q75" s="126">
        <f t="shared" si="35"/>
        <v>47118</v>
      </c>
      <c r="R75" s="126">
        <f t="shared" si="35"/>
        <v>47483</v>
      </c>
      <c r="S75" s="126">
        <f t="shared" si="35"/>
        <v>47848</v>
      </c>
      <c r="T75" s="126">
        <f t="shared" si="35"/>
        <v>48213</v>
      </c>
      <c r="U75" s="126">
        <f t="shared" si="35"/>
        <v>48579</v>
      </c>
      <c r="V75" s="126">
        <f t="shared" si="35"/>
        <v>48944</v>
      </c>
      <c r="W75" s="126">
        <f t="shared" si="35"/>
        <v>49309</v>
      </c>
      <c r="X75" s="126">
        <f t="shared" si="35"/>
        <v>49674</v>
      </c>
      <c r="Y75" s="126">
        <f t="shared" si="35"/>
        <v>50040</v>
      </c>
      <c r="Z75" s="126">
        <f t="shared" si="35"/>
        <v>50405</v>
      </c>
      <c r="AA75" s="126">
        <f t="shared" si="35"/>
        <v>50770</v>
      </c>
      <c r="AB75" s="126">
        <f t="shared" si="35"/>
        <v>51135</v>
      </c>
      <c r="AC75" s="126">
        <f t="shared" si="35"/>
        <v>51501</v>
      </c>
      <c r="AD75" s="126">
        <f t="shared" si="35"/>
        <v>51866</v>
      </c>
      <c r="AE75" s="126">
        <f t="shared" si="35"/>
        <v>52231</v>
      </c>
      <c r="AF75" s="126">
        <f t="shared" si="35"/>
        <v>52596</v>
      </c>
      <c r="AG75" s="126">
        <f t="shared" si="35"/>
        <v>52962</v>
      </c>
      <c r="AI75" s="125" t="s">
        <v>1548</v>
      </c>
      <c r="AJ75" s="125" t="s">
        <v>1549</v>
      </c>
      <c r="AK75" s="125" t="s">
        <v>1544</v>
      </c>
    </row>
    <row r="76" spans="2:37">
      <c r="D76" s="61" t="s">
        <v>1550</v>
      </c>
      <c r="L76" s="77">
        <v>3</v>
      </c>
      <c r="M76" s="129">
        <v>0</v>
      </c>
      <c r="N76" s="129">
        <v>0</v>
      </c>
      <c r="O76" s="129">
        <v>0</v>
      </c>
      <c r="P76" s="129">
        <v>0</v>
      </c>
      <c r="Q76" s="129">
        <v>0</v>
      </c>
      <c r="R76" s="129">
        <v>0</v>
      </c>
      <c r="S76" s="129">
        <v>0</v>
      </c>
      <c r="T76" s="129">
        <v>0</v>
      </c>
      <c r="U76" s="129">
        <v>0</v>
      </c>
      <c r="V76" s="129">
        <v>0</v>
      </c>
      <c r="W76" s="129">
        <v>0</v>
      </c>
      <c r="X76" s="129">
        <v>0</v>
      </c>
      <c r="Y76" s="129">
        <v>0</v>
      </c>
      <c r="Z76" s="129">
        <v>0</v>
      </c>
      <c r="AA76" s="129">
        <v>0</v>
      </c>
      <c r="AB76" s="129">
        <v>0</v>
      </c>
      <c r="AC76" s="129">
        <v>0</v>
      </c>
      <c r="AD76" s="129">
        <v>0</v>
      </c>
      <c r="AE76" s="129">
        <v>0</v>
      </c>
      <c r="AF76" s="129">
        <v>0</v>
      </c>
      <c r="AG76" s="129">
        <v>0</v>
      </c>
      <c r="AH76" s="129"/>
      <c r="AI76" s="129">
        <f t="shared" ref="AI76:AI82" si="36">SUM(M76:X76)</f>
        <v>0</v>
      </c>
      <c r="AJ76" s="78" t="str">
        <f>IF(ISERROR(AI76/$AI$82),"NA",AI76/$AI$82)</f>
        <v>NA</v>
      </c>
      <c r="AK76" s="77" t="str">
        <f t="shared" ref="AK76:AK82" si="37">IF(ISERROR(AJ76*L76),"NA",AJ76*L76)</f>
        <v>NA</v>
      </c>
    </row>
    <row r="77" spans="2:37">
      <c r="D77" s="61" t="s">
        <v>1551</v>
      </c>
      <c r="L77" s="77">
        <v>5</v>
      </c>
      <c r="M77" s="129">
        <v>0</v>
      </c>
      <c r="N77" s="129">
        <v>0</v>
      </c>
      <c r="O77" s="129">
        <v>0</v>
      </c>
      <c r="P77" s="129">
        <v>0</v>
      </c>
      <c r="Q77" s="129">
        <v>0</v>
      </c>
      <c r="R77" s="129">
        <v>0</v>
      </c>
      <c r="S77" s="129">
        <v>0</v>
      </c>
      <c r="T77" s="129">
        <v>0</v>
      </c>
      <c r="U77" s="129">
        <v>0</v>
      </c>
      <c r="V77" s="129">
        <v>0</v>
      </c>
      <c r="W77" s="129">
        <v>0</v>
      </c>
      <c r="X77" s="129">
        <v>0</v>
      </c>
      <c r="Y77" s="129">
        <v>0</v>
      </c>
      <c r="Z77" s="129">
        <v>0</v>
      </c>
      <c r="AA77" s="129">
        <v>0</v>
      </c>
      <c r="AB77" s="129">
        <v>0</v>
      </c>
      <c r="AC77" s="129">
        <v>0</v>
      </c>
      <c r="AD77" s="129">
        <v>0</v>
      </c>
      <c r="AE77" s="129">
        <v>0</v>
      </c>
      <c r="AF77" s="129">
        <v>0</v>
      </c>
      <c r="AG77" s="129">
        <v>0</v>
      </c>
      <c r="AH77" s="129"/>
      <c r="AI77" s="129">
        <f t="shared" si="36"/>
        <v>0</v>
      </c>
      <c r="AJ77" s="78" t="str">
        <f t="shared" ref="AJ77:AJ82" si="38">IF(ISERROR(AI77/$AI$82),"NA",AI77/$AI$82)</f>
        <v>NA</v>
      </c>
      <c r="AK77" s="77" t="str">
        <f t="shared" si="37"/>
        <v>NA</v>
      </c>
    </row>
    <row r="78" spans="2:37">
      <c r="D78" s="61" t="s">
        <v>1552</v>
      </c>
      <c r="L78" s="77">
        <v>7</v>
      </c>
      <c r="M78" s="129">
        <v>0</v>
      </c>
      <c r="N78" s="129">
        <v>0</v>
      </c>
      <c r="O78" s="129">
        <v>0</v>
      </c>
      <c r="P78" s="129">
        <v>0</v>
      </c>
      <c r="Q78" s="129">
        <v>0</v>
      </c>
      <c r="R78" s="129">
        <v>0</v>
      </c>
      <c r="S78" s="129">
        <v>0</v>
      </c>
      <c r="T78" s="129">
        <v>0</v>
      </c>
      <c r="U78" s="129">
        <v>0</v>
      </c>
      <c r="V78" s="129">
        <v>0</v>
      </c>
      <c r="W78" s="129">
        <v>0</v>
      </c>
      <c r="X78" s="129">
        <v>0</v>
      </c>
      <c r="Y78" s="129">
        <v>0</v>
      </c>
      <c r="Z78" s="129">
        <v>0</v>
      </c>
      <c r="AA78" s="129">
        <v>0</v>
      </c>
      <c r="AB78" s="129">
        <v>0</v>
      </c>
      <c r="AC78" s="129">
        <v>0</v>
      </c>
      <c r="AD78" s="129">
        <v>0</v>
      </c>
      <c r="AE78" s="129">
        <v>0</v>
      </c>
      <c r="AF78" s="129">
        <v>0</v>
      </c>
      <c r="AG78" s="129">
        <v>0</v>
      </c>
      <c r="AH78" s="129"/>
      <c r="AI78" s="129">
        <f t="shared" si="36"/>
        <v>0</v>
      </c>
      <c r="AJ78" s="78" t="str">
        <f t="shared" si="38"/>
        <v>NA</v>
      </c>
      <c r="AK78" s="77" t="str">
        <f t="shared" si="37"/>
        <v>NA</v>
      </c>
    </row>
    <row r="79" spans="2:37">
      <c r="D79" s="61" t="s">
        <v>1553</v>
      </c>
      <c r="L79" s="77">
        <v>10</v>
      </c>
      <c r="M79" s="129">
        <v>0</v>
      </c>
      <c r="N79" s="129">
        <v>0</v>
      </c>
      <c r="O79" s="129">
        <v>0</v>
      </c>
      <c r="P79" s="129">
        <v>0</v>
      </c>
      <c r="Q79" s="129">
        <v>0</v>
      </c>
      <c r="R79" s="129">
        <v>0</v>
      </c>
      <c r="S79" s="129">
        <v>0</v>
      </c>
      <c r="T79" s="129">
        <v>0</v>
      </c>
      <c r="U79" s="129">
        <v>0</v>
      </c>
      <c r="V79" s="129">
        <v>0</v>
      </c>
      <c r="W79" s="129">
        <v>0</v>
      </c>
      <c r="X79" s="129">
        <v>0</v>
      </c>
      <c r="Y79" s="129">
        <v>0</v>
      </c>
      <c r="Z79" s="129">
        <v>0</v>
      </c>
      <c r="AA79" s="129">
        <v>0</v>
      </c>
      <c r="AB79" s="129">
        <v>0</v>
      </c>
      <c r="AC79" s="129">
        <v>0</v>
      </c>
      <c r="AD79" s="129">
        <v>0</v>
      </c>
      <c r="AE79" s="129">
        <v>0</v>
      </c>
      <c r="AF79" s="129">
        <v>0</v>
      </c>
      <c r="AG79" s="129">
        <v>0</v>
      </c>
      <c r="AH79" s="129"/>
      <c r="AI79" s="129">
        <f t="shared" si="36"/>
        <v>0</v>
      </c>
      <c r="AJ79" s="78" t="str">
        <f t="shared" si="38"/>
        <v>NA</v>
      </c>
      <c r="AK79" s="77" t="str">
        <f t="shared" si="37"/>
        <v>NA</v>
      </c>
    </row>
    <row r="80" spans="2:37">
      <c r="D80" s="61" t="s">
        <v>1554</v>
      </c>
      <c r="L80" s="77">
        <v>15</v>
      </c>
      <c r="M80" s="129">
        <v>0</v>
      </c>
      <c r="N80" s="129">
        <v>0</v>
      </c>
      <c r="O80" s="129">
        <v>0</v>
      </c>
      <c r="P80" s="129">
        <v>0</v>
      </c>
      <c r="Q80" s="129">
        <v>0</v>
      </c>
      <c r="R80" s="129">
        <v>0</v>
      </c>
      <c r="S80" s="129">
        <v>0</v>
      </c>
      <c r="T80" s="129">
        <v>0</v>
      </c>
      <c r="U80" s="129">
        <v>0</v>
      </c>
      <c r="V80" s="129">
        <v>0</v>
      </c>
      <c r="W80" s="129">
        <v>0</v>
      </c>
      <c r="X80" s="129">
        <v>0</v>
      </c>
      <c r="Y80" s="129">
        <v>0</v>
      </c>
      <c r="Z80" s="129">
        <v>0</v>
      </c>
      <c r="AA80" s="129">
        <v>0</v>
      </c>
      <c r="AB80" s="129">
        <v>0</v>
      </c>
      <c r="AC80" s="129">
        <v>0</v>
      </c>
      <c r="AD80" s="129">
        <v>0</v>
      </c>
      <c r="AE80" s="129">
        <v>0</v>
      </c>
      <c r="AF80" s="129">
        <v>0</v>
      </c>
      <c r="AG80" s="129">
        <v>0</v>
      </c>
      <c r="AH80" s="129"/>
      <c r="AI80" s="129">
        <f t="shared" si="36"/>
        <v>0</v>
      </c>
      <c r="AJ80" s="78" t="str">
        <f t="shared" si="38"/>
        <v>NA</v>
      </c>
      <c r="AK80" s="77" t="str">
        <f t="shared" si="37"/>
        <v>NA</v>
      </c>
    </row>
    <row r="81" spans="3:37" ht="11.5">
      <c r="D81" s="61" t="s">
        <v>1555</v>
      </c>
      <c r="L81" s="77">
        <v>20</v>
      </c>
      <c r="M81" s="137">
        <v>0</v>
      </c>
      <c r="N81" s="137">
        <v>0</v>
      </c>
      <c r="O81" s="137">
        <v>0</v>
      </c>
      <c r="P81" s="137">
        <v>0</v>
      </c>
      <c r="Q81" s="137">
        <v>0</v>
      </c>
      <c r="R81" s="137">
        <v>0</v>
      </c>
      <c r="S81" s="137">
        <v>0</v>
      </c>
      <c r="T81" s="137">
        <v>0</v>
      </c>
      <c r="U81" s="137">
        <v>0</v>
      </c>
      <c r="V81" s="137">
        <v>0</v>
      </c>
      <c r="W81" s="137">
        <v>0</v>
      </c>
      <c r="X81" s="137">
        <v>0</v>
      </c>
      <c r="Y81" s="137">
        <v>0</v>
      </c>
      <c r="Z81" s="137">
        <v>0</v>
      </c>
      <c r="AA81" s="137">
        <v>0</v>
      </c>
      <c r="AB81" s="137">
        <v>0</v>
      </c>
      <c r="AC81" s="137">
        <v>0</v>
      </c>
      <c r="AD81" s="137">
        <v>0</v>
      </c>
      <c r="AE81" s="137">
        <v>0</v>
      </c>
      <c r="AF81" s="137">
        <v>0</v>
      </c>
      <c r="AG81" s="137">
        <v>0</v>
      </c>
      <c r="AH81" s="137"/>
      <c r="AI81" s="137">
        <f t="shared" si="36"/>
        <v>0</v>
      </c>
      <c r="AJ81" s="138" t="str">
        <f t="shared" si="38"/>
        <v>NA</v>
      </c>
      <c r="AK81" s="139" t="str">
        <f t="shared" si="37"/>
        <v>NA</v>
      </c>
    </row>
    <row r="82" spans="3:37" s="115" customFormat="1" ht="12">
      <c r="C82" s="115" t="s">
        <v>1556</v>
      </c>
      <c r="M82" s="140">
        <f t="shared" ref="M82:AG82" si="39">SUM(M76:M81)</f>
        <v>0</v>
      </c>
      <c r="N82" s="140">
        <f t="shared" si="39"/>
        <v>0</v>
      </c>
      <c r="O82" s="140">
        <f t="shared" si="39"/>
        <v>0</v>
      </c>
      <c r="P82" s="140">
        <f t="shared" si="39"/>
        <v>0</v>
      </c>
      <c r="Q82" s="140">
        <f t="shared" si="39"/>
        <v>0</v>
      </c>
      <c r="R82" s="140">
        <f t="shared" si="39"/>
        <v>0</v>
      </c>
      <c r="S82" s="140">
        <f t="shared" si="39"/>
        <v>0</v>
      </c>
      <c r="T82" s="140">
        <f t="shared" si="39"/>
        <v>0</v>
      </c>
      <c r="U82" s="140">
        <f t="shared" si="39"/>
        <v>0</v>
      </c>
      <c r="V82" s="140">
        <f t="shared" si="39"/>
        <v>0</v>
      </c>
      <c r="W82" s="140">
        <f t="shared" si="39"/>
        <v>0</v>
      </c>
      <c r="X82" s="140">
        <f t="shared" si="39"/>
        <v>0</v>
      </c>
      <c r="Y82" s="140">
        <f t="shared" si="39"/>
        <v>0</v>
      </c>
      <c r="Z82" s="140">
        <f t="shared" si="39"/>
        <v>0</v>
      </c>
      <c r="AA82" s="140">
        <f t="shared" si="39"/>
        <v>0</v>
      </c>
      <c r="AB82" s="140">
        <f t="shared" si="39"/>
        <v>0</v>
      </c>
      <c r="AC82" s="140">
        <f t="shared" si="39"/>
        <v>0</v>
      </c>
      <c r="AD82" s="140">
        <f t="shared" si="39"/>
        <v>0</v>
      </c>
      <c r="AE82" s="140">
        <f t="shared" si="39"/>
        <v>0</v>
      </c>
      <c r="AF82" s="140">
        <f t="shared" si="39"/>
        <v>0</v>
      </c>
      <c r="AG82" s="140">
        <f t="shared" si="39"/>
        <v>0</v>
      </c>
      <c r="AH82" s="140"/>
      <c r="AI82" s="140">
        <f t="shared" si="36"/>
        <v>0</v>
      </c>
      <c r="AJ82" s="141" t="str">
        <f t="shared" si="38"/>
        <v>NA</v>
      </c>
      <c r="AK82" s="142" t="str">
        <f t="shared" si="37"/>
        <v>NA</v>
      </c>
    </row>
    <row r="86" spans="3:37">
      <c r="M86" s="143"/>
      <c r="N86" s="143"/>
      <c r="O86" s="143"/>
      <c r="P86" s="143"/>
    </row>
  </sheetData>
  <conditionalFormatting sqref="L14 K23:K28 L76:AG81">
    <cfRule type="expression" dxfId="1" priority="2">
      <formula>IF(input.toggle="Yes",TRUE,FALSE)</formula>
    </cfRule>
  </conditionalFormatting>
  <printOptions horizontalCentered="1"/>
  <pageMargins left="0.25" right="0.25" top="0.75" bottom="0.25" header="0.25" footer="0.25"/>
  <pageSetup scale="77" orientation="landscape" r:id="rId1"/>
  <headerFooter alignWithMargins="0">
    <oddHeader>&amp;R&amp;"Arial"&amp;8&amp;K000000Confidential&amp;1#</oddHeader>
  </headerFooter>
  <colBreaks count="1" manualBreakCount="1">
    <brk id="17" min="1" max="68" man="1"/>
  </col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theme="9" tint="-9.9978637043366805E-2"/>
  </sheetPr>
  <dimension ref="B1:K42"/>
  <sheetViews>
    <sheetView showGridLines="0" view="pageBreakPreview" zoomScale="90" zoomScaleNormal="75" zoomScaleSheetLayoutView="90" workbookViewId="0">
      <selection activeCell="H13" sqref="H13"/>
    </sheetView>
  </sheetViews>
  <sheetFormatPr defaultColWidth="8.84375" defaultRowHeight="10.5" outlineLevelCol="1"/>
  <cols>
    <col min="1" max="1" width="4.15234375" style="433" customWidth="1"/>
    <col min="2" max="2" width="2.84375" style="433" customWidth="1"/>
    <col min="3" max="3" width="9.84375" style="433" customWidth="1"/>
    <col min="4" max="6" width="9.84375" style="433" hidden="1" customWidth="1" outlineLevel="1"/>
    <col min="7" max="7" width="9.84375" style="433" customWidth="1" collapsed="1"/>
    <col min="8" max="8" width="93.84375" style="433" customWidth="1"/>
    <col min="9" max="9" width="2.84375" style="433" customWidth="1"/>
    <col min="10" max="10" width="6" style="1220" bestFit="1" customWidth="1"/>
    <col min="11" max="11" width="8.84375" style="1220"/>
    <col min="12" max="16384" width="8.84375" style="433"/>
  </cols>
  <sheetData>
    <row r="1" spans="2:10" s="603" customFormat="1">
      <c r="B1" s="1203"/>
    </row>
    <row r="2" spans="2:10" s="618" customFormat="1">
      <c r="B2" s="744" t="str">
        <f>Inputs!B2</f>
        <v>Valify - UAE Valuation Services</v>
      </c>
      <c r="C2" s="604"/>
      <c r="D2" s="604"/>
      <c r="E2" s="604"/>
      <c r="F2" s="604"/>
      <c r="G2" s="604"/>
      <c r="H2" s="604"/>
      <c r="I2" s="984"/>
    </row>
    <row r="3" spans="2:10" s="618" customFormat="1">
      <c r="B3" s="985" t="str">
        <f>Inputs!$B$3</f>
        <v>Aerial Arts India XXXXXXXXXXXXXXXXX - Self Valuation using DCF Method, Transaction Multiples Method, &amp; Market Multiples Method as at September 30, 2024</v>
      </c>
      <c r="C3" s="745"/>
      <c r="D3" s="745"/>
      <c r="E3" s="745"/>
      <c r="F3" s="745"/>
      <c r="G3" s="745"/>
      <c r="H3" s="745"/>
      <c r="I3" s="988"/>
    </row>
    <row r="4" spans="2:10" s="618" customFormat="1">
      <c r="B4" s="1168" t="s">
        <v>1557</v>
      </c>
      <c r="C4" s="747"/>
      <c r="D4" s="747"/>
      <c r="E4" s="747"/>
      <c r="F4" s="747"/>
      <c r="G4" s="747"/>
      <c r="H4" s="747"/>
      <c r="I4" s="748" t="str">
        <f>valuation.date.header</f>
        <v>Valuation Date:  September 30, 2024</v>
      </c>
    </row>
    <row r="5" spans="2:10">
      <c r="B5" s="1170"/>
      <c r="C5" s="1219"/>
      <c r="D5" s="1219"/>
      <c r="E5" s="1219"/>
      <c r="F5" s="1219"/>
      <c r="G5" s="1219"/>
      <c r="H5" s="1219"/>
    </row>
    <row r="6" spans="2:10" ht="18" customHeight="1">
      <c r="C6" s="1221" t="s">
        <v>1558</v>
      </c>
      <c r="J6" s="433"/>
    </row>
    <row r="7" spans="2:10" ht="26" customHeight="1">
      <c r="C7" s="1222" t="s">
        <v>1559</v>
      </c>
      <c r="D7" s="1222" t="s">
        <v>93</v>
      </c>
      <c r="E7" s="1222" t="s">
        <v>95</v>
      </c>
      <c r="F7" s="1222" t="s">
        <v>1560</v>
      </c>
      <c r="G7" s="1222" t="s">
        <v>96</v>
      </c>
      <c r="H7" s="1222" t="s">
        <v>1561</v>
      </c>
      <c r="J7" s="433"/>
    </row>
    <row r="8" spans="2:10">
      <c r="C8" s="1223" t="str">
        <f>'GPC Data'!E22</f>
        <v>Comp 1</v>
      </c>
      <c r="D8" s="1224" t="e">
        <f>#REF!</f>
        <v>#REF!</v>
      </c>
      <c r="E8" s="1224" t="e">
        <f>#REF!</f>
        <v>#REF!</v>
      </c>
      <c r="F8" s="1224" t="e">
        <f>#REF!</f>
        <v>#REF!</v>
      </c>
      <c r="G8" s="1223">
        <f>'GPC Data'!H22</f>
        <v>0</v>
      </c>
      <c r="H8" s="1225">
        <f>'GPC Data'!S22</f>
        <v>0</v>
      </c>
      <c r="J8" s="433"/>
    </row>
    <row r="9" spans="2:10">
      <c r="C9" s="1223" t="str">
        <f>'GPC Data'!E23</f>
        <v>Comp 2</v>
      </c>
      <c r="D9" s="1224" t="e">
        <f>#REF!</f>
        <v>#REF!</v>
      </c>
      <c r="E9" s="1224" t="e">
        <f>#REF!</f>
        <v>#REF!</v>
      </c>
      <c r="F9" s="1224" t="e">
        <f>#REF!</f>
        <v>#REF!</v>
      </c>
      <c r="G9" s="1223">
        <f>'GPC Data'!H23</f>
        <v>0</v>
      </c>
      <c r="H9" s="1225">
        <f>'GPC Data'!S23</f>
        <v>0</v>
      </c>
      <c r="J9" s="433"/>
    </row>
    <row r="10" spans="2:10">
      <c r="C10" s="1223" t="str">
        <f>'GPC Data'!E24</f>
        <v>Comp 3</v>
      </c>
      <c r="D10" s="1224" t="e">
        <f>#REF!</f>
        <v>#REF!</v>
      </c>
      <c r="E10" s="1224" t="e">
        <f>#REF!</f>
        <v>#REF!</v>
      </c>
      <c r="F10" s="1224" t="e">
        <f>#REF!</f>
        <v>#REF!</v>
      </c>
      <c r="G10" s="1223">
        <f>'GPC Data'!H24</f>
        <v>0</v>
      </c>
      <c r="H10" s="1225">
        <f>'GPC Data'!S24</f>
        <v>0</v>
      </c>
      <c r="J10" s="433"/>
    </row>
    <row r="11" spans="2:10" ht="12" customHeight="1">
      <c r="C11" s="1223" t="str">
        <f>'GPC Data'!E25</f>
        <v>Comp 4</v>
      </c>
      <c r="D11" s="1224" t="e">
        <f>#REF!</f>
        <v>#REF!</v>
      </c>
      <c r="E11" s="1224" t="e">
        <f>#REF!</f>
        <v>#REF!</v>
      </c>
      <c r="F11" s="1224" t="e">
        <f>#REF!</f>
        <v>#REF!</v>
      </c>
      <c r="G11" s="1223">
        <f>'GPC Data'!H25</f>
        <v>0</v>
      </c>
      <c r="H11" s="1225">
        <f>'GPC Data'!S25</f>
        <v>0</v>
      </c>
      <c r="J11" s="433"/>
    </row>
    <row r="12" spans="2:10" ht="12" customHeight="1">
      <c r="C12" s="1223" t="str">
        <f>'GPC Data'!E26</f>
        <v>Comp 5</v>
      </c>
      <c r="D12" s="1224" t="e">
        <f>#REF!</f>
        <v>#REF!</v>
      </c>
      <c r="E12" s="1224" t="e">
        <f>#REF!</f>
        <v>#REF!</v>
      </c>
      <c r="F12" s="1224" t="e">
        <f>#REF!</f>
        <v>#REF!</v>
      </c>
      <c r="G12" s="1223">
        <f>'GPC Data'!H26</f>
        <v>0</v>
      </c>
      <c r="H12" s="1225">
        <f>'GPC Data'!S26</f>
        <v>0</v>
      </c>
      <c r="J12" s="433"/>
    </row>
    <row r="13" spans="2:10" ht="12" customHeight="1">
      <c r="C13" s="1223" t="str">
        <f>'GPC Data'!E27</f>
        <v>Comp 6</v>
      </c>
      <c r="D13" s="1224" t="e">
        <f>#REF!</f>
        <v>#REF!</v>
      </c>
      <c r="E13" s="1224" t="e">
        <f>#REF!</f>
        <v>#REF!</v>
      </c>
      <c r="F13" s="1224" t="e">
        <f>#REF!</f>
        <v>#REF!</v>
      </c>
      <c r="G13" s="1223">
        <f>'GPC Data'!H27</f>
        <v>0</v>
      </c>
      <c r="H13" s="1225">
        <f>'GPC Data'!S27</f>
        <v>0</v>
      </c>
      <c r="J13" s="433"/>
    </row>
    <row r="14" spans="2:10" ht="12" customHeight="1">
      <c r="C14" s="1223" t="str">
        <f>'GPC Data'!E28</f>
        <v>Comp 7</v>
      </c>
      <c r="D14" s="1224" t="e">
        <f>#REF!</f>
        <v>#REF!</v>
      </c>
      <c r="E14" s="1224" t="e">
        <f>#REF!</f>
        <v>#REF!</v>
      </c>
      <c r="F14" s="1224" t="e">
        <f>#REF!</f>
        <v>#REF!</v>
      </c>
      <c r="G14" s="1223">
        <f>'GPC Data'!H28</f>
        <v>0</v>
      </c>
      <c r="H14" s="1225">
        <f>'GPC Data'!S28</f>
        <v>0</v>
      </c>
      <c r="J14" s="433"/>
    </row>
    <row r="15" spans="2:10" ht="12" customHeight="1">
      <c r="C15" s="1223" t="str">
        <f>'GPC Data'!E29</f>
        <v>Comp 8</v>
      </c>
      <c r="D15" s="1224" t="e">
        <f>#REF!</f>
        <v>#REF!</v>
      </c>
      <c r="E15" s="1224" t="e">
        <f>#REF!</f>
        <v>#REF!</v>
      </c>
      <c r="F15" s="1224" t="e">
        <f>#REF!</f>
        <v>#REF!</v>
      </c>
      <c r="G15" s="1223">
        <f>'GPC Data'!H29</f>
        <v>0</v>
      </c>
      <c r="H15" s="1225">
        <f>'GPC Data'!S29</f>
        <v>0</v>
      </c>
      <c r="J15" s="433"/>
    </row>
    <row r="16" spans="2:10" ht="12" customHeight="1">
      <c r="C16" s="1223" t="str">
        <f>'GPC Data'!E30</f>
        <v>Comp 9</v>
      </c>
      <c r="D16" s="1224" t="e">
        <f>#REF!</f>
        <v>#REF!</v>
      </c>
      <c r="E16" s="1224" t="e">
        <f>#REF!</f>
        <v>#REF!</v>
      </c>
      <c r="F16" s="1224" t="e">
        <f>#REF!</f>
        <v>#REF!</v>
      </c>
      <c r="G16" s="1223">
        <f>'GPC Data'!H30</f>
        <v>0</v>
      </c>
      <c r="H16" s="1225">
        <f>'GPC Data'!S30</f>
        <v>0</v>
      </c>
      <c r="J16" s="433"/>
    </row>
    <row r="17" spans="3:10" ht="12" customHeight="1">
      <c r="C17" s="1223" t="str">
        <f>'GPC Data'!E31</f>
        <v>Comp 10</v>
      </c>
      <c r="D17" s="1224" t="e">
        <f>#REF!</f>
        <v>#REF!</v>
      </c>
      <c r="E17" s="1224" t="e">
        <f>#REF!</f>
        <v>#REF!</v>
      </c>
      <c r="F17" s="1224" t="e">
        <f>#REF!</f>
        <v>#REF!</v>
      </c>
      <c r="G17" s="1223">
        <f>'GPC Data'!H31</f>
        <v>0</v>
      </c>
      <c r="H17" s="1225">
        <f>'GPC Data'!S31</f>
        <v>0</v>
      </c>
      <c r="J17" s="433"/>
    </row>
    <row r="18" spans="3:10" ht="12" customHeight="1">
      <c r="C18" s="1223" t="str">
        <f>'GPC Data'!E32</f>
        <v>Comp 11</v>
      </c>
      <c r="D18" s="1224" t="e">
        <f>#REF!</f>
        <v>#REF!</v>
      </c>
      <c r="E18" s="1224" t="e">
        <f>#REF!</f>
        <v>#REF!</v>
      </c>
      <c r="F18" s="1224" t="e">
        <f>#REF!</f>
        <v>#REF!</v>
      </c>
      <c r="G18" s="1223">
        <f>'GPC Data'!H32</f>
        <v>0</v>
      </c>
      <c r="H18" s="1225">
        <f>'GPC Data'!S32</f>
        <v>0</v>
      </c>
      <c r="J18" s="433"/>
    </row>
    <row r="19" spans="3:10" ht="12" customHeight="1">
      <c r="C19" s="1223" t="str">
        <f>'GPC Data'!E33</f>
        <v>Comp 12</v>
      </c>
      <c r="D19" s="1224" t="e">
        <f>#REF!</f>
        <v>#REF!</v>
      </c>
      <c r="E19" s="1224" t="e">
        <f>#REF!</f>
        <v>#REF!</v>
      </c>
      <c r="F19" s="1224" t="e">
        <f>#REF!</f>
        <v>#REF!</v>
      </c>
      <c r="G19" s="1223">
        <f>'GPC Data'!H33</f>
        <v>0</v>
      </c>
      <c r="H19" s="1225">
        <f>'GPC Data'!S33</f>
        <v>0</v>
      </c>
      <c r="J19" s="433"/>
    </row>
    <row r="20" spans="3:10" ht="12" customHeight="1">
      <c r="C20" s="1223" t="str">
        <f>'GPC Data'!E34</f>
        <v>Comp 13</v>
      </c>
      <c r="D20" s="1224" t="e">
        <f>#REF!</f>
        <v>#REF!</v>
      </c>
      <c r="E20" s="1224" t="e">
        <f>#REF!</f>
        <v>#REF!</v>
      </c>
      <c r="F20" s="1224" t="e">
        <f>#REF!</f>
        <v>#REF!</v>
      </c>
      <c r="G20" s="1223">
        <f>'GPC Data'!H34</f>
        <v>0</v>
      </c>
      <c r="H20" s="1225">
        <f>'GPC Data'!S34</f>
        <v>0</v>
      </c>
      <c r="J20" s="433"/>
    </row>
    <row r="21" spans="3:10" ht="12" customHeight="1">
      <c r="C21" s="1223" t="str">
        <f>'GPC Data'!E35</f>
        <v>Comp 14</v>
      </c>
      <c r="D21" s="1224" t="e">
        <f>#REF!</f>
        <v>#REF!</v>
      </c>
      <c r="E21" s="1224" t="e">
        <f>#REF!</f>
        <v>#REF!</v>
      </c>
      <c r="F21" s="1224" t="e">
        <f>#REF!</f>
        <v>#REF!</v>
      </c>
      <c r="G21" s="1223">
        <f>'GPC Data'!H35</f>
        <v>0</v>
      </c>
      <c r="H21" s="1225">
        <f>'GPC Data'!S35</f>
        <v>0</v>
      </c>
      <c r="J21" s="433"/>
    </row>
    <row r="22" spans="3:10" ht="12" customHeight="1">
      <c r="C22" s="1223" t="str">
        <f>'GPC Data'!E36</f>
        <v>Comp 15</v>
      </c>
      <c r="D22" s="1224" t="e">
        <f>#REF!</f>
        <v>#REF!</v>
      </c>
      <c r="E22" s="1224" t="e">
        <f>#REF!</f>
        <v>#REF!</v>
      </c>
      <c r="F22" s="1224" t="e">
        <f>#REF!</f>
        <v>#REF!</v>
      </c>
      <c r="G22" s="1223">
        <f>'GPC Data'!H36</f>
        <v>0</v>
      </c>
      <c r="H22" s="1225">
        <f>'GPC Data'!S36</f>
        <v>0</v>
      </c>
      <c r="J22" s="433"/>
    </row>
    <row r="23" spans="3:10" ht="12" customHeight="1">
      <c r="C23" s="1223" t="str">
        <f>'GPC Data'!E37</f>
        <v>Comp 16</v>
      </c>
      <c r="D23" s="1224" t="e">
        <f>#REF!</f>
        <v>#REF!</v>
      </c>
      <c r="E23" s="1224" t="e">
        <f>#REF!</f>
        <v>#REF!</v>
      </c>
      <c r="F23" s="1224" t="e">
        <f>#REF!</f>
        <v>#REF!</v>
      </c>
      <c r="G23" s="1223">
        <f>'GPC Data'!H37</f>
        <v>0</v>
      </c>
      <c r="H23" s="1225">
        <f>'GPC Data'!S37</f>
        <v>0</v>
      </c>
      <c r="J23" s="433"/>
    </row>
    <row r="24" spans="3:10" ht="12" customHeight="1">
      <c r="C24" s="1223" t="str">
        <f>'GPC Data'!E38</f>
        <v>Comp 17</v>
      </c>
      <c r="D24" s="1224" t="e">
        <f>#REF!</f>
        <v>#REF!</v>
      </c>
      <c r="E24" s="1224" t="e">
        <f>#REF!</f>
        <v>#REF!</v>
      </c>
      <c r="F24" s="1224" t="e">
        <f>#REF!</f>
        <v>#REF!</v>
      </c>
      <c r="G24" s="1223">
        <f>'GPC Data'!H38</f>
        <v>0</v>
      </c>
      <c r="H24" s="1225">
        <f>'GPC Data'!S38</f>
        <v>0</v>
      </c>
      <c r="J24" s="433"/>
    </row>
    <row r="25" spans="3:10" ht="12" customHeight="1">
      <c r="C25" s="1223" t="str">
        <f>'GPC Data'!E39</f>
        <v>Comp 18</v>
      </c>
      <c r="D25" s="1224" t="e">
        <f>#REF!</f>
        <v>#REF!</v>
      </c>
      <c r="E25" s="1224" t="e">
        <f>#REF!</f>
        <v>#REF!</v>
      </c>
      <c r="F25" s="1224" t="e">
        <f>#REF!</f>
        <v>#REF!</v>
      </c>
      <c r="G25" s="1223">
        <f>'GPC Data'!H39</f>
        <v>0</v>
      </c>
      <c r="H25" s="1225">
        <f>'GPC Data'!S39</f>
        <v>0</v>
      </c>
      <c r="J25" s="433"/>
    </row>
    <row r="26" spans="3:10" ht="12" customHeight="1">
      <c r="C26" s="1223" t="str">
        <f>'GPC Data'!E40</f>
        <v>Comp 19</v>
      </c>
      <c r="D26" s="1224" t="e">
        <f>#REF!</f>
        <v>#REF!</v>
      </c>
      <c r="E26" s="1224" t="e">
        <f>#REF!</f>
        <v>#REF!</v>
      </c>
      <c r="F26" s="1224" t="e">
        <f>#REF!</f>
        <v>#REF!</v>
      </c>
      <c r="G26" s="1223">
        <f>'GPC Data'!H40</f>
        <v>0</v>
      </c>
      <c r="H26" s="1225">
        <f>'GPC Data'!S40</f>
        <v>0</v>
      </c>
      <c r="J26" s="433"/>
    </row>
    <row r="27" spans="3:10" ht="12" customHeight="1">
      <c r="C27" s="1223" t="str">
        <f>'GPC Data'!E41</f>
        <v>Comp 20</v>
      </c>
      <c r="D27" s="1224" t="e">
        <f>#REF!</f>
        <v>#REF!</v>
      </c>
      <c r="E27" s="1224" t="e">
        <f>#REF!</f>
        <v>#REF!</v>
      </c>
      <c r="F27" s="1224" t="e">
        <f>#REF!</f>
        <v>#REF!</v>
      </c>
      <c r="G27" s="1223">
        <f>'GPC Data'!H41</f>
        <v>0</v>
      </c>
      <c r="H27" s="1225">
        <f>'GPC Data'!S41</f>
        <v>0</v>
      </c>
      <c r="J27" s="433"/>
    </row>
    <row r="28" spans="3:10" ht="12" customHeight="1">
      <c r="C28" s="1223" t="str">
        <f>'GPC Data'!E42</f>
        <v>Comp 21</v>
      </c>
      <c r="D28" s="1224" t="e">
        <f>#REF!</f>
        <v>#REF!</v>
      </c>
      <c r="E28" s="1224" t="e">
        <f>#REF!</f>
        <v>#REF!</v>
      </c>
      <c r="F28" s="1224" t="e">
        <f>#REF!</f>
        <v>#REF!</v>
      </c>
      <c r="G28" s="1223">
        <f>'GPC Data'!H42</f>
        <v>0</v>
      </c>
      <c r="H28" s="1225">
        <f>'GPC Data'!S42</f>
        <v>0</v>
      </c>
      <c r="J28" s="433"/>
    </row>
    <row r="29" spans="3:10" ht="12" customHeight="1">
      <c r="C29" s="1223" t="str">
        <f>'GPC Data'!E43</f>
        <v>Comp 22</v>
      </c>
      <c r="D29" s="1224" t="e">
        <f>#REF!</f>
        <v>#REF!</v>
      </c>
      <c r="E29" s="1224" t="e">
        <f>#REF!</f>
        <v>#REF!</v>
      </c>
      <c r="F29" s="1224" t="e">
        <f>#REF!</f>
        <v>#REF!</v>
      </c>
      <c r="G29" s="1223">
        <f>'GPC Data'!H43</f>
        <v>0</v>
      </c>
      <c r="H29" s="1225">
        <f>'GPC Data'!S43</f>
        <v>0</v>
      </c>
      <c r="J29" s="433"/>
    </row>
    <row r="30" spans="3:10" ht="12" customHeight="1">
      <c r="C30" s="1223" t="str">
        <f>'GPC Data'!E44</f>
        <v>Comp 23</v>
      </c>
      <c r="D30" s="1224" t="e">
        <f>#REF!</f>
        <v>#REF!</v>
      </c>
      <c r="E30" s="1224" t="e">
        <f>#REF!</f>
        <v>#REF!</v>
      </c>
      <c r="F30" s="1224" t="e">
        <f>#REF!</f>
        <v>#REF!</v>
      </c>
      <c r="G30" s="1223">
        <f>'GPC Data'!H44</f>
        <v>0</v>
      </c>
      <c r="H30" s="1225">
        <f>'GPC Data'!S44</f>
        <v>0</v>
      </c>
      <c r="J30" s="433"/>
    </row>
    <row r="31" spans="3:10" ht="12" customHeight="1">
      <c r="C31" s="1223" t="str">
        <f>'GPC Data'!E45</f>
        <v>Comp 24</v>
      </c>
      <c r="D31" s="1224" t="e">
        <f>#REF!</f>
        <v>#REF!</v>
      </c>
      <c r="E31" s="1224" t="e">
        <f>#REF!</f>
        <v>#REF!</v>
      </c>
      <c r="F31" s="1224" t="e">
        <f>#REF!</f>
        <v>#REF!</v>
      </c>
      <c r="G31" s="1223">
        <f>'GPC Data'!H45</f>
        <v>0</v>
      </c>
      <c r="H31" s="1225">
        <f>'GPC Data'!S45</f>
        <v>0</v>
      </c>
      <c r="J31" s="433"/>
    </row>
    <row r="32" spans="3:10" ht="12" customHeight="1">
      <c r="C32" s="1223" t="str">
        <f>'GPC Data'!E46</f>
        <v>Comp 25</v>
      </c>
      <c r="D32" s="1224" t="e">
        <f>#REF!</f>
        <v>#REF!</v>
      </c>
      <c r="E32" s="1224" t="e">
        <f>#REF!</f>
        <v>#REF!</v>
      </c>
      <c r="F32" s="1224" t="e">
        <f>#REF!</f>
        <v>#REF!</v>
      </c>
      <c r="G32" s="1223">
        <f>'GPC Data'!H46</f>
        <v>0</v>
      </c>
      <c r="H32" s="1225">
        <f>'GPC Data'!S46</f>
        <v>0</v>
      </c>
      <c r="J32" s="433"/>
    </row>
    <row r="33" spans="2:11" ht="12" customHeight="1">
      <c r="C33" s="1223" t="str">
        <f>'GPC Data'!E47</f>
        <v>Comp 26</v>
      </c>
      <c r="D33" s="1224" t="e">
        <f>#REF!</f>
        <v>#REF!</v>
      </c>
      <c r="E33" s="1224" t="e">
        <f>#REF!</f>
        <v>#REF!</v>
      </c>
      <c r="F33" s="1224" t="e">
        <f>#REF!</f>
        <v>#REF!</v>
      </c>
      <c r="G33" s="1223">
        <f>'GPC Data'!H47</f>
        <v>0</v>
      </c>
      <c r="H33" s="1225">
        <f>'GPC Data'!S47</f>
        <v>0</v>
      </c>
      <c r="J33" s="433"/>
    </row>
    <row r="34" spans="2:11" ht="12" customHeight="1">
      <c r="C34" s="1223" t="str">
        <f>'GPC Data'!E48</f>
        <v>Comp 27</v>
      </c>
      <c r="D34" s="1224" t="e">
        <f>#REF!</f>
        <v>#REF!</v>
      </c>
      <c r="E34" s="1224" t="e">
        <f>#REF!</f>
        <v>#REF!</v>
      </c>
      <c r="F34" s="1224" t="e">
        <f>#REF!</f>
        <v>#REF!</v>
      </c>
      <c r="G34" s="1223">
        <f>'GPC Data'!H48</f>
        <v>0</v>
      </c>
      <c r="H34" s="1225">
        <f>'GPC Data'!S48</f>
        <v>0</v>
      </c>
      <c r="J34" s="433"/>
    </row>
    <row r="35" spans="2:11" ht="12" customHeight="1">
      <c r="C35" s="1223" t="str">
        <f>'GPC Data'!E49</f>
        <v>Comp 28</v>
      </c>
      <c r="D35" s="1224" t="e">
        <f>#REF!</f>
        <v>#REF!</v>
      </c>
      <c r="E35" s="1224" t="e">
        <f>#REF!</f>
        <v>#REF!</v>
      </c>
      <c r="F35" s="1224" t="e">
        <f>#REF!</f>
        <v>#REF!</v>
      </c>
      <c r="G35" s="1223">
        <f>'GPC Data'!H49</f>
        <v>0</v>
      </c>
      <c r="H35" s="1225">
        <f>'GPC Data'!S49</f>
        <v>0</v>
      </c>
      <c r="J35" s="433"/>
    </row>
    <row r="36" spans="2:11" ht="12" customHeight="1">
      <c r="C36" s="1223" t="str">
        <f>'GPC Data'!E50</f>
        <v>Comp 29</v>
      </c>
      <c r="D36" s="1224" t="e">
        <f>#REF!</f>
        <v>#REF!</v>
      </c>
      <c r="E36" s="1224" t="e">
        <f>#REF!</f>
        <v>#REF!</v>
      </c>
      <c r="F36" s="1224" t="e">
        <f>#REF!</f>
        <v>#REF!</v>
      </c>
      <c r="G36" s="1223">
        <f>'GPC Data'!H50</f>
        <v>0</v>
      </c>
      <c r="H36" s="1225">
        <f>'GPC Data'!S50</f>
        <v>0</v>
      </c>
      <c r="J36" s="433"/>
    </row>
    <row r="37" spans="2:11" ht="12" customHeight="1">
      <c r="C37" s="1223" t="str">
        <f>'GPC Data'!E51</f>
        <v>Comp 30</v>
      </c>
      <c r="D37" s="1224" t="e">
        <f>#REF!</f>
        <v>#REF!</v>
      </c>
      <c r="E37" s="1224" t="e">
        <f>#REF!</f>
        <v>#REF!</v>
      </c>
      <c r="F37" s="1224" t="e">
        <f>#REF!</f>
        <v>#REF!</v>
      </c>
      <c r="G37" s="1223">
        <f>'GPC Data'!H51</f>
        <v>0</v>
      </c>
      <c r="H37" s="1225">
        <f>'GPC Data'!S51</f>
        <v>0</v>
      </c>
      <c r="J37" s="433"/>
    </row>
    <row r="38" spans="2:11">
      <c r="B38" s="455"/>
      <c r="C38" s="455"/>
      <c r="D38" s="455"/>
      <c r="E38" s="455"/>
      <c r="F38" s="455"/>
      <c r="G38" s="455"/>
      <c r="H38" s="455"/>
      <c r="I38" s="455"/>
    </row>
    <row r="39" spans="2:11" s="735" customFormat="1">
      <c r="B39" s="790"/>
      <c r="C39" s="790"/>
      <c r="D39" s="790"/>
      <c r="E39" s="790"/>
      <c r="F39" s="790"/>
      <c r="G39" s="790"/>
      <c r="H39" s="790"/>
      <c r="I39" s="790"/>
      <c r="J39" s="1226"/>
      <c r="K39" s="1226"/>
    </row>
    <row r="40" spans="2:11" s="735" customFormat="1">
      <c r="B40" s="790"/>
      <c r="C40" s="790"/>
      <c r="D40" s="790"/>
      <c r="E40" s="790"/>
      <c r="F40" s="790"/>
      <c r="G40" s="790"/>
      <c r="H40" s="790"/>
      <c r="I40" s="790"/>
      <c r="J40" s="1226"/>
      <c r="K40" s="1226"/>
    </row>
    <row r="41" spans="2:11" s="738" customFormat="1">
      <c r="B41" s="1227"/>
      <c r="C41" s="1193"/>
      <c r="D41" s="1193"/>
      <c r="E41" s="1193"/>
      <c r="F41" s="1193"/>
      <c r="G41" s="1193"/>
      <c r="H41" s="1193"/>
      <c r="I41" s="1193"/>
      <c r="J41" s="740"/>
      <c r="K41" s="740"/>
    </row>
    <row r="42" spans="2:11" s="738" customFormat="1">
      <c r="J42" s="740"/>
      <c r="K42" s="740"/>
    </row>
  </sheetData>
  <phoneticPr fontId="19" type="noConversion"/>
  <printOptions horizontalCentered="1"/>
  <pageMargins left="0.25" right="0.25" top="0.75" bottom="0.25" header="0.25" footer="0.25"/>
  <pageSetup scale="57" fitToHeight="5" orientation="portrait" r:id="rId1"/>
  <headerFooter alignWithMargins="0">
    <oddHeader>&amp;R&amp;"Arial"&amp;8&amp;K000000Confidential&amp;1#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theme="7"/>
  </sheetPr>
  <dimension ref="A2:T34"/>
  <sheetViews>
    <sheetView showGridLines="0" zoomScale="83" zoomScaleNormal="83" workbookViewId="0">
      <selection activeCell="A37" sqref="A37:XFD72"/>
    </sheetView>
  </sheetViews>
  <sheetFormatPr defaultColWidth="8.84375" defaultRowHeight="10.5"/>
  <cols>
    <col min="1" max="1" width="4.4609375" style="246" customWidth="1"/>
    <col min="2" max="2" width="13.4609375" style="246" customWidth="1"/>
    <col min="3" max="3" width="43.84375" style="246" customWidth="1"/>
    <col min="4" max="7" width="8.84375" style="246"/>
    <col min="8" max="8" width="10.84375" style="246" bestFit="1" customWidth="1"/>
    <col min="9" max="9" width="10.15234375" style="246" customWidth="1"/>
    <col min="10" max="11" width="9.15234375" style="246" bestFit="1" customWidth="1"/>
    <col min="12" max="12" width="15.15234375" style="246" customWidth="1"/>
    <col min="13" max="13" width="36.4609375" style="246" customWidth="1"/>
    <col min="14" max="16384" width="8.84375" style="246"/>
  </cols>
  <sheetData>
    <row r="2" spans="1:20" ht="21" customHeight="1">
      <c r="B2" s="1238" t="s">
        <v>1872</v>
      </c>
      <c r="L2" s="1238" t="s">
        <v>1873</v>
      </c>
    </row>
    <row r="3" spans="1:20">
      <c r="B3" s="443"/>
      <c r="C3" s="1222"/>
      <c r="D3" s="1228"/>
      <c r="E3" s="1228"/>
      <c r="F3" s="1228"/>
      <c r="G3" s="1228"/>
      <c r="H3" s="1228"/>
      <c r="I3" s="1228"/>
      <c r="J3" s="1228"/>
      <c r="L3" s="443"/>
      <c r="M3" s="1222"/>
      <c r="N3" s="1228"/>
      <c r="O3" s="1228"/>
      <c r="P3" s="1228"/>
      <c r="Q3" s="1228"/>
      <c r="R3" s="1228"/>
      <c r="S3" s="1228"/>
      <c r="T3" s="1228"/>
    </row>
    <row r="4" spans="1:20">
      <c r="B4" s="1229" t="s">
        <v>93</v>
      </c>
      <c r="C4" s="1229" t="s">
        <v>1874</v>
      </c>
      <c r="D4" s="1230" t="s">
        <v>148</v>
      </c>
      <c r="E4" s="1230" t="s">
        <v>1875</v>
      </c>
      <c r="F4" s="1230" t="s">
        <v>1510</v>
      </c>
      <c r="G4" s="1230" t="s">
        <v>1477</v>
      </c>
      <c r="H4" s="1230" t="s">
        <v>138</v>
      </c>
      <c r="I4" s="1230" t="s">
        <v>1876</v>
      </c>
      <c r="J4" s="1230" t="s">
        <v>1877</v>
      </c>
      <c r="L4" s="1229" t="s">
        <v>93</v>
      </c>
      <c r="M4" s="1229" t="s">
        <v>1874</v>
      </c>
      <c r="N4" s="1230" t="s">
        <v>148</v>
      </c>
      <c r="O4" s="1230" t="s">
        <v>1875</v>
      </c>
      <c r="P4" s="1230" t="s">
        <v>1510</v>
      </c>
      <c r="Q4" s="1230" t="s">
        <v>1477</v>
      </c>
      <c r="R4" s="1230" t="s">
        <v>138</v>
      </c>
      <c r="S4" s="1230" t="s">
        <v>1876</v>
      </c>
      <c r="T4" s="1230" t="s">
        <v>1877</v>
      </c>
    </row>
    <row r="5" spans="1:20">
      <c r="A5" s="1231">
        <v>1</v>
      </c>
      <c r="B5" s="1232">
        <f>'GPC Data'!D22</f>
        <v>0</v>
      </c>
      <c r="C5" s="1232" t="str">
        <f>'GPC Data'!E22</f>
        <v>Comp 1</v>
      </c>
      <c r="D5" s="1204">
        <f>'GPC Data'!I56</f>
        <v>0</v>
      </c>
      <c r="E5" s="1204">
        <f>'GPC Data'!J56</f>
        <v>0</v>
      </c>
      <c r="F5" s="1204">
        <f>'GPC Data'!K56</f>
        <v>0</v>
      </c>
      <c r="G5" s="1204">
        <f>'GPC Data'!L56</f>
        <v>0</v>
      </c>
      <c r="H5" s="1204">
        <f>'GPC Data'!M56</f>
        <v>0</v>
      </c>
      <c r="I5" s="1233">
        <f>'GPC Data'!N56</f>
        <v>0</v>
      </c>
      <c r="J5" s="1233">
        <f>'GPC Data'!O56</f>
        <v>0</v>
      </c>
      <c r="L5" s="1232">
        <f>B5</f>
        <v>0</v>
      </c>
      <c r="M5" s="1232" t="str">
        <f t="shared" ref="M5:M34" si="0">C5</f>
        <v>Comp 1</v>
      </c>
      <c r="N5" s="1204">
        <f>'GPC Data'!P56</f>
        <v>0</v>
      </c>
      <c r="O5" s="1204">
        <f>'GPC Data'!Q56</f>
        <v>0</v>
      </c>
      <c r="P5" s="1204">
        <f>'GPC Data'!R56</f>
        <v>0</v>
      </c>
      <c r="Q5" s="1204">
        <f>'GPC Data'!S56</f>
        <v>0</v>
      </c>
      <c r="R5" s="1204">
        <f>'GPC Data'!T56</f>
        <v>0</v>
      </c>
      <c r="S5" s="1233">
        <f>'GPC Data'!U56</f>
        <v>0</v>
      </c>
      <c r="T5" s="1233">
        <f>'GPC Data'!V56</f>
        <v>0</v>
      </c>
    </row>
    <row r="6" spans="1:20">
      <c r="A6" s="1231">
        <v>2</v>
      </c>
      <c r="B6" s="246">
        <f>'GPC Data'!D23</f>
        <v>0</v>
      </c>
      <c r="C6" s="246" t="str">
        <f>'GPC Data'!E23</f>
        <v>Comp 2</v>
      </c>
      <c r="D6" s="1209">
        <f>'GPC Data'!I57</f>
        <v>0</v>
      </c>
      <c r="E6" s="1209">
        <f>'GPC Data'!J57</f>
        <v>0</v>
      </c>
      <c r="F6" s="1209">
        <f>'GPC Data'!K57</f>
        <v>0</v>
      </c>
      <c r="G6" s="1209">
        <f>'GPC Data'!L57</f>
        <v>0</v>
      </c>
      <c r="H6" s="1209">
        <f>'GPC Data'!M57</f>
        <v>0</v>
      </c>
      <c r="I6" s="1234">
        <f>'GPC Data'!N57</f>
        <v>0</v>
      </c>
      <c r="J6" s="1234">
        <f>'GPC Data'!O57</f>
        <v>0</v>
      </c>
      <c r="L6" s="246">
        <f t="shared" ref="L6:L34" si="1">B6</f>
        <v>0</v>
      </c>
      <c r="M6" s="246" t="str">
        <f t="shared" si="0"/>
        <v>Comp 2</v>
      </c>
      <c r="N6" s="1209">
        <f>'GPC Data'!P57</f>
        <v>0</v>
      </c>
      <c r="O6" s="1209">
        <f>'GPC Data'!Q57</f>
        <v>0</v>
      </c>
      <c r="P6" s="1209">
        <f>'GPC Data'!R57</f>
        <v>0</v>
      </c>
      <c r="Q6" s="1209">
        <f>'GPC Data'!S57</f>
        <v>0</v>
      </c>
      <c r="R6" s="1209">
        <f>'GPC Data'!T57</f>
        <v>0</v>
      </c>
      <c r="S6" s="1234">
        <f>'GPC Data'!U57</f>
        <v>0</v>
      </c>
      <c r="T6" s="1234">
        <f>'GPC Data'!V57</f>
        <v>0</v>
      </c>
    </row>
    <row r="7" spans="1:20">
      <c r="A7" s="1231">
        <v>3</v>
      </c>
      <c r="B7" s="246">
        <f>'GPC Data'!D24</f>
        <v>0</v>
      </c>
      <c r="C7" s="246" t="str">
        <f>'GPC Data'!E24</f>
        <v>Comp 3</v>
      </c>
      <c r="D7" s="1209">
        <f>'GPC Data'!I58</f>
        <v>0</v>
      </c>
      <c r="E7" s="1209">
        <f>'GPC Data'!J58</f>
        <v>0</v>
      </c>
      <c r="F7" s="1209">
        <f>'GPC Data'!K58</f>
        <v>0</v>
      </c>
      <c r="G7" s="1209">
        <f>'GPC Data'!L58</f>
        <v>0</v>
      </c>
      <c r="H7" s="1209">
        <f>'GPC Data'!M58</f>
        <v>0</v>
      </c>
      <c r="I7" s="1234">
        <f>'GPC Data'!N58</f>
        <v>0</v>
      </c>
      <c r="J7" s="1234">
        <f>'GPC Data'!O58</f>
        <v>0</v>
      </c>
      <c r="L7" s="246">
        <f t="shared" si="1"/>
        <v>0</v>
      </c>
      <c r="M7" s="246" t="str">
        <f t="shared" si="0"/>
        <v>Comp 3</v>
      </c>
      <c r="N7" s="1209">
        <f>'GPC Data'!P58</f>
        <v>0</v>
      </c>
      <c r="O7" s="1209">
        <f>'GPC Data'!Q58</f>
        <v>0</v>
      </c>
      <c r="P7" s="1209">
        <f>'GPC Data'!R58</f>
        <v>0</v>
      </c>
      <c r="Q7" s="1209">
        <f>'GPC Data'!S58</f>
        <v>0</v>
      </c>
      <c r="R7" s="1209">
        <f>'GPC Data'!T58</f>
        <v>0</v>
      </c>
      <c r="S7" s="1234">
        <f>'GPC Data'!U58</f>
        <v>0</v>
      </c>
      <c r="T7" s="1234">
        <f>'GPC Data'!V58</f>
        <v>0</v>
      </c>
    </row>
    <row r="8" spans="1:20">
      <c r="A8" s="1231">
        <v>4</v>
      </c>
      <c r="B8" s="246">
        <f>'GPC Data'!D25</f>
        <v>0</v>
      </c>
      <c r="C8" s="246" t="str">
        <f>'GPC Data'!E25</f>
        <v>Comp 4</v>
      </c>
      <c r="D8" s="1209">
        <f>'GPC Data'!I59</f>
        <v>0</v>
      </c>
      <c r="E8" s="1209">
        <f>'GPC Data'!J59</f>
        <v>0</v>
      </c>
      <c r="F8" s="1209">
        <f>'GPC Data'!K59</f>
        <v>0</v>
      </c>
      <c r="G8" s="1209">
        <f>'GPC Data'!L59</f>
        <v>0</v>
      </c>
      <c r="H8" s="1209">
        <f>'GPC Data'!M59</f>
        <v>0</v>
      </c>
      <c r="I8" s="1234">
        <f>'GPC Data'!N59</f>
        <v>0</v>
      </c>
      <c r="J8" s="1234">
        <f>'GPC Data'!O59</f>
        <v>0</v>
      </c>
      <c r="L8" s="246">
        <f t="shared" si="1"/>
        <v>0</v>
      </c>
      <c r="M8" s="246" t="str">
        <f t="shared" si="0"/>
        <v>Comp 4</v>
      </c>
      <c r="N8" s="1209">
        <f>'GPC Data'!P59</f>
        <v>0</v>
      </c>
      <c r="O8" s="1209">
        <f>'GPC Data'!Q59</f>
        <v>0</v>
      </c>
      <c r="P8" s="1209">
        <f>'GPC Data'!R59</f>
        <v>0</v>
      </c>
      <c r="Q8" s="1209">
        <f>'GPC Data'!S59</f>
        <v>0</v>
      </c>
      <c r="R8" s="1209">
        <f>'GPC Data'!T59</f>
        <v>0</v>
      </c>
      <c r="S8" s="1234">
        <f>'GPC Data'!U59</f>
        <v>0</v>
      </c>
      <c r="T8" s="1234">
        <f>'GPC Data'!V59</f>
        <v>0</v>
      </c>
    </row>
    <row r="9" spans="1:20">
      <c r="A9" s="1231">
        <v>5</v>
      </c>
      <c r="B9" s="246">
        <f>'GPC Data'!D26</f>
        <v>0</v>
      </c>
      <c r="C9" s="246" t="str">
        <f>'GPC Data'!E26</f>
        <v>Comp 5</v>
      </c>
      <c r="D9" s="1209">
        <f>'GPC Data'!I60</f>
        <v>0</v>
      </c>
      <c r="E9" s="1209">
        <f>'GPC Data'!J60</f>
        <v>0</v>
      </c>
      <c r="F9" s="1209">
        <f>'GPC Data'!K60</f>
        <v>0</v>
      </c>
      <c r="G9" s="1209">
        <f>'GPC Data'!L60</f>
        <v>0</v>
      </c>
      <c r="H9" s="1209">
        <f>'GPC Data'!M60</f>
        <v>0</v>
      </c>
      <c r="I9" s="1234">
        <f>'GPC Data'!N60</f>
        <v>0</v>
      </c>
      <c r="J9" s="1234">
        <f>'GPC Data'!O60</f>
        <v>0</v>
      </c>
      <c r="L9" s="246">
        <f t="shared" si="1"/>
        <v>0</v>
      </c>
      <c r="M9" s="246" t="str">
        <f t="shared" si="0"/>
        <v>Comp 5</v>
      </c>
      <c r="N9" s="1209">
        <f>'GPC Data'!P60</f>
        <v>0</v>
      </c>
      <c r="O9" s="1209">
        <f>'GPC Data'!Q60</f>
        <v>0</v>
      </c>
      <c r="P9" s="1209">
        <f>'GPC Data'!R60</f>
        <v>0</v>
      </c>
      <c r="Q9" s="1209">
        <f>'GPC Data'!S60</f>
        <v>0</v>
      </c>
      <c r="R9" s="1209">
        <f>'GPC Data'!T60</f>
        <v>0</v>
      </c>
      <c r="S9" s="1234">
        <f>'GPC Data'!U60</f>
        <v>0</v>
      </c>
      <c r="T9" s="1234">
        <f>'GPC Data'!V60</f>
        <v>0</v>
      </c>
    </row>
    <row r="10" spans="1:20">
      <c r="A10" s="1231">
        <v>6</v>
      </c>
      <c r="B10" s="246">
        <f>'GPC Data'!D27</f>
        <v>0</v>
      </c>
      <c r="C10" s="246" t="str">
        <f>'GPC Data'!E27</f>
        <v>Comp 6</v>
      </c>
      <c r="D10" s="1209">
        <f>'GPC Data'!I61</f>
        <v>0</v>
      </c>
      <c r="E10" s="1209">
        <f>'GPC Data'!J61</f>
        <v>0</v>
      </c>
      <c r="F10" s="1209">
        <f>'GPC Data'!K61</f>
        <v>0</v>
      </c>
      <c r="G10" s="1209">
        <f>'GPC Data'!L61</f>
        <v>0</v>
      </c>
      <c r="H10" s="1209">
        <f>'GPC Data'!M61</f>
        <v>0</v>
      </c>
      <c r="I10" s="1234">
        <f>'GPC Data'!N61</f>
        <v>0</v>
      </c>
      <c r="J10" s="1234">
        <f>'GPC Data'!O61</f>
        <v>0</v>
      </c>
      <c r="L10" s="246">
        <f t="shared" si="1"/>
        <v>0</v>
      </c>
      <c r="M10" s="246" t="str">
        <f t="shared" si="0"/>
        <v>Comp 6</v>
      </c>
      <c r="N10" s="1209">
        <f>'GPC Data'!P61</f>
        <v>0</v>
      </c>
      <c r="O10" s="1209">
        <f>'GPC Data'!Q61</f>
        <v>0</v>
      </c>
      <c r="P10" s="1209">
        <f>'GPC Data'!R61</f>
        <v>0</v>
      </c>
      <c r="Q10" s="1209">
        <f>'GPC Data'!S61</f>
        <v>0</v>
      </c>
      <c r="R10" s="1209">
        <f>'GPC Data'!T61</f>
        <v>0</v>
      </c>
      <c r="S10" s="1234">
        <f>'GPC Data'!U61</f>
        <v>0</v>
      </c>
      <c r="T10" s="1234">
        <f>'GPC Data'!V61</f>
        <v>0</v>
      </c>
    </row>
    <row r="11" spans="1:20">
      <c r="A11" s="1231">
        <v>7</v>
      </c>
      <c r="B11" s="246">
        <f>'GPC Data'!D28</f>
        <v>0</v>
      </c>
      <c r="C11" s="246" t="str">
        <f>'GPC Data'!E28</f>
        <v>Comp 7</v>
      </c>
      <c r="D11" s="1209">
        <f>'GPC Data'!I62</f>
        <v>0</v>
      </c>
      <c r="E11" s="1209">
        <f>'GPC Data'!J62</f>
        <v>0</v>
      </c>
      <c r="F11" s="1209">
        <f>'GPC Data'!K62</f>
        <v>0</v>
      </c>
      <c r="G11" s="1209">
        <f>'GPC Data'!L62</f>
        <v>0</v>
      </c>
      <c r="H11" s="1209">
        <f>'GPC Data'!M62</f>
        <v>0</v>
      </c>
      <c r="I11" s="1234">
        <f>'GPC Data'!N62</f>
        <v>0</v>
      </c>
      <c r="J11" s="1234">
        <f>'GPC Data'!O62</f>
        <v>0</v>
      </c>
      <c r="L11" s="246">
        <f t="shared" si="1"/>
        <v>0</v>
      </c>
      <c r="M11" s="246" t="str">
        <f t="shared" si="0"/>
        <v>Comp 7</v>
      </c>
      <c r="N11" s="1209">
        <f>'GPC Data'!P62</f>
        <v>0</v>
      </c>
      <c r="O11" s="1209">
        <f>'GPC Data'!Q62</f>
        <v>0</v>
      </c>
      <c r="P11" s="1209">
        <f>'GPC Data'!R62</f>
        <v>0</v>
      </c>
      <c r="Q11" s="1209">
        <f>'GPC Data'!S62</f>
        <v>0</v>
      </c>
      <c r="R11" s="1209">
        <f>'GPC Data'!T62</f>
        <v>0</v>
      </c>
      <c r="S11" s="1234">
        <f>'GPC Data'!U62</f>
        <v>0</v>
      </c>
      <c r="T11" s="1234">
        <f>'GPC Data'!V62</f>
        <v>0</v>
      </c>
    </row>
    <row r="12" spans="1:20">
      <c r="A12" s="1231">
        <v>8</v>
      </c>
      <c r="B12" s="246">
        <f>'GPC Data'!D29</f>
        <v>0</v>
      </c>
      <c r="C12" s="246" t="str">
        <f>'GPC Data'!E29</f>
        <v>Comp 8</v>
      </c>
      <c r="D12" s="1209">
        <f>'GPC Data'!I63</f>
        <v>0</v>
      </c>
      <c r="E12" s="1209">
        <f>'GPC Data'!J63</f>
        <v>0</v>
      </c>
      <c r="F12" s="1209">
        <f>'GPC Data'!K63</f>
        <v>0</v>
      </c>
      <c r="G12" s="1209">
        <f>'GPC Data'!L63</f>
        <v>0</v>
      </c>
      <c r="H12" s="1209">
        <f>'GPC Data'!M63</f>
        <v>0</v>
      </c>
      <c r="I12" s="1234">
        <f>'GPC Data'!N63</f>
        <v>0</v>
      </c>
      <c r="J12" s="1234">
        <f>'GPC Data'!O63</f>
        <v>0</v>
      </c>
      <c r="L12" s="246">
        <f t="shared" si="1"/>
        <v>0</v>
      </c>
      <c r="M12" s="246" t="str">
        <f t="shared" si="0"/>
        <v>Comp 8</v>
      </c>
      <c r="N12" s="1209">
        <f>'GPC Data'!P63</f>
        <v>0</v>
      </c>
      <c r="O12" s="1209">
        <f>'GPC Data'!Q63</f>
        <v>0</v>
      </c>
      <c r="P12" s="1209">
        <f>'GPC Data'!R63</f>
        <v>0</v>
      </c>
      <c r="Q12" s="1209">
        <f>'GPC Data'!S63</f>
        <v>0</v>
      </c>
      <c r="R12" s="1209">
        <f>'GPC Data'!T63</f>
        <v>0</v>
      </c>
      <c r="S12" s="1234">
        <f>'GPC Data'!U63</f>
        <v>0</v>
      </c>
      <c r="T12" s="1234">
        <f>'GPC Data'!V63</f>
        <v>0</v>
      </c>
    </row>
    <row r="13" spans="1:20">
      <c r="A13" s="1231">
        <v>9</v>
      </c>
      <c r="B13" s="246">
        <f>'GPC Data'!D30</f>
        <v>0</v>
      </c>
      <c r="C13" s="246" t="str">
        <f>'GPC Data'!E30</f>
        <v>Comp 9</v>
      </c>
      <c r="D13" s="1209">
        <f>'GPC Data'!I64</f>
        <v>0</v>
      </c>
      <c r="E13" s="1209">
        <f>'GPC Data'!J64</f>
        <v>0</v>
      </c>
      <c r="F13" s="1209">
        <f>'GPC Data'!K64</f>
        <v>0</v>
      </c>
      <c r="G13" s="1209">
        <f>'GPC Data'!L64</f>
        <v>0</v>
      </c>
      <c r="H13" s="1209">
        <f>'GPC Data'!M64</f>
        <v>0</v>
      </c>
      <c r="I13" s="1234">
        <f>'GPC Data'!N64</f>
        <v>0</v>
      </c>
      <c r="J13" s="1234">
        <f>'GPC Data'!O64</f>
        <v>0</v>
      </c>
      <c r="L13" s="246">
        <f t="shared" si="1"/>
        <v>0</v>
      </c>
      <c r="M13" s="246" t="str">
        <f t="shared" si="0"/>
        <v>Comp 9</v>
      </c>
      <c r="N13" s="1209">
        <f>'GPC Data'!P64</f>
        <v>0</v>
      </c>
      <c r="O13" s="1209">
        <f>'GPC Data'!Q64</f>
        <v>0</v>
      </c>
      <c r="P13" s="1209">
        <f>'GPC Data'!R64</f>
        <v>0</v>
      </c>
      <c r="Q13" s="1209">
        <f>'GPC Data'!S64</f>
        <v>0</v>
      </c>
      <c r="R13" s="1209">
        <f>'GPC Data'!T64</f>
        <v>0</v>
      </c>
      <c r="S13" s="1234">
        <f>'GPC Data'!U64</f>
        <v>0</v>
      </c>
      <c r="T13" s="1234">
        <f>'GPC Data'!V64</f>
        <v>0</v>
      </c>
    </row>
    <row r="14" spans="1:20">
      <c r="A14" s="1231">
        <v>10</v>
      </c>
      <c r="B14" s="246">
        <f>'GPC Data'!D31</f>
        <v>0</v>
      </c>
      <c r="C14" s="246" t="str">
        <f>'GPC Data'!E31</f>
        <v>Comp 10</v>
      </c>
      <c r="D14" s="1209">
        <f>'GPC Data'!I65</f>
        <v>0</v>
      </c>
      <c r="E14" s="1209">
        <f>'GPC Data'!J65</f>
        <v>0</v>
      </c>
      <c r="F14" s="1209">
        <f>'GPC Data'!K65</f>
        <v>0</v>
      </c>
      <c r="G14" s="1209">
        <f>'GPC Data'!L65</f>
        <v>0</v>
      </c>
      <c r="H14" s="1209">
        <f>'GPC Data'!M65</f>
        <v>0</v>
      </c>
      <c r="I14" s="1234">
        <f>'GPC Data'!N65</f>
        <v>0</v>
      </c>
      <c r="J14" s="1234">
        <f>'GPC Data'!O65</f>
        <v>0</v>
      </c>
      <c r="L14" s="246">
        <f t="shared" si="1"/>
        <v>0</v>
      </c>
      <c r="M14" s="246" t="str">
        <f t="shared" si="0"/>
        <v>Comp 10</v>
      </c>
      <c r="N14" s="1209">
        <f>'GPC Data'!P65</f>
        <v>0</v>
      </c>
      <c r="O14" s="1209">
        <f>'GPC Data'!Q65</f>
        <v>0</v>
      </c>
      <c r="P14" s="1209">
        <f>'GPC Data'!R65</f>
        <v>0</v>
      </c>
      <c r="Q14" s="1209">
        <f>'GPC Data'!S65</f>
        <v>0</v>
      </c>
      <c r="R14" s="1209">
        <f>'GPC Data'!T65</f>
        <v>0</v>
      </c>
      <c r="S14" s="1234">
        <f>'GPC Data'!U65</f>
        <v>0</v>
      </c>
      <c r="T14" s="1234">
        <f>'GPC Data'!V65</f>
        <v>0</v>
      </c>
    </row>
    <row r="15" spans="1:20">
      <c r="A15" s="1231">
        <v>11</v>
      </c>
      <c r="B15" s="246">
        <f>'GPC Data'!D32</f>
        <v>0</v>
      </c>
      <c r="C15" s="246" t="str">
        <f>'GPC Data'!E32</f>
        <v>Comp 11</v>
      </c>
      <c r="D15" s="1209">
        <f>'GPC Data'!I66</f>
        <v>0</v>
      </c>
      <c r="E15" s="1209">
        <f>'GPC Data'!J66</f>
        <v>0</v>
      </c>
      <c r="F15" s="1209">
        <f>'GPC Data'!K66</f>
        <v>0</v>
      </c>
      <c r="G15" s="1209">
        <f>'GPC Data'!L66</f>
        <v>0</v>
      </c>
      <c r="H15" s="1209">
        <f>'GPC Data'!M66</f>
        <v>0</v>
      </c>
      <c r="I15" s="1234">
        <f>'GPC Data'!N66</f>
        <v>0</v>
      </c>
      <c r="J15" s="1234">
        <f>'GPC Data'!O66</f>
        <v>0</v>
      </c>
      <c r="L15" s="246">
        <f t="shared" si="1"/>
        <v>0</v>
      </c>
      <c r="M15" s="246" t="str">
        <f t="shared" si="0"/>
        <v>Comp 11</v>
      </c>
      <c r="N15" s="1209">
        <f>'GPC Data'!P66</f>
        <v>0</v>
      </c>
      <c r="O15" s="1209">
        <f>'GPC Data'!Q66</f>
        <v>0</v>
      </c>
      <c r="P15" s="1209">
        <f>'GPC Data'!R66</f>
        <v>0</v>
      </c>
      <c r="Q15" s="1209">
        <f>'GPC Data'!S66</f>
        <v>0</v>
      </c>
      <c r="R15" s="1209">
        <f>'GPC Data'!T66</f>
        <v>0</v>
      </c>
      <c r="S15" s="1234">
        <f>'GPC Data'!U66</f>
        <v>0</v>
      </c>
      <c r="T15" s="1234">
        <f>'GPC Data'!V66</f>
        <v>0</v>
      </c>
    </row>
    <row r="16" spans="1:20">
      <c r="A16" s="1231">
        <v>12</v>
      </c>
      <c r="B16" s="246">
        <f>'GPC Data'!D33</f>
        <v>0</v>
      </c>
      <c r="C16" s="246" t="str">
        <f>'GPC Data'!E33</f>
        <v>Comp 12</v>
      </c>
      <c r="D16" s="1209">
        <f>'GPC Data'!I67</f>
        <v>0</v>
      </c>
      <c r="E16" s="1209">
        <f>'GPC Data'!J67</f>
        <v>0</v>
      </c>
      <c r="F16" s="1209">
        <f>'GPC Data'!K67</f>
        <v>0</v>
      </c>
      <c r="G16" s="1209">
        <f>'GPC Data'!L67</f>
        <v>0</v>
      </c>
      <c r="H16" s="1209">
        <f>'GPC Data'!M67</f>
        <v>0</v>
      </c>
      <c r="I16" s="1234">
        <f>'GPC Data'!N67</f>
        <v>0</v>
      </c>
      <c r="J16" s="1234">
        <f>'GPC Data'!O67</f>
        <v>0</v>
      </c>
      <c r="L16" s="246">
        <f t="shared" si="1"/>
        <v>0</v>
      </c>
      <c r="M16" s="246" t="str">
        <f t="shared" si="0"/>
        <v>Comp 12</v>
      </c>
      <c r="N16" s="1209">
        <f>'GPC Data'!P67</f>
        <v>0</v>
      </c>
      <c r="O16" s="1209">
        <f>'GPC Data'!Q67</f>
        <v>0</v>
      </c>
      <c r="P16" s="1209">
        <f>'GPC Data'!R67</f>
        <v>0</v>
      </c>
      <c r="Q16" s="1209">
        <f>'GPC Data'!S67</f>
        <v>0</v>
      </c>
      <c r="R16" s="1209">
        <f>'GPC Data'!T67</f>
        <v>0</v>
      </c>
      <c r="S16" s="1234">
        <f>'GPC Data'!U67</f>
        <v>0</v>
      </c>
      <c r="T16" s="1234">
        <f>'GPC Data'!V67</f>
        <v>0</v>
      </c>
    </row>
    <row r="17" spans="1:20">
      <c r="A17" s="1231">
        <v>13</v>
      </c>
      <c r="B17" s="246">
        <f>'GPC Data'!D34</f>
        <v>0</v>
      </c>
      <c r="C17" s="246" t="str">
        <f>'GPC Data'!E34</f>
        <v>Comp 13</v>
      </c>
      <c r="D17" s="1209">
        <f>'GPC Data'!I68</f>
        <v>0</v>
      </c>
      <c r="E17" s="1209">
        <f>'GPC Data'!J68</f>
        <v>0</v>
      </c>
      <c r="F17" s="1209">
        <f>'GPC Data'!K68</f>
        <v>0</v>
      </c>
      <c r="G17" s="1209">
        <f>'GPC Data'!L68</f>
        <v>0</v>
      </c>
      <c r="H17" s="1209">
        <f>'GPC Data'!M68</f>
        <v>0</v>
      </c>
      <c r="I17" s="1234">
        <f>'GPC Data'!N68</f>
        <v>0</v>
      </c>
      <c r="J17" s="1234">
        <f>'GPC Data'!O68</f>
        <v>0</v>
      </c>
      <c r="L17" s="246">
        <f t="shared" si="1"/>
        <v>0</v>
      </c>
      <c r="M17" s="246" t="str">
        <f t="shared" si="0"/>
        <v>Comp 13</v>
      </c>
      <c r="N17" s="1209">
        <f>'GPC Data'!P68</f>
        <v>0</v>
      </c>
      <c r="O17" s="1209">
        <f>'GPC Data'!Q68</f>
        <v>0</v>
      </c>
      <c r="P17" s="1209">
        <f>'GPC Data'!R68</f>
        <v>0</v>
      </c>
      <c r="Q17" s="1209">
        <f>'GPC Data'!S68</f>
        <v>0</v>
      </c>
      <c r="R17" s="1209">
        <f>'GPC Data'!T68</f>
        <v>0</v>
      </c>
      <c r="S17" s="1234">
        <f>'GPC Data'!U68</f>
        <v>0</v>
      </c>
      <c r="T17" s="1234">
        <f>'GPC Data'!V68</f>
        <v>0</v>
      </c>
    </row>
    <row r="18" spans="1:20">
      <c r="A18" s="1231">
        <v>14</v>
      </c>
      <c r="B18" s="246">
        <f>'GPC Data'!D35</f>
        <v>0</v>
      </c>
      <c r="C18" s="246" t="str">
        <f>'GPC Data'!E35</f>
        <v>Comp 14</v>
      </c>
      <c r="D18" s="1209">
        <f>'GPC Data'!I69</f>
        <v>0</v>
      </c>
      <c r="E18" s="1209">
        <f>'GPC Data'!J69</f>
        <v>0</v>
      </c>
      <c r="F18" s="1209">
        <f>'GPC Data'!K69</f>
        <v>0</v>
      </c>
      <c r="G18" s="1209">
        <f>'GPC Data'!L69</f>
        <v>0</v>
      </c>
      <c r="H18" s="1209">
        <f>'GPC Data'!M69</f>
        <v>0</v>
      </c>
      <c r="I18" s="1234">
        <f>'GPC Data'!N69</f>
        <v>0</v>
      </c>
      <c r="J18" s="1234">
        <f>'GPC Data'!O69</f>
        <v>0</v>
      </c>
      <c r="L18" s="246">
        <f t="shared" si="1"/>
        <v>0</v>
      </c>
      <c r="M18" s="246" t="str">
        <f t="shared" si="0"/>
        <v>Comp 14</v>
      </c>
      <c r="N18" s="1209">
        <f>'GPC Data'!P69</f>
        <v>0</v>
      </c>
      <c r="O18" s="1209">
        <f>'GPC Data'!Q69</f>
        <v>0</v>
      </c>
      <c r="P18" s="1209">
        <f>'GPC Data'!R69</f>
        <v>0</v>
      </c>
      <c r="Q18" s="1209">
        <f>'GPC Data'!S69</f>
        <v>0</v>
      </c>
      <c r="R18" s="1209">
        <f>'GPC Data'!T69</f>
        <v>0</v>
      </c>
      <c r="S18" s="1234">
        <f>'GPC Data'!U69</f>
        <v>0</v>
      </c>
      <c r="T18" s="1234">
        <f>'GPC Data'!V69</f>
        <v>0</v>
      </c>
    </row>
    <row r="19" spans="1:20">
      <c r="A19" s="1231">
        <v>15</v>
      </c>
      <c r="B19" s="246">
        <f>'GPC Data'!D36</f>
        <v>0</v>
      </c>
      <c r="C19" s="246" t="str">
        <f>'GPC Data'!E36</f>
        <v>Comp 15</v>
      </c>
      <c r="D19" s="1209">
        <f>'GPC Data'!I70</f>
        <v>0</v>
      </c>
      <c r="E19" s="1209">
        <f>'GPC Data'!J70</f>
        <v>0</v>
      </c>
      <c r="F19" s="1209">
        <f>'GPC Data'!K70</f>
        <v>0</v>
      </c>
      <c r="G19" s="1209">
        <f>'GPC Data'!L70</f>
        <v>0</v>
      </c>
      <c r="H19" s="1209">
        <f>'GPC Data'!M70</f>
        <v>0</v>
      </c>
      <c r="I19" s="1234">
        <f>'GPC Data'!N70</f>
        <v>0</v>
      </c>
      <c r="J19" s="1234">
        <f>'GPC Data'!O70</f>
        <v>0</v>
      </c>
      <c r="L19" s="246">
        <f t="shared" si="1"/>
        <v>0</v>
      </c>
      <c r="M19" s="246" t="str">
        <f t="shared" si="0"/>
        <v>Comp 15</v>
      </c>
      <c r="N19" s="1209">
        <f>'GPC Data'!P70</f>
        <v>0</v>
      </c>
      <c r="O19" s="1209">
        <f>'GPC Data'!Q70</f>
        <v>0</v>
      </c>
      <c r="P19" s="1209">
        <f>'GPC Data'!R70</f>
        <v>0</v>
      </c>
      <c r="Q19" s="1209">
        <f>'GPC Data'!S70</f>
        <v>0</v>
      </c>
      <c r="R19" s="1209">
        <f>'GPC Data'!T70</f>
        <v>0</v>
      </c>
      <c r="S19" s="1234">
        <f>'GPC Data'!U70</f>
        <v>0</v>
      </c>
      <c r="T19" s="1234">
        <f>'GPC Data'!V70</f>
        <v>0</v>
      </c>
    </row>
    <row r="20" spans="1:20">
      <c r="A20" s="1231">
        <v>16</v>
      </c>
      <c r="B20" s="246">
        <f>'GPC Data'!D37</f>
        <v>0</v>
      </c>
      <c r="C20" s="246" t="str">
        <f>'GPC Data'!E37</f>
        <v>Comp 16</v>
      </c>
      <c r="D20" s="1209">
        <f>'GPC Data'!I71</f>
        <v>0</v>
      </c>
      <c r="E20" s="1209">
        <f>'GPC Data'!J71</f>
        <v>0</v>
      </c>
      <c r="F20" s="1209">
        <f>'GPC Data'!K71</f>
        <v>0</v>
      </c>
      <c r="G20" s="1209">
        <f>'GPC Data'!L71</f>
        <v>0</v>
      </c>
      <c r="H20" s="1209">
        <f>'GPC Data'!M71</f>
        <v>0</v>
      </c>
      <c r="I20" s="1234">
        <f>'GPC Data'!N71</f>
        <v>0</v>
      </c>
      <c r="J20" s="1234">
        <f>'GPC Data'!O71</f>
        <v>0</v>
      </c>
      <c r="L20" s="246">
        <f t="shared" si="1"/>
        <v>0</v>
      </c>
      <c r="M20" s="246" t="str">
        <f t="shared" si="0"/>
        <v>Comp 16</v>
      </c>
      <c r="N20" s="1209">
        <f>'GPC Data'!P71</f>
        <v>0</v>
      </c>
      <c r="O20" s="1209">
        <f>'GPC Data'!Q71</f>
        <v>0</v>
      </c>
      <c r="P20" s="1209">
        <f>'GPC Data'!R71</f>
        <v>0</v>
      </c>
      <c r="Q20" s="1209">
        <f>'GPC Data'!S71</f>
        <v>0</v>
      </c>
      <c r="R20" s="1209">
        <f>'GPC Data'!T71</f>
        <v>0</v>
      </c>
      <c r="S20" s="1234">
        <f>'GPC Data'!U71</f>
        <v>0</v>
      </c>
      <c r="T20" s="1234">
        <f>'GPC Data'!V71</f>
        <v>0</v>
      </c>
    </row>
    <row r="21" spans="1:20">
      <c r="A21" s="1231">
        <v>17</v>
      </c>
      <c r="B21" s="246">
        <f>'GPC Data'!D38</f>
        <v>0</v>
      </c>
      <c r="C21" s="246" t="str">
        <f>'GPC Data'!E38</f>
        <v>Comp 17</v>
      </c>
      <c r="D21" s="1209">
        <f>'GPC Data'!I72</f>
        <v>0</v>
      </c>
      <c r="E21" s="1209">
        <f>'GPC Data'!J72</f>
        <v>0</v>
      </c>
      <c r="F21" s="1209">
        <f>'GPC Data'!K72</f>
        <v>0</v>
      </c>
      <c r="G21" s="1209">
        <f>'GPC Data'!L72</f>
        <v>0</v>
      </c>
      <c r="H21" s="1209">
        <f>'GPC Data'!M72</f>
        <v>0</v>
      </c>
      <c r="I21" s="1234">
        <f>'GPC Data'!N72</f>
        <v>0</v>
      </c>
      <c r="J21" s="1234">
        <f>'GPC Data'!O72</f>
        <v>0</v>
      </c>
      <c r="L21" s="246">
        <f t="shared" si="1"/>
        <v>0</v>
      </c>
      <c r="M21" s="246" t="str">
        <f t="shared" si="0"/>
        <v>Comp 17</v>
      </c>
      <c r="N21" s="1209">
        <f>'GPC Data'!P72</f>
        <v>0</v>
      </c>
      <c r="O21" s="1209">
        <f>'GPC Data'!Q72</f>
        <v>0</v>
      </c>
      <c r="P21" s="1209">
        <f>'GPC Data'!R72</f>
        <v>0</v>
      </c>
      <c r="Q21" s="1209">
        <f>'GPC Data'!S72</f>
        <v>0</v>
      </c>
      <c r="R21" s="1209">
        <f>'GPC Data'!T72</f>
        <v>0</v>
      </c>
      <c r="S21" s="1234">
        <f>'GPC Data'!U72</f>
        <v>0</v>
      </c>
      <c r="T21" s="1234">
        <f>'GPC Data'!V72</f>
        <v>0</v>
      </c>
    </row>
    <row r="22" spans="1:20">
      <c r="A22" s="1231">
        <v>18</v>
      </c>
      <c r="B22" s="246">
        <f>'GPC Data'!D39</f>
        <v>0</v>
      </c>
      <c r="C22" s="246" t="str">
        <f>'GPC Data'!E39</f>
        <v>Comp 18</v>
      </c>
      <c r="D22" s="1209">
        <f>'GPC Data'!I73</f>
        <v>0</v>
      </c>
      <c r="E22" s="1209">
        <f>'GPC Data'!J73</f>
        <v>0</v>
      </c>
      <c r="F22" s="1209">
        <f>'GPC Data'!K73</f>
        <v>0</v>
      </c>
      <c r="G22" s="1209">
        <f>'GPC Data'!L73</f>
        <v>0</v>
      </c>
      <c r="H22" s="1209">
        <f>'GPC Data'!M73</f>
        <v>0</v>
      </c>
      <c r="I22" s="1234">
        <f>'GPC Data'!N73</f>
        <v>0</v>
      </c>
      <c r="J22" s="1234">
        <f>'GPC Data'!O73</f>
        <v>0</v>
      </c>
      <c r="L22" s="246">
        <f t="shared" si="1"/>
        <v>0</v>
      </c>
      <c r="M22" s="246" t="str">
        <f t="shared" si="0"/>
        <v>Comp 18</v>
      </c>
      <c r="N22" s="1209">
        <f>'GPC Data'!P73</f>
        <v>0</v>
      </c>
      <c r="O22" s="1209">
        <f>'GPC Data'!Q73</f>
        <v>0</v>
      </c>
      <c r="P22" s="1209">
        <f>'GPC Data'!R73</f>
        <v>0</v>
      </c>
      <c r="Q22" s="1209">
        <f>'GPC Data'!S73</f>
        <v>0</v>
      </c>
      <c r="R22" s="1209">
        <f>'GPC Data'!T73</f>
        <v>0</v>
      </c>
      <c r="S22" s="1234">
        <f>'GPC Data'!U73</f>
        <v>0</v>
      </c>
      <c r="T22" s="1234">
        <f>'GPC Data'!V73</f>
        <v>0</v>
      </c>
    </row>
    <row r="23" spans="1:20">
      <c r="A23" s="1231">
        <v>19</v>
      </c>
      <c r="B23" s="246">
        <f>'GPC Data'!D40</f>
        <v>0</v>
      </c>
      <c r="C23" s="246" t="str">
        <f>'GPC Data'!E40</f>
        <v>Comp 19</v>
      </c>
      <c r="D23" s="1209">
        <f>'GPC Data'!I74</f>
        <v>0</v>
      </c>
      <c r="E23" s="1209">
        <f>'GPC Data'!J74</f>
        <v>0</v>
      </c>
      <c r="F23" s="1209">
        <f>'GPC Data'!K74</f>
        <v>0</v>
      </c>
      <c r="G23" s="1209">
        <f>'GPC Data'!L74</f>
        <v>0</v>
      </c>
      <c r="H23" s="1209">
        <f>'GPC Data'!M74</f>
        <v>0</v>
      </c>
      <c r="I23" s="1234">
        <f>'GPC Data'!N74</f>
        <v>0</v>
      </c>
      <c r="J23" s="1234">
        <f>'GPC Data'!O74</f>
        <v>0</v>
      </c>
      <c r="L23" s="246">
        <f t="shared" si="1"/>
        <v>0</v>
      </c>
      <c r="M23" s="246" t="str">
        <f t="shared" si="0"/>
        <v>Comp 19</v>
      </c>
      <c r="N23" s="1209">
        <f>'GPC Data'!P74</f>
        <v>0</v>
      </c>
      <c r="O23" s="1209">
        <f>'GPC Data'!Q74</f>
        <v>0</v>
      </c>
      <c r="P23" s="1209">
        <f>'GPC Data'!R74</f>
        <v>0</v>
      </c>
      <c r="Q23" s="1209">
        <f>'GPC Data'!S74</f>
        <v>0</v>
      </c>
      <c r="R23" s="1209">
        <f>'GPC Data'!T74</f>
        <v>0</v>
      </c>
      <c r="S23" s="1234">
        <f>'GPC Data'!U74</f>
        <v>0</v>
      </c>
      <c r="T23" s="1234">
        <f>'GPC Data'!V74</f>
        <v>0</v>
      </c>
    </row>
    <row r="24" spans="1:20">
      <c r="A24" s="1231">
        <v>20</v>
      </c>
      <c r="B24" s="246">
        <f>'GPC Data'!D41</f>
        <v>0</v>
      </c>
      <c r="C24" s="246" t="str">
        <f>'GPC Data'!E41</f>
        <v>Comp 20</v>
      </c>
      <c r="D24" s="1209">
        <f>'GPC Data'!I75</f>
        <v>0</v>
      </c>
      <c r="E24" s="1209">
        <f>'GPC Data'!J75</f>
        <v>0</v>
      </c>
      <c r="F24" s="1209">
        <f>'GPC Data'!K75</f>
        <v>0</v>
      </c>
      <c r="G24" s="1209">
        <f>'GPC Data'!L75</f>
        <v>0</v>
      </c>
      <c r="H24" s="1209">
        <f>'GPC Data'!M75</f>
        <v>0</v>
      </c>
      <c r="I24" s="1234">
        <f>'GPC Data'!N75</f>
        <v>0</v>
      </c>
      <c r="J24" s="1234">
        <f>'GPC Data'!O75</f>
        <v>0</v>
      </c>
      <c r="L24" s="246">
        <f t="shared" si="1"/>
        <v>0</v>
      </c>
      <c r="M24" s="246" t="str">
        <f t="shared" si="0"/>
        <v>Comp 20</v>
      </c>
      <c r="N24" s="1209">
        <f>'GPC Data'!P75</f>
        <v>0</v>
      </c>
      <c r="O24" s="1209">
        <f>'GPC Data'!Q75</f>
        <v>0</v>
      </c>
      <c r="P24" s="1209">
        <f>'GPC Data'!R75</f>
        <v>0</v>
      </c>
      <c r="Q24" s="1209">
        <f>'GPC Data'!S75</f>
        <v>0</v>
      </c>
      <c r="R24" s="1209">
        <f>'GPC Data'!T75</f>
        <v>0</v>
      </c>
      <c r="S24" s="1234">
        <f>'GPC Data'!U75</f>
        <v>0</v>
      </c>
      <c r="T24" s="1234">
        <f>'GPC Data'!V75</f>
        <v>0</v>
      </c>
    </row>
    <row r="25" spans="1:20">
      <c r="A25" s="1231">
        <v>21</v>
      </c>
      <c r="B25" s="246">
        <f>'GPC Data'!D42</f>
        <v>0</v>
      </c>
      <c r="C25" s="246" t="str">
        <f>'GPC Data'!E42</f>
        <v>Comp 21</v>
      </c>
      <c r="D25" s="1209">
        <f>'GPC Data'!I76</f>
        <v>0</v>
      </c>
      <c r="E25" s="1209">
        <f>'GPC Data'!J76</f>
        <v>0</v>
      </c>
      <c r="F25" s="1209">
        <f>'GPC Data'!K76</f>
        <v>0</v>
      </c>
      <c r="G25" s="1209">
        <f>'GPC Data'!L76</f>
        <v>0</v>
      </c>
      <c r="H25" s="1209">
        <f>'GPC Data'!M76</f>
        <v>0</v>
      </c>
      <c r="I25" s="1234">
        <f>'GPC Data'!N76</f>
        <v>0</v>
      </c>
      <c r="J25" s="1234">
        <f>'GPC Data'!O76</f>
        <v>0</v>
      </c>
      <c r="L25" s="246">
        <f t="shared" si="1"/>
        <v>0</v>
      </c>
      <c r="M25" s="246" t="str">
        <f t="shared" si="0"/>
        <v>Comp 21</v>
      </c>
      <c r="N25" s="1209">
        <f>'GPC Data'!P76</f>
        <v>0</v>
      </c>
      <c r="O25" s="1209">
        <f>'GPC Data'!Q76</f>
        <v>0</v>
      </c>
      <c r="P25" s="1209">
        <f>'GPC Data'!R76</f>
        <v>0</v>
      </c>
      <c r="Q25" s="1209">
        <f>'GPC Data'!S76</f>
        <v>0</v>
      </c>
      <c r="R25" s="1209">
        <f>'GPC Data'!T76</f>
        <v>0</v>
      </c>
      <c r="S25" s="1234">
        <f>'GPC Data'!U76</f>
        <v>0</v>
      </c>
      <c r="T25" s="1234">
        <f>'GPC Data'!V76</f>
        <v>0</v>
      </c>
    </row>
    <row r="26" spans="1:20">
      <c r="A26" s="1231">
        <v>22</v>
      </c>
      <c r="B26" s="246">
        <f>'GPC Data'!D43</f>
        <v>0</v>
      </c>
      <c r="C26" s="246" t="str">
        <f>'GPC Data'!E43</f>
        <v>Comp 22</v>
      </c>
      <c r="D26" s="1209">
        <f>'GPC Data'!I77</f>
        <v>0</v>
      </c>
      <c r="E26" s="1209">
        <f>'GPC Data'!J77</f>
        <v>0</v>
      </c>
      <c r="F26" s="1209">
        <f>'GPC Data'!K77</f>
        <v>0</v>
      </c>
      <c r="G26" s="1209">
        <f>'GPC Data'!L77</f>
        <v>0</v>
      </c>
      <c r="H26" s="1209">
        <f>'GPC Data'!M77</f>
        <v>0</v>
      </c>
      <c r="I26" s="1234">
        <f>'GPC Data'!N77</f>
        <v>0</v>
      </c>
      <c r="J26" s="1234">
        <f>'GPC Data'!O77</f>
        <v>0</v>
      </c>
      <c r="L26" s="246">
        <f t="shared" si="1"/>
        <v>0</v>
      </c>
      <c r="M26" s="246" t="str">
        <f t="shared" si="0"/>
        <v>Comp 22</v>
      </c>
      <c r="N26" s="1209">
        <f>'GPC Data'!P77</f>
        <v>0</v>
      </c>
      <c r="O26" s="1209">
        <f>'GPC Data'!Q77</f>
        <v>0</v>
      </c>
      <c r="P26" s="1209">
        <f>'GPC Data'!R77</f>
        <v>0</v>
      </c>
      <c r="Q26" s="1209">
        <f>'GPC Data'!S77</f>
        <v>0</v>
      </c>
      <c r="R26" s="1209">
        <f>'GPC Data'!T77</f>
        <v>0</v>
      </c>
      <c r="S26" s="1234">
        <f>'GPC Data'!U77</f>
        <v>0</v>
      </c>
      <c r="T26" s="1234">
        <f>'GPC Data'!V77</f>
        <v>0</v>
      </c>
    </row>
    <row r="27" spans="1:20">
      <c r="A27" s="1231">
        <v>23</v>
      </c>
      <c r="B27" s="246">
        <f>'GPC Data'!D44</f>
        <v>0</v>
      </c>
      <c r="C27" s="246" t="str">
        <f>'GPC Data'!E44</f>
        <v>Comp 23</v>
      </c>
      <c r="D27" s="1209">
        <f>'GPC Data'!I78</f>
        <v>0</v>
      </c>
      <c r="E27" s="1209">
        <f>'GPC Data'!J78</f>
        <v>0</v>
      </c>
      <c r="F27" s="1209">
        <f>'GPC Data'!K78</f>
        <v>0</v>
      </c>
      <c r="G27" s="1209">
        <f>'GPC Data'!L78</f>
        <v>0</v>
      </c>
      <c r="H27" s="1209">
        <f>'GPC Data'!M78</f>
        <v>0</v>
      </c>
      <c r="I27" s="1234">
        <f>'GPC Data'!N78</f>
        <v>0</v>
      </c>
      <c r="J27" s="1234">
        <f>'GPC Data'!O78</f>
        <v>0</v>
      </c>
      <c r="L27" s="246">
        <f t="shared" si="1"/>
        <v>0</v>
      </c>
      <c r="M27" s="246" t="str">
        <f t="shared" si="0"/>
        <v>Comp 23</v>
      </c>
      <c r="N27" s="1209">
        <f>'GPC Data'!P78</f>
        <v>0</v>
      </c>
      <c r="O27" s="1209">
        <f>'GPC Data'!Q78</f>
        <v>0</v>
      </c>
      <c r="P27" s="1209">
        <f>'GPC Data'!R78</f>
        <v>0</v>
      </c>
      <c r="Q27" s="1209">
        <f>'GPC Data'!S78</f>
        <v>0</v>
      </c>
      <c r="R27" s="1209">
        <f>'GPC Data'!T78</f>
        <v>0</v>
      </c>
      <c r="S27" s="1234">
        <f>'GPC Data'!U78</f>
        <v>0</v>
      </c>
      <c r="T27" s="1234">
        <f>'GPC Data'!V78</f>
        <v>0</v>
      </c>
    </row>
    <row r="28" spans="1:20">
      <c r="A28" s="1231">
        <v>24</v>
      </c>
      <c r="B28" s="246">
        <f>'GPC Data'!D45</f>
        <v>0</v>
      </c>
      <c r="C28" s="246" t="str">
        <f>'GPC Data'!E45</f>
        <v>Comp 24</v>
      </c>
      <c r="D28" s="1209">
        <f>'GPC Data'!I79</f>
        <v>0</v>
      </c>
      <c r="E28" s="1209">
        <f>'GPC Data'!J79</f>
        <v>0</v>
      </c>
      <c r="F28" s="1209">
        <f>'GPC Data'!K79</f>
        <v>0</v>
      </c>
      <c r="G28" s="1209">
        <f>'GPC Data'!L79</f>
        <v>0</v>
      </c>
      <c r="H28" s="1209">
        <f>'GPC Data'!M79</f>
        <v>0</v>
      </c>
      <c r="I28" s="1234">
        <f>'GPC Data'!N79</f>
        <v>0</v>
      </c>
      <c r="J28" s="1234">
        <f>'GPC Data'!O79</f>
        <v>0</v>
      </c>
      <c r="L28" s="246">
        <f t="shared" si="1"/>
        <v>0</v>
      </c>
      <c r="M28" s="246" t="str">
        <f t="shared" si="0"/>
        <v>Comp 24</v>
      </c>
      <c r="N28" s="1209">
        <f>'GPC Data'!P79</f>
        <v>0</v>
      </c>
      <c r="O28" s="1209">
        <f>'GPC Data'!Q79</f>
        <v>0</v>
      </c>
      <c r="P28" s="1209">
        <f>'GPC Data'!R79</f>
        <v>0</v>
      </c>
      <c r="Q28" s="1209">
        <f>'GPC Data'!S79</f>
        <v>0</v>
      </c>
      <c r="R28" s="1209">
        <f>'GPC Data'!T79</f>
        <v>0</v>
      </c>
      <c r="S28" s="1234">
        <f>'GPC Data'!U79</f>
        <v>0</v>
      </c>
      <c r="T28" s="1234">
        <f>'GPC Data'!V79</f>
        <v>0</v>
      </c>
    </row>
    <row r="29" spans="1:20">
      <c r="A29" s="1231">
        <v>25</v>
      </c>
      <c r="B29" s="246">
        <f>'GPC Data'!D46</f>
        <v>0</v>
      </c>
      <c r="C29" s="246" t="str">
        <f>'GPC Data'!E46</f>
        <v>Comp 25</v>
      </c>
      <c r="D29" s="1209">
        <f>'GPC Data'!I80</f>
        <v>0</v>
      </c>
      <c r="E29" s="1209">
        <f>'GPC Data'!J80</f>
        <v>0</v>
      </c>
      <c r="F29" s="1209">
        <f>'GPC Data'!K80</f>
        <v>0</v>
      </c>
      <c r="G29" s="1209">
        <f>'GPC Data'!L80</f>
        <v>0</v>
      </c>
      <c r="H29" s="1209">
        <f>'GPC Data'!M80</f>
        <v>0</v>
      </c>
      <c r="I29" s="1234">
        <f>'GPC Data'!N80</f>
        <v>0</v>
      </c>
      <c r="J29" s="1234">
        <f>'GPC Data'!O80</f>
        <v>0</v>
      </c>
      <c r="L29" s="246">
        <f t="shared" si="1"/>
        <v>0</v>
      </c>
      <c r="M29" s="246" t="str">
        <f t="shared" si="0"/>
        <v>Comp 25</v>
      </c>
      <c r="N29" s="1209">
        <f>'GPC Data'!P80</f>
        <v>0</v>
      </c>
      <c r="O29" s="1209">
        <f>'GPC Data'!Q80</f>
        <v>0</v>
      </c>
      <c r="P29" s="1209">
        <f>'GPC Data'!R80</f>
        <v>0</v>
      </c>
      <c r="Q29" s="1209">
        <f>'GPC Data'!S80</f>
        <v>0</v>
      </c>
      <c r="R29" s="1209">
        <f>'GPC Data'!T80</f>
        <v>0</v>
      </c>
      <c r="S29" s="1234">
        <f>'GPC Data'!U80</f>
        <v>0</v>
      </c>
      <c r="T29" s="1234">
        <f>'GPC Data'!V80</f>
        <v>0</v>
      </c>
    </row>
    <row r="30" spans="1:20">
      <c r="A30" s="1231">
        <v>26</v>
      </c>
      <c r="B30" s="246">
        <f>'GPC Data'!D47</f>
        <v>0</v>
      </c>
      <c r="C30" s="246" t="str">
        <f>'GPC Data'!E47</f>
        <v>Comp 26</v>
      </c>
      <c r="D30" s="1209">
        <f>'GPC Data'!I81</f>
        <v>0</v>
      </c>
      <c r="E30" s="1209">
        <f>'GPC Data'!J81</f>
        <v>0</v>
      </c>
      <c r="F30" s="1209">
        <f>'GPC Data'!K81</f>
        <v>0</v>
      </c>
      <c r="G30" s="1209">
        <f>'GPC Data'!L81</f>
        <v>0</v>
      </c>
      <c r="H30" s="1209">
        <f>'GPC Data'!M81</f>
        <v>0</v>
      </c>
      <c r="I30" s="1234">
        <f>'GPC Data'!N81</f>
        <v>0</v>
      </c>
      <c r="J30" s="1234">
        <f>'GPC Data'!O81</f>
        <v>0</v>
      </c>
      <c r="L30" s="246">
        <f t="shared" si="1"/>
        <v>0</v>
      </c>
      <c r="M30" s="246" t="str">
        <f t="shared" si="0"/>
        <v>Comp 26</v>
      </c>
      <c r="N30" s="1209">
        <f>'GPC Data'!P81</f>
        <v>0</v>
      </c>
      <c r="O30" s="1209">
        <f>'GPC Data'!Q81</f>
        <v>0</v>
      </c>
      <c r="P30" s="1209">
        <f>'GPC Data'!R81</f>
        <v>0</v>
      </c>
      <c r="Q30" s="1209">
        <f>'GPC Data'!S81</f>
        <v>0</v>
      </c>
      <c r="R30" s="1209">
        <f>'GPC Data'!T81</f>
        <v>0</v>
      </c>
      <c r="S30" s="1234">
        <f>'GPC Data'!U81</f>
        <v>0</v>
      </c>
      <c r="T30" s="1234">
        <f>'GPC Data'!V81</f>
        <v>0</v>
      </c>
    </row>
    <row r="31" spans="1:20">
      <c r="A31" s="1231">
        <v>27</v>
      </c>
      <c r="B31" s="246">
        <f>'GPC Data'!D48</f>
        <v>0</v>
      </c>
      <c r="C31" s="246" t="str">
        <f>'GPC Data'!E48</f>
        <v>Comp 27</v>
      </c>
      <c r="D31" s="1209">
        <f>'GPC Data'!I82</f>
        <v>0</v>
      </c>
      <c r="E31" s="1209">
        <f>'GPC Data'!J82</f>
        <v>0</v>
      </c>
      <c r="F31" s="1209">
        <f>'GPC Data'!K82</f>
        <v>0</v>
      </c>
      <c r="G31" s="1209">
        <f>'GPC Data'!L82</f>
        <v>0</v>
      </c>
      <c r="H31" s="1209">
        <f>'GPC Data'!M82</f>
        <v>0</v>
      </c>
      <c r="I31" s="1234">
        <f>'GPC Data'!N82</f>
        <v>0</v>
      </c>
      <c r="J31" s="1234">
        <f>'GPC Data'!O82</f>
        <v>0</v>
      </c>
      <c r="L31" s="246">
        <f t="shared" si="1"/>
        <v>0</v>
      </c>
      <c r="M31" s="246" t="str">
        <f t="shared" si="0"/>
        <v>Comp 27</v>
      </c>
      <c r="N31" s="1209">
        <f>'GPC Data'!P82</f>
        <v>0</v>
      </c>
      <c r="O31" s="1209">
        <f>'GPC Data'!Q82</f>
        <v>0</v>
      </c>
      <c r="P31" s="1209">
        <f>'GPC Data'!R82</f>
        <v>0</v>
      </c>
      <c r="Q31" s="1209">
        <f>'GPC Data'!S82</f>
        <v>0</v>
      </c>
      <c r="R31" s="1209">
        <f>'GPC Data'!T82</f>
        <v>0</v>
      </c>
      <c r="S31" s="1234">
        <f>'GPC Data'!U82</f>
        <v>0</v>
      </c>
      <c r="T31" s="1234">
        <f>'GPC Data'!V82</f>
        <v>0</v>
      </c>
    </row>
    <row r="32" spans="1:20">
      <c r="A32" s="1231">
        <v>28</v>
      </c>
      <c r="B32" s="246">
        <f>'GPC Data'!D49</f>
        <v>0</v>
      </c>
      <c r="C32" s="246" t="str">
        <f>'GPC Data'!E49</f>
        <v>Comp 28</v>
      </c>
      <c r="D32" s="1209">
        <f>'GPC Data'!I83</f>
        <v>0</v>
      </c>
      <c r="E32" s="1209">
        <f>'GPC Data'!J83</f>
        <v>0</v>
      </c>
      <c r="F32" s="1209">
        <f>'GPC Data'!K83</f>
        <v>0</v>
      </c>
      <c r="G32" s="1209">
        <f>'GPC Data'!L83</f>
        <v>0</v>
      </c>
      <c r="H32" s="1209">
        <f>'GPC Data'!M83</f>
        <v>0</v>
      </c>
      <c r="I32" s="1234">
        <f>'GPC Data'!N83</f>
        <v>0</v>
      </c>
      <c r="J32" s="1234">
        <f>'GPC Data'!O83</f>
        <v>0</v>
      </c>
      <c r="L32" s="246">
        <f t="shared" si="1"/>
        <v>0</v>
      </c>
      <c r="M32" s="246" t="str">
        <f t="shared" si="0"/>
        <v>Comp 28</v>
      </c>
      <c r="N32" s="1209">
        <f>'GPC Data'!P83</f>
        <v>0</v>
      </c>
      <c r="O32" s="1209">
        <f>'GPC Data'!Q83</f>
        <v>0</v>
      </c>
      <c r="P32" s="1209">
        <f>'GPC Data'!R83</f>
        <v>0</v>
      </c>
      <c r="Q32" s="1209">
        <f>'GPC Data'!S83</f>
        <v>0</v>
      </c>
      <c r="R32" s="1209">
        <f>'GPC Data'!T83</f>
        <v>0</v>
      </c>
      <c r="S32" s="1234">
        <f>'GPC Data'!U83</f>
        <v>0</v>
      </c>
      <c r="T32" s="1234">
        <f>'GPC Data'!V83</f>
        <v>0</v>
      </c>
    </row>
    <row r="33" spans="1:20">
      <c r="A33" s="1231">
        <v>29</v>
      </c>
      <c r="B33" s="246">
        <f>'GPC Data'!D50</f>
        <v>0</v>
      </c>
      <c r="C33" s="246" t="str">
        <f>'GPC Data'!E50</f>
        <v>Comp 29</v>
      </c>
      <c r="D33" s="1209">
        <f>'GPC Data'!I84</f>
        <v>0</v>
      </c>
      <c r="E33" s="1209">
        <f>'GPC Data'!J84</f>
        <v>0</v>
      </c>
      <c r="F33" s="1209">
        <f>'GPC Data'!K84</f>
        <v>0</v>
      </c>
      <c r="G33" s="1209">
        <f>'GPC Data'!L84</f>
        <v>0</v>
      </c>
      <c r="H33" s="1209">
        <f>'GPC Data'!M84</f>
        <v>0</v>
      </c>
      <c r="I33" s="1234">
        <f>'GPC Data'!N84</f>
        <v>0</v>
      </c>
      <c r="J33" s="1234">
        <f>'GPC Data'!O84</f>
        <v>0</v>
      </c>
      <c r="L33" s="246">
        <f t="shared" si="1"/>
        <v>0</v>
      </c>
      <c r="M33" s="246" t="str">
        <f t="shared" si="0"/>
        <v>Comp 29</v>
      </c>
      <c r="N33" s="1209">
        <f>'GPC Data'!P84</f>
        <v>0</v>
      </c>
      <c r="O33" s="1209">
        <f>'GPC Data'!Q84</f>
        <v>0</v>
      </c>
      <c r="P33" s="1209">
        <f>'GPC Data'!R84</f>
        <v>0</v>
      </c>
      <c r="Q33" s="1209">
        <f>'GPC Data'!S84</f>
        <v>0</v>
      </c>
      <c r="R33" s="1209">
        <f>'GPC Data'!T84</f>
        <v>0</v>
      </c>
      <c r="S33" s="1234">
        <f>'GPC Data'!U84</f>
        <v>0</v>
      </c>
      <c r="T33" s="1234">
        <f>'GPC Data'!V84</f>
        <v>0</v>
      </c>
    </row>
    <row r="34" spans="1:20">
      <c r="A34" s="1231">
        <v>30</v>
      </c>
      <c r="B34" s="1235">
        <f>'GPC Data'!D51</f>
        <v>0</v>
      </c>
      <c r="C34" s="1235" t="str">
        <f>'GPC Data'!E51</f>
        <v>Comp 30</v>
      </c>
      <c r="D34" s="1236">
        <f>'GPC Data'!I85</f>
        <v>0</v>
      </c>
      <c r="E34" s="1236">
        <f>'GPC Data'!J85</f>
        <v>0</v>
      </c>
      <c r="F34" s="1236">
        <f>'GPC Data'!K85</f>
        <v>0</v>
      </c>
      <c r="G34" s="1236">
        <f>'GPC Data'!L85</f>
        <v>0</v>
      </c>
      <c r="H34" s="1236">
        <f>'GPC Data'!M85</f>
        <v>0</v>
      </c>
      <c r="I34" s="1237">
        <f>'GPC Data'!N85</f>
        <v>0</v>
      </c>
      <c r="J34" s="1237">
        <f>'GPC Data'!O85</f>
        <v>0</v>
      </c>
      <c r="L34" s="1235">
        <f t="shared" si="1"/>
        <v>0</v>
      </c>
      <c r="M34" s="1235" t="str">
        <f t="shared" si="0"/>
        <v>Comp 30</v>
      </c>
      <c r="N34" s="1236">
        <f>'GPC Data'!P85</f>
        <v>0</v>
      </c>
      <c r="O34" s="1236">
        <f>'GPC Data'!Q85</f>
        <v>0</v>
      </c>
      <c r="P34" s="1236">
        <f>'GPC Data'!R85</f>
        <v>0</v>
      </c>
      <c r="Q34" s="1236">
        <f>'GPC Data'!S85</f>
        <v>0</v>
      </c>
      <c r="R34" s="1236">
        <f>'GPC Data'!T85</f>
        <v>0</v>
      </c>
      <c r="S34" s="1237">
        <f>'GPC Data'!U85</f>
        <v>0</v>
      </c>
      <c r="T34" s="1237">
        <f>'GPC Data'!V85</f>
        <v>0</v>
      </c>
    </row>
  </sheetData>
  <pageMargins left="0.7" right="0.7" top="0.75" bottom="0.75" header="0.3" footer="0.3"/>
  <pageSetup paperSize="9" orientation="portrait" r:id="rId1"/>
  <headerFooter>
    <oddHeader>&amp;R&amp;"Arial"&amp;8&amp;K000000Confidential&amp;1#</oddHead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B2:AS66"/>
  <sheetViews>
    <sheetView showGridLines="0" zoomScale="68" zoomScaleNormal="100" zoomScaleSheetLayoutView="80" workbookViewId="0">
      <selection activeCell="J18" sqref="J18"/>
    </sheetView>
  </sheetViews>
  <sheetFormatPr defaultColWidth="8.84375" defaultRowHeight="10.5"/>
  <cols>
    <col min="1" max="1" width="2.23046875" style="463" customWidth="1"/>
    <col min="2" max="2" width="2.84375" style="463" customWidth="1"/>
    <col min="3" max="3" width="30.84375" style="463" customWidth="1"/>
    <col min="4" max="4" width="7.84375" style="463" customWidth="1"/>
    <col min="5" max="5" width="8.15234375" style="463" customWidth="1"/>
    <col min="6" max="7" width="6.84375" style="463" customWidth="1"/>
    <col min="8" max="14" width="9" style="463" customWidth="1"/>
    <col min="15" max="22" width="7.84375" style="463" customWidth="1"/>
    <col min="23" max="30" width="7.4609375" style="463" customWidth="1"/>
    <col min="31" max="36" width="7.15234375" style="463" customWidth="1"/>
    <col min="37" max="42" width="7.53515625" style="463" customWidth="1"/>
    <col min="43" max="43" width="2.84375" style="463" customWidth="1"/>
    <col min="44" max="44" width="3.07421875" style="463" customWidth="1"/>
    <col min="45" max="16384" width="8.84375" style="463"/>
  </cols>
  <sheetData>
    <row r="2" spans="2:45" s="981" customFormat="1">
      <c r="B2" s="1239" t="str">
        <f>Inputs!B2</f>
        <v>Valify - UAE Valuation Services</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983"/>
      <c r="AD2" s="983"/>
      <c r="AE2" s="983"/>
      <c r="AF2" s="983"/>
      <c r="AG2" s="983"/>
      <c r="AH2" s="983"/>
      <c r="AI2" s="983"/>
      <c r="AJ2" s="983"/>
      <c r="AK2" s="983"/>
      <c r="AL2" s="983"/>
      <c r="AM2" s="983"/>
      <c r="AN2" s="983"/>
      <c r="AO2" s="983"/>
      <c r="AP2" s="983"/>
      <c r="AQ2" s="984"/>
    </row>
    <row r="3" spans="2:45" s="981" customFormat="1">
      <c r="B3" s="1240" t="str">
        <f>Inputs!$B$3</f>
        <v>Aerial Arts India XXXXXXXXXXXXXXXXX - Self Valuation using DCF Method, Transaction Multiples Method, &amp; Market Multiples Method as at September 30, 2024</v>
      </c>
      <c r="C3" s="745"/>
      <c r="D3" s="745"/>
      <c r="E3" s="745"/>
      <c r="F3" s="745"/>
      <c r="G3" s="745"/>
      <c r="H3" s="745"/>
      <c r="I3" s="745"/>
      <c r="J3" s="745"/>
      <c r="K3" s="745"/>
      <c r="L3" s="745"/>
      <c r="M3" s="745"/>
      <c r="N3" s="745"/>
      <c r="O3" s="745"/>
      <c r="P3" s="986"/>
      <c r="Q3" s="987"/>
      <c r="R3" s="987"/>
      <c r="S3" s="987"/>
      <c r="T3" s="745"/>
      <c r="U3" s="745"/>
      <c r="V3" s="745"/>
      <c r="W3" s="745"/>
      <c r="X3" s="745"/>
      <c r="Y3" s="745"/>
      <c r="Z3" s="745"/>
      <c r="AA3" s="745"/>
      <c r="AB3" s="745"/>
      <c r="AC3" s="742"/>
      <c r="AD3" s="742"/>
      <c r="AE3" s="742"/>
      <c r="AF3" s="742"/>
      <c r="AG3" s="742"/>
      <c r="AH3" s="742"/>
      <c r="AI3" s="742"/>
      <c r="AJ3" s="742"/>
      <c r="AK3" s="742"/>
      <c r="AL3" s="742"/>
      <c r="AM3" s="742"/>
      <c r="AN3" s="742"/>
      <c r="AO3" s="742"/>
      <c r="AP3" s="742"/>
      <c r="AQ3" s="988"/>
    </row>
    <row r="4" spans="2:45" s="989" customFormat="1">
      <c r="B4" s="1240" t="s">
        <v>1562</v>
      </c>
      <c r="C4" s="745"/>
      <c r="D4" s="745"/>
      <c r="E4" s="745"/>
      <c r="F4" s="745"/>
      <c r="G4" s="745"/>
      <c r="H4" s="745"/>
      <c r="I4" s="745"/>
      <c r="J4" s="745"/>
      <c r="K4" s="745"/>
      <c r="L4" s="745"/>
      <c r="M4" s="745"/>
      <c r="N4" s="745"/>
      <c r="O4" s="745"/>
      <c r="P4" s="745"/>
      <c r="Q4" s="745"/>
      <c r="R4" s="745"/>
      <c r="S4" s="745"/>
      <c r="T4" s="745"/>
      <c r="U4" s="745"/>
      <c r="V4" s="745"/>
      <c r="W4" s="745"/>
      <c r="X4" s="745"/>
      <c r="Y4" s="745"/>
      <c r="Z4" s="745"/>
      <c r="AA4" s="745"/>
      <c r="AB4" s="745"/>
      <c r="AC4" s="742"/>
      <c r="AD4" s="742"/>
      <c r="AE4" s="742"/>
      <c r="AF4" s="742"/>
      <c r="AG4" s="742"/>
      <c r="AH4" s="742"/>
      <c r="AI4" s="742"/>
      <c r="AJ4" s="742"/>
      <c r="AK4" s="742"/>
      <c r="AL4" s="742"/>
      <c r="AM4" s="742"/>
      <c r="AN4" s="742"/>
      <c r="AO4" s="742"/>
      <c r="AP4" s="742"/>
      <c r="AQ4" s="742" t="str">
        <f>valuation.date.header</f>
        <v>Valuation Date:  September 30, 2024</v>
      </c>
    </row>
    <row r="5" spans="2:45" ht="5" customHeight="1" thickBot="1">
      <c r="B5" s="1278"/>
      <c r="C5" s="1278"/>
      <c r="D5" s="1278"/>
      <c r="E5" s="1279"/>
      <c r="F5" s="1278"/>
      <c r="G5" s="1278"/>
      <c r="H5" s="1278"/>
      <c r="I5" s="1278"/>
      <c r="J5" s="1278"/>
      <c r="K5" s="1278"/>
      <c r="L5" s="1278"/>
      <c r="M5" s="1278"/>
      <c r="N5" s="1278"/>
      <c r="O5" s="1278"/>
      <c r="P5" s="1278"/>
      <c r="Q5" s="1278"/>
      <c r="R5" s="1278"/>
      <c r="S5" s="1278"/>
      <c r="T5" s="1278"/>
      <c r="U5" s="1278"/>
      <c r="V5" s="1278"/>
      <c r="W5" s="1278"/>
      <c r="X5" s="1278"/>
      <c r="Y5" s="1278"/>
      <c r="Z5" s="1278"/>
      <c r="AA5" s="1278"/>
      <c r="AB5" s="1278"/>
      <c r="AC5" s="1278"/>
      <c r="AD5" s="1278"/>
      <c r="AE5" s="1278"/>
      <c r="AF5" s="1278"/>
      <c r="AG5" s="1278"/>
      <c r="AH5" s="1278"/>
      <c r="AI5" s="1278"/>
      <c r="AJ5" s="1278"/>
      <c r="AK5" s="1278"/>
      <c r="AL5" s="1278"/>
      <c r="AM5" s="1278"/>
      <c r="AN5" s="1278"/>
      <c r="AO5" s="1278"/>
      <c r="AP5" s="1278"/>
      <c r="AQ5" s="1280"/>
    </row>
    <row r="6" spans="2:45">
      <c r="B6" s="462"/>
      <c r="C6" s="462"/>
      <c r="D6" s="462"/>
      <c r="E6" s="462"/>
      <c r="F6" s="462"/>
      <c r="G6" s="462"/>
      <c r="H6" s="462"/>
      <c r="I6" s="462"/>
      <c r="J6" s="462"/>
      <c r="K6" s="462"/>
      <c r="L6" s="462"/>
      <c r="M6" s="462"/>
      <c r="N6" s="462"/>
      <c r="O6" s="462"/>
      <c r="P6" s="462"/>
      <c r="Q6" s="462"/>
      <c r="R6" s="462"/>
      <c r="S6" s="462"/>
      <c r="T6" s="462"/>
      <c r="U6" s="462"/>
      <c r="V6" s="462"/>
      <c r="W6" s="462"/>
      <c r="X6" s="462"/>
      <c r="Y6" s="462"/>
      <c r="Z6" s="462"/>
      <c r="AA6" s="462"/>
      <c r="AB6" s="462"/>
      <c r="AC6" s="462"/>
      <c r="AD6" s="462"/>
      <c r="AE6" s="462"/>
      <c r="AF6" s="462"/>
      <c r="AG6" s="462"/>
      <c r="AH6" s="462"/>
      <c r="AI6" s="462"/>
      <c r="AJ6" s="462"/>
      <c r="AK6" s="462"/>
      <c r="AL6" s="462"/>
      <c r="AM6" s="462"/>
      <c r="AN6" s="462"/>
      <c r="AO6" s="462"/>
      <c r="AP6" s="462"/>
    </row>
    <row r="7" spans="2:45">
      <c r="B7" s="462"/>
      <c r="C7" s="1281"/>
      <c r="D7" s="1281"/>
      <c r="E7" s="1281"/>
      <c r="F7" s="1791" t="s">
        <v>1563</v>
      </c>
      <c r="G7" s="1791"/>
      <c r="H7" s="1791" t="s">
        <v>1564</v>
      </c>
      <c r="I7" s="1791"/>
      <c r="J7" s="1791"/>
      <c r="K7" s="1791"/>
      <c r="L7" s="1791"/>
      <c r="M7" s="1791"/>
      <c r="N7" s="1791"/>
      <c r="O7" s="1791" t="s">
        <v>1565</v>
      </c>
      <c r="P7" s="1791"/>
      <c r="Q7" s="1791"/>
      <c r="R7" s="1791"/>
      <c r="S7" s="1791"/>
      <c r="T7" s="1791"/>
      <c r="U7" s="1791"/>
      <c r="V7" s="1791"/>
      <c r="W7" s="1791" t="s">
        <v>1566</v>
      </c>
      <c r="X7" s="1791"/>
      <c r="Y7" s="1791"/>
      <c r="Z7" s="1791"/>
      <c r="AA7" s="1791"/>
      <c r="AB7" s="1791"/>
      <c r="AC7" s="1791"/>
      <c r="AD7" s="1791"/>
      <c r="AE7" s="1791" t="s">
        <v>1567</v>
      </c>
      <c r="AF7" s="1791"/>
      <c r="AG7" s="1791"/>
      <c r="AH7" s="1791" t="s">
        <v>1568</v>
      </c>
      <c r="AI7" s="1791"/>
      <c r="AJ7" s="1791"/>
      <c r="AK7" s="1791" t="s">
        <v>1569</v>
      </c>
      <c r="AL7" s="1791"/>
      <c r="AM7" s="1791"/>
      <c r="AN7" s="1791" t="s">
        <v>1570</v>
      </c>
      <c r="AO7" s="1791"/>
      <c r="AP7" s="1791"/>
    </row>
    <row r="8" spans="2:45" ht="47" customHeight="1">
      <c r="C8" s="1282" t="s">
        <v>94</v>
      </c>
      <c r="D8" s="1283" t="s">
        <v>1487</v>
      </c>
      <c r="E8" s="1283" t="s">
        <v>1505</v>
      </c>
      <c r="F8" s="1001" t="s">
        <v>1571</v>
      </c>
      <c r="G8" s="1001" t="s">
        <v>1572</v>
      </c>
      <c r="H8" s="1001" t="s">
        <v>1573</v>
      </c>
      <c r="I8" s="1001" t="s">
        <v>1574</v>
      </c>
      <c r="J8" s="1001" t="s">
        <v>1575</v>
      </c>
      <c r="K8" s="1001" t="s">
        <v>1576</v>
      </c>
      <c r="L8" s="1001" t="s">
        <v>1577</v>
      </c>
      <c r="M8" s="1001" t="s">
        <v>1578</v>
      </c>
      <c r="N8" s="1001" t="s">
        <v>1579</v>
      </c>
      <c r="O8" s="1001" t="s">
        <v>1580</v>
      </c>
      <c r="P8" s="1001" t="s">
        <v>1581</v>
      </c>
      <c r="Q8" s="1284" t="s">
        <v>1582</v>
      </c>
      <c r="R8" s="1284" t="s">
        <v>1515</v>
      </c>
      <c r="S8" s="1001" t="s">
        <v>1583</v>
      </c>
      <c r="T8" s="1284" t="s">
        <v>1439</v>
      </c>
      <c r="U8" s="1001" t="s">
        <v>1584</v>
      </c>
      <c r="V8" s="1284" t="s">
        <v>1585</v>
      </c>
      <c r="W8" s="1284" t="s">
        <v>1586</v>
      </c>
      <c r="X8" s="1284" t="s">
        <v>1587</v>
      </c>
      <c r="Y8" s="1284" t="s">
        <v>1588</v>
      </c>
      <c r="Z8" s="1284" t="s">
        <v>1589</v>
      </c>
      <c r="AA8" s="1284" t="s">
        <v>1467</v>
      </c>
      <c r="AB8" s="1284" t="s">
        <v>1468</v>
      </c>
      <c r="AC8" s="1284" t="s">
        <v>1590</v>
      </c>
      <c r="AD8" s="1284" t="s">
        <v>1591</v>
      </c>
      <c r="AE8" s="1284" t="s">
        <v>1592</v>
      </c>
      <c r="AF8" s="1284" t="s">
        <v>1593</v>
      </c>
      <c r="AG8" s="1284" t="s">
        <v>1594</v>
      </c>
      <c r="AH8" s="1284" t="s">
        <v>1592</v>
      </c>
      <c r="AI8" s="1284" t="s">
        <v>1593</v>
      </c>
      <c r="AJ8" s="1284" t="s">
        <v>1594</v>
      </c>
      <c r="AK8" s="1284" t="s">
        <v>1592</v>
      </c>
      <c r="AL8" s="1284" t="s">
        <v>1593</v>
      </c>
      <c r="AM8" s="1284" t="s">
        <v>1594</v>
      </c>
      <c r="AN8" s="1284" t="s">
        <v>1592</v>
      </c>
      <c r="AO8" s="1284" t="s">
        <v>1593</v>
      </c>
      <c r="AP8" s="1284" t="s">
        <v>1594</v>
      </c>
    </row>
    <row r="9" spans="2:45">
      <c r="B9" s="461"/>
      <c r="C9" s="1241" t="str">
        <f>client.name.long</f>
        <v>Aerial Arts India XXXXXXXXXXXXXXXXX</v>
      </c>
      <c r="D9" s="780"/>
      <c r="E9" s="1242"/>
      <c r="F9" s="1243"/>
      <c r="G9" s="1244"/>
      <c r="H9" s="1243"/>
      <c r="I9" s="1244"/>
      <c r="J9" s="1244"/>
      <c r="K9" s="1244"/>
      <c r="L9" s="1244"/>
      <c r="M9" s="1244"/>
      <c r="N9" s="1244"/>
      <c r="O9" s="1243"/>
      <c r="P9" s="1244"/>
      <c r="Q9" s="1245"/>
      <c r="R9" s="1246"/>
      <c r="S9" s="1244"/>
      <c r="T9" s="1245"/>
      <c r="U9" s="1244"/>
      <c r="V9" s="1245"/>
      <c r="W9" s="1247"/>
      <c r="X9" s="1246"/>
      <c r="Y9" s="1246"/>
      <c r="Z9" s="1246"/>
      <c r="AA9" s="1246"/>
      <c r="AB9" s="1246"/>
      <c r="AC9" s="1246"/>
      <c r="AD9" s="1246"/>
      <c r="AE9" s="1247"/>
      <c r="AF9" s="1246"/>
      <c r="AG9" s="1246"/>
      <c r="AH9" s="1247"/>
      <c r="AI9" s="1246"/>
      <c r="AJ9" s="1246"/>
      <c r="AK9" s="1247"/>
      <c r="AL9" s="1246"/>
      <c r="AM9" s="1246"/>
      <c r="AN9" s="1247"/>
      <c r="AO9" s="1246"/>
      <c r="AP9" s="1246"/>
    </row>
    <row r="10" spans="2:45" ht="11" thickBot="1">
      <c r="B10" s="461"/>
      <c r="C10" s="1241"/>
      <c r="D10" s="780"/>
      <c r="E10" s="1242"/>
      <c r="F10" s="1243"/>
      <c r="G10" s="1244"/>
      <c r="H10" s="1243"/>
      <c r="I10" s="1244"/>
      <c r="J10" s="1244"/>
      <c r="K10" s="1244"/>
      <c r="L10" s="1244"/>
      <c r="M10" s="1244"/>
      <c r="N10" s="1244"/>
      <c r="O10" s="1243"/>
      <c r="P10" s="1244"/>
      <c r="Q10" s="1245"/>
      <c r="R10" s="1246"/>
      <c r="S10" s="1244"/>
      <c r="T10" s="1245"/>
      <c r="U10" s="1244"/>
      <c r="V10" s="1245"/>
      <c r="W10" s="1247"/>
      <c r="X10" s="1246"/>
      <c r="Y10" s="1246"/>
      <c r="Z10" s="1246"/>
      <c r="AA10" s="1246"/>
      <c r="AB10" s="1246"/>
      <c r="AC10" s="1246"/>
      <c r="AD10" s="1246"/>
      <c r="AE10" s="1247"/>
      <c r="AF10" s="1246"/>
      <c r="AG10" s="1246"/>
      <c r="AH10" s="1247"/>
      <c r="AI10" s="1246"/>
      <c r="AJ10" s="1246"/>
      <c r="AK10" s="1247"/>
      <c r="AL10" s="1246"/>
      <c r="AM10" s="1246"/>
      <c r="AN10" s="1247"/>
      <c r="AO10" s="1246"/>
      <c r="AP10" s="1246"/>
      <c r="AS10" s="755" t="s">
        <v>1455</v>
      </c>
    </row>
    <row r="11" spans="2:45" ht="11" thickBot="1">
      <c r="B11" s="1248">
        <v>1</v>
      </c>
      <c r="C11" s="1249" t="str">
        <f>'GPC Data'!E22</f>
        <v>Comp 1</v>
      </c>
      <c r="D11" s="1250">
        <f>'GPC Data'!D22</f>
        <v>0</v>
      </c>
      <c r="E11" s="1251">
        <f>Multiples!E9</f>
        <v>0</v>
      </c>
      <c r="F11" s="1252">
        <f>'GPC Data'!F226</f>
        <v>0</v>
      </c>
      <c r="G11" s="1253">
        <f>'GPC Data'!G226</f>
        <v>0</v>
      </c>
      <c r="H11" s="1252">
        <f>'GPC Data'!H226</f>
        <v>0</v>
      </c>
      <c r="I11" s="1253">
        <f>'GPC Data'!I226</f>
        <v>0</v>
      </c>
      <c r="J11" s="1254">
        <f>'GPC Data'!J226</f>
        <v>0</v>
      </c>
      <c r="K11" s="1254">
        <f>'GPC Data'!K226</f>
        <v>0</v>
      </c>
      <c r="L11" s="1254">
        <f>'GPC Data'!L226</f>
        <v>0</v>
      </c>
      <c r="M11" s="1254">
        <f>'GPC Data'!M226</f>
        <v>0</v>
      </c>
      <c r="N11" s="1253">
        <f>'GPC Data'!N226</f>
        <v>0</v>
      </c>
      <c r="O11" s="1252">
        <f>'GPC Data'!O226</f>
        <v>0</v>
      </c>
      <c r="P11" s="1253">
        <f>'GPC Data'!P226</f>
        <v>0</v>
      </c>
      <c r="Q11" s="1255">
        <f>'GPC Data'!Q226</f>
        <v>0</v>
      </c>
      <c r="R11" s="1256">
        <f>'GPC Data'!R226</f>
        <v>0</v>
      </c>
      <c r="S11" s="1254">
        <f>'GPC Data'!S226</f>
        <v>0</v>
      </c>
      <c r="T11" s="1257">
        <f>'GPC Data'!T226</f>
        <v>0</v>
      </c>
      <c r="U11" s="1254">
        <f>'GPC Data'!U226</f>
        <v>0</v>
      </c>
      <c r="V11" s="1257">
        <f>'GPC Data'!V226</f>
        <v>0</v>
      </c>
      <c r="W11" s="1258">
        <f>'GPC Data'!W226</f>
        <v>0</v>
      </c>
      <c r="X11" s="1259">
        <f>'GPC Data'!X226</f>
        <v>0</v>
      </c>
      <c r="Y11" s="1259">
        <f>'GPC Data'!Y226</f>
        <v>0</v>
      </c>
      <c r="Z11" s="1259">
        <f>'GPC Data'!Z226</f>
        <v>0</v>
      </c>
      <c r="AA11" s="1256">
        <f>'GPC Data'!AA226</f>
        <v>0</v>
      </c>
      <c r="AB11" s="1256">
        <f>'GPC Data'!AB226</f>
        <v>0</v>
      </c>
      <c r="AC11" s="1256">
        <f>'GPC Data'!AC226</f>
        <v>0</v>
      </c>
      <c r="AD11" s="1256">
        <f>'GPC Data'!AD226</f>
        <v>0</v>
      </c>
      <c r="AE11" s="1260">
        <f>'GPC Data'!AE226</f>
        <v>0</v>
      </c>
      <c r="AF11" s="1256">
        <f>'GPC Data'!AF226</f>
        <v>0</v>
      </c>
      <c r="AG11" s="1256">
        <f>'GPC Data'!AG226</f>
        <v>0</v>
      </c>
      <c r="AH11" s="1260">
        <f>'GPC Data'!AH226</f>
        <v>0</v>
      </c>
      <c r="AI11" s="1256">
        <f>'GPC Data'!AI226</f>
        <v>0</v>
      </c>
      <c r="AJ11" s="1256">
        <f>'GPC Data'!AJ226</f>
        <v>0</v>
      </c>
      <c r="AK11" s="1260">
        <f>'GPC Data'!AK226</f>
        <v>0</v>
      </c>
      <c r="AL11" s="1256">
        <f>'GPC Data'!AL226</f>
        <v>0</v>
      </c>
      <c r="AM11" s="1256">
        <f>'GPC Data'!AM226</f>
        <v>0</v>
      </c>
      <c r="AN11" s="1260">
        <f>'GPC Data'!AN226</f>
        <v>0</v>
      </c>
      <c r="AO11" s="1256">
        <f>'GPC Data'!AO226</f>
        <v>0</v>
      </c>
      <c r="AP11" s="1256">
        <f>'GPC Data'!AP226</f>
        <v>0</v>
      </c>
      <c r="AS11" s="677" t="s">
        <v>1368</v>
      </c>
    </row>
    <row r="12" spans="2:45" ht="11" thickBot="1">
      <c r="B12" s="1261">
        <f>B11+1</f>
        <v>2</v>
      </c>
      <c r="C12" s="1249" t="str">
        <f>'GPC Data'!E23</f>
        <v>Comp 2</v>
      </c>
      <c r="D12" s="1250">
        <f>'GPC Data'!D23</f>
        <v>0</v>
      </c>
      <c r="E12" s="1251">
        <f>Multiples!E10</f>
        <v>0</v>
      </c>
      <c r="F12" s="1252">
        <f>'GPC Data'!F227</f>
        <v>0</v>
      </c>
      <c r="G12" s="1253">
        <f>'GPC Data'!G227</f>
        <v>0</v>
      </c>
      <c r="H12" s="1252">
        <f>'GPC Data'!H227</f>
        <v>0</v>
      </c>
      <c r="I12" s="1253">
        <f>'GPC Data'!I227</f>
        <v>0</v>
      </c>
      <c r="J12" s="1254">
        <f>'GPC Data'!J227</f>
        <v>0</v>
      </c>
      <c r="K12" s="1254">
        <f>'GPC Data'!K227</f>
        <v>0</v>
      </c>
      <c r="L12" s="1254">
        <f>'GPC Data'!L227</f>
        <v>0</v>
      </c>
      <c r="M12" s="1254">
        <f>'GPC Data'!M227</f>
        <v>0</v>
      </c>
      <c r="N12" s="1253">
        <f>'GPC Data'!N227</f>
        <v>0</v>
      </c>
      <c r="O12" s="1252">
        <f>'GPC Data'!O227</f>
        <v>0</v>
      </c>
      <c r="P12" s="1253">
        <f>'GPC Data'!P227</f>
        <v>0</v>
      </c>
      <c r="Q12" s="1255">
        <f>'GPC Data'!Q227</f>
        <v>0</v>
      </c>
      <c r="R12" s="1256">
        <f>'GPC Data'!R227</f>
        <v>0</v>
      </c>
      <c r="S12" s="1254">
        <f>'GPC Data'!S227</f>
        <v>0</v>
      </c>
      <c r="T12" s="1257">
        <f>'GPC Data'!T227</f>
        <v>0</v>
      </c>
      <c r="U12" s="1254">
        <f>'GPC Data'!U227</f>
        <v>0</v>
      </c>
      <c r="V12" s="1257">
        <f>'GPC Data'!V227</f>
        <v>0</v>
      </c>
      <c r="W12" s="1258">
        <f>'GPC Data'!W227</f>
        <v>0</v>
      </c>
      <c r="X12" s="1259">
        <f>'GPC Data'!X227</f>
        <v>0</v>
      </c>
      <c r="Y12" s="1259">
        <f>'GPC Data'!Y227</f>
        <v>0</v>
      </c>
      <c r="Z12" s="1259">
        <f>'GPC Data'!Z227</f>
        <v>0</v>
      </c>
      <c r="AA12" s="1256">
        <f>'GPC Data'!AA227</f>
        <v>0</v>
      </c>
      <c r="AB12" s="1256">
        <f>'GPC Data'!AB227</f>
        <v>0</v>
      </c>
      <c r="AC12" s="1256">
        <f>'GPC Data'!AC227</f>
        <v>0</v>
      </c>
      <c r="AD12" s="1256">
        <f>'GPC Data'!AD227</f>
        <v>0</v>
      </c>
      <c r="AE12" s="1260">
        <f>'GPC Data'!AE227</f>
        <v>0</v>
      </c>
      <c r="AF12" s="1256">
        <f>'GPC Data'!AF227</f>
        <v>0</v>
      </c>
      <c r="AG12" s="1256">
        <f>'GPC Data'!AG227</f>
        <v>0</v>
      </c>
      <c r="AH12" s="1260">
        <f>'GPC Data'!AH227</f>
        <v>0</v>
      </c>
      <c r="AI12" s="1256">
        <f>'GPC Data'!AI227</f>
        <v>0</v>
      </c>
      <c r="AJ12" s="1256">
        <f>'GPC Data'!AJ227</f>
        <v>0</v>
      </c>
      <c r="AK12" s="1260">
        <f>'GPC Data'!AK227</f>
        <v>0</v>
      </c>
      <c r="AL12" s="1256">
        <f>'GPC Data'!AL227</f>
        <v>0</v>
      </c>
      <c r="AM12" s="1256">
        <f>'GPC Data'!AM227</f>
        <v>0</v>
      </c>
      <c r="AN12" s="1260">
        <f>'GPC Data'!AN227</f>
        <v>0</v>
      </c>
      <c r="AO12" s="1256">
        <f>'GPC Data'!AO227</f>
        <v>0</v>
      </c>
      <c r="AP12" s="1256">
        <f>'GPC Data'!AP227</f>
        <v>0</v>
      </c>
      <c r="AS12" s="677" t="s">
        <v>1368</v>
      </c>
    </row>
    <row r="13" spans="2:45" ht="11" thickBot="1">
      <c r="B13" s="1261">
        <f t="shared" ref="B13:B39" si="0">B12+1</f>
        <v>3</v>
      </c>
      <c r="C13" s="1249" t="str">
        <f>'GPC Data'!E24</f>
        <v>Comp 3</v>
      </c>
      <c r="D13" s="1250">
        <f>'GPC Data'!D24</f>
        <v>0</v>
      </c>
      <c r="E13" s="1251">
        <f>Multiples!E11</f>
        <v>0</v>
      </c>
      <c r="F13" s="1252">
        <f>'GPC Data'!F228</f>
        <v>0</v>
      </c>
      <c r="G13" s="1253">
        <f>'GPC Data'!G228</f>
        <v>0</v>
      </c>
      <c r="H13" s="1252">
        <f>'GPC Data'!H228</f>
        <v>0</v>
      </c>
      <c r="I13" s="1253">
        <f>'GPC Data'!I228</f>
        <v>0</v>
      </c>
      <c r="J13" s="1254">
        <f>'GPC Data'!J228</f>
        <v>0</v>
      </c>
      <c r="K13" s="1254">
        <f>'GPC Data'!K228</f>
        <v>0</v>
      </c>
      <c r="L13" s="1254">
        <f>'GPC Data'!L228</f>
        <v>0</v>
      </c>
      <c r="M13" s="1254">
        <f>'GPC Data'!M228</f>
        <v>0</v>
      </c>
      <c r="N13" s="1253">
        <f>'GPC Data'!N228</f>
        <v>0</v>
      </c>
      <c r="O13" s="1252">
        <f>'GPC Data'!O228</f>
        <v>0</v>
      </c>
      <c r="P13" s="1253">
        <f>'GPC Data'!P228</f>
        <v>0</v>
      </c>
      <c r="Q13" s="1255">
        <f>'GPC Data'!Q228</f>
        <v>0</v>
      </c>
      <c r="R13" s="1256">
        <f>'GPC Data'!R228</f>
        <v>0</v>
      </c>
      <c r="S13" s="1254">
        <f>'GPC Data'!S228</f>
        <v>0</v>
      </c>
      <c r="T13" s="1257">
        <f>'GPC Data'!T228</f>
        <v>0</v>
      </c>
      <c r="U13" s="1254">
        <f>'GPC Data'!U228</f>
        <v>0</v>
      </c>
      <c r="V13" s="1257">
        <f>'GPC Data'!V228</f>
        <v>0</v>
      </c>
      <c r="W13" s="1258">
        <f>'GPC Data'!W228</f>
        <v>0</v>
      </c>
      <c r="X13" s="1259">
        <f>'GPC Data'!X228</f>
        <v>0</v>
      </c>
      <c r="Y13" s="1259">
        <f>'GPC Data'!Y228</f>
        <v>0</v>
      </c>
      <c r="Z13" s="1259">
        <f>'GPC Data'!Z228</f>
        <v>0</v>
      </c>
      <c r="AA13" s="1256">
        <f>'GPC Data'!AA228</f>
        <v>0</v>
      </c>
      <c r="AB13" s="1256">
        <f>'GPC Data'!AB228</f>
        <v>0</v>
      </c>
      <c r="AC13" s="1256">
        <f>'GPC Data'!AC228</f>
        <v>0</v>
      </c>
      <c r="AD13" s="1256">
        <f>'GPC Data'!AD228</f>
        <v>0</v>
      </c>
      <c r="AE13" s="1260">
        <f>'GPC Data'!AE228</f>
        <v>0</v>
      </c>
      <c r="AF13" s="1256">
        <f>'GPC Data'!AF228</f>
        <v>0</v>
      </c>
      <c r="AG13" s="1256">
        <f>'GPC Data'!AG228</f>
        <v>0</v>
      </c>
      <c r="AH13" s="1260">
        <f>'GPC Data'!AH228</f>
        <v>0</v>
      </c>
      <c r="AI13" s="1256">
        <f>'GPC Data'!AI228</f>
        <v>0</v>
      </c>
      <c r="AJ13" s="1256">
        <f>'GPC Data'!AJ228</f>
        <v>0</v>
      </c>
      <c r="AK13" s="1260">
        <f>'GPC Data'!AK228</f>
        <v>0</v>
      </c>
      <c r="AL13" s="1256">
        <f>'GPC Data'!AL228</f>
        <v>0</v>
      </c>
      <c r="AM13" s="1256">
        <f>'GPC Data'!AM228</f>
        <v>0</v>
      </c>
      <c r="AN13" s="1260">
        <f>'GPC Data'!AN228</f>
        <v>0</v>
      </c>
      <c r="AO13" s="1256">
        <f>'GPC Data'!AO228</f>
        <v>0</v>
      </c>
      <c r="AP13" s="1256">
        <f>'GPC Data'!AP228</f>
        <v>0</v>
      </c>
      <c r="AS13" s="677" t="s">
        <v>1368</v>
      </c>
    </row>
    <row r="14" spans="2:45" s="462" customFormat="1" ht="11" thickBot="1">
      <c r="B14" s="1261">
        <f t="shared" si="0"/>
        <v>4</v>
      </c>
      <c r="C14" s="1249" t="str">
        <f>'GPC Data'!E25</f>
        <v>Comp 4</v>
      </c>
      <c r="D14" s="1250">
        <f>'GPC Data'!D25</f>
        <v>0</v>
      </c>
      <c r="E14" s="1251">
        <f>Multiples!E12</f>
        <v>0</v>
      </c>
      <c r="F14" s="1252">
        <f>'GPC Data'!F229</f>
        <v>0</v>
      </c>
      <c r="G14" s="1253">
        <f>'GPC Data'!G229</f>
        <v>0</v>
      </c>
      <c r="H14" s="1252">
        <f>'GPC Data'!H229</f>
        <v>0</v>
      </c>
      <c r="I14" s="1253">
        <f>'GPC Data'!I229</f>
        <v>0</v>
      </c>
      <c r="J14" s="1254">
        <f>'GPC Data'!J229</f>
        <v>0</v>
      </c>
      <c r="K14" s="1254">
        <f>'GPC Data'!K229</f>
        <v>0</v>
      </c>
      <c r="L14" s="1254">
        <f>'GPC Data'!L229</f>
        <v>0</v>
      </c>
      <c r="M14" s="1254">
        <f>'GPC Data'!M229</f>
        <v>0</v>
      </c>
      <c r="N14" s="1253">
        <f>'GPC Data'!N229</f>
        <v>0</v>
      </c>
      <c r="O14" s="1252">
        <f>'GPC Data'!O229</f>
        <v>0</v>
      </c>
      <c r="P14" s="1253">
        <f>'GPC Data'!P229</f>
        <v>0</v>
      </c>
      <c r="Q14" s="1255">
        <f>'GPC Data'!Q229</f>
        <v>0</v>
      </c>
      <c r="R14" s="1256">
        <f>'GPC Data'!R229</f>
        <v>0</v>
      </c>
      <c r="S14" s="1254">
        <f>'GPC Data'!S229</f>
        <v>0</v>
      </c>
      <c r="T14" s="1257">
        <f>'GPC Data'!T229</f>
        <v>0</v>
      </c>
      <c r="U14" s="1254">
        <f>'GPC Data'!U229</f>
        <v>0</v>
      </c>
      <c r="V14" s="1257">
        <f>'GPC Data'!V229</f>
        <v>0</v>
      </c>
      <c r="W14" s="1258">
        <f>'GPC Data'!W229</f>
        <v>0</v>
      </c>
      <c r="X14" s="1259">
        <f>'GPC Data'!X229</f>
        <v>0</v>
      </c>
      <c r="Y14" s="1259">
        <f>'GPC Data'!Y229</f>
        <v>0</v>
      </c>
      <c r="Z14" s="1259">
        <f>'GPC Data'!Z229</f>
        <v>0</v>
      </c>
      <c r="AA14" s="1256">
        <f>'GPC Data'!AA229</f>
        <v>0</v>
      </c>
      <c r="AB14" s="1256">
        <f>'GPC Data'!AB229</f>
        <v>0</v>
      </c>
      <c r="AC14" s="1256">
        <f>'GPC Data'!AC229</f>
        <v>0</v>
      </c>
      <c r="AD14" s="1256">
        <f>'GPC Data'!AD229</f>
        <v>0</v>
      </c>
      <c r="AE14" s="1260">
        <f>'GPC Data'!AE229</f>
        <v>0</v>
      </c>
      <c r="AF14" s="1256">
        <f>'GPC Data'!AF229</f>
        <v>0</v>
      </c>
      <c r="AG14" s="1256">
        <f>'GPC Data'!AG229</f>
        <v>0</v>
      </c>
      <c r="AH14" s="1260">
        <f>'GPC Data'!AH229</f>
        <v>0</v>
      </c>
      <c r="AI14" s="1256">
        <f>'GPC Data'!AI229</f>
        <v>0</v>
      </c>
      <c r="AJ14" s="1256">
        <f>'GPC Data'!AJ229</f>
        <v>0</v>
      </c>
      <c r="AK14" s="1260">
        <f>'GPC Data'!AK229</f>
        <v>0</v>
      </c>
      <c r="AL14" s="1256">
        <f>'GPC Data'!AL229</f>
        <v>0</v>
      </c>
      <c r="AM14" s="1256">
        <f>'GPC Data'!AM229</f>
        <v>0</v>
      </c>
      <c r="AN14" s="1260">
        <f>'GPC Data'!AN229</f>
        <v>0</v>
      </c>
      <c r="AO14" s="1256">
        <f>'GPC Data'!AO229</f>
        <v>0</v>
      </c>
      <c r="AP14" s="1256">
        <f>'GPC Data'!AP229</f>
        <v>0</v>
      </c>
      <c r="AS14" s="677" t="s">
        <v>1368</v>
      </c>
    </row>
    <row r="15" spans="2:45" ht="11" thickBot="1">
      <c r="B15" s="1261">
        <f t="shared" si="0"/>
        <v>5</v>
      </c>
      <c r="C15" s="1249" t="str">
        <f>'GPC Data'!E26</f>
        <v>Comp 5</v>
      </c>
      <c r="D15" s="1250">
        <f>'GPC Data'!D26</f>
        <v>0</v>
      </c>
      <c r="E15" s="1251">
        <f>Multiples!E13</f>
        <v>0</v>
      </c>
      <c r="F15" s="1252">
        <f>'GPC Data'!F230</f>
        <v>0</v>
      </c>
      <c r="G15" s="1253">
        <f>'GPC Data'!G230</f>
        <v>0</v>
      </c>
      <c r="H15" s="1252">
        <f>'GPC Data'!H230</f>
        <v>0</v>
      </c>
      <c r="I15" s="1253">
        <f>'GPC Data'!I230</f>
        <v>0</v>
      </c>
      <c r="J15" s="1254">
        <f>'GPC Data'!J230</f>
        <v>0</v>
      </c>
      <c r="K15" s="1254">
        <f>'GPC Data'!K230</f>
        <v>0</v>
      </c>
      <c r="L15" s="1254">
        <f>'GPC Data'!L230</f>
        <v>0</v>
      </c>
      <c r="M15" s="1254">
        <f>'GPC Data'!M230</f>
        <v>0</v>
      </c>
      <c r="N15" s="1253">
        <f>'GPC Data'!N230</f>
        <v>0</v>
      </c>
      <c r="O15" s="1252">
        <f>'GPC Data'!O230</f>
        <v>0</v>
      </c>
      <c r="P15" s="1253">
        <f>'GPC Data'!P230</f>
        <v>0</v>
      </c>
      <c r="Q15" s="1255">
        <f>'GPC Data'!Q230</f>
        <v>0</v>
      </c>
      <c r="R15" s="1256">
        <f>'GPC Data'!R230</f>
        <v>0</v>
      </c>
      <c r="S15" s="1254">
        <f>'GPC Data'!S230</f>
        <v>0</v>
      </c>
      <c r="T15" s="1257">
        <f>'GPC Data'!T230</f>
        <v>0</v>
      </c>
      <c r="U15" s="1254">
        <f>'GPC Data'!U230</f>
        <v>0</v>
      </c>
      <c r="V15" s="1257">
        <f>'GPC Data'!V230</f>
        <v>0</v>
      </c>
      <c r="W15" s="1258">
        <f>'GPC Data'!W230</f>
        <v>0</v>
      </c>
      <c r="X15" s="1259">
        <f>'GPC Data'!X230</f>
        <v>0</v>
      </c>
      <c r="Y15" s="1259">
        <f>'GPC Data'!Y230</f>
        <v>0</v>
      </c>
      <c r="Z15" s="1259">
        <f>'GPC Data'!Z230</f>
        <v>0</v>
      </c>
      <c r="AA15" s="1256">
        <f>'GPC Data'!AA230</f>
        <v>0</v>
      </c>
      <c r="AB15" s="1256">
        <f>'GPC Data'!AB230</f>
        <v>0</v>
      </c>
      <c r="AC15" s="1256">
        <f>'GPC Data'!AC230</f>
        <v>0</v>
      </c>
      <c r="AD15" s="1256">
        <f>'GPC Data'!AD230</f>
        <v>0</v>
      </c>
      <c r="AE15" s="1260">
        <f>'GPC Data'!AE230</f>
        <v>0</v>
      </c>
      <c r="AF15" s="1256">
        <f>'GPC Data'!AF230</f>
        <v>0</v>
      </c>
      <c r="AG15" s="1256">
        <f>'GPC Data'!AG230</f>
        <v>0</v>
      </c>
      <c r="AH15" s="1260">
        <f>'GPC Data'!AH230</f>
        <v>0</v>
      </c>
      <c r="AI15" s="1256">
        <f>'GPC Data'!AI230</f>
        <v>0</v>
      </c>
      <c r="AJ15" s="1256">
        <f>'GPC Data'!AJ230</f>
        <v>0</v>
      </c>
      <c r="AK15" s="1260">
        <f>'GPC Data'!AK230</f>
        <v>0</v>
      </c>
      <c r="AL15" s="1256">
        <f>'GPC Data'!AL230</f>
        <v>0</v>
      </c>
      <c r="AM15" s="1256">
        <f>'GPC Data'!AM230</f>
        <v>0</v>
      </c>
      <c r="AN15" s="1260">
        <f>'GPC Data'!AN230</f>
        <v>0</v>
      </c>
      <c r="AO15" s="1256">
        <f>'GPC Data'!AO230</f>
        <v>0</v>
      </c>
      <c r="AP15" s="1256">
        <f>'GPC Data'!AP230</f>
        <v>0</v>
      </c>
      <c r="AS15" s="677" t="s">
        <v>1368</v>
      </c>
    </row>
    <row r="16" spans="2:45" ht="11" thickBot="1">
      <c r="B16" s="1261">
        <f t="shared" si="0"/>
        <v>6</v>
      </c>
      <c r="C16" s="1249" t="str">
        <f>'GPC Data'!E27</f>
        <v>Comp 6</v>
      </c>
      <c r="D16" s="1250">
        <f>'GPC Data'!D27</f>
        <v>0</v>
      </c>
      <c r="E16" s="1251">
        <f>Multiples!E14</f>
        <v>0</v>
      </c>
      <c r="F16" s="1252">
        <f>'GPC Data'!F231</f>
        <v>0</v>
      </c>
      <c r="G16" s="1253">
        <f>'GPC Data'!G231</f>
        <v>0</v>
      </c>
      <c r="H16" s="1252">
        <f>'GPC Data'!H231</f>
        <v>0</v>
      </c>
      <c r="I16" s="1253">
        <f>'GPC Data'!I231</f>
        <v>0</v>
      </c>
      <c r="J16" s="1254">
        <f>'GPC Data'!J231</f>
        <v>0</v>
      </c>
      <c r="K16" s="1254">
        <f>'GPC Data'!K231</f>
        <v>0</v>
      </c>
      <c r="L16" s="1254">
        <f>'GPC Data'!L231</f>
        <v>0</v>
      </c>
      <c r="M16" s="1254">
        <f>'GPC Data'!M231</f>
        <v>0</v>
      </c>
      <c r="N16" s="1253">
        <f>'GPC Data'!N231</f>
        <v>0</v>
      </c>
      <c r="O16" s="1252">
        <f>'GPC Data'!O231</f>
        <v>0</v>
      </c>
      <c r="P16" s="1253">
        <f>'GPC Data'!P231</f>
        <v>0</v>
      </c>
      <c r="Q16" s="1255">
        <f>'GPC Data'!Q231</f>
        <v>0</v>
      </c>
      <c r="R16" s="1256">
        <f>'GPC Data'!R231</f>
        <v>0</v>
      </c>
      <c r="S16" s="1254">
        <f>'GPC Data'!S231</f>
        <v>0</v>
      </c>
      <c r="T16" s="1257">
        <f>'GPC Data'!T231</f>
        <v>0</v>
      </c>
      <c r="U16" s="1254">
        <f>'GPC Data'!U231</f>
        <v>0</v>
      </c>
      <c r="V16" s="1257">
        <f>'GPC Data'!V231</f>
        <v>0</v>
      </c>
      <c r="W16" s="1258">
        <f>'GPC Data'!W231</f>
        <v>0</v>
      </c>
      <c r="X16" s="1259">
        <f>'GPC Data'!X231</f>
        <v>0</v>
      </c>
      <c r="Y16" s="1259">
        <f>'GPC Data'!Y231</f>
        <v>0</v>
      </c>
      <c r="Z16" s="1259">
        <f>'GPC Data'!Z231</f>
        <v>0</v>
      </c>
      <c r="AA16" s="1256">
        <f>'GPC Data'!AA231</f>
        <v>0</v>
      </c>
      <c r="AB16" s="1256">
        <f>'GPC Data'!AB231</f>
        <v>0</v>
      </c>
      <c r="AC16" s="1256">
        <f>'GPC Data'!AC231</f>
        <v>0</v>
      </c>
      <c r="AD16" s="1256">
        <f>'GPC Data'!AD231</f>
        <v>0</v>
      </c>
      <c r="AE16" s="1260">
        <f>'GPC Data'!AE231</f>
        <v>0</v>
      </c>
      <c r="AF16" s="1256">
        <f>'GPC Data'!AF231</f>
        <v>0</v>
      </c>
      <c r="AG16" s="1256">
        <f>'GPC Data'!AG231</f>
        <v>0</v>
      </c>
      <c r="AH16" s="1260">
        <f>'GPC Data'!AH231</f>
        <v>0</v>
      </c>
      <c r="AI16" s="1256">
        <f>'GPC Data'!AI231</f>
        <v>0</v>
      </c>
      <c r="AJ16" s="1256">
        <f>'GPC Data'!AJ231</f>
        <v>0</v>
      </c>
      <c r="AK16" s="1260">
        <f>'GPC Data'!AK231</f>
        <v>0</v>
      </c>
      <c r="AL16" s="1256">
        <f>'GPC Data'!AL231</f>
        <v>0</v>
      </c>
      <c r="AM16" s="1256">
        <f>'GPC Data'!AM231</f>
        <v>0</v>
      </c>
      <c r="AN16" s="1260">
        <f>'GPC Data'!AN231</f>
        <v>0</v>
      </c>
      <c r="AO16" s="1256">
        <f>'GPC Data'!AO231</f>
        <v>0</v>
      </c>
      <c r="AP16" s="1256">
        <f>'GPC Data'!AP231</f>
        <v>0</v>
      </c>
      <c r="AS16" s="677" t="s">
        <v>1368</v>
      </c>
    </row>
    <row r="17" spans="2:45" ht="11" thickBot="1">
      <c r="B17" s="1261">
        <f t="shared" si="0"/>
        <v>7</v>
      </c>
      <c r="C17" s="1249" t="str">
        <f>'GPC Data'!E28</f>
        <v>Comp 7</v>
      </c>
      <c r="D17" s="1250">
        <f>'GPC Data'!D28</f>
        <v>0</v>
      </c>
      <c r="E17" s="1251">
        <f>Multiples!E15</f>
        <v>0</v>
      </c>
      <c r="F17" s="1252">
        <f>'GPC Data'!F232</f>
        <v>0</v>
      </c>
      <c r="G17" s="1253">
        <f>'GPC Data'!G232</f>
        <v>0</v>
      </c>
      <c r="H17" s="1252">
        <f>'GPC Data'!H232</f>
        <v>0</v>
      </c>
      <c r="I17" s="1253">
        <f>'GPC Data'!I232</f>
        <v>0</v>
      </c>
      <c r="J17" s="1254">
        <f>'GPC Data'!J232</f>
        <v>0</v>
      </c>
      <c r="K17" s="1254">
        <f>'GPC Data'!K232</f>
        <v>0</v>
      </c>
      <c r="L17" s="1254">
        <f>'GPC Data'!L232</f>
        <v>0</v>
      </c>
      <c r="M17" s="1254">
        <f>'GPC Data'!M232</f>
        <v>0</v>
      </c>
      <c r="N17" s="1253">
        <f>'GPC Data'!N232</f>
        <v>0</v>
      </c>
      <c r="O17" s="1252">
        <f>'GPC Data'!O232</f>
        <v>0</v>
      </c>
      <c r="P17" s="1253">
        <f>'GPC Data'!P232</f>
        <v>0</v>
      </c>
      <c r="Q17" s="1255">
        <f>'GPC Data'!Q232</f>
        <v>0</v>
      </c>
      <c r="R17" s="1256">
        <f>'GPC Data'!R232</f>
        <v>0</v>
      </c>
      <c r="S17" s="1254">
        <f>'GPC Data'!S232</f>
        <v>0</v>
      </c>
      <c r="T17" s="1257">
        <f>'GPC Data'!T232</f>
        <v>0</v>
      </c>
      <c r="U17" s="1254">
        <f>'GPC Data'!U232</f>
        <v>0</v>
      </c>
      <c r="V17" s="1257">
        <f>'GPC Data'!V232</f>
        <v>0</v>
      </c>
      <c r="W17" s="1258">
        <f>'GPC Data'!W232</f>
        <v>0</v>
      </c>
      <c r="X17" s="1259">
        <f>'GPC Data'!X232</f>
        <v>0</v>
      </c>
      <c r="Y17" s="1259">
        <f>'GPC Data'!Y232</f>
        <v>0</v>
      </c>
      <c r="Z17" s="1259">
        <f>'GPC Data'!Z232</f>
        <v>0</v>
      </c>
      <c r="AA17" s="1256">
        <f>'GPC Data'!AA232</f>
        <v>0</v>
      </c>
      <c r="AB17" s="1256">
        <f>'GPC Data'!AB232</f>
        <v>0</v>
      </c>
      <c r="AC17" s="1256">
        <f>'GPC Data'!AC232</f>
        <v>0</v>
      </c>
      <c r="AD17" s="1256">
        <f>'GPC Data'!AD232</f>
        <v>0</v>
      </c>
      <c r="AE17" s="1260">
        <f>'GPC Data'!AE232</f>
        <v>0</v>
      </c>
      <c r="AF17" s="1256">
        <f>'GPC Data'!AF232</f>
        <v>0</v>
      </c>
      <c r="AG17" s="1256">
        <f>'GPC Data'!AG232</f>
        <v>0</v>
      </c>
      <c r="AH17" s="1260">
        <f>'GPC Data'!AH232</f>
        <v>0</v>
      </c>
      <c r="AI17" s="1256">
        <f>'GPC Data'!AI232</f>
        <v>0</v>
      </c>
      <c r="AJ17" s="1256">
        <f>'GPC Data'!AJ232</f>
        <v>0</v>
      </c>
      <c r="AK17" s="1260">
        <f>'GPC Data'!AK232</f>
        <v>0</v>
      </c>
      <c r="AL17" s="1256">
        <f>'GPC Data'!AL232</f>
        <v>0</v>
      </c>
      <c r="AM17" s="1256">
        <f>'GPC Data'!AM232</f>
        <v>0</v>
      </c>
      <c r="AN17" s="1260">
        <f>'GPC Data'!AN232</f>
        <v>0</v>
      </c>
      <c r="AO17" s="1256">
        <f>'GPC Data'!AO232</f>
        <v>0</v>
      </c>
      <c r="AP17" s="1256">
        <f>'GPC Data'!AP232</f>
        <v>0</v>
      </c>
      <c r="AS17" s="677" t="s">
        <v>1368</v>
      </c>
    </row>
    <row r="18" spans="2:45" ht="11" thickBot="1">
      <c r="B18" s="1261">
        <f t="shared" si="0"/>
        <v>8</v>
      </c>
      <c r="C18" s="1249" t="str">
        <f>'GPC Data'!E29</f>
        <v>Comp 8</v>
      </c>
      <c r="D18" s="1250">
        <f>'GPC Data'!D29</f>
        <v>0</v>
      </c>
      <c r="E18" s="1251">
        <f>Multiples!E16</f>
        <v>0</v>
      </c>
      <c r="F18" s="1252">
        <f>'GPC Data'!F233</f>
        <v>0</v>
      </c>
      <c r="G18" s="1253">
        <f>'GPC Data'!G233</f>
        <v>0</v>
      </c>
      <c r="H18" s="1252">
        <f>'GPC Data'!H233</f>
        <v>0</v>
      </c>
      <c r="I18" s="1253">
        <f>'GPC Data'!I233</f>
        <v>0</v>
      </c>
      <c r="J18" s="1254">
        <f>'GPC Data'!J233</f>
        <v>0</v>
      </c>
      <c r="K18" s="1254">
        <f>'GPC Data'!K233</f>
        <v>0</v>
      </c>
      <c r="L18" s="1254">
        <f>'GPC Data'!L233</f>
        <v>0</v>
      </c>
      <c r="M18" s="1254">
        <f>'GPC Data'!M233</f>
        <v>0</v>
      </c>
      <c r="N18" s="1253">
        <f>'GPC Data'!N233</f>
        <v>0</v>
      </c>
      <c r="O18" s="1252">
        <f>'GPC Data'!O233</f>
        <v>0</v>
      </c>
      <c r="P18" s="1253">
        <f>'GPC Data'!P233</f>
        <v>0</v>
      </c>
      <c r="Q18" s="1255">
        <f>'GPC Data'!Q233</f>
        <v>0</v>
      </c>
      <c r="R18" s="1256">
        <f>'GPC Data'!R233</f>
        <v>0</v>
      </c>
      <c r="S18" s="1254">
        <f>'GPC Data'!S233</f>
        <v>0</v>
      </c>
      <c r="T18" s="1257">
        <f>'GPC Data'!T233</f>
        <v>0</v>
      </c>
      <c r="U18" s="1254">
        <f>'GPC Data'!U233</f>
        <v>0</v>
      </c>
      <c r="V18" s="1257">
        <f>'GPC Data'!V233</f>
        <v>0</v>
      </c>
      <c r="W18" s="1258">
        <f>'GPC Data'!W233</f>
        <v>0</v>
      </c>
      <c r="X18" s="1259">
        <f>'GPC Data'!X233</f>
        <v>0</v>
      </c>
      <c r="Y18" s="1259">
        <f>'GPC Data'!Y233</f>
        <v>0</v>
      </c>
      <c r="Z18" s="1259">
        <f>'GPC Data'!Z233</f>
        <v>0</v>
      </c>
      <c r="AA18" s="1256">
        <f>'GPC Data'!AA233</f>
        <v>0</v>
      </c>
      <c r="AB18" s="1256">
        <f>'GPC Data'!AB233</f>
        <v>0</v>
      </c>
      <c r="AC18" s="1256">
        <f>'GPC Data'!AC233</f>
        <v>0</v>
      </c>
      <c r="AD18" s="1256">
        <f>'GPC Data'!AD233</f>
        <v>0</v>
      </c>
      <c r="AE18" s="1260">
        <f>'GPC Data'!AE233</f>
        <v>0</v>
      </c>
      <c r="AF18" s="1256">
        <f>'GPC Data'!AF233</f>
        <v>0</v>
      </c>
      <c r="AG18" s="1256">
        <f>'GPC Data'!AG233</f>
        <v>0</v>
      </c>
      <c r="AH18" s="1260">
        <f>'GPC Data'!AH233</f>
        <v>0</v>
      </c>
      <c r="AI18" s="1256">
        <f>'GPC Data'!AI233</f>
        <v>0</v>
      </c>
      <c r="AJ18" s="1256">
        <f>'GPC Data'!AJ233</f>
        <v>0</v>
      </c>
      <c r="AK18" s="1260">
        <f>'GPC Data'!AK233</f>
        <v>0</v>
      </c>
      <c r="AL18" s="1256">
        <f>'GPC Data'!AL233</f>
        <v>0</v>
      </c>
      <c r="AM18" s="1256">
        <f>'GPC Data'!AM233</f>
        <v>0</v>
      </c>
      <c r="AN18" s="1260">
        <f>'GPC Data'!AN233</f>
        <v>0</v>
      </c>
      <c r="AO18" s="1256">
        <f>'GPC Data'!AO233</f>
        <v>0</v>
      </c>
      <c r="AP18" s="1256">
        <f>'GPC Data'!AP233</f>
        <v>0</v>
      </c>
      <c r="AS18" s="677" t="s">
        <v>1368</v>
      </c>
    </row>
    <row r="19" spans="2:45" ht="11" thickBot="1">
      <c r="B19" s="1261">
        <f t="shared" si="0"/>
        <v>9</v>
      </c>
      <c r="C19" s="1249" t="str">
        <f>'GPC Data'!E30</f>
        <v>Comp 9</v>
      </c>
      <c r="D19" s="1250">
        <f>'GPC Data'!D30</f>
        <v>0</v>
      </c>
      <c r="E19" s="1251">
        <f>Multiples!E17</f>
        <v>0</v>
      </c>
      <c r="F19" s="1252">
        <f>'GPC Data'!F234</f>
        <v>0</v>
      </c>
      <c r="G19" s="1253">
        <f>'GPC Data'!G234</f>
        <v>0</v>
      </c>
      <c r="H19" s="1252">
        <f>'GPC Data'!H234</f>
        <v>0</v>
      </c>
      <c r="I19" s="1253">
        <f>'GPC Data'!I234</f>
        <v>0</v>
      </c>
      <c r="J19" s="1254">
        <f>'GPC Data'!J234</f>
        <v>0</v>
      </c>
      <c r="K19" s="1254">
        <f>'GPC Data'!K234</f>
        <v>0</v>
      </c>
      <c r="L19" s="1254">
        <f>'GPC Data'!L234</f>
        <v>0</v>
      </c>
      <c r="M19" s="1254">
        <f>'GPC Data'!M234</f>
        <v>0</v>
      </c>
      <c r="N19" s="1253">
        <f>'GPC Data'!N234</f>
        <v>0</v>
      </c>
      <c r="O19" s="1252">
        <f>'GPC Data'!O234</f>
        <v>0</v>
      </c>
      <c r="P19" s="1253">
        <f>'GPC Data'!P234</f>
        <v>0</v>
      </c>
      <c r="Q19" s="1255">
        <f>'GPC Data'!Q234</f>
        <v>0</v>
      </c>
      <c r="R19" s="1256">
        <f>'GPC Data'!R234</f>
        <v>0</v>
      </c>
      <c r="S19" s="1254">
        <f>'GPC Data'!S234</f>
        <v>0</v>
      </c>
      <c r="T19" s="1257">
        <f>'GPC Data'!T234</f>
        <v>0</v>
      </c>
      <c r="U19" s="1254">
        <f>'GPC Data'!U234</f>
        <v>0</v>
      </c>
      <c r="V19" s="1257">
        <f>'GPC Data'!V234</f>
        <v>0</v>
      </c>
      <c r="W19" s="1258">
        <f>'GPC Data'!W234</f>
        <v>0</v>
      </c>
      <c r="X19" s="1259">
        <f>'GPC Data'!X234</f>
        <v>0</v>
      </c>
      <c r="Y19" s="1259">
        <f>'GPC Data'!Y234</f>
        <v>0</v>
      </c>
      <c r="Z19" s="1259">
        <f>'GPC Data'!Z234</f>
        <v>0</v>
      </c>
      <c r="AA19" s="1256">
        <f>'GPC Data'!AA234</f>
        <v>0</v>
      </c>
      <c r="AB19" s="1256">
        <f>'GPC Data'!AB234</f>
        <v>0</v>
      </c>
      <c r="AC19" s="1256">
        <f>'GPC Data'!AC234</f>
        <v>0</v>
      </c>
      <c r="AD19" s="1256">
        <f>'GPC Data'!AD234</f>
        <v>0</v>
      </c>
      <c r="AE19" s="1260">
        <f>'GPC Data'!AE234</f>
        <v>0</v>
      </c>
      <c r="AF19" s="1256">
        <f>'GPC Data'!AF234</f>
        <v>0</v>
      </c>
      <c r="AG19" s="1256">
        <f>'GPC Data'!AG234</f>
        <v>0</v>
      </c>
      <c r="AH19" s="1260">
        <f>'GPC Data'!AH234</f>
        <v>0</v>
      </c>
      <c r="AI19" s="1256">
        <f>'GPC Data'!AI234</f>
        <v>0</v>
      </c>
      <c r="AJ19" s="1256">
        <f>'GPC Data'!AJ234</f>
        <v>0</v>
      </c>
      <c r="AK19" s="1260">
        <f>'GPC Data'!AK234</f>
        <v>0</v>
      </c>
      <c r="AL19" s="1256">
        <f>'GPC Data'!AL234</f>
        <v>0</v>
      </c>
      <c r="AM19" s="1256">
        <f>'GPC Data'!AM234</f>
        <v>0</v>
      </c>
      <c r="AN19" s="1260">
        <f>'GPC Data'!AN234</f>
        <v>0</v>
      </c>
      <c r="AO19" s="1256">
        <f>'GPC Data'!AO234</f>
        <v>0</v>
      </c>
      <c r="AP19" s="1256">
        <f>'GPC Data'!AP234</f>
        <v>0</v>
      </c>
      <c r="AS19" s="677" t="s">
        <v>1368</v>
      </c>
    </row>
    <row r="20" spans="2:45" ht="11" thickBot="1">
      <c r="B20" s="1261">
        <f t="shared" si="0"/>
        <v>10</v>
      </c>
      <c r="C20" s="1249" t="str">
        <f>'GPC Data'!E31</f>
        <v>Comp 10</v>
      </c>
      <c r="D20" s="1250">
        <f>'GPC Data'!D31</f>
        <v>0</v>
      </c>
      <c r="E20" s="1251">
        <f>Multiples!E18</f>
        <v>0</v>
      </c>
      <c r="F20" s="1252">
        <f>'GPC Data'!F235</f>
        <v>0</v>
      </c>
      <c r="G20" s="1253">
        <f>'GPC Data'!G235</f>
        <v>0</v>
      </c>
      <c r="H20" s="1252">
        <f>'GPC Data'!H235</f>
        <v>0</v>
      </c>
      <c r="I20" s="1253">
        <f>'GPC Data'!I235</f>
        <v>0</v>
      </c>
      <c r="J20" s="1254">
        <f>'GPC Data'!J235</f>
        <v>0</v>
      </c>
      <c r="K20" s="1254">
        <f>'GPC Data'!K235</f>
        <v>0</v>
      </c>
      <c r="L20" s="1254">
        <f>'GPC Data'!L235</f>
        <v>0</v>
      </c>
      <c r="M20" s="1254">
        <f>'GPC Data'!M235</f>
        <v>0</v>
      </c>
      <c r="N20" s="1253">
        <f>'GPC Data'!N235</f>
        <v>0</v>
      </c>
      <c r="O20" s="1252">
        <f>'GPC Data'!O235</f>
        <v>0</v>
      </c>
      <c r="P20" s="1253">
        <f>'GPC Data'!P235</f>
        <v>0</v>
      </c>
      <c r="Q20" s="1255">
        <f>'GPC Data'!Q235</f>
        <v>0</v>
      </c>
      <c r="R20" s="1256">
        <f>'GPC Data'!R235</f>
        <v>0</v>
      </c>
      <c r="S20" s="1254">
        <f>'GPC Data'!S235</f>
        <v>0</v>
      </c>
      <c r="T20" s="1257">
        <f>'GPC Data'!T235</f>
        <v>0</v>
      </c>
      <c r="U20" s="1254">
        <f>'GPC Data'!U235</f>
        <v>0</v>
      </c>
      <c r="V20" s="1257">
        <f>'GPC Data'!V235</f>
        <v>0</v>
      </c>
      <c r="W20" s="1258">
        <f>'GPC Data'!W235</f>
        <v>0</v>
      </c>
      <c r="X20" s="1259">
        <f>'GPC Data'!X235</f>
        <v>0</v>
      </c>
      <c r="Y20" s="1259">
        <f>'GPC Data'!Y235</f>
        <v>0</v>
      </c>
      <c r="Z20" s="1259">
        <f>'GPC Data'!Z235</f>
        <v>0</v>
      </c>
      <c r="AA20" s="1256">
        <f>'GPC Data'!AA235</f>
        <v>0</v>
      </c>
      <c r="AB20" s="1256">
        <f>'GPC Data'!AB235</f>
        <v>0</v>
      </c>
      <c r="AC20" s="1256">
        <f>'GPC Data'!AC235</f>
        <v>0</v>
      </c>
      <c r="AD20" s="1256">
        <f>'GPC Data'!AD235</f>
        <v>0</v>
      </c>
      <c r="AE20" s="1260">
        <f>'GPC Data'!AE235</f>
        <v>0</v>
      </c>
      <c r="AF20" s="1256">
        <f>'GPC Data'!AF235</f>
        <v>0</v>
      </c>
      <c r="AG20" s="1256">
        <f>'GPC Data'!AG235</f>
        <v>0</v>
      </c>
      <c r="AH20" s="1260">
        <f>'GPC Data'!AH235</f>
        <v>0</v>
      </c>
      <c r="AI20" s="1256">
        <f>'GPC Data'!AI235</f>
        <v>0</v>
      </c>
      <c r="AJ20" s="1256">
        <f>'GPC Data'!AJ235</f>
        <v>0</v>
      </c>
      <c r="AK20" s="1260">
        <f>'GPC Data'!AK235</f>
        <v>0</v>
      </c>
      <c r="AL20" s="1256">
        <f>'GPC Data'!AL235</f>
        <v>0</v>
      </c>
      <c r="AM20" s="1256">
        <f>'GPC Data'!AM235</f>
        <v>0</v>
      </c>
      <c r="AN20" s="1260">
        <f>'GPC Data'!AN235</f>
        <v>0</v>
      </c>
      <c r="AO20" s="1256">
        <f>'GPC Data'!AO235</f>
        <v>0</v>
      </c>
      <c r="AP20" s="1256">
        <f>'GPC Data'!AP235</f>
        <v>0</v>
      </c>
      <c r="AS20" s="677" t="s">
        <v>1368</v>
      </c>
    </row>
    <row r="21" spans="2:45" ht="11" thickBot="1">
      <c r="B21" s="1261">
        <f t="shared" si="0"/>
        <v>11</v>
      </c>
      <c r="C21" s="1249" t="str">
        <f>'GPC Data'!E32</f>
        <v>Comp 11</v>
      </c>
      <c r="D21" s="1250">
        <f>'GPC Data'!D32</f>
        <v>0</v>
      </c>
      <c r="E21" s="1251" t="e">
        <f>Multiples!#REF!</f>
        <v>#REF!</v>
      </c>
      <c r="F21" s="1252">
        <f>'GPC Data'!F236</f>
        <v>0</v>
      </c>
      <c r="G21" s="1253">
        <f>'GPC Data'!G236</f>
        <v>0</v>
      </c>
      <c r="H21" s="1252">
        <f>'GPC Data'!H236</f>
        <v>0</v>
      </c>
      <c r="I21" s="1253">
        <f>'GPC Data'!I236</f>
        <v>0</v>
      </c>
      <c r="J21" s="1254">
        <f>'GPC Data'!J236</f>
        <v>0</v>
      </c>
      <c r="K21" s="1254">
        <f>'GPC Data'!K236</f>
        <v>0</v>
      </c>
      <c r="L21" s="1254">
        <f>'GPC Data'!L236</f>
        <v>0</v>
      </c>
      <c r="M21" s="1254">
        <f>'GPC Data'!M236</f>
        <v>0</v>
      </c>
      <c r="N21" s="1253">
        <f>'GPC Data'!N236</f>
        <v>0</v>
      </c>
      <c r="O21" s="1252">
        <f>'GPC Data'!O236</f>
        <v>0</v>
      </c>
      <c r="P21" s="1253">
        <f>'GPC Data'!P236</f>
        <v>0</v>
      </c>
      <c r="Q21" s="1255">
        <f>'GPC Data'!Q236</f>
        <v>0</v>
      </c>
      <c r="R21" s="1256">
        <f>'GPC Data'!R236</f>
        <v>0</v>
      </c>
      <c r="S21" s="1254">
        <f>'GPC Data'!S236</f>
        <v>0</v>
      </c>
      <c r="T21" s="1257">
        <f>'GPC Data'!T236</f>
        <v>0</v>
      </c>
      <c r="U21" s="1254">
        <f>'GPC Data'!U236</f>
        <v>0</v>
      </c>
      <c r="V21" s="1257">
        <f>'GPC Data'!V236</f>
        <v>0</v>
      </c>
      <c r="W21" s="1258">
        <f>'GPC Data'!W236</f>
        <v>0</v>
      </c>
      <c r="X21" s="1259">
        <f>'GPC Data'!X236</f>
        <v>0</v>
      </c>
      <c r="Y21" s="1259">
        <f>'GPC Data'!Y236</f>
        <v>0</v>
      </c>
      <c r="Z21" s="1259">
        <f>'GPC Data'!Z236</f>
        <v>0</v>
      </c>
      <c r="AA21" s="1256">
        <f>'GPC Data'!AA236</f>
        <v>0</v>
      </c>
      <c r="AB21" s="1256">
        <f>'GPC Data'!AB236</f>
        <v>0</v>
      </c>
      <c r="AC21" s="1256">
        <f>'GPC Data'!AC236</f>
        <v>0</v>
      </c>
      <c r="AD21" s="1256">
        <f>'GPC Data'!AD236</f>
        <v>0</v>
      </c>
      <c r="AE21" s="1260">
        <f>'GPC Data'!AE236</f>
        <v>0</v>
      </c>
      <c r="AF21" s="1256">
        <f>'GPC Data'!AF236</f>
        <v>0</v>
      </c>
      <c r="AG21" s="1256">
        <f>'GPC Data'!AG236</f>
        <v>0</v>
      </c>
      <c r="AH21" s="1260">
        <f>'GPC Data'!AH236</f>
        <v>0</v>
      </c>
      <c r="AI21" s="1256">
        <f>'GPC Data'!AI236</f>
        <v>0</v>
      </c>
      <c r="AJ21" s="1256">
        <f>'GPC Data'!AJ236</f>
        <v>0</v>
      </c>
      <c r="AK21" s="1260">
        <f>'GPC Data'!AK236</f>
        <v>0</v>
      </c>
      <c r="AL21" s="1256">
        <f>'GPC Data'!AL236</f>
        <v>0</v>
      </c>
      <c r="AM21" s="1256">
        <f>'GPC Data'!AM236</f>
        <v>0</v>
      </c>
      <c r="AN21" s="1260">
        <f>'GPC Data'!AN236</f>
        <v>0</v>
      </c>
      <c r="AO21" s="1256">
        <f>'GPC Data'!AO236</f>
        <v>0</v>
      </c>
      <c r="AP21" s="1256">
        <f>'GPC Data'!AP236</f>
        <v>0</v>
      </c>
      <c r="AS21" s="677" t="s">
        <v>106</v>
      </c>
    </row>
    <row r="22" spans="2:45" ht="11" thickBot="1">
      <c r="B22" s="1261">
        <f t="shared" si="0"/>
        <v>12</v>
      </c>
      <c r="C22" s="1249" t="str">
        <f>'GPC Data'!E33</f>
        <v>Comp 12</v>
      </c>
      <c r="D22" s="1250">
        <f>'GPC Data'!D33</f>
        <v>0</v>
      </c>
      <c r="E22" s="1251" t="e">
        <f>Multiples!#REF!</f>
        <v>#REF!</v>
      </c>
      <c r="F22" s="1252">
        <f>'GPC Data'!F237</f>
        <v>0</v>
      </c>
      <c r="G22" s="1253">
        <f>'GPC Data'!G237</f>
        <v>0</v>
      </c>
      <c r="H22" s="1252">
        <f>'GPC Data'!H237</f>
        <v>0</v>
      </c>
      <c r="I22" s="1253">
        <f>'GPC Data'!I237</f>
        <v>0</v>
      </c>
      <c r="J22" s="1254">
        <f>'GPC Data'!J237</f>
        <v>0</v>
      </c>
      <c r="K22" s="1254">
        <f>'GPC Data'!K237</f>
        <v>0</v>
      </c>
      <c r="L22" s="1254">
        <f>'GPC Data'!L237</f>
        <v>0</v>
      </c>
      <c r="M22" s="1254">
        <f>'GPC Data'!M237</f>
        <v>0</v>
      </c>
      <c r="N22" s="1253">
        <f>'GPC Data'!N237</f>
        <v>0</v>
      </c>
      <c r="O22" s="1252">
        <f>'GPC Data'!O237</f>
        <v>0</v>
      </c>
      <c r="P22" s="1253">
        <f>'GPC Data'!P237</f>
        <v>0</v>
      </c>
      <c r="Q22" s="1255">
        <f>'GPC Data'!Q237</f>
        <v>0</v>
      </c>
      <c r="R22" s="1256">
        <f>'GPC Data'!R237</f>
        <v>0</v>
      </c>
      <c r="S22" s="1254">
        <f>'GPC Data'!S237</f>
        <v>0</v>
      </c>
      <c r="T22" s="1257">
        <f>'GPC Data'!T237</f>
        <v>0</v>
      </c>
      <c r="U22" s="1254">
        <f>'GPC Data'!U237</f>
        <v>0</v>
      </c>
      <c r="V22" s="1257">
        <f>'GPC Data'!V237</f>
        <v>0</v>
      </c>
      <c r="W22" s="1258">
        <f>'GPC Data'!W237</f>
        <v>0</v>
      </c>
      <c r="X22" s="1259">
        <f>'GPC Data'!X237</f>
        <v>0</v>
      </c>
      <c r="Y22" s="1259">
        <f>'GPC Data'!Y237</f>
        <v>0</v>
      </c>
      <c r="Z22" s="1259">
        <f>'GPC Data'!Z237</f>
        <v>0</v>
      </c>
      <c r="AA22" s="1256">
        <f>'GPC Data'!AA237</f>
        <v>0</v>
      </c>
      <c r="AB22" s="1256">
        <f>'GPC Data'!AB237</f>
        <v>0</v>
      </c>
      <c r="AC22" s="1256">
        <f>'GPC Data'!AC237</f>
        <v>0</v>
      </c>
      <c r="AD22" s="1256">
        <f>'GPC Data'!AD237</f>
        <v>0</v>
      </c>
      <c r="AE22" s="1260">
        <f>'GPC Data'!AE237</f>
        <v>0</v>
      </c>
      <c r="AF22" s="1256">
        <f>'GPC Data'!AF237</f>
        <v>0</v>
      </c>
      <c r="AG22" s="1256">
        <f>'GPC Data'!AG237</f>
        <v>0</v>
      </c>
      <c r="AH22" s="1260">
        <f>'GPC Data'!AH237</f>
        <v>0</v>
      </c>
      <c r="AI22" s="1256">
        <f>'GPC Data'!AI237</f>
        <v>0</v>
      </c>
      <c r="AJ22" s="1256">
        <f>'GPC Data'!AJ237</f>
        <v>0</v>
      </c>
      <c r="AK22" s="1260">
        <f>'GPC Data'!AK237</f>
        <v>0</v>
      </c>
      <c r="AL22" s="1256">
        <f>'GPC Data'!AL237</f>
        <v>0</v>
      </c>
      <c r="AM22" s="1256">
        <f>'GPC Data'!AM237</f>
        <v>0</v>
      </c>
      <c r="AN22" s="1260">
        <f>'GPC Data'!AN237</f>
        <v>0</v>
      </c>
      <c r="AO22" s="1256">
        <f>'GPC Data'!AO237</f>
        <v>0</v>
      </c>
      <c r="AP22" s="1256">
        <f>'GPC Data'!AP237</f>
        <v>0</v>
      </c>
      <c r="AS22" s="677" t="s">
        <v>106</v>
      </c>
    </row>
    <row r="23" spans="2:45" ht="11" thickBot="1">
      <c r="B23" s="1261">
        <f t="shared" si="0"/>
        <v>13</v>
      </c>
      <c r="C23" s="1249" t="str">
        <f>'GPC Data'!E34</f>
        <v>Comp 13</v>
      </c>
      <c r="D23" s="1250">
        <f>'GPC Data'!D34</f>
        <v>0</v>
      </c>
      <c r="E23" s="1251" t="e">
        <f>Multiples!#REF!</f>
        <v>#REF!</v>
      </c>
      <c r="F23" s="1252">
        <f>'GPC Data'!F238</f>
        <v>0</v>
      </c>
      <c r="G23" s="1253">
        <f>'GPC Data'!G238</f>
        <v>0</v>
      </c>
      <c r="H23" s="1252">
        <f>'GPC Data'!H238</f>
        <v>0</v>
      </c>
      <c r="I23" s="1253">
        <f>'GPC Data'!I238</f>
        <v>0</v>
      </c>
      <c r="J23" s="1254">
        <f>'GPC Data'!J238</f>
        <v>0</v>
      </c>
      <c r="K23" s="1254">
        <f>'GPC Data'!K238</f>
        <v>0</v>
      </c>
      <c r="L23" s="1254">
        <f>'GPC Data'!L238</f>
        <v>0</v>
      </c>
      <c r="M23" s="1254">
        <f>'GPC Data'!M238</f>
        <v>0</v>
      </c>
      <c r="N23" s="1253">
        <f>'GPC Data'!N238</f>
        <v>0</v>
      </c>
      <c r="O23" s="1252">
        <f>'GPC Data'!O238</f>
        <v>0</v>
      </c>
      <c r="P23" s="1253">
        <f>'GPC Data'!P238</f>
        <v>0</v>
      </c>
      <c r="Q23" s="1255">
        <f>'GPC Data'!Q238</f>
        <v>0</v>
      </c>
      <c r="R23" s="1256">
        <f>'GPC Data'!R238</f>
        <v>0</v>
      </c>
      <c r="S23" s="1254">
        <f>'GPC Data'!S238</f>
        <v>0</v>
      </c>
      <c r="T23" s="1257">
        <f>'GPC Data'!T238</f>
        <v>0</v>
      </c>
      <c r="U23" s="1254">
        <f>'GPC Data'!U238</f>
        <v>0</v>
      </c>
      <c r="V23" s="1257">
        <f>'GPC Data'!V238</f>
        <v>0</v>
      </c>
      <c r="W23" s="1258">
        <f>'GPC Data'!W238</f>
        <v>0</v>
      </c>
      <c r="X23" s="1259">
        <f>'GPC Data'!X238</f>
        <v>0</v>
      </c>
      <c r="Y23" s="1259">
        <f>'GPC Data'!Y238</f>
        <v>0</v>
      </c>
      <c r="Z23" s="1259">
        <f>'GPC Data'!Z238</f>
        <v>0</v>
      </c>
      <c r="AA23" s="1256">
        <f>'GPC Data'!AA238</f>
        <v>0</v>
      </c>
      <c r="AB23" s="1256">
        <f>'GPC Data'!AB238</f>
        <v>0</v>
      </c>
      <c r="AC23" s="1256">
        <f>'GPC Data'!AC238</f>
        <v>0</v>
      </c>
      <c r="AD23" s="1256">
        <f>'GPC Data'!AD238</f>
        <v>0</v>
      </c>
      <c r="AE23" s="1260">
        <f>'GPC Data'!AE238</f>
        <v>0</v>
      </c>
      <c r="AF23" s="1256">
        <f>'GPC Data'!AF238</f>
        <v>0</v>
      </c>
      <c r="AG23" s="1256">
        <f>'GPC Data'!AG238</f>
        <v>0</v>
      </c>
      <c r="AH23" s="1260">
        <f>'GPC Data'!AH238</f>
        <v>0</v>
      </c>
      <c r="AI23" s="1256">
        <f>'GPC Data'!AI238</f>
        <v>0</v>
      </c>
      <c r="AJ23" s="1256">
        <f>'GPC Data'!AJ238</f>
        <v>0</v>
      </c>
      <c r="AK23" s="1260">
        <f>'GPC Data'!AK238</f>
        <v>0</v>
      </c>
      <c r="AL23" s="1256">
        <f>'GPC Data'!AL238</f>
        <v>0</v>
      </c>
      <c r="AM23" s="1256">
        <f>'GPC Data'!AM238</f>
        <v>0</v>
      </c>
      <c r="AN23" s="1260">
        <f>'GPC Data'!AN238</f>
        <v>0</v>
      </c>
      <c r="AO23" s="1256">
        <f>'GPC Data'!AO238</f>
        <v>0</v>
      </c>
      <c r="AP23" s="1256">
        <f>'GPC Data'!AP238</f>
        <v>0</v>
      </c>
      <c r="AS23" s="677" t="s">
        <v>106</v>
      </c>
    </row>
    <row r="24" spans="2:45" ht="11" thickBot="1">
      <c r="B24" s="1261">
        <f t="shared" si="0"/>
        <v>14</v>
      </c>
      <c r="C24" s="1249" t="str">
        <f>'GPC Data'!E35</f>
        <v>Comp 14</v>
      </c>
      <c r="D24" s="1250">
        <f>'GPC Data'!D35</f>
        <v>0</v>
      </c>
      <c r="E24" s="1251" t="e">
        <f>Multiples!#REF!</f>
        <v>#REF!</v>
      </c>
      <c r="F24" s="1252">
        <f>'GPC Data'!F239</f>
        <v>0</v>
      </c>
      <c r="G24" s="1253">
        <f>'GPC Data'!G239</f>
        <v>0</v>
      </c>
      <c r="H24" s="1252">
        <f>'GPC Data'!H239</f>
        <v>0</v>
      </c>
      <c r="I24" s="1253">
        <f>'GPC Data'!I239</f>
        <v>0</v>
      </c>
      <c r="J24" s="1254">
        <f>'GPC Data'!J239</f>
        <v>0</v>
      </c>
      <c r="K24" s="1254">
        <f>'GPC Data'!K239</f>
        <v>0</v>
      </c>
      <c r="L24" s="1254">
        <f>'GPC Data'!L239</f>
        <v>0</v>
      </c>
      <c r="M24" s="1254">
        <f>'GPC Data'!M239</f>
        <v>0</v>
      </c>
      <c r="N24" s="1253">
        <f>'GPC Data'!N239</f>
        <v>0</v>
      </c>
      <c r="O24" s="1252">
        <f>'GPC Data'!O239</f>
        <v>0</v>
      </c>
      <c r="P24" s="1253">
        <f>'GPC Data'!P239</f>
        <v>0</v>
      </c>
      <c r="Q24" s="1255">
        <f>'GPC Data'!Q239</f>
        <v>0</v>
      </c>
      <c r="R24" s="1256">
        <f>'GPC Data'!R239</f>
        <v>0</v>
      </c>
      <c r="S24" s="1254">
        <f>'GPC Data'!S239</f>
        <v>0</v>
      </c>
      <c r="T24" s="1257">
        <f>'GPC Data'!T239</f>
        <v>0</v>
      </c>
      <c r="U24" s="1254">
        <f>'GPC Data'!U239</f>
        <v>0</v>
      </c>
      <c r="V24" s="1257">
        <f>'GPC Data'!V239</f>
        <v>0</v>
      </c>
      <c r="W24" s="1258">
        <f>'GPC Data'!W239</f>
        <v>0</v>
      </c>
      <c r="X24" s="1259">
        <f>'GPC Data'!X239</f>
        <v>0</v>
      </c>
      <c r="Y24" s="1259">
        <f>'GPC Data'!Y239</f>
        <v>0</v>
      </c>
      <c r="Z24" s="1259">
        <f>'GPC Data'!Z239</f>
        <v>0</v>
      </c>
      <c r="AA24" s="1256">
        <f>'GPC Data'!AA239</f>
        <v>0</v>
      </c>
      <c r="AB24" s="1256">
        <f>'GPC Data'!AB239</f>
        <v>0</v>
      </c>
      <c r="AC24" s="1256">
        <f>'GPC Data'!AC239</f>
        <v>0</v>
      </c>
      <c r="AD24" s="1256">
        <f>'GPC Data'!AD239</f>
        <v>0</v>
      </c>
      <c r="AE24" s="1260">
        <f>'GPC Data'!AE239</f>
        <v>0</v>
      </c>
      <c r="AF24" s="1256">
        <f>'GPC Data'!AF239</f>
        <v>0</v>
      </c>
      <c r="AG24" s="1256">
        <f>'GPC Data'!AG239</f>
        <v>0</v>
      </c>
      <c r="AH24" s="1260">
        <f>'GPC Data'!AH239</f>
        <v>0</v>
      </c>
      <c r="AI24" s="1256">
        <f>'GPC Data'!AI239</f>
        <v>0</v>
      </c>
      <c r="AJ24" s="1256">
        <f>'GPC Data'!AJ239</f>
        <v>0</v>
      </c>
      <c r="AK24" s="1260">
        <f>'GPC Data'!AK239</f>
        <v>0</v>
      </c>
      <c r="AL24" s="1256">
        <f>'GPC Data'!AL239</f>
        <v>0</v>
      </c>
      <c r="AM24" s="1256">
        <f>'GPC Data'!AM239</f>
        <v>0</v>
      </c>
      <c r="AN24" s="1260">
        <f>'GPC Data'!AN239</f>
        <v>0</v>
      </c>
      <c r="AO24" s="1256">
        <f>'GPC Data'!AO239</f>
        <v>0</v>
      </c>
      <c r="AP24" s="1256">
        <f>'GPC Data'!AP239</f>
        <v>0</v>
      </c>
      <c r="AS24" s="677" t="s">
        <v>106</v>
      </c>
    </row>
    <row r="25" spans="2:45" ht="11" thickBot="1">
      <c r="B25" s="1261">
        <f t="shared" si="0"/>
        <v>15</v>
      </c>
      <c r="C25" s="1249" t="str">
        <f>'GPC Data'!E36</f>
        <v>Comp 15</v>
      </c>
      <c r="D25" s="1250">
        <f>'GPC Data'!D36</f>
        <v>0</v>
      </c>
      <c r="E25" s="1251" t="e">
        <f>Multiples!#REF!</f>
        <v>#REF!</v>
      </c>
      <c r="F25" s="1252">
        <f>'GPC Data'!F240</f>
        <v>0</v>
      </c>
      <c r="G25" s="1253">
        <f>'GPC Data'!G240</f>
        <v>0</v>
      </c>
      <c r="H25" s="1252">
        <f>'GPC Data'!H240</f>
        <v>0</v>
      </c>
      <c r="I25" s="1253">
        <f>'GPC Data'!I240</f>
        <v>0</v>
      </c>
      <c r="J25" s="1254">
        <f>'GPC Data'!J240</f>
        <v>0</v>
      </c>
      <c r="K25" s="1254">
        <f>'GPC Data'!K240</f>
        <v>0</v>
      </c>
      <c r="L25" s="1254">
        <f>'GPC Data'!L240</f>
        <v>0</v>
      </c>
      <c r="M25" s="1254">
        <f>'GPC Data'!M240</f>
        <v>0</v>
      </c>
      <c r="N25" s="1253">
        <f>'GPC Data'!N240</f>
        <v>0</v>
      </c>
      <c r="O25" s="1252">
        <f>'GPC Data'!O240</f>
        <v>0</v>
      </c>
      <c r="P25" s="1253">
        <f>'GPC Data'!P240</f>
        <v>0</v>
      </c>
      <c r="Q25" s="1255">
        <f>'GPC Data'!Q240</f>
        <v>0</v>
      </c>
      <c r="R25" s="1256">
        <f>'GPC Data'!R240</f>
        <v>0</v>
      </c>
      <c r="S25" s="1254">
        <f>'GPC Data'!S240</f>
        <v>0</v>
      </c>
      <c r="T25" s="1257">
        <f>'GPC Data'!T240</f>
        <v>0</v>
      </c>
      <c r="U25" s="1254">
        <f>'GPC Data'!U240</f>
        <v>0</v>
      </c>
      <c r="V25" s="1257">
        <f>'GPC Data'!V240</f>
        <v>0</v>
      </c>
      <c r="W25" s="1258">
        <f>'GPC Data'!W240</f>
        <v>0</v>
      </c>
      <c r="X25" s="1259">
        <f>'GPC Data'!X240</f>
        <v>0</v>
      </c>
      <c r="Y25" s="1259">
        <f>'GPC Data'!Y240</f>
        <v>0</v>
      </c>
      <c r="Z25" s="1259">
        <f>'GPC Data'!Z240</f>
        <v>0</v>
      </c>
      <c r="AA25" s="1256">
        <f>'GPC Data'!AA240</f>
        <v>0</v>
      </c>
      <c r="AB25" s="1256">
        <f>'GPC Data'!AB240</f>
        <v>0</v>
      </c>
      <c r="AC25" s="1256">
        <f>'GPC Data'!AC240</f>
        <v>0</v>
      </c>
      <c r="AD25" s="1256">
        <f>'GPC Data'!AD240</f>
        <v>0</v>
      </c>
      <c r="AE25" s="1260">
        <f>'GPC Data'!AE240</f>
        <v>0</v>
      </c>
      <c r="AF25" s="1256">
        <f>'GPC Data'!AF240</f>
        <v>0</v>
      </c>
      <c r="AG25" s="1256">
        <f>'GPC Data'!AG240</f>
        <v>0</v>
      </c>
      <c r="AH25" s="1260">
        <f>'GPC Data'!AH240</f>
        <v>0</v>
      </c>
      <c r="AI25" s="1256">
        <f>'GPC Data'!AI240</f>
        <v>0</v>
      </c>
      <c r="AJ25" s="1256">
        <f>'GPC Data'!AJ240</f>
        <v>0</v>
      </c>
      <c r="AK25" s="1260">
        <f>'GPC Data'!AK240</f>
        <v>0</v>
      </c>
      <c r="AL25" s="1256">
        <f>'GPC Data'!AL240</f>
        <v>0</v>
      </c>
      <c r="AM25" s="1256">
        <f>'GPC Data'!AM240</f>
        <v>0</v>
      </c>
      <c r="AN25" s="1260">
        <f>'GPC Data'!AN240</f>
        <v>0</v>
      </c>
      <c r="AO25" s="1256">
        <f>'GPC Data'!AO240</f>
        <v>0</v>
      </c>
      <c r="AP25" s="1256">
        <f>'GPC Data'!AP240</f>
        <v>0</v>
      </c>
      <c r="AS25" s="677" t="s">
        <v>106</v>
      </c>
    </row>
    <row r="26" spans="2:45" ht="11" thickBot="1">
      <c r="B26" s="1261">
        <f t="shared" si="0"/>
        <v>16</v>
      </c>
      <c r="C26" s="1249" t="str">
        <f>'GPC Data'!E37</f>
        <v>Comp 16</v>
      </c>
      <c r="D26" s="1250">
        <f>'GPC Data'!D37</f>
        <v>0</v>
      </c>
      <c r="E26" s="1251" t="e">
        <f>Multiples!#REF!</f>
        <v>#REF!</v>
      </c>
      <c r="F26" s="1252">
        <f>'GPC Data'!F241</f>
        <v>0</v>
      </c>
      <c r="G26" s="1253">
        <f>'GPC Data'!G241</f>
        <v>0</v>
      </c>
      <c r="H26" s="1252">
        <f>'GPC Data'!H241</f>
        <v>0</v>
      </c>
      <c r="I26" s="1253">
        <f>'GPC Data'!I241</f>
        <v>0</v>
      </c>
      <c r="J26" s="1254">
        <f>'GPC Data'!J241</f>
        <v>0</v>
      </c>
      <c r="K26" s="1254">
        <f>'GPC Data'!K241</f>
        <v>0</v>
      </c>
      <c r="L26" s="1254">
        <f>'GPC Data'!L241</f>
        <v>0</v>
      </c>
      <c r="M26" s="1254">
        <f>'GPC Data'!M241</f>
        <v>0</v>
      </c>
      <c r="N26" s="1253">
        <f>'GPC Data'!N241</f>
        <v>0</v>
      </c>
      <c r="O26" s="1252">
        <f>'GPC Data'!O241</f>
        <v>0</v>
      </c>
      <c r="P26" s="1253">
        <f>'GPC Data'!P241</f>
        <v>0</v>
      </c>
      <c r="Q26" s="1255">
        <f>'GPC Data'!Q241</f>
        <v>0</v>
      </c>
      <c r="R26" s="1256">
        <f>'GPC Data'!R241</f>
        <v>0</v>
      </c>
      <c r="S26" s="1254">
        <f>'GPC Data'!S241</f>
        <v>0</v>
      </c>
      <c r="T26" s="1257">
        <f>'GPC Data'!T241</f>
        <v>0</v>
      </c>
      <c r="U26" s="1254">
        <f>'GPC Data'!U241</f>
        <v>0</v>
      </c>
      <c r="V26" s="1257">
        <f>'GPC Data'!V241</f>
        <v>0</v>
      </c>
      <c r="W26" s="1258">
        <f>'GPC Data'!W241</f>
        <v>0</v>
      </c>
      <c r="X26" s="1259">
        <f>'GPC Data'!X241</f>
        <v>0</v>
      </c>
      <c r="Y26" s="1259">
        <f>'GPC Data'!Y241</f>
        <v>0</v>
      </c>
      <c r="Z26" s="1259">
        <f>'GPC Data'!Z241</f>
        <v>0</v>
      </c>
      <c r="AA26" s="1256">
        <f>'GPC Data'!AA241</f>
        <v>0</v>
      </c>
      <c r="AB26" s="1256">
        <f>'GPC Data'!AB241</f>
        <v>0</v>
      </c>
      <c r="AC26" s="1256">
        <f>'GPC Data'!AC241</f>
        <v>0</v>
      </c>
      <c r="AD26" s="1256">
        <f>'GPC Data'!AD241</f>
        <v>0</v>
      </c>
      <c r="AE26" s="1260">
        <f>'GPC Data'!AE241</f>
        <v>0</v>
      </c>
      <c r="AF26" s="1256">
        <f>'GPC Data'!AF241</f>
        <v>0</v>
      </c>
      <c r="AG26" s="1256">
        <f>'GPC Data'!AG241</f>
        <v>0</v>
      </c>
      <c r="AH26" s="1260">
        <f>'GPC Data'!AH241</f>
        <v>0</v>
      </c>
      <c r="AI26" s="1256">
        <f>'GPC Data'!AI241</f>
        <v>0</v>
      </c>
      <c r="AJ26" s="1256">
        <f>'GPC Data'!AJ241</f>
        <v>0</v>
      </c>
      <c r="AK26" s="1260">
        <f>'GPC Data'!AK241</f>
        <v>0</v>
      </c>
      <c r="AL26" s="1256">
        <f>'GPC Data'!AL241</f>
        <v>0</v>
      </c>
      <c r="AM26" s="1256">
        <f>'GPC Data'!AM241</f>
        <v>0</v>
      </c>
      <c r="AN26" s="1260">
        <f>'GPC Data'!AN241</f>
        <v>0</v>
      </c>
      <c r="AO26" s="1256">
        <f>'GPC Data'!AO241</f>
        <v>0</v>
      </c>
      <c r="AP26" s="1256">
        <f>'GPC Data'!AP241</f>
        <v>0</v>
      </c>
      <c r="AS26" s="677" t="s">
        <v>106</v>
      </c>
    </row>
    <row r="27" spans="2:45" ht="11" thickBot="1">
      <c r="B27" s="1261">
        <f t="shared" si="0"/>
        <v>17</v>
      </c>
      <c r="C27" s="1249" t="str">
        <f>'GPC Data'!E38</f>
        <v>Comp 17</v>
      </c>
      <c r="D27" s="1250">
        <f>'GPC Data'!D38</f>
        <v>0</v>
      </c>
      <c r="E27" s="1251" t="e">
        <f>Multiples!#REF!</f>
        <v>#REF!</v>
      </c>
      <c r="F27" s="1252">
        <f>'GPC Data'!F242</f>
        <v>0</v>
      </c>
      <c r="G27" s="1253">
        <f>'GPC Data'!G242</f>
        <v>0</v>
      </c>
      <c r="H27" s="1252">
        <f>'GPC Data'!H242</f>
        <v>0</v>
      </c>
      <c r="I27" s="1253">
        <f>'GPC Data'!I242</f>
        <v>0</v>
      </c>
      <c r="J27" s="1254">
        <f>'GPC Data'!J242</f>
        <v>0</v>
      </c>
      <c r="K27" s="1254">
        <f>'GPC Data'!K242</f>
        <v>0</v>
      </c>
      <c r="L27" s="1254">
        <f>'GPC Data'!L242</f>
        <v>0</v>
      </c>
      <c r="M27" s="1254">
        <f>'GPC Data'!M242</f>
        <v>0</v>
      </c>
      <c r="N27" s="1253">
        <f>'GPC Data'!N242</f>
        <v>0</v>
      </c>
      <c r="O27" s="1252">
        <f>'GPC Data'!O242</f>
        <v>0</v>
      </c>
      <c r="P27" s="1253">
        <f>'GPC Data'!P242</f>
        <v>0</v>
      </c>
      <c r="Q27" s="1255">
        <f>'GPC Data'!Q242</f>
        <v>0</v>
      </c>
      <c r="R27" s="1256">
        <f>'GPC Data'!R242</f>
        <v>0</v>
      </c>
      <c r="S27" s="1254">
        <f>'GPC Data'!S242</f>
        <v>0</v>
      </c>
      <c r="T27" s="1257">
        <f>'GPC Data'!T242</f>
        <v>0</v>
      </c>
      <c r="U27" s="1254">
        <f>'GPC Data'!U242</f>
        <v>0</v>
      </c>
      <c r="V27" s="1257">
        <f>'GPC Data'!V242</f>
        <v>0</v>
      </c>
      <c r="W27" s="1258">
        <f>'GPC Data'!W242</f>
        <v>0</v>
      </c>
      <c r="X27" s="1259">
        <f>'GPC Data'!X242</f>
        <v>0</v>
      </c>
      <c r="Y27" s="1259">
        <f>'GPC Data'!Y242</f>
        <v>0</v>
      </c>
      <c r="Z27" s="1259">
        <f>'GPC Data'!Z242</f>
        <v>0</v>
      </c>
      <c r="AA27" s="1256">
        <f>'GPC Data'!AA242</f>
        <v>0</v>
      </c>
      <c r="AB27" s="1256">
        <f>'GPC Data'!AB242</f>
        <v>0</v>
      </c>
      <c r="AC27" s="1256">
        <f>'GPC Data'!AC242</f>
        <v>0</v>
      </c>
      <c r="AD27" s="1256">
        <f>'GPC Data'!AD242</f>
        <v>0</v>
      </c>
      <c r="AE27" s="1260">
        <f>'GPC Data'!AE242</f>
        <v>0</v>
      </c>
      <c r="AF27" s="1256">
        <f>'GPC Data'!AF242</f>
        <v>0</v>
      </c>
      <c r="AG27" s="1256">
        <f>'GPC Data'!AG242</f>
        <v>0</v>
      </c>
      <c r="AH27" s="1260">
        <f>'GPC Data'!AH242</f>
        <v>0</v>
      </c>
      <c r="AI27" s="1256">
        <f>'GPC Data'!AI242</f>
        <v>0</v>
      </c>
      <c r="AJ27" s="1256">
        <f>'GPC Data'!AJ242</f>
        <v>0</v>
      </c>
      <c r="AK27" s="1260">
        <f>'GPC Data'!AK242</f>
        <v>0</v>
      </c>
      <c r="AL27" s="1256">
        <f>'GPC Data'!AL242</f>
        <v>0</v>
      </c>
      <c r="AM27" s="1256">
        <f>'GPC Data'!AM242</f>
        <v>0</v>
      </c>
      <c r="AN27" s="1260">
        <f>'GPC Data'!AN242</f>
        <v>0</v>
      </c>
      <c r="AO27" s="1256">
        <f>'GPC Data'!AO242</f>
        <v>0</v>
      </c>
      <c r="AP27" s="1256">
        <f>'GPC Data'!AP242</f>
        <v>0</v>
      </c>
      <c r="AS27" s="677" t="s">
        <v>106</v>
      </c>
    </row>
    <row r="28" spans="2:45" ht="11" thickBot="1">
      <c r="B28" s="1261">
        <f t="shared" si="0"/>
        <v>18</v>
      </c>
      <c r="C28" s="1249" t="str">
        <f>'GPC Data'!E39</f>
        <v>Comp 18</v>
      </c>
      <c r="D28" s="1250">
        <f>'GPC Data'!D39</f>
        <v>0</v>
      </c>
      <c r="E28" s="1251" t="e">
        <f>Multiples!#REF!</f>
        <v>#REF!</v>
      </c>
      <c r="F28" s="1252">
        <f>'GPC Data'!F243</f>
        <v>0</v>
      </c>
      <c r="G28" s="1253">
        <f>'GPC Data'!G243</f>
        <v>0</v>
      </c>
      <c r="H28" s="1252">
        <f>'GPC Data'!H243</f>
        <v>0</v>
      </c>
      <c r="I28" s="1253">
        <f>'GPC Data'!I243</f>
        <v>0</v>
      </c>
      <c r="J28" s="1254">
        <f>'GPC Data'!J243</f>
        <v>0</v>
      </c>
      <c r="K28" s="1254">
        <f>'GPC Data'!K243</f>
        <v>0</v>
      </c>
      <c r="L28" s="1254">
        <f>'GPC Data'!L243</f>
        <v>0</v>
      </c>
      <c r="M28" s="1254">
        <f>'GPC Data'!M243</f>
        <v>0</v>
      </c>
      <c r="N28" s="1253">
        <f>'GPC Data'!N243</f>
        <v>0</v>
      </c>
      <c r="O28" s="1252">
        <f>'GPC Data'!O243</f>
        <v>0</v>
      </c>
      <c r="P28" s="1253">
        <f>'GPC Data'!P243</f>
        <v>0</v>
      </c>
      <c r="Q28" s="1255">
        <f>'GPC Data'!Q243</f>
        <v>0</v>
      </c>
      <c r="R28" s="1256">
        <f>'GPC Data'!R243</f>
        <v>0</v>
      </c>
      <c r="S28" s="1254">
        <f>'GPC Data'!S243</f>
        <v>0</v>
      </c>
      <c r="T28" s="1257">
        <f>'GPC Data'!T243</f>
        <v>0</v>
      </c>
      <c r="U28" s="1254">
        <f>'GPC Data'!U243</f>
        <v>0</v>
      </c>
      <c r="V28" s="1257">
        <f>'GPC Data'!V243</f>
        <v>0</v>
      </c>
      <c r="W28" s="1258">
        <f>'GPC Data'!W243</f>
        <v>0</v>
      </c>
      <c r="X28" s="1259">
        <f>'GPC Data'!X243</f>
        <v>0</v>
      </c>
      <c r="Y28" s="1259">
        <f>'GPC Data'!Y243</f>
        <v>0</v>
      </c>
      <c r="Z28" s="1259">
        <f>'GPC Data'!Z243</f>
        <v>0</v>
      </c>
      <c r="AA28" s="1256">
        <f>'GPC Data'!AA243</f>
        <v>0</v>
      </c>
      <c r="AB28" s="1256">
        <f>'GPC Data'!AB243</f>
        <v>0</v>
      </c>
      <c r="AC28" s="1256">
        <f>'GPC Data'!AC243</f>
        <v>0</v>
      </c>
      <c r="AD28" s="1256">
        <f>'GPC Data'!AD243</f>
        <v>0</v>
      </c>
      <c r="AE28" s="1260">
        <f>'GPC Data'!AE243</f>
        <v>0</v>
      </c>
      <c r="AF28" s="1256">
        <f>'GPC Data'!AF243</f>
        <v>0</v>
      </c>
      <c r="AG28" s="1256">
        <f>'GPC Data'!AG243</f>
        <v>0</v>
      </c>
      <c r="AH28" s="1260">
        <f>'GPC Data'!AH243</f>
        <v>0</v>
      </c>
      <c r="AI28" s="1256">
        <f>'GPC Data'!AI243</f>
        <v>0</v>
      </c>
      <c r="AJ28" s="1256">
        <f>'GPC Data'!AJ243</f>
        <v>0</v>
      </c>
      <c r="AK28" s="1260">
        <f>'GPC Data'!AK243</f>
        <v>0</v>
      </c>
      <c r="AL28" s="1256">
        <f>'GPC Data'!AL243</f>
        <v>0</v>
      </c>
      <c r="AM28" s="1256">
        <f>'GPC Data'!AM243</f>
        <v>0</v>
      </c>
      <c r="AN28" s="1260">
        <f>'GPC Data'!AN243</f>
        <v>0</v>
      </c>
      <c r="AO28" s="1256">
        <f>'GPC Data'!AO243</f>
        <v>0</v>
      </c>
      <c r="AP28" s="1256">
        <f>'GPC Data'!AP243</f>
        <v>0</v>
      </c>
      <c r="AS28" s="677" t="s">
        <v>106</v>
      </c>
    </row>
    <row r="29" spans="2:45" ht="11" thickBot="1">
      <c r="B29" s="1261">
        <f t="shared" si="0"/>
        <v>19</v>
      </c>
      <c r="C29" s="1249" t="str">
        <f>'GPC Data'!E40</f>
        <v>Comp 19</v>
      </c>
      <c r="D29" s="1250">
        <f>'GPC Data'!D40</f>
        <v>0</v>
      </c>
      <c r="E29" s="1251" t="e">
        <f>Multiples!#REF!</f>
        <v>#REF!</v>
      </c>
      <c r="F29" s="1252">
        <f>'GPC Data'!F244</f>
        <v>0</v>
      </c>
      <c r="G29" s="1253">
        <f>'GPC Data'!G244</f>
        <v>0</v>
      </c>
      <c r="H29" s="1252">
        <f>'GPC Data'!H244</f>
        <v>0</v>
      </c>
      <c r="I29" s="1253">
        <f>'GPC Data'!I244</f>
        <v>0</v>
      </c>
      <c r="J29" s="1254">
        <f>'GPC Data'!J244</f>
        <v>0</v>
      </c>
      <c r="K29" s="1254">
        <f>'GPC Data'!K244</f>
        <v>0</v>
      </c>
      <c r="L29" s="1254">
        <f>'GPC Data'!L244</f>
        <v>0</v>
      </c>
      <c r="M29" s="1254">
        <f>'GPC Data'!M244</f>
        <v>0</v>
      </c>
      <c r="N29" s="1253">
        <f>'GPC Data'!N244</f>
        <v>0</v>
      </c>
      <c r="O29" s="1252">
        <f>'GPC Data'!O244</f>
        <v>0</v>
      </c>
      <c r="P29" s="1253">
        <f>'GPC Data'!P244</f>
        <v>0</v>
      </c>
      <c r="Q29" s="1255">
        <f>'GPC Data'!Q244</f>
        <v>0</v>
      </c>
      <c r="R29" s="1256">
        <f>'GPC Data'!R244</f>
        <v>0</v>
      </c>
      <c r="S29" s="1254">
        <f>'GPC Data'!S244</f>
        <v>0</v>
      </c>
      <c r="T29" s="1257">
        <f>'GPC Data'!T244</f>
        <v>0</v>
      </c>
      <c r="U29" s="1254">
        <f>'GPC Data'!U244</f>
        <v>0</v>
      </c>
      <c r="V29" s="1257">
        <f>'GPC Data'!V244</f>
        <v>0</v>
      </c>
      <c r="W29" s="1258">
        <f>'GPC Data'!W244</f>
        <v>0</v>
      </c>
      <c r="X29" s="1259">
        <f>'GPC Data'!X244</f>
        <v>0</v>
      </c>
      <c r="Y29" s="1259">
        <f>'GPC Data'!Y244</f>
        <v>0</v>
      </c>
      <c r="Z29" s="1259">
        <f>'GPC Data'!Z244</f>
        <v>0</v>
      </c>
      <c r="AA29" s="1256">
        <f>'GPC Data'!AA244</f>
        <v>0</v>
      </c>
      <c r="AB29" s="1256">
        <f>'GPC Data'!AB244</f>
        <v>0</v>
      </c>
      <c r="AC29" s="1256">
        <f>'GPC Data'!AC244</f>
        <v>0</v>
      </c>
      <c r="AD29" s="1256">
        <f>'GPC Data'!AD244</f>
        <v>0</v>
      </c>
      <c r="AE29" s="1260">
        <f>'GPC Data'!AE244</f>
        <v>0</v>
      </c>
      <c r="AF29" s="1256">
        <f>'GPC Data'!AF244</f>
        <v>0</v>
      </c>
      <c r="AG29" s="1256">
        <f>'GPC Data'!AG244</f>
        <v>0</v>
      </c>
      <c r="AH29" s="1260">
        <f>'GPC Data'!AH244</f>
        <v>0</v>
      </c>
      <c r="AI29" s="1256">
        <f>'GPC Data'!AI244</f>
        <v>0</v>
      </c>
      <c r="AJ29" s="1256">
        <f>'GPC Data'!AJ244</f>
        <v>0</v>
      </c>
      <c r="AK29" s="1260">
        <f>'GPC Data'!AK244</f>
        <v>0</v>
      </c>
      <c r="AL29" s="1256">
        <f>'GPC Data'!AL244</f>
        <v>0</v>
      </c>
      <c r="AM29" s="1256">
        <f>'GPC Data'!AM244</f>
        <v>0</v>
      </c>
      <c r="AN29" s="1260">
        <f>'GPC Data'!AN244</f>
        <v>0</v>
      </c>
      <c r="AO29" s="1256">
        <f>'GPC Data'!AO244</f>
        <v>0</v>
      </c>
      <c r="AP29" s="1256">
        <f>'GPC Data'!AP244</f>
        <v>0</v>
      </c>
      <c r="AS29" s="677" t="s">
        <v>106</v>
      </c>
    </row>
    <row r="30" spans="2:45" ht="11" thickBot="1">
      <c r="B30" s="1261">
        <f t="shared" si="0"/>
        <v>20</v>
      </c>
      <c r="C30" s="1249" t="str">
        <f>'GPC Data'!E41</f>
        <v>Comp 20</v>
      </c>
      <c r="D30" s="1250">
        <f>'GPC Data'!D41</f>
        <v>0</v>
      </c>
      <c r="E30" s="1251" t="e">
        <f>Multiples!#REF!</f>
        <v>#REF!</v>
      </c>
      <c r="F30" s="1252">
        <f>'GPC Data'!F245</f>
        <v>0</v>
      </c>
      <c r="G30" s="1253">
        <f>'GPC Data'!G245</f>
        <v>0</v>
      </c>
      <c r="H30" s="1252">
        <f>'GPC Data'!H245</f>
        <v>0</v>
      </c>
      <c r="I30" s="1253">
        <f>'GPC Data'!I245</f>
        <v>0</v>
      </c>
      <c r="J30" s="1254">
        <f>'GPC Data'!J245</f>
        <v>0</v>
      </c>
      <c r="K30" s="1254">
        <f>'GPC Data'!K245</f>
        <v>0</v>
      </c>
      <c r="L30" s="1254">
        <f>'GPC Data'!L245</f>
        <v>0</v>
      </c>
      <c r="M30" s="1254">
        <f>'GPC Data'!M245</f>
        <v>0</v>
      </c>
      <c r="N30" s="1253">
        <f>'GPC Data'!N245</f>
        <v>0</v>
      </c>
      <c r="O30" s="1252">
        <f>'GPC Data'!O245</f>
        <v>0</v>
      </c>
      <c r="P30" s="1253">
        <f>'GPC Data'!P245</f>
        <v>0</v>
      </c>
      <c r="Q30" s="1255">
        <f>'GPC Data'!Q245</f>
        <v>0</v>
      </c>
      <c r="R30" s="1256">
        <f>'GPC Data'!R245</f>
        <v>0</v>
      </c>
      <c r="S30" s="1254">
        <f>'GPC Data'!S245</f>
        <v>0</v>
      </c>
      <c r="T30" s="1257">
        <f>'GPC Data'!T245</f>
        <v>0</v>
      </c>
      <c r="U30" s="1254">
        <f>'GPC Data'!U245</f>
        <v>0</v>
      </c>
      <c r="V30" s="1257">
        <f>'GPC Data'!V245</f>
        <v>0</v>
      </c>
      <c r="W30" s="1258">
        <f>'GPC Data'!W245</f>
        <v>0</v>
      </c>
      <c r="X30" s="1259">
        <f>'GPC Data'!X245</f>
        <v>0</v>
      </c>
      <c r="Y30" s="1259">
        <f>'GPC Data'!Y245</f>
        <v>0</v>
      </c>
      <c r="Z30" s="1259">
        <f>'GPC Data'!Z245</f>
        <v>0</v>
      </c>
      <c r="AA30" s="1256">
        <f>'GPC Data'!AA245</f>
        <v>0</v>
      </c>
      <c r="AB30" s="1256">
        <f>'GPC Data'!AB245</f>
        <v>0</v>
      </c>
      <c r="AC30" s="1256">
        <f>'GPC Data'!AC245</f>
        <v>0</v>
      </c>
      <c r="AD30" s="1256">
        <f>'GPC Data'!AD245</f>
        <v>0</v>
      </c>
      <c r="AE30" s="1260">
        <f>'GPC Data'!AE245</f>
        <v>0</v>
      </c>
      <c r="AF30" s="1256">
        <f>'GPC Data'!AF245</f>
        <v>0</v>
      </c>
      <c r="AG30" s="1256">
        <f>'GPC Data'!AG245</f>
        <v>0</v>
      </c>
      <c r="AH30" s="1260">
        <f>'GPC Data'!AH245</f>
        <v>0</v>
      </c>
      <c r="AI30" s="1256">
        <f>'GPC Data'!AI245</f>
        <v>0</v>
      </c>
      <c r="AJ30" s="1256">
        <f>'GPC Data'!AJ245</f>
        <v>0</v>
      </c>
      <c r="AK30" s="1260">
        <f>'GPC Data'!AK245</f>
        <v>0</v>
      </c>
      <c r="AL30" s="1256">
        <f>'GPC Data'!AL245</f>
        <v>0</v>
      </c>
      <c r="AM30" s="1256">
        <f>'GPC Data'!AM245</f>
        <v>0</v>
      </c>
      <c r="AN30" s="1260">
        <f>'GPC Data'!AN245</f>
        <v>0</v>
      </c>
      <c r="AO30" s="1256">
        <f>'GPC Data'!AO245</f>
        <v>0</v>
      </c>
      <c r="AP30" s="1256">
        <f>'GPC Data'!AP245</f>
        <v>0</v>
      </c>
      <c r="AS30" s="677" t="s">
        <v>106</v>
      </c>
    </row>
    <row r="31" spans="2:45" ht="11" thickBot="1">
      <c r="B31" s="1261">
        <f t="shared" si="0"/>
        <v>21</v>
      </c>
      <c r="C31" s="1249" t="str">
        <f>'GPC Data'!E42</f>
        <v>Comp 21</v>
      </c>
      <c r="D31" s="1250">
        <f>'GPC Data'!D42</f>
        <v>0</v>
      </c>
      <c r="E31" s="1251" t="e">
        <f>Multiples!#REF!</f>
        <v>#REF!</v>
      </c>
      <c r="F31" s="1252">
        <f>'GPC Data'!F246</f>
        <v>0</v>
      </c>
      <c r="G31" s="1253">
        <f>'GPC Data'!G246</f>
        <v>0</v>
      </c>
      <c r="H31" s="1252">
        <f>'GPC Data'!H246</f>
        <v>0</v>
      </c>
      <c r="I31" s="1253">
        <f>'GPC Data'!I246</f>
        <v>0</v>
      </c>
      <c r="J31" s="1254">
        <f>'GPC Data'!J246</f>
        <v>0</v>
      </c>
      <c r="K31" s="1254">
        <f>'GPC Data'!K246</f>
        <v>0</v>
      </c>
      <c r="L31" s="1254">
        <f>'GPC Data'!L246</f>
        <v>0</v>
      </c>
      <c r="M31" s="1254">
        <f>'GPC Data'!M246</f>
        <v>0</v>
      </c>
      <c r="N31" s="1253">
        <f>'GPC Data'!N246</f>
        <v>0</v>
      </c>
      <c r="O31" s="1252">
        <f>'GPC Data'!O246</f>
        <v>0</v>
      </c>
      <c r="P31" s="1253">
        <f>'GPC Data'!P246</f>
        <v>0</v>
      </c>
      <c r="Q31" s="1255">
        <f>'GPC Data'!Q246</f>
        <v>0</v>
      </c>
      <c r="R31" s="1256">
        <f>'GPC Data'!R246</f>
        <v>0</v>
      </c>
      <c r="S31" s="1254">
        <f>'GPC Data'!S246</f>
        <v>0</v>
      </c>
      <c r="T31" s="1257">
        <f>'GPC Data'!T246</f>
        <v>0</v>
      </c>
      <c r="U31" s="1254">
        <f>'GPC Data'!U246</f>
        <v>0</v>
      </c>
      <c r="V31" s="1257">
        <f>'GPC Data'!V246</f>
        <v>0</v>
      </c>
      <c r="W31" s="1258">
        <f>'GPC Data'!W246</f>
        <v>0</v>
      </c>
      <c r="X31" s="1259">
        <f>'GPC Data'!X246</f>
        <v>0</v>
      </c>
      <c r="Y31" s="1259">
        <f>'GPC Data'!Y246</f>
        <v>0</v>
      </c>
      <c r="Z31" s="1259">
        <f>'GPC Data'!Z246</f>
        <v>0</v>
      </c>
      <c r="AA31" s="1256">
        <f>'GPC Data'!AA246</f>
        <v>0</v>
      </c>
      <c r="AB31" s="1256">
        <f>'GPC Data'!AB246</f>
        <v>0</v>
      </c>
      <c r="AC31" s="1256">
        <f>'GPC Data'!AC246</f>
        <v>0</v>
      </c>
      <c r="AD31" s="1256">
        <f>'GPC Data'!AD246</f>
        <v>0</v>
      </c>
      <c r="AE31" s="1260">
        <f>'GPC Data'!AE246</f>
        <v>0</v>
      </c>
      <c r="AF31" s="1256">
        <f>'GPC Data'!AF246</f>
        <v>0</v>
      </c>
      <c r="AG31" s="1256">
        <f>'GPC Data'!AG246</f>
        <v>0</v>
      </c>
      <c r="AH31" s="1260">
        <f>'GPC Data'!AH246</f>
        <v>0</v>
      </c>
      <c r="AI31" s="1256">
        <f>'GPC Data'!AI246</f>
        <v>0</v>
      </c>
      <c r="AJ31" s="1256">
        <f>'GPC Data'!AJ246</f>
        <v>0</v>
      </c>
      <c r="AK31" s="1260">
        <f>'GPC Data'!AK246</f>
        <v>0</v>
      </c>
      <c r="AL31" s="1256">
        <f>'GPC Data'!AL246</f>
        <v>0</v>
      </c>
      <c r="AM31" s="1256">
        <f>'GPC Data'!AM246</f>
        <v>0</v>
      </c>
      <c r="AN31" s="1260">
        <f>'GPC Data'!AN246</f>
        <v>0</v>
      </c>
      <c r="AO31" s="1256">
        <f>'GPC Data'!AO246</f>
        <v>0</v>
      </c>
      <c r="AP31" s="1256">
        <f>'GPC Data'!AP246</f>
        <v>0</v>
      </c>
      <c r="AS31" s="677" t="s">
        <v>106</v>
      </c>
    </row>
    <row r="32" spans="2:45" ht="11" thickBot="1">
      <c r="B32" s="1261">
        <f t="shared" si="0"/>
        <v>22</v>
      </c>
      <c r="C32" s="1249" t="str">
        <f>'GPC Data'!E43</f>
        <v>Comp 22</v>
      </c>
      <c r="D32" s="1250">
        <f>'GPC Data'!D43</f>
        <v>0</v>
      </c>
      <c r="E32" s="1251" t="e">
        <f>Multiples!#REF!</f>
        <v>#REF!</v>
      </c>
      <c r="F32" s="1252">
        <f>'GPC Data'!F247</f>
        <v>0</v>
      </c>
      <c r="G32" s="1253">
        <f>'GPC Data'!G247</f>
        <v>0</v>
      </c>
      <c r="H32" s="1252">
        <f>'GPC Data'!H247</f>
        <v>0</v>
      </c>
      <c r="I32" s="1253">
        <f>'GPC Data'!I247</f>
        <v>0</v>
      </c>
      <c r="J32" s="1254">
        <f>'GPC Data'!J247</f>
        <v>0</v>
      </c>
      <c r="K32" s="1254">
        <f>'GPC Data'!K247</f>
        <v>0</v>
      </c>
      <c r="L32" s="1254">
        <f>'GPC Data'!L247</f>
        <v>0</v>
      </c>
      <c r="M32" s="1254">
        <f>'GPC Data'!M247</f>
        <v>0</v>
      </c>
      <c r="N32" s="1253">
        <f>'GPC Data'!N247</f>
        <v>0</v>
      </c>
      <c r="O32" s="1252">
        <f>'GPC Data'!O247</f>
        <v>0</v>
      </c>
      <c r="P32" s="1253">
        <f>'GPC Data'!P247</f>
        <v>0</v>
      </c>
      <c r="Q32" s="1255">
        <f>'GPC Data'!Q247</f>
        <v>0</v>
      </c>
      <c r="R32" s="1256">
        <f>'GPC Data'!R247</f>
        <v>0</v>
      </c>
      <c r="S32" s="1254">
        <f>'GPC Data'!S247</f>
        <v>0</v>
      </c>
      <c r="T32" s="1257">
        <f>'GPC Data'!T247</f>
        <v>0</v>
      </c>
      <c r="U32" s="1254">
        <f>'GPC Data'!U247</f>
        <v>0</v>
      </c>
      <c r="V32" s="1257">
        <f>'GPC Data'!V247</f>
        <v>0</v>
      </c>
      <c r="W32" s="1258">
        <f>'GPC Data'!W247</f>
        <v>0</v>
      </c>
      <c r="X32" s="1259">
        <f>'GPC Data'!X247</f>
        <v>0</v>
      </c>
      <c r="Y32" s="1259">
        <f>'GPC Data'!Y247</f>
        <v>0</v>
      </c>
      <c r="Z32" s="1259">
        <f>'GPC Data'!Z247</f>
        <v>0</v>
      </c>
      <c r="AA32" s="1256">
        <f>'GPC Data'!AA247</f>
        <v>0</v>
      </c>
      <c r="AB32" s="1256">
        <f>'GPC Data'!AB247</f>
        <v>0</v>
      </c>
      <c r="AC32" s="1256">
        <f>'GPC Data'!AC247</f>
        <v>0</v>
      </c>
      <c r="AD32" s="1256">
        <f>'GPC Data'!AD247</f>
        <v>0</v>
      </c>
      <c r="AE32" s="1260">
        <f>'GPC Data'!AE247</f>
        <v>0</v>
      </c>
      <c r="AF32" s="1256">
        <f>'GPC Data'!AF247</f>
        <v>0</v>
      </c>
      <c r="AG32" s="1256">
        <f>'GPC Data'!AG247</f>
        <v>0</v>
      </c>
      <c r="AH32" s="1260">
        <f>'GPC Data'!AH247</f>
        <v>0</v>
      </c>
      <c r="AI32" s="1256">
        <f>'GPC Data'!AI247</f>
        <v>0</v>
      </c>
      <c r="AJ32" s="1256">
        <f>'GPC Data'!AJ247</f>
        <v>0</v>
      </c>
      <c r="AK32" s="1260">
        <f>'GPC Data'!AK247</f>
        <v>0</v>
      </c>
      <c r="AL32" s="1256">
        <f>'GPC Data'!AL247</f>
        <v>0</v>
      </c>
      <c r="AM32" s="1256">
        <f>'GPC Data'!AM247</f>
        <v>0</v>
      </c>
      <c r="AN32" s="1260">
        <f>'GPC Data'!AN247</f>
        <v>0</v>
      </c>
      <c r="AO32" s="1256">
        <f>'GPC Data'!AO247</f>
        <v>0</v>
      </c>
      <c r="AP32" s="1256">
        <f>'GPC Data'!AP247</f>
        <v>0</v>
      </c>
      <c r="AS32" s="677" t="s">
        <v>106</v>
      </c>
    </row>
    <row r="33" spans="2:45" ht="11" thickBot="1">
      <c r="B33" s="1261">
        <f t="shared" si="0"/>
        <v>23</v>
      </c>
      <c r="C33" s="1249" t="str">
        <f>'GPC Data'!E44</f>
        <v>Comp 23</v>
      </c>
      <c r="D33" s="1250">
        <f>'GPC Data'!D44</f>
        <v>0</v>
      </c>
      <c r="E33" s="1251" t="e">
        <f>Multiples!#REF!</f>
        <v>#REF!</v>
      </c>
      <c r="F33" s="1252">
        <f>'GPC Data'!F248</f>
        <v>0</v>
      </c>
      <c r="G33" s="1253">
        <f>'GPC Data'!G248</f>
        <v>0</v>
      </c>
      <c r="H33" s="1252">
        <f>'GPC Data'!H248</f>
        <v>0</v>
      </c>
      <c r="I33" s="1253">
        <f>'GPC Data'!I248</f>
        <v>0</v>
      </c>
      <c r="J33" s="1254">
        <f>'GPC Data'!J248</f>
        <v>0</v>
      </c>
      <c r="K33" s="1254">
        <f>'GPC Data'!K248</f>
        <v>0</v>
      </c>
      <c r="L33" s="1254">
        <f>'GPC Data'!L248</f>
        <v>0</v>
      </c>
      <c r="M33" s="1254">
        <f>'GPC Data'!M248</f>
        <v>0</v>
      </c>
      <c r="N33" s="1253">
        <f>'GPC Data'!N248</f>
        <v>0</v>
      </c>
      <c r="O33" s="1252">
        <f>'GPC Data'!O248</f>
        <v>0</v>
      </c>
      <c r="P33" s="1253">
        <f>'GPC Data'!P248</f>
        <v>0</v>
      </c>
      <c r="Q33" s="1255">
        <f>'GPC Data'!Q248</f>
        <v>0</v>
      </c>
      <c r="R33" s="1256">
        <f>'GPC Data'!R248</f>
        <v>0</v>
      </c>
      <c r="S33" s="1254">
        <f>'GPC Data'!S248</f>
        <v>0</v>
      </c>
      <c r="T33" s="1257">
        <f>'GPC Data'!T248</f>
        <v>0</v>
      </c>
      <c r="U33" s="1254">
        <f>'GPC Data'!U248</f>
        <v>0</v>
      </c>
      <c r="V33" s="1257">
        <f>'GPC Data'!V248</f>
        <v>0</v>
      </c>
      <c r="W33" s="1258">
        <f>'GPC Data'!W248</f>
        <v>0</v>
      </c>
      <c r="X33" s="1259">
        <f>'GPC Data'!X248</f>
        <v>0</v>
      </c>
      <c r="Y33" s="1259">
        <f>'GPC Data'!Y248</f>
        <v>0</v>
      </c>
      <c r="Z33" s="1259">
        <f>'GPC Data'!Z248</f>
        <v>0</v>
      </c>
      <c r="AA33" s="1256">
        <f>'GPC Data'!AA248</f>
        <v>0</v>
      </c>
      <c r="AB33" s="1256">
        <f>'GPC Data'!AB248</f>
        <v>0</v>
      </c>
      <c r="AC33" s="1256">
        <f>'GPC Data'!AC248</f>
        <v>0</v>
      </c>
      <c r="AD33" s="1256">
        <f>'GPC Data'!AD248</f>
        <v>0</v>
      </c>
      <c r="AE33" s="1260">
        <f>'GPC Data'!AE248</f>
        <v>0</v>
      </c>
      <c r="AF33" s="1256">
        <f>'GPC Data'!AF248</f>
        <v>0</v>
      </c>
      <c r="AG33" s="1256">
        <f>'GPC Data'!AG248</f>
        <v>0</v>
      </c>
      <c r="AH33" s="1260">
        <f>'GPC Data'!AH248</f>
        <v>0</v>
      </c>
      <c r="AI33" s="1256">
        <f>'GPC Data'!AI248</f>
        <v>0</v>
      </c>
      <c r="AJ33" s="1256">
        <f>'GPC Data'!AJ248</f>
        <v>0</v>
      </c>
      <c r="AK33" s="1260">
        <f>'GPC Data'!AK248</f>
        <v>0</v>
      </c>
      <c r="AL33" s="1256">
        <f>'GPC Data'!AL248</f>
        <v>0</v>
      </c>
      <c r="AM33" s="1256">
        <f>'GPC Data'!AM248</f>
        <v>0</v>
      </c>
      <c r="AN33" s="1260">
        <f>'GPC Data'!AN248</f>
        <v>0</v>
      </c>
      <c r="AO33" s="1256">
        <f>'GPC Data'!AO248</f>
        <v>0</v>
      </c>
      <c r="AP33" s="1256">
        <f>'GPC Data'!AP248</f>
        <v>0</v>
      </c>
      <c r="AS33" s="677" t="s">
        <v>106</v>
      </c>
    </row>
    <row r="34" spans="2:45" ht="11" thickBot="1">
      <c r="B34" s="1261">
        <f t="shared" si="0"/>
        <v>24</v>
      </c>
      <c r="C34" s="1249" t="str">
        <f>'GPC Data'!E45</f>
        <v>Comp 24</v>
      </c>
      <c r="D34" s="1250">
        <f>'GPC Data'!D45</f>
        <v>0</v>
      </c>
      <c r="E34" s="1251" t="e">
        <f>Multiples!#REF!</f>
        <v>#REF!</v>
      </c>
      <c r="F34" s="1252">
        <f>'GPC Data'!F249</f>
        <v>0</v>
      </c>
      <c r="G34" s="1253">
        <f>'GPC Data'!G249</f>
        <v>0</v>
      </c>
      <c r="H34" s="1252">
        <f>'GPC Data'!H249</f>
        <v>0</v>
      </c>
      <c r="I34" s="1253">
        <f>'GPC Data'!I249</f>
        <v>0</v>
      </c>
      <c r="J34" s="1254">
        <f>'GPC Data'!J249</f>
        <v>0</v>
      </c>
      <c r="K34" s="1254">
        <f>'GPC Data'!K249</f>
        <v>0</v>
      </c>
      <c r="L34" s="1254">
        <f>'GPC Data'!L249</f>
        <v>0</v>
      </c>
      <c r="M34" s="1254">
        <f>'GPC Data'!M249</f>
        <v>0</v>
      </c>
      <c r="N34" s="1253">
        <f>'GPC Data'!N249</f>
        <v>0</v>
      </c>
      <c r="O34" s="1252">
        <f>'GPC Data'!O249</f>
        <v>0</v>
      </c>
      <c r="P34" s="1253">
        <f>'GPC Data'!P249</f>
        <v>0</v>
      </c>
      <c r="Q34" s="1255">
        <f>'GPC Data'!Q249</f>
        <v>0</v>
      </c>
      <c r="R34" s="1256">
        <f>'GPC Data'!R249</f>
        <v>0</v>
      </c>
      <c r="S34" s="1254">
        <f>'GPC Data'!S249</f>
        <v>0</v>
      </c>
      <c r="T34" s="1257">
        <f>'GPC Data'!T249</f>
        <v>0</v>
      </c>
      <c r="U34" s="1254">
        <f>'GPC Data'!U249</f>
        <v>0</v>
      </c>
      <c r="V34" s="1257">
        <f>'GPC Data'!V249</f>
        <v>0</v>
      </c>
      <c r="W34" s="1258">
        <f>'GPC Data'!W249</f>
        <v>0</v>
      </c>
      <c r="X34" s="1259">
        <f>'GPC Data'!X249</f>
        <v>0</v>
      </c>
      <c r="Y34" s="1259">
        <f>'GPC Data'!Y249</f>
        <v>0</v>
      </c>
      <c r="Z34" s="1259">
        <f>'GPC Data'!Z249</f>
        <v>0</v>
      </c>
      <c r="AA34" s="1256">
        <f>'GPC Data'!AA249</f>
        <v>0</v>
      </c>
      <c r="AB34" s="1256">
        <f>'GPC Data'!AB249</f>
        <v>0</v>
      </c>
      <c r="AC34" s="1256">
        <f>'GPC Data'!AC249</f>
        <v>0</v>
      </c>
      <c r="AD34" s="1256">
        <f>'GPC Data'!AD249</f>
        <v>0</v>
      </c>
      <c r="AE34" s="1260">
        <f>'GPC Data'!AE249</f>
        <v>0</v>
      </c>
      <c r="AF34" s="1256">
        <f>'GPC Data'!AF249</f>
        <v>0</v>
      </c>
      <c r="AG34" s="1256">
        <f>'GPC Data'!AG249</f>
        <v>0</v>
      </c>
      <c r="AH34" s="1260">
        <f>'GPC Data'!AH249</f>
        <v>0</v>
      </c>
      <c r="AI34" s="1256">
        <f>'GPC Data'!AI249</f>
        <v>0</v>
      </c>
      <c r="AJ34" s="1256">
        <f>'GPC Data'!AJ249</f>
        <v>0</v>
      </c>
      <c r="AK34" s="1260">
        <f>'GPC Data'!AK249</f>
        <v>0</v>
      </c>
      <c r="AL34" s="1256">
        <f>'GPC Data'!AL249</f>
        <v>0</v>
      </c>
      <c r="AM34" s="1256">
        <f>'GPC Data'!AM249</f>
        <v>0</v>
      </c>
      <c r="AN34" s="1260">
        <f>'GPC Data'!AN249</f>
        <v>0</v>
      </c>
      <c r="AO34" s="1256">
        <f>'GPC Data'!AO249</f>
        <v>0</v>
      </c>
      <c r="AP34" s="1256">
        <f>'GPC Data'!AP249</f>
        <v>0</v>
      </c>
      <c r="AS34" s="677" t="s">
        <v>106</v>
      </c>
    </row>
    <row r="35" spans="2:45" ht="11" thickBot="1">
      <c r="B35" s="1261">
        <f t="shared" si="0"/>
        <v>25</v>
      </c>
      <c r="C35" s="1249" t="str">
        <f>'GPC Data'!E46</f>
        <v>Comp 25</v>
      </c>
      <c r="D35" s="1250">
        <f>'GPC Data'!D46</f>
        <v>0</v>
      </c>
      <c r="E35" s="1251" t="e">
        <f>Multiples!#REF!</f>
        <v>#REF!</v>
      </c>
      <c r="F35" s="1252">
        <f>'GPC Data'!F250</f>
        <v>0</v>
      </c>
      <c r="G35" s="1253">
        <f>'GPC Data'!G250</f>
        <v>0</v>
      </c>
      <c r="H35" s="1252">
        <f>'GPC Data'!H250</f>
        <v>0</v>
      </c>
      <c r="I35" s="1253">
        <f>'GPC Data'!I250</f>
        <v>0</v>
      </c>
      <c r="J35" s="1254">
        <f>'GPC Data'!J250</f>
        <v>0</v>
      </c>
      <c r="K35" s="1254">
        <f>'GPC Data'!K250</f>
        <v>0</v>
      </c>
      <c r="L35" s="1254">
        <f>'GPC Data'!L250</f>
        <v>0</v>
      </c>
      <c r="M35" s="1254">
        <f>'GPC Data'!M250</f>
        <v>0</v>
      </c>
      <c r="N35" s="1253">
        <f>'GPC Data'!N250</f>
        <v>0</v>
      </c>
      <c r="O35" s="1252">
        <f>'GPC Data'!O250</f>
        <v>0</v>
      </c>
      <c r="P35" s="1253">
        <f>'GPC Data'!P250</f>
        <v>0</v>
      </c>
      <c r="Q35" s="1255">
        <f>'GPC Data'!Q250</f>
        <v>0</v>
      </c>
      <c r="R35" s="1256">
        <f>'GPC Data'!R250</f>
        <v>0</v>
      </c>
      <c r="S35" s="1254">
        <f>'GPC Data'!S250</f>
        <v>0</v>
      </c>
      <c r="T35" s="1257">
        <f>'GPC Data'!T250</f>
        <v>0</v>
      </c>
      <c r="U35" s="1254">
        <f>'GPC Data'!U250</f>
        <v>0</v>
      </c>
      <c r="V35" s="1257">
        <f>'GPC Data'!V250</f>
        <v>0</v>
      </c>
      <c r="W35" s="1258">
        <f>'GPC Data'!W250</f>
        <v>0</v>
      </c>
      <c r="X35" s="1259">
        <f>'GPC Data'!X250</f>
        <v>0</v>
      </c>
      <c r="Y35" s="1259">
        <f>'GPC Data'!Y250</f>
        <v>0</v>
      </c>
      <c r="Z35" s="1259">
        <f>'GPC Data'!Z250</f>
        <v>0</v>
      </c>
      <c r="AA35" s="1256">
        <f>'GPC Data'!AA250</f>
        <v>0</v>
      </c>
      <c r="AB35" s="1256">
        <f>'GPC Data'!AB250</f>
        <v>0</v>
      </c>
      <c r="AC35" s="1256">
        <f>'GPC Data'!AC250</f>
        <v>0</v>
      </c>
      <c r="AD35" s="1256">
        <f>'GPC Data'!AD250</f>
        <v>0</v>
      </c>
      <c r="AE35" s="1260">
        <f>'GPC Data'!AE250</f>
        <v>0</v>
      </c>
      <c r="AF35" s="1256">
        <f>'GPC Data'!AF250</f>
        <v>0</v>
      </c>
      <c r="AG35" s="1256">
        <f>'GPC Data'!AG250</f>
        <v>0</v>
      </c>
      <c r="AH35" s="1260">
        <f>'GPC Data'!AH250</f>
        <v>0</v>
      </c>
      <c r="AI35" s="1256">
        <f>'GPC Data'!AI250</f>
        <v>0</v>
      </c>
      <c r="AJ35" s="1256">
        <f>'GPC Data'!AJ250</f>
        <v>0</v>
      </c>
      <c r="AK35" s="1260">
        <f>'GPC Data'!AK250</f>
        <v>0</v>
      </c>
      <c r="AL35" s="1256">
        <f>'GPC Data'!AL250</f>
        <v>0</v>
      </c>
      <c r="AM35" s="1256">
        <f>'GPC Data'!AM250</f>
        <v>0</v>
      </c>
      <c r="AN35" s="1260">
        <f>'GPC Data'!AN250</f>
        <v>0</v>
      </c>
      <c r="AO35" s="1256">
        <f>'GPC Data'!AO250</f>
        <v>0</v>
      </c>
      <c r="AP35" s="1256">
        <f>'GPC Data'!AP250</f>
        <v>0</v>
      </c>
      <c r="AS35" s="677" t="s">
        <v>106</v>
      </c>
    </row>
    <row r="36" spans="2:45" ht="11" thickBot="1">
      <c r="B36" s="1261">
        <f t="shared" si="0"/>
        <v>26</v>
      </c>
      <c r="C36" s="1249" t="str">
        <f>'GPC Data'!E47</f>
        <v>Comp 26</v>
      </c>
      <c r="D36" s="1250">
        <f>'GPC Data'!D47</f>
        <v>0</v>
      </c>
      <c r="E36" s="1251" t="e">
        <f>Multiples!#REF!</f>
        <v>#REF!</v>
      </c>
      <c r="F36" s="1252">
        <f>'GPC Data'!F251</f>
        <v>0</v>
      </c>
      <c r="G36" s="1253">
        <f>'GPC Data'!G251</f>
        <v>0</v>
      </c>
      <c r="H36" s="1252">
        <f>'GPC Data'!H251</f>
        <v>0</v>
      </c>
      <c r="I36" s="1253">
        <f>'GPC Data'!I251</f>
        <v>0</v>
      </c>
      <c r="J36" s="1254">
        <f>'GPC Data'!J251</f>
        <v>0</v>
      </c>
      <c r="K36" s="1254">
        <f>'GPC Data'!K251</f>
        <v>0</v>
      </c>
      <c r="L36" s="1254">
        <f>'GPC Data'!L251</f>
        <v>0</v>
      </c>
      <c r="M36" s="1254">
        <f>'GPC Data'!M251</f>
        <v>0</v>
      </c>
      <c r="N36" s="1253">
        <f>'GPC Data'!N251</f>
        <v>0</v>
      </c>
      <c r="O36" s="1252">
        <f>'GPC Data'!O251</f>
        <v>0</v>
      </c>
      <c r="P36" s="1253">
        <f>'GPC Data'!P251</f>
        <v>0</v>
      </c>
      <c r="Q36" s="1255">
        <f>'GPC Data'!Q251</f>
        <v>0</v>
      </c>
      <c r="R36" s="1256">
        <f>'GPC Data'!R251</f>
        <v>0</v>
      </c>
      <c r="S36" s="1254">
        <f>'GPC Data'!S251</f>
        <v>0</v>
      </c>
      <c r="T36" s="1257">
        <f>'GPC Data'!T251</f>
        <v>0</v>
      </c>
      <c r="U36" s="1254">
        <f>'GPC Data'!U251</f>
        <v>0</v>
      </c>
      <c r="V36" s="1257">
        <f>'GPC Data'!V251</f>
        <v>0</v>
      </c>
      <c r="W36" s="1258">
        <f>'GPC Data'!W251</f>
        <v>0</v>
      </c>
      <c r="X36" s="1259">
        <f>'GPC Data'!X251</f>
        <v>0</v>
      </c>
      <c r="Y36" s="1259">
        <f>'GPC Data'!Y251</f>
        <v>0</v>
      </c>
      <c r="Z36" s="1259">
        <f>'GPC Data'!Z251</f>
        <v>0</v>
      </c>
      <c r="AA36" s="1256">
        <f>'GPC Data'!AA251</f>
        <v>0</v>
      </c>
      <c r="AB36" s="1256">
        <f>'GPC Data'!AB251</f>
        <v>0</v>
      </c>
      <c r="AC36" s="1256">
        <f>'GPC Data'!AC251</f>
        <v>0</v>
      </c>
      <c r="AD36" s="1256">
        <f>'GPC Data'!AD251</f>
        <v>0</v>
      </c>
      <c r="AE36" s="1260">
        <f>'GPC Data'!AE251</f>
        <v>0</v>
      </c>
      <c r="AF36" s="1256">
        <f>'GPC Data'!AF251</f>
        <v>0</v>
      </c>
      <c r="AG36" s="1256">
        <f>'GPC Data'!AG251</f>
        <v>0</v>
      </c>
      <c r="AH36" s="1260">
        <f>'GPC Data'!AH251</f>
        <v>0</v>
      </c>
      <c r="AI36" s="1256">
        <f>'GPC Data'!AI251</f>
        <v>0</v>
      </c>
      <c r="AJ36" s="1256">
        <f>'GPC Data'!AJ251</f>
        <v>0</v>
      </c>
      <c r="AK36" s="1260">
        <f>'GPC Data'!AK251</f>
        <v>0</v>
      </c>
      <c r="AL36" s="1256">
        <f>'GPC Data'!AL251</f>
        <v>0</v>
      </c>
      <c r="AM36" s="1256">
        <f>'GPC Data'!AM251</f>
        <v>0</v>
      </c>
      <c r="AN36" s="1260">
        <f>'GPC Data'!AN251</f>
        <v>0</v>
      </c>
      <c r="AO36" s="1256">
        <f>'GPC Data'!AO251</f>
        <v>0</v>
      </c>
      <c r="AP36" s="1256">
        <f>'GPC Data'!AP251</f>
        <v>0</v>
      </c>
      <c r="AS36" s="677" t="s">
        <v>106</v>
      </c>
    </row>
    <row r="37" spans="2:45" ht="11" thickBot="1">
      <c r="B37" s="1261">
        <f t="shared" si="0"/>
        <v>27</v>
      </c>
      <c r="C37" s="1249" t="str">
        <f>'GPC Data'!E48</f>
        <v>Comp 27</v>
      </c>
      <c r="D37" s="1250">
        <f>'GPC Data'!D48</f>
        <v>0</v>
      </c>
      <c r="E37" s="1251" t="e">
        <f>Multiples!#REF!</f>
        <v>#REF!</v>
      </c>
      <c r="F37" s="1252">
        <f>'GPC Data'!F252</f>
        <v>0</v>
      </c>
      <c r="G37" s="1253">
        <f>'GPC Data'!G252</f>
        <v>0</v>
      </c>
      <c r="H37" s="1252">
        <f>'GPC Data'!H252</f>
        <v>0</v>
      </c>
      <c r="I37" s="1253">
        <f>'GPC Data'!I252</f>
        <v>0</v>
      </c>
      <c r="J37" s="1254">
        <f>'GPC Data'!J252</f>
        <v>0</v>
      </c>
      <c r="K37" s="1254">
        <f>'GPC Data'!K252</f>
        <v>0</v>
      </c>
      <c r="L37" s="1254">
        <f>'GPC Data'!L252</f>
        <v>0</v>
      </c>
      <c r="M37" s="1254">
        <f>'GPC Data'!M252</f>
        <v>0</v>
      </c>
      <c r="N37" s="1253">
        <f>'GPC Data'!N252</f>
        <v>0</v>
      </c>
      <c r="O37" s="1252">
        <f>'GPC Data'!O252</f>
        <v>0</v>
      </c>
      <c r="P37" s="1253">
        <f>'GPC Data'!P252</f>
        <v>0</v>
      </c>
      <c r="Q37" s="1255">
        <f>'GPC Data'!Q252</f>
        <v>0</v>
      </c>
      <c r="R37" s="1256">
        <f>'GPC Data'!R252</f>
        <v>0</v>
      </c>
      <c r="S37" s="1254">
        <f>'GPC Data'!S252</f>
        <v>0</v>
      </c>
      <c r="T37" s="1257">
        <f>'GPC Data'!T252</f>
        <v>0</v>
      </c>
      <c r="U37" s="1254">
        <f>'GPC Data'!U252</f>
        <v>0</v>
      </c>
      <c r="V37" s="1257">
        <f>'GPC Data'!V252</f>
        <v>0</v>
      </c>
      <c r="W37" s="1258">
        <f>'GPC Data'!W252</f>
        <v>0</v>
      </c>
      <c r="X37" s="1259">
        <f>'GPC Data'!X252</f>
        <v>0</v>
      </c>
      <c r="Y37" s="1259">
        <f>'GPC Data'!Y252</f>
        <v>0</v>
      </c>
      <c r="Z37" s="1259">
        <f>'GPC Data'!Z252</f>
        <v>0</v>
      </c>
      <c r="AA37" s="1256">
        <f>'GPC Data'!AA252</f>
        <v>0</v>
      </c>
      <c r="AB37" s="1256">
        <f>'GPC Data'!AB252</f>
        <v>0</v>
      </c>
      <c r="AC37" s="1256">
        <f>'GPC Data'!AC252</f>
        <v>0</v>
      </c>
      <c r="AD37" s="1256">
        <f>'GPC Data'!AD252</f>
        <v>0</v>
      </c>
      <c r="AE37" s="1260">
        <f>'GPC Data'!AE252</f>
        <v>0</v>
      </c>
      <c r="AF37" s="1256">
        <f>'GPC Data'!AF252</f>
        <v>0</v>
      </c>
      <c r="AG37" s="1256">
        <f>'GPC Data'!AG252</f>
        <v>0</v>
      </c>
      <c r="AH37" s="1260">
        <f>'GPC Data'!AH252</f>
        <v>0</v>
      </c>
      <c r="AI37" s="1256">
        <f>'GPC Data'!AI252</f>
        <v>0</v>
      </c>
      <c r="AJ37" s="1256">
        <f>'GPC Data'!AJ252</f>
        <v>0</v>
      </c>
      <c r="AK37" s="1260">
        <f>'GPC Data'!AK252</f>
        <v>0</v>
      </c>
      <c r="AL37" s="1256">
        <f>'GPC Data'!AL252</f>
        <v>0</v>
      </c>
      <c r="AM37" s="1256">
        <f>'GPC Data'!AM252</f>
        <v>0</v>
      </c>
      <c r="AN37" s="1260">
        <f>'GPC Data'!AN252</f>
        <v>0</v>
      </c>
      <c r="AO37" s="1256">
        <f>'GPC Data'!AO252</f>
        <v>0</v>
      </c>
      <c r="AP37" s="1256">
        <f>'GPC Data'!AP252</f>
        <v>0</v>
      </c>
      <c r="AS37" s="677" t="s">
        <v>106</v>
      </c>
    </row>
    <row r="38" spans="2:45" ht="11" thickBot="1">
      <c r="B38" s="1261">
        <f t="shared" si="0"/>
        <v>28</v>
      </c>
      <c r="C38" s="1249" t="str">
        <f>'GPC Data'!E49</f>
        <v>Comp 28</v>
      </c>
      <c r="D38" s="1250">
        <f>'GPC Data'!D49</f>
        <v>0</v>
      </c>
      <c r="E38" s="1251" t="e">
        <f>Multiples!#REF!</f>
        <v>#REF!</v>
      </c>
      <c r="F38" s="1252">
        <f>'GPC Data'!F253</f>
        <v>0</v>
      </c>
      <c r="G38" s="1253">
        <f>'GPC Data'!G253</f>
        <v>0</v>
      </c>
      <c r="H38" s="1252">
        <f>'GPC Data'!H253</f>
        <v>0</v>
      </c>
      <c r="I38" s="1253">
        <f>'GPC Data'!I253</f>
        <v>0</v>
      </c>
      <c r="J38" s="1254">
        <f>'GPC Data'!J253</f>
        <v>0</v>
      </c>
      <c r="K38" s="1254">
        <f>'GPC Data'!K253</f>
        <v>0</v>
      </c>
      <c r="L38" s="1254">
        <f>'GPC Data'!L253</f>
        <v>0</v>
      </c>
      <c r="M38" s="1254">
        <f>'GPC Data'!M253</f>
        <v>0</v>
      </c>
      <c r="N38" s="1253">
        <f>'GPC Data'!N253</f>
        <v>0</v>
      </c>
      <c r="O38" s="1252">
        <f>'GPC Data'!O253</f>
        <v>0</v>
      </c>
      <c r="P38" s="1253">
        <f>'GPC Data'!P253</f>
        <v>0</v>
      </c>
      <c r="Q38" s="1255">
        <f>'GPC Data'!Q253</f>
        <v>0</v>
      </c>
      <c r="R38" s="1256">
        <f>'GPC Data'!R253</f>
        <v>0</v>
      </c>
      <c r="S38" s="1254">
        <f>'GPC Data'!S253</f>
        <v>0</v>
      </c>
      <c r="T38" s="1257">
        <f>'GPC Data'!T253</f>
        <v>0</v>
      </c>
      <c r="U38" s="1254">
        <f>'GPC Data'!U253</f>
        <v>0</v>
      </c>
      <c r="V38" s="1257">
        <f>'GPC Data'!V253</f>
        <v>0</v>
      </c>
      <c r="W38" s="1258">
        <f>'GPC Data'!W253</f>
        <v>0</v>
      </c>
      <c r="X38" s="1259">
        <f>'GPC Data'!X253</f>
        <v>0</v>
      </c>
      <c r="Y38" s="1259">
        <f>'GPC Data'!Y253</f>
        <v>0</v>
      </c>
      <c r="Z38" s="1259">
        <f>'GPC Data'!Z253</f>
        <v>0</v>
      </c>
      <c r="AA38" s="1256">
        <f>'GPC Data'!AA253</f>
        <v>0</v>
      </c>
      <c r="AB38" s="1256">
        <f>'GPC Data'!AB253</f>
        <v>0</v>
      </c>
      <c r="AC38" s="1256">
        <f>'GPC Data'!AC253</f>
        <v>0</v>
      </c>
      <c r="AD38" s="1256">
        <f>'GPC Data'!AD253</f>
        <v>0</v>
      </c>
      <c r="AE38" s="1260">
        <f>'GPC Data'!AE253</f>
        <v>0</v>
      </c>
      <c r="AF38" s="1256">
        <f>'GPC Data'!AF253</f>
        <v>0</v>
      </c>
      <c r="AG38" s="1256">
        <f>'GPC Data'!AG253</f>
        <v>0</v>
      </c>
      <c r="AH38" s="1260">
        <f>'GPC Data'!AH253</f>
        <v>0</v>
      </c>
      <c r="AI38" s="1256">
        <f>'GPC Data'!AI253</f>
        <v>0</v>
      </c>
      <c r="AJ38" s="1256">
        <f>'GPC Data'!AJ253</f>
        <v>0</v>
      </c>
      <c r="AK38" s="1260">
        <f>'GPC Data'!AK253</f>
        <v>0</v>
      </c>
      <c r="AL38" s="1256">
        <f>'GPC Data'!AL253</f>
        <v>0</v>
      </c>
      <c r="AM38" s="1256">
        <f>'GPC Data'!AM253</f>
        <v>0</v>
      </c>
      <c r="AN38" s="1260">
        <f>'GPC Data'!AN253</f>
        <v>0</v>
      </c>
      <c r="AO38" s="1256">
        <f>'GPC Data'!AO253</f>
        <v>0</v>
      </c>
      <c r="AP38" s="1256">
        <f>'GPC Data'!AP253</f>
        <v>0</v>
      </c>
      <c r="AS38" s="677" t="s">
        <v>106</v>
      </c>
    </row>
    <row r="39" spans="2:45" ht="11" thickBot="1">
      <c r="B39" s="1261">
        <f t="shared" si="0"/>
        <v>29</v>
      </c>
      <c r="C39" s="1249" t="str">
        <f>'GPC Data'!E50</f>
        <v>Comp 29</v>
      </c>
      <c r="D39" s="1250">
        <f>'GPC Data'!D50</f>
        <v>0</v>
      </c>
      <c r="E39" s="1251" t="e">
        <f>Multiples!#REF!</f>
        <v>#REF!</v>
      </c>
      <c r="F39" s="1252">
        <f>'GPC Data'!F254</f>
        <v>0</v>
      </c>
      <c r="G39" s="1253">
        <f>'GPC Data'!G254</f>
        <v>0</v>
      </c>
      <c r="H39" s="1252">
        <f>'GPC Data'!H254</f>
        <v>0</v>
      </c>
      <c r="I39" s="1253">
        <f>'GPC Data'!I254</f>
        <v>0</v>
      </c>
      <c r="J39" s="1254">
        <f>'GPC Data'!J254</f>
        <v>0</v>
      </c>
      <c r="K39" s="1254">
        <f>'GPC Data'!K254</f>
        <v>0</v>
      </c>
      <c r="L39" s="1254">
        <f>'GPC Data'!L254</f>
        <v>0</v>
      </c>
      <c r="M39" s="1254">
        <f>'GPC Data'!M254</f>
        <v>0</v>
      </c>
      <c r="N39" s="1253">
        <f>'GPC Data'!N254</f>
        <v>0</v>
      </c>
      <c r="O39" s="1252">
        <f>'GPC Data'!O254</f>
        <v>0</v>
      </c>
      <c r="P39" s="1253">
        <f>'GPC Data'!P254</f>
        <v>0</v>
      </c>
      <c r="Q39" s="1255">
        <f>'GPC Data'!Q254</f>
        <v>0</v>
      </c>
      <c r="R39" s="1256">
        <f>'GPC Data'!R254</f>
        <v>0</v>
      </c>
      <c r="S39" s="1254">
        <f>'GPC Data'!S254</f>
        <v>0</v>
      </c>
      <c r="T39" s="1257">
        <f>'GPC Data'!T254</f>
        <v>0</v>
      </c>
      <c r="U39" s="1254">
        <f>'GPC Data'!U254</f>
        <v>0</v>
      </c>
      <c r="V39" s="1257">
        <f>'GPC Data'!V254</f>
        <v>0</v>
      </c>
      <c r="W39" s="1258">
        <f>'GPC Data'!W254</f>
        <v>0</v>
      </c>
      <c r="X39" s="1259">
        <f>'GPC Data'!X254</f>
        <v>0</v>
      </c>
      <c r="Y39" s="1259">
        <f>'GPC Data'!Y254</f>
        <v>0</v>
      </c>
      <c r="Z39" s="1259">
        <f>'GPC Data'!Z254</f>
        <v>0</v>
      </c>
      <c r="AA39" s="1256">
        <f>'GPC Data'!AA254</f>
        <v>0</v>
      </c>
      <c r="AB39" s="1256">
        <f>'GPC Data'!AB254</f>
        <v>0</v>
      </c>
      <c r="AC39" s="1256">
        <f>'GPC Data'!AC254</f>
        <v>0</v>
      </c>
      <c r="AD39" s="1256">
        <f>'GPC Data'!AD254</f>
        <v>0</v>
      </c>
      <c r="AE39" s="1260">
        <f>'GPC Data'!AE254</f>
        <v>0</v>
      </c>
      <c r="AF39" s="1256">
        <f>'GPC Data'!AF254</f>
        <v>0</v>
      </c>
      <c r="AG39" s="1256">
        <f>'GPC Data'!AG254</f>
        <v>0</v>
      </c>
      <c r="AH39" s="1260">
        <f>'GPC Data'!AH254</f>
        <v>0</v>
      </c>
      <c r="AI39" s="1256">
        <f>'GPC Data'!AI254</f>
        <v>0</v>
      </c>
      <c r="AJ39" s="1256">
        <f>'GPC Data'!AJ254</f>
        <v>0</v>
      </c>
      <c r="AK39" s="1260">
        <f>'GPC Data'!AK254</f>
        <v>0</v>
      </c>
      <c r="AL39" s="1256">
        <f>'GPC Data'!AL254</f>
        <v>0</v>
      </c>
      <c r="AM39" s="1256">
        <f>'GPC Data'!AM254</f>
        <v>0</v>
      </c>
      <c r="AN39" s="1260">
        <f>'GPC Data'!AN254</f>
        <v>0</v>
      </c>
      <c r="AO39" s="1256">
        <f>'GPC Data'!AO254</f>
        <v>0</v>
      </c>
      <c r="AP39" s="1256">
        <f>'GPC Data'!AP254</f>
        <v>0</v>
      </c>
      <c r="AS39" s="677" t="s">
        <v>106</v>
      </c>
    </row>
    <row r="40" spans="2:45" ht="11" thickBot="1">
      <c r="B40" s="1261">
        <f>B19+1</f>
        <v>10</v>
      </c>
      <c r="C40" s="1249" t="str">
        <f>'GPC Data'!E51</f>
        <v>Comp 30</v>
      </c>
      <c r="D40" s="1250">
        <f>'GPC Data'!D51</f>
        <v>0</v>
      </c>
      <c r="E40" s="1251" t="e">
        <f>Multiples!#REF!</f>
        <v>#REF!</v>
      </c>
      <c r="F40" s="1252">
        <f>'GPC Data'!F255</f>
        <v>0</v>
      </c>
      <c r="G40" s="1253">
        <f>'GPC Data'!G255</f>
        <v>0</v>
      </c>
      <c r="H40" s="1252">
        <f>'GPC Data'!H255</f>
        <v>0</v>
      </c>
      <c r="I40" s="1253">
        <f>'GPC Data'!I255</f>
        <v>0</v>
      </c>
      <c r="J40" s="1254">
        <f>'GPC Data'!J255</f>
        <v>0</v>
      </c>
      <c r="K40" s="1254">
        <f>'GPC Data'!K255</f>
        <v>0</v>
      </c>
      <c r="L40" s="1254">
        <f>'GPC Data'!L255</f>
        <v>0</v>
      </c>
      <c r="M40" s="1254">
        <f>'GPC Data'!M255</f>
        <v>0</v>
      </c>
      <c r="N40" s="1253">
        <f>'GPC Data'!N255</f>
        <v>0</v>
      </c>
      <c r="O40" s="1252">
        <f>'GPC Data'!O255</f>
        <v>0</v>
      </c>
      <c r="P40" s="1253">
        <f>'GPC Data'!P255</f>
        <v>0</v>
      </c>
      <c r="Q40" s="1255">
        <f>'GPC Data'!Q255</f>
        <v>0</v>
      </c>
      <c r="R40" s="1256">
        <f>'GPC Data'!R255</f>
        <v>0</v>
      </c>
      <c r="S40" s="1254">
        <f>'GPC Data'!S255</f>
        <v>0</v>
      </c>
      <c r="T40" s="1257">
        <f>'GPC Data'!T255</f>
        <v>0</v>
      </c>
      <c r="U40" s="1254">
        <f>'GPC Data'!U255</f>
        <v>0</v>
      </c>
      <c r="V40" s="1257">
        <f>'GPC Data'!V255</f>
        <v>0</v>
      </c>
      <c r="W40" s="1258">
        <f>'GPC Data'!W255</f>
        <v>0</v>
      </c>
      <c r="X40" s="1259">
        <f>'GPC Data'!X255</f>
        <v>0</v>
      </c>
      <c r="Y40" s="1259">
        <f>'GPC Data'!Y255</f>
        <v>0</v>
      </c>
      <c r="Z40" s="1259">
        <f>'GPC Data'!Z255</f>
        <v>0</v>
      </c>
      <c r="AA40" s="1256">
        <f>'GPC Data'!AA255</f>
        <v>0</v>
      </c>
      <c r="AB40" s="1256">
        <f>'GPC Data'!AB255</f>
        <v>0</v>
      </c>
      <c r="AC40" s="1256">
        <f>'GPC Data'!AC255</f>
        <v>0</v>
      </c>
      <c r="AD40" s="1256">
        <f>'GPC Data'!AD255</f>
        <v>0</v>
      </c>
      <c r="AE40" s="1260">
        <f>'GPC Data'!AE255</f>
        <v>0</v>
      </c>
      <c r="AF40" s="1256">
        <f>'GPC Data'!AF255</f>
        <v>0</v>
      </c>
      <c r="AG40" s="1256">
        <f>'GPC Data'!AG255</f>
        <v>0</v>
      </c>
      <c r="AH40" s="1260">
        <f>'GPC Data'!AH255</f>
        <v>0</v>
      </c>
      <c r="AI40" s="1256">
        <f>'GPC Data'!AI255</f>
        <v>0</v>
      </c>
      <c r="AJ40" s="1256">
        <f>'GPC Data'!AJ255</f>
        <v>0</v>
      </c>
      <c r="AK40" s="1260">
        <f>'GPC Data'!AK255</f>
        <v>0</v>
      </c>
      <c r="AL40" s="1256">
        <f>'GPC Data'!AL255</f>
        <v>0</v>
      </c>
      <c r="AM40" s="1256">
        <f>'GPC Data'!AM255</f>
        <v>0</v>
      </c>
      <c r="AN40" s="1260">
        <f>'GPC Data'!AN255</f>
        <v>0</v>
      </c>
      <c r="AO40" s="1256">
        <f>'GPC Data'!AO255</f>
        <v>0</v>
      </c>
      <c r="AP40" s="1256">
        <f>'GPC Data'!AP255</f>
        <v>0</v>
      </c>
      <c r="AS40" s="677" t="s">
        <v>106</v>
      </c>
    </row>
    <row r="41" spans="2:45">
      <c r="C41" s="1153" t="str">
        <f>"As of "&amp;TEXT(valuation.date,"d mmmm yyy")&amp;"."&amp;" Historical information for the selected guideline public companies provided  by market data providers."</f>
        <v>As of 30 September 2024. Historical information for the selected guideline public companies provided  by market data providers.</v>
      </c>
      <c r="D41" s="1262"/>
      <c r="E41" s="1251"/>
      <c r="F41" s="1263"/>
      <c r="G41" s="1263"/>
      <c r="H41" s="1263"/>
      <c r="I41" s="1263"/>
      <c r="J41" s="1263"/>
      <c r="K41" s="1263"/>
      <c r="L41" s="1263"/>
      <c r="M41" s="1263"/>
      <c r="N41" s="1263"/>
      <c r="O41" s="1263"/>
      <c r="P41" s="1263"/>
      <c r="Q41" s="1264"/>
      <c r="R41" s="1265"/>
      <c r="S41" s="1263"/>
      <c r="T41" s="1264"/>
      <c r="U41" s="1263"/>
      <c r="V41" s="1264"/>
      <c r="W41" s="1265"/>
      <c r="X41" s="1265"/>
      <c r="Y41" s="1265"/>
      <c r="Z41" s="1265"/>
      <c r="AA41" s="1265"/>
      <c r="AB41" s="1265"/>
      <c r="AC41" s="1265"/>
      <c r="AD41" s="1265"/>
      <c r="AE41" s="1265"/>
      <c r="AF41" s="1265"/>
      <c r="AG41" s="1265"/>
      <c r="AH41" s="1265"/>
      <c r="AI41" s="1265"/>
      <c r="AJ41" s="1265"/>
      <c r="AK41" s="1265"/>
      <c r="AL41" s="1265"/>
      <c r="AM41" s="1265"/>
      <c r="AN41" s="1265"/>
      <c r="AO41" s="1265"/>
      <c r="AP41" s="1265"/>
    </row>
    <row r="42" spans="2:45">
      <c r="C42" s="1153"/>
      <c r="D42" s="1262"/>
      <c r="E42" s="1251"/>
      <c r="F42" s="1263"/>
      <c r="G42" s="1263"/>
      <c r="H42" s="1263"/>
      <c r="I42" s="1263"/>
      <c r="J42" s="1263"/>
      <c r="K42" s="1263"/>
      <c r="L42" s="1263"/>
      <c r="M42" s="1263"/>
      <c r="N42" s="1263"/>
      <c r="O42" s="1263"/>
      <c r="P42" s="1263"/>
      <c r="Q42" s="1264"/>
      <c r="R42" s="1265"/>
      <c r="S42" s="1263"/>
      <c r="T42" s="1264"/>
      <c r="U42" s="1263"/>
      <c r="V42" s="1264"/>
      <c r="W42" s="1265"/>
      <c r="X42" s="1265"/>
      <c r="Y42" s="1265"/>
      <c r="Z42" s="1265"/>
      <c r="AA42" s="1265"/>
      <c r="AB42" s="1265"/>
      <c r="AC42" s="1265"/>
      <c r="AD42" s="1265"/>
      <c r="AE42" s="1265"/>
      <c r="AF42" s="1265"/>
      <c r="AG42" s="1265"/>
      <c r="AH42" s="1265"/>
      <c r="AI42" s="1265"/>
      <c r="AJ42" s="1265"/>
      <c r="AK42" s="1265"/>
      <c r="AL42" s="1265"/>
      <c r="AM42" s="1265"/>
      <c r="AN42" s="1265"/>
      <c r="AO42" s="1265"/>
      <c r="AP42" s="1265"/>
    </row>
    <row r="43" spans="2:45">
      <c r="B43" s="461"/>
      <c r="E43" s="1029" t="s">
        <v>216</v>
      </c>
      <c r="F43" s="1266">
        <f t="shared" ref="F43:AP43" si="1">IFERROR(MAX(F11:F40),"")</f>
        <v>0</v>
      </c>
      <c r="G43" s="1266">
        <f t="shared" si="1"/>
        <v>0</v>
      </c>
      <c r="H43" s="1266">
        <f t="shared" si="1"/>
        <v>0</v>
      </c>
      <c r="I43" s="1266">
        <f t="shared" si="1"/>
        <v>0</v>
      </c>
      <c r="J43" s="1266">
        <f t="shared" si="1"/>
        <v>0</v>
      </c>
      <c r="K43" s="1266">
        <f t="shared" si="1"/>
        <v>0</v>
      </c>
      <c r="L43" s="1266">
        <f t="shared" si="1"/>
        <v>0</v>
      </c>
      <c r="M43" s="1266">
        <f t="shared" si="1"/>
        <v>0</v>
      </c>
      <c r="N43" s="1266">
        <f t="shared" si="1"/>
        <v>0</v>
      </c>
      <c r="O43" s="1266">
        <f t="shared" si="1"/>
        <v>0</v>
      </c>
      <c r="P43" s="1266">
        <f t="shared" si="1"/>
        <v>0</v>
      </c>
      <c r="Q43" s="1266">
        <f t="shared" si="1"/>
        <v>0</v>
      </c>
      <c r="R43" s="1156">
        <f t="shared" si="1"/>
        <v>0</v>
      </c>
      <c r="S43" s="1266">
        <f t="shared" si="1"/>
        <v>0</v>
      </c>
      <c r="T43" s="1266">
        <f t="shared" si="1"/>
        <v>0</v>
      </c>
      <c r="U43" s="1266">
        <f t="shared" si="1"/>
        <v>0</v>
      </c>
      <c r="V43" s="1266">
        <f t="shared" si="1"/>
        <v>0</v>
      </c>
      <c r="W43" s="1156">
        <f t="shared" si="1"/>
        <v>0</v>
      </c>
      <c r="X43" s="1156">
        <f t="shared" si="1"/>
        <v>0</v>
      </c>
      <c r="Y43" s="1156">
        <f t="shared" si="1"/>
        <v>0</v>
      </c>
      <c r="Z43" s="1156">
        <f t="shared" si="1"/>
        <v>0</v>
      </c>
      <c r="AA43" s="1156">
        <f t="shared" si="1"/>
        <v>0</v>
      </c>
      <c r="AB43" s="1156">
        <f t="shared" si="1"/>
        <v>0</v>
      </c>
      <c r="AC43" s="1156">
        <f t="shared" si="1"/>
        <v>0</v>
      </c>
      <c r="AD43" s="1156">
        <f t="shared" si="1"/>
        <v>0</v>
      </c>
      <c r="AE43" s="1156">
        <f t="shared" si="1"/>
        <v>0</v>
      </c>
      <c r="AF43" s="1156">
        <f t="shared" si="1"/>
        <v>0</v>
      </c>
      <c r="AG43" s="1156">
        <f t="shared" si="1"/>
        <v>0</v>
      </c>
      <c r="AH43" s="1156">
        <f t="shared" si="1"/>
        <v>0</v>
      </c>
      <c r="AI43" s="1156">
        <f t="shared" si="1"/>
        <v>0</v>
      </c>
      <c r="AJ43" s="1156">
        <f t="shared" si="1"/>
        <v>0</v>
      </c>
      <c r="AK43" s="1156">
        <f t="shared" si="1"/>
        <v>0</v>
      </c>
      <c r="AL43" s="1156">
        <f t="shared" si="1"/>
        <v>0</v>
      </c>
      <c r="AM43" s="1156">
        <f t="shared" si="1"/>
        <v>0</v>
      </c>
      <c r="AN43" s="1156">
        <f t="shared" si="1"/>
        <v>0</v>
      </c>
      <c r="AO43" s="1156">
        <f t="shared" si="1"/>
        <v>0</v>
      </c>
      <c r="AP43" s="1156">
        <f t="shared" si="1"/>
        <v>0</v>
      </c>
    </row>
    <row r="44" spans="2:45">
      <c r="B44" s="461"/>
      <c r="E44" s="1035" t="s">
        <v>1479</v>
      </c>
      <c r="F44" s="1267">
        <f t="shared" ref="F44:AP44" si="2">IFERROR(QUARTILE(F11:F40,3),"")</f>
        <v>0</v>
      </c>
      <c r="G44" s="1267">
        <f t="shared" si="2"/>
        <v>0</v>
      </c>
      <c r="H44" s="1267">
        <f t="shared" si="2"/>
        <v>0</v>
      </c>
      <c r="I44" s="1267">
        <f t="shared" si="2"/>
        <v>0</v>
      </c>
      <c r="J44" s="1267">
        <f t="shared" si="2"/>
        <v>0</v>
      </c>
      <c r="K44" s="1267">
        <f t="shared" si="2"/>
        <v>0</v>
      </c>
      <c r="L44" s="1267">
        <f t="shared" si="2"/>
        <v>0</v>
      </c>
      <c r="M44" s="1267">
        <f t="shared" si="2"/>
        <v>0</v>
      </c>
      <c r="N44" s="1267">
        <f t="shared" si="2"/>
        <v>0</v>
      </c>
      <c r="O44" s="1267">
        <f t="shared" si="2"/>
        <v>0</v>
      </c>
      <c r="P44" s="1267">
        <f t="shared" si="2"/>
        <v>0</v>
      </c>
      <c r="Q44" s="1267">
        <f t="shared" si="2"/>
        <v>0</v>
      </c>
      <c r="R44" s="1158">
        <f t="shared" si="2"/>
        <v>0</v>
      </c>
      <c r="S44" s="1267">
        <f t="shared" si="2"/>
        <v>0</v>
      </c>
      <c r="T44" s="1267">
        <f t="shared" si="2"/>
        <v>0</v>
      </c>
      <c r="U44" s="1267">
        <f t="shared" si="2"/>
        <v>0</v>
      </c>
      <c r="V44" s="1267">
        <f t="shared" si="2"/>
        <v>0</v>
      </c>
      <c r="W44" s="1158">
        <f t="shared" si="2"/>
        <v>0</v>
      </c>
      <c r="X44" s="1158">
        <f t="shared" si="2"/>
        <v>0</v>
      </c>
      <c r="Y44" s="1158">
        <f t="shared" si="2"/>
        <v>0</v>
      </c>
      <c r="Z44" s="1158">
        <f t="shared" si="2"/>
        <v>0</v>
      </c>
      <c r="AA44" s="1158">
        <f t="shared" si="2"/>
        <v>0</v>
      </c>
      <c r="AB44" s="1158">
        <f t="shared" si="2"/>
        <v>0</v>
      </c>
      <c r="AC44" s="1158">
        <f t="shared" si="2"/>
        <v>0</v>
      </c>
      <c r="AD44" s="1158">
        <f t="shared" si="2"/>
        <v>0</v>
      </c>
      <c r="AE44" s="1158">
        <f t="shared" si="2"/>
        <v>0</v>
      </c>
      <c r="AF44" s="1158">
        <f t="shared" si="2"/>
        <v>0</v>
      </c>
      <c r="AG44" s="1158">
        <f t="shared" si="2"/>
        <v>0</v>
      </c>
      <c r="AH44" s="1158">
        <f t="shared" si="2"/>
        <v>0</v>
      </c>
      <c r="AI44" s="1158">
        <f t="shared" si="2"/>
        <v>0</v>
      </c>
      <c r="AJ44" s="1158">
        <f t="shared" si="2"/>
        <v>0</v>
      </c>
      <c r="AK44" s="1158">
        <f t="shared" si="2"/>
        <v>0</v>
      </c>
      <c r="AL44" s="1158">
        <f t="shared" si="2"/>
        <v>0</v>
      </c>
      <c r="AM44" s="1158">
        <f t="shared" si="2"/>
        <v>0</v>
      </c>
      <c r="AN44" s="1158">
        <f t="shared" si="2"/>
        <v>0</v>
      </c>
      <c r="AO44" s="1158">
        <f t="shared" si="2"/>
        <v>0</v>
      </c>
      <c r="AP44" s="1158">
        <f t="shared" si="2"/>
        <v>0</v>
      </c>
    </row>
    <row r="45" spans="2:45">
      <c r="B45" s="461"/>
      <c r="E45" s="1035" t="s">
        <v>1380</v>
      </c>
      <c r="F45" s="1267">
        <f t="shared" ref="F45:AP45" si="3">IFERROR(AVERAGE(F11:F40),"")</f>
        <v>0</v>
      </c>
      <c r="G45" s="1267">
        <f t="shared" si="3"/>
        <v>0</v>
      </c>
      <c r="H45" s="1267">
        <f t="shared" si="3"/>
        <v>0</v>
      </c>
      <c r="I45" s="1267">
        <f>IFERROR(AVERAGE(I11:I40),"")</f>
        <v>0</v>
      </c>
      <c r="J45" s="1267">
        <f t="shared" si="3"/>
        <v>0</v>
      </c>
      <c r="K45" s="1267">
        <f t="shared" si="3"/>
        <v>0</v>
      </c>
      <c r="L45" s="1267">
        <f t="shared" si="3"/>
        <v>0</v>
      </c>
      <c r="M45" s="1267">
        <f t="shared" si="3"/>
        <v>0</v>
      </c>
      <c r="N45" s="1267">
        <f t="shared" si="3"/>
        <v>0</v>
      </c>
      <c r="O45" s="1267">
        <f t="shared" si="3"/>
        <v>0</v>
      </c>
      <c r="P45" s="1267">
        <f t="shared" si="3"/>
        <v>0</v>
      </c>
      <c r="Q45" s="1267">
        <f t="shared" si="3"/>
        <v>0</v>
      </c>
      <c r="R45" s="1158">
        <f t="shared" si="3"/>
        <v>0</v>
      </c>
      <c r="S45" s="1267">
        <f t="shared" si="3"/>
        <v>0</v>
      </c>
      <c r="T45" s="1267">
        <f t="shared" si="3"/>
        <v>0</v>
      </c>
      <c r="U45" s="1267">
        <f t="shared" si="3"/>
        <v>0</v>
      </c>
      <c r="V45" s="1267">
        <f t="shared" si="3"/>
        <v>0</v>
      </c>
      <c r="W45" s="1158">
        <f t="shared" si="3"/>
        <v>0</v>
      </c>
      <c r="X45" s="1158">
        <f t="shared" si="3"/>
        <v>0</v>
      </c>
      <c r="Y45" s="1158">
        <f t="shared" si="3"/>
        <v>0</v>
      </c>
      <c r="Z45" s="1158">
        <f t="shared" si="3"/>
        <v>0</v>
      </c>
      <c r="AA45" s="1158">
        <f t="shared" si="3"/>
        <v>0</v>
      </c>
      <c r="AB45" s="1158">
        <f t="shared" si="3"/>
        <v>0</v>
      </c>
      <c r="AC45" s="1158">
        <f t="shared" si="3"/>
        <v>0</v>
      </c>
      <c r="AD45" s="1158">
        <f t="shared" si="3"/>
        <v>0</v>
      </c>
      <c r="AE45" s="1158">
        <f t="shared" si="3"/>
        <v>0</v>
      </c>
      <c r="AF45" s="1158">
        <f t="shared" si="3"/>
        <v>0</v>
      </c>
      <c r="AG45" s="1158">
        <f t="shared" si="3"/>
        <v>0</v>
      </c>
      <c r="AH45" s="1158">
        <f t="shared" si="3"/>
        <v>0</v>
      </c>
      <c r="AI45" s="1158">
        <f t="shared" si="3"/>
        <v>0</v>
      </c>
      <c r="AJ45" s="1158">
        <f t="shared" si="3"/>
        <v>0</v>
      </c>
      <c r="AK45" s="1158">
        <f t="shared" si="3"/>
        <v>0</v>
      </c>
      <c r="AL45" s="1158">
        <f t="shared" si="3"/>
        <v>0</v>
      </c>
      <c r="AM45" s="1158">
        <f t="shared" si="3"/>
        <v>0</v>
      </c>
      <c r="AN45" s="1158">
        <f t="shared" si="3"/>
        <v>0</v>
      </c>
      <c r="AO45" s="1158">
        <f t="shared" si="3"/>
        <v>0</v>
      </c>
      <c r="AP45" s="1158">
        <f t="shared" si="3"/>
        <v>0</v>
      </c>
    </row>
    <row r="46" spans="2:45">
      <c r="B46" s="461"/>
      <c r="E46" s="1041" t="s">
        <v>1381</v>
      </c>
      <c r="F46" s="1268">
        <f t="shared" ref="F46:AP46" si="4">IFERROR(MEDIAN(F11:F40),"")</f>
        <v>0</v>
      </c>
      <c r="G46" s="1268">
        <f t="shared" si="4"/>
        <v>0</v>
      </c>
      <c r="H46" s="1268">
        <f t="shared" si="4"/>
        <v>0</v>
      </c>
      <c r="I46" s="1268">
        <f t="shared" si="4"/>
        <v>0</v>
      </c>
      <c r="J46" s="1268">
        <f t="shared" si="4"/>
        <v>0</v>
      </c>
      <c r="K46" s="1268">
        <f t="shared" si="4"/>
        <v>0</v>
      </c>
      <c r="L46" s="1268">
        <f t="shared" si="4"/>
        <v>0</v>
      </c>
      <c r="M46" s="1268">
        <f t="shared" si="4"/>
        <v>0</v>
      </c>
      <c r="N46" s="1268">
        <f t="shared" si="4"/>
        <v>0</v>
      </c>
      <c r="O46" s="1268">
        <f t="shared" si="4"/>
        <v>0</v>
      </c>
      <c r="P46" s="1268">
        <f t="shared" si="4"/>
        <v>0</v>
      </c>
      <c r="Q46" s="1268">
        <f t="shared" si="4"/>
        <v>0</v>
      </c>
      <c r="R46" s="1120">
        <f t="shared" si="4"/>
        <v>0</v>
      </c>
      <c r="S46" s="1268">
        <f t="shared" si="4"/>
        <v>0</v>
      </c>
      <c r="T46" s="1268">
        <f t="shared" si="4"/>
        <v>0</v>
      </c>
      <c r="U46" s="1268">
        <f t="shared" si="4"/>
        <v>0</v>
      </c>
      <c r="V46" s="1268">
        <f t="shared" si="4"/>
        <v>0</v>
      </c>
      <c r="W46" s="1120">
        <f t="shared" si="4"/>
        <v>0</v>
      </c>
      <c r="X46" s="1120">
        <f t="shared" si="4"/>
        <v>0</v>
      </c>
      <c r="Y46" s="1120">
        <f t="shared" si="4"/>
        <v>0</v>
      </c>
      <c r="Z46" s="1120">
        <f t="shared" si="4"/>
        <v>0</v>
      </c>
      <c r="AA46" s="1120">
        <f t="shared" si="4"/>
        <v>0</v>
      </c>
      <c r="AB46" s="1120">
        <f t="shared" si="4"/>
        <v>0</v>
      </c>
      <c r="AC46" s="1120">
        <f t="shared" si="4"/>
        <v>0</v>
      </c>
      <c r="AD46" s="1120">
        <f t="shared" si="4"/>
        <v>0</v>
      </c>
      <c r="AE46" s="1120">
        <f t="shared" si="4"/>
        <v>0</v>
      </c>
      <c r="AF46" s="1120">
        <f t="shared" si="4"/>
        <v>0</v>
      </c>
      <c r="AG46" s="1120">
        <f t="shared" si="4"/>
        <v>0</v>
      </c>
      <c r="AH46" s="1120">
        <f t="shared" si="4"/>
        <v>0</v>
      </c>
      <c r="AI46" s="1120">
        <f t="shared" si="4"/>
        <v>0</v>
      </c>
      <c r="AJ46" s="1120">
        <f t="shared" si="4"/>
        <v>0</v>
      </c>
      <c r="AK46" s="1120">
        <f t="shared" si="4"/>
        <v>0</v>
      </c>
      <c r="AL46" s="1120">
        <f t="shared" si="4"/>
        <v>0</v>
      </c>
      <c r="AM46" s="1120">
        <f t="shared" si="4"/>
        <v>0</v>
      </c>
      <c r="AN46" s="1120">
        <f t="shared" si="4"/>
        <v>0</v>
      </c>
      <c r="AO46" s="1120">
        <f t="shared" si="4"/>
        <v>0</v>
      </c>
      <c r="AP46" s="1120">
        <f t="shared" si="4"/>
        <v>0</v>
      </c>
    </row>
    <row r="47" spans="2:45">
      <c r="B47" s="461"/>
      <c r="E47" s="1035" t="s">
        <v>1480</v>
      </c>
      <c r="F47" s="1267">
        <f t="shared" ref="F47:AP47" si="5">IFERROR(QUARTILE(F11:F40,1),"")</f>
        <v>0</v>
      </c>
      <c r="G47" s="1267">
        <f t="shared" si="5"/>
        <v>0</v>
      </c>
      <c r="H47" s="1267">
        <f t="shared" si="5"/>
        <v>0</v>
      </c>
      <c r="I47" s="1267">
        <f t="shared" si="5"/>
        <v>0</v>
      </c>
      <c r="J47" s="1267">
        <f t="shared" si="5"/>
        <v>0</v>
      </c>
      <c r="K47" s="1267">
        <f t="shared" si="5"/>
        <v>0</v>
      </c>
      <c r="L47" s="1267">
        <f t="shared" si="5"/>
        <v>0</v>
      </c>
      <c r="M47" s="1267">
        <f t="shared" si="5"/>
        <v>0</v>
      </c>
      <c r="N47" s="1267">
        <f t="shared" si="5"/>
        <v>0</v>
      </c>
      <c r="O47" s="1267">
        <f t="shared" si="5"/>
        <v>0</v>
      </c>
      <c r="P47" s="1267">
        <f t="shared" si="5"/>
        <v>0</v>
      </c>
      <c r="Q47" s="1267">
        <f t="shared" si="5"/>
        <v>0</v>
      </c>
      <c r="R47" s="1158">
        <f t="shared" si="5"/>
        <v>0</v>
      </c>
      <c r="S47" s="1267">
        <f t="shared" si="5"/>
        <v>0</v>
      </c>
      <c r="T47" s="1267">
        <f t="shared" si="5"/>
        <v>0</v>
      </c>
      <c r="U47" s="1267">
        <f t="shared" si="5"/>
        <v>0</v>
      </c>
      <c r="V47" s="1267">
        <f t="shared" si="5"/>
        <v>0</v>
      </c>
      <c r="W47" s="1158">
        <f t="shared" si="5"/>
        <v>0</v>
      </c>
      <c r="X47" s="1158">
        <f t="shared" si="5"/>
        <v>0</v>
      </c>
      <c r="Y47" s="1158">
        <f t="shared" si="5"/>
        <v>0</v>
      </c>
      <c r="Z47" s="1158">
        <f t="shared" si="5"/>
        <v>0</v>
      </c>
      <c r="AA47" s="1158">
        <f t="shared" si="5"/>
        <v>0</v>
      </c>
      <c r="AB47" s="1158">
        <f t="shared" si="5"/>
        <v>0</v>
      </c>
      <c r="AC47" s="1158">
        <f t="shared" si="5"/>
        <v>0</v>
      </c>
      <c r="AD47" s="1158">
        <f t="shared" si="5"/>
        <v>0</v>
      </c>
      <c r="AE47" s="1158">
        <f t="shared" si="5"/>
        <v>0</v>
      </c>
      <c r="AF47" s="1158">
        <f t="shared" si="5"/>
        <v>0</v>
      </c>
      <c r="AG47" s="1158">
        <f t="shared" si="5"/>
        <v>0</v>
      </c>
      <c r="AH47" s="1158">
        <f t="shared" si="5"/>
        <v>0</v>
      </c>
      <c r="AI47" s="1158">
        <f t="shared" si="5"/>
        <v>0</v>
      </c>
      <c r="AJ47" s="1158">
        <f t="shared" si="5"/>
        <v>0</v>
      </c>
      <c r="AK47" s="1158">
        <f t="shared" si="5"/>
        <v>0</v>
      </c>
      <c r="AL47" s="1158">
        <f t="shared" si="5"/>
        <v>0</v>
      </c>
      <c r="AM47" s="1158">
        <f t="shared" si="5"/>
        <v>0</v>
      </c>
      <c r="AN47" s="1158">
        <f t="shared" si="5"/>
        <v>0</v>
      </c>
      <c r="AO47" s="1158">
        <f t="shared" si="5"/>
        <v>0</v>
      </c>
      <c r="AP47" s="1158">
        <f t="shared" si="5"/>
        <v>0</v>
      </c>
    </row>
    <row r="48" spans="2:45" s="1269" customFormat="1">
      <c r="C48" s="1270"/>
      <c r="E48" s="1046" t="s">
        <v>215</v>
      </c>
      <c r="F48" s="1271">
        <f t="shared" ref="F48:AP48" si="6">IFERROR(MIN(F11:F40),"")</f>
        <v>0</v>
      </c>
      <c r="G48" s="1271">
        <f t="shared" si="6"/>
        <v>0</v>
      </c>
      <c r="H48" s="1271">
        <f t="shared" si="6"/>
        <v>0</v>
      </c>
      <c r="I48" s="1271">
        <f t="shared" si="6"/>
        <v>0</v>
      </c>
      <c r="J48" s="1271">
        <f t="shared" si="6"/>
        <v>0</v>
      </c>
      <c r="K48" s="1271">
        <f t="shared" si="6"/>
        <v>0</v>
      </c>
      <c r="L48" s="1271">
        <f t="shared" si="6"/>
        <v>0</v>
      </c>
      <c r="M48" s="1271">
        <f t="shared" si="6"/>
        <v>0</v>
      </c>
      <c r="N48" s="1271">
        <f t="shared" si="6"/>
        <v>0</v>
      </c>
      <c r="O48" s="1271">
        <f t="shared" si="6"/>
        <v>0</v>
      </c>
      <c r="P48" s="1271">
        <f t="shared" si="6"/>
        <v>0</v>
      </c>
      <c r="Q48" s="1271">
        <f t="shared" si="6"/>
        <v>0</v>
      </c>
      <c r="R48" s="1160">
        <f t="shared" si="6"/>
        <v>0</v>
      </c>
      <c r="S48" s="1271">
        <f t="shared" si="6"/>
        <v>0</v>
      </c>
      <c r="T48" s="1271">
        <f t="shared" si="6"/>
        <v>0</v>
      </c>
      <c r="U48" s="1271">
        <f t="shared" si="6"/>
        <v>0</v>
      </c>
      <c r="V48" s="1271">
        <f t="shared" si="6"/>
        <v>0</v>
      </c>
      <c r="W48" s="1160">
        <f t="shared" si="6"/>
        <v>0</v>
      </c>
      <c r="X48" s="1160">
        <f t="shared" si="6"/>
        <v>0</v>
      </c>
      <c r="Y48" s="1160">
        <f t="shared" si="6"/>
        <v>0</v>
      </c>
      <c r="Z48" s="1160">
        <f t="shared" si="6"/>
        <v>0</v>
      </c>
      <c r="AA48" s="1160">
        <f t="shared" si="6"/>
        <v>0</v>
      </c>
      <c r="AB48" s="1160">
        <f t="shared" si="6"/>
        <v>0</v>
      </c>
      <c r="AC48" s="1160">
        <f t="shared" si="6"/>
        <v>0</v>
      </c>
      <c r="AD48" s="1160">
        <f t="shared" si="6"/>
        <v>0</v>
      </c>
      <c r="AE48" s="1160">
        <f t="shared" si="6"/>
        <v>0</v>
      </c>
      <c r="AF48" s="1160">
        <f t="shared" si="6"/>
        <v>0</v>
      </c>
      <c r="AG48" s="1160">
        <f t="shared" si="6"/>
        <v>0</v>
      </c>
      <c r="AH48" s="1160">
        <f t="shared" si="6"/>
        <v>0</v>
      </c>
      <c r="AI48" s="1160">
        <f t="shared" si="6"/>
        <v>0</v>
      </c>
      <c r="AJ48" s="1160">
        <f t="shared" si="6"/>
        <v>0</v>
      </c>
      <c r="AK48" s="1160">
        <f t="shared" si="6"/>
        <v>0</v>
      </c>
      <c r="AL48" s="1160">
        <f t="shared" si="6"/>
        <v>0</v>
      </c>
      <c r="AM48" s="1160">
        <f t="shared" si="6"/>
        <v>0</v>
      </c>
      <c r="AN48" s="1160">
        <f t="shared" si="6"/>
        <v>0</v>
      </c>
      <c r="AO48" s="1160">
        <f t="shared" si="6"/>
        <v>0</v>
      </c>
      <c r="AP48" s="1160">
        <f t="shared" si="6"/>
        <v>0</v>
      </c>
    </row>
    <row r="49" spans="2:43">
      <c r="B49" s="462"/>
      <c r="C49" s="127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462"/>
      <c r="AG49" s="462"/>
      <c r="AH49" s="462"/>
      <c r="AI49" s="462"/>
      <c r="AJ49" s="462"/>
      <c r="AK49" s="462"/>
      <c r="AL49" s="462"/>
      <c r="AM49" s="462"/>
      <c r="AN49" s="462"/>
      <c r="AO49" s="462"/>
      <c r="AP49" s="462"/>
      <c r="AQ49" s="462"/>
    </row>
    <row r="50" spans="2:43" s="1276" customFormat="1">
      <c r="B50" s="1273"/>
      <c r="C50" s="1274"/>
      <c r="D50" s="1273"/>
      <c r="E50" s="703" t="s">
        <v>1382</v>
      </c>
      <c r="F50" s="1275"/>
      <c r="G50" s="1273"/>
      <c r="H50" s="1273"/>
      <c r="I50" s="1273"/>
      <c r="J50" s="1273"/>
      <c r="K50" s="1273"/>
      <c r="L50" s="1273"/>
      <c r="M50" s="1273"/>
      <c r="N50" s="1273"/>
      <c r="O50" s="1273"/>
      <c r="P50" s="1273"/>
      <c r="Q50" s="1273"/>
      <c r="R50" s="1273"/>
      <c r="S50" s="1273"/>
      <c r="T50" s="1273"/>
      <c r="U50" s="1273"/>
      <c r="V50" s="1273"/>
      <c r="W50" s="1273"/>
      <c r="X50" s="1273"/>
      <c r="Y50" s="1273"/>
      <c r="Z50" s="1273"/>
      <c r="AA50" s="1273"/>
      <c r="AB50" s="1273"/>
      <c r="AC50" s="1273"/>
      <c r="AD50" s="1273"/>
      <c r="AE50" s="1273"/>
      <c r="AF50" s="1273"/>
      <c r="AG50" s="1273"/>
      <c r="AH50" s="1273"/>
      <c r="AI50" s="1273"/>
      <c r="AJ50" s="1273"/>
      <c r="AK50" s="1273"/>
      <c r="AL50" s="1273"/>
      <c r="AM50" s="1273"/>
      <c r="AN50" s="1273"/>
      <c r="AO50" s="1273"/>
      <c r="AP50" s="1273"/>
      <c r="AQ50" s="1273"/>
    </row>
    <row r="51" spans="2:43">
      <c r="C51" s="1277"/>
      <c r="E51" s="1029" t="s">
        <v>216</v>
      </c>
      <c r="F51" s="1266">
        <f t="array" ref="F51">IFERROR(MAX(IF($AS$11:$AS$40="No",F11:F40)),"")</f>
        <v>0</v>
      </c>
      <c r="G51" s="1266">
        <f t="array" ref="G51">IFERROR(MAX(IF($AS$11:$AS$40="No",G11:G40)),"")</f>
        <v>0</v>
      </c>
      <c r="H51" s="1266">
        <f t="array" ref="H51">IFERROR(MAX(IF($AS$11:$AS$40="No",H11:H40)),"")</f>
        <v>0</v>
      </c>
      <c r="I51" s="1266">
        <f t="array" ref="I51">IFERROR(MAX(IF($AS$11:$AS$40="No",I11:I40)),"")</f>
        <v>0</v>
      </c>
      <c r="J51" s="1266">
        <f t="array" ref="J51">IFERROR(MAX(IF($AS$11:$AS$40="No",J11:J40)),"")</f>
        <v>0</v>
      </c>
      <c r="K51" s="1266">
        <f t="array" ref="K51">IFERROR(MAX(IF($AS$11:$AS$40="No",K11:K40)),"")</f>
        <v>0</v>
      </c>
      <c r="L51" s="1266">
        <f t="array" ref="L51">IFERROR(MAX(IF($AS$11:$AS$40="No",L11:L40)),"")</f>
        <v>0</v>
      </c>
      <c r="M51" s="1266">
        <f t="array" ref="M51">IFERROR(MAX(IF($AS$11:$AS$40="No",M11:M40)),"")</f>
        <v>0</v>
      </c>
      <c r="N51" s="1266">
        <f t="array" ref="N51">IFERROR(MAX(IF($AS$11:$AS$40="No",N11:N40)),"")</f>
        <v>0</v>
      </c>
      <c r="O51" s="1266">
        <f t="array" ref="O51">IFERROR(MAX(IF($AS$11:$AS$40="No",O11:O40)),"")</f>
        <v>0</v>
      </c>
      <c r="P51" s="1266">
        <f t="array" ref="P51">IFERROR(MAX(IF($AS$11:$AS$40="No",P11:P40)),"")</f>
        <v>0</v>
      </c>
      <c r="Q51" s="1266">
        <f t="array" ref="Q51">IFERROR(MAX(IF($AS$11:$AS$40="No",Q11:Q40)),"")</f>
        <v>0</v>
      </c>
      <c r="R51" s="1156">
        <f t="array" ref="R51">IFERROR(MAX(IF($AS$11:$AS$40="No",R11:R40)),"")</f>
        <v>0</v>
      </c>
      <c r="S51" s="1266">
        <f t="array" ref="S51">IFERROR(MAX(IF($AS$11:$AS$40="No",S11:S40)),"")</f>
        <v>0</v>
      </c>
      <c r="T51" s="1266">
        <f t="array" ref="T51">IFERROR(MAX(IF($AS$11:$AS$40="No",T11:T40)),"")</f>
        <v>0</v>
      </c>
      <c r="U51" s="1266">
        <f t="array" ref="U51">IFERROR(MAX(IF($AS$11:$AS$40="No",U11:U40)),"")</f>
        <v>0</v>
      </c>
      <c r="V51" s="1266">
        <f t="array" ref="V51">IFERROR(MAX(IF($AS$11:$AS$40="No",V11:V40)),"")</f>
        <v>0</v>
      </c>
      <c r="W51" s="1156">
        <f t="array" ref="W51">IFERROR(MAX(IF($AS$11:$AS$40="No",W11:W40)),"")</f>
        <v>0</v>
      </c>
      <c r="X51" s="1156">
        <f t="array" ref="X51">IFERROR(MAX(IF($AS$11:$AS$40="No",X11:X40)),"")</f>
        <v>0</v>
      </c>
      <c r="Y51" s="1156">
        <f t="array" ref="Y51">IFERROR(MAX(IF($AS$11:$AS$40="No",Y11:Y40)),"")</f>
        <v>0</v>
      </c>
      <c r="Z51" s="1156">
        <f t="array" ref="Z51">IFERROR(MAX(IF($AS$11:$AS$40="No",Z11:Z40)),"")</f>
        <v>0</v>
      </c>
      <c r="AA51" s="1156">
        <f t="array" ref="AA51">IFERROR(MAX(IF($AS$11:$AS$40="No",AA11:AA40)),"")</f>
        <v>0</v>
      </c>
      <c r="AB51" s="1156">
        <f t="array" ref="AB51">IFERROR(MAX(IF($AS$11:$AS$40="No",AB11:AB40)),"")</f>
        <v>0</v>
      </c>
      <c r="AC51" s="1156">
        <f t="array" ref="AC51">IFERROR(MAX(IF($AS$11:$AS$40="No",AC11:AC40)),"")</f>
        <v>0</v>
      </c>
      <c r="AD51" s="1156">
        <f t="array" ref="AD51">IFERROR(MAX(IF($AS$11:$AS$40="No",AD11:AD40)),"")</f>
        <v>0</v>
      </c>
      <c r="AE51" s="1156">
        <f t="array" ref="AE51">IFERROR(MAX(IF($AS$11:$AS$40="No",AE11:AE40)),"")</f>
        <v>0</v>
      </c>
      <c r="AF51" s="1156">
        <f t="array" ref="AF51">IFERROR(MAX(IF($AS$11:$AS$40="No",AF11:AF40)),"")</f>
        <v>0</v>
      </c>
      <c r="AG51" s="1156">
        <f t="array" ref="AG51">IFERROR(MAX(IF($AS$11:$AS$40="No",AG11:AG40)),"")</f>
        <v>0</v>
      </c>
      <c r="AH51" s="1156">
        <f t="array" ref="AH51">IFERROR(MAX(IF($AS$11:$AS$40="No",AH11:AH40)),"")</f>
        <v>0</v>
      </c>
      <c r="AI51" s="1156">
        <f t="array" ref="AI51">IFERROR(MAX(IF($AS$11:$AS$40="No",AI11:AI40)),"")</f>
        <v>0</v>
      </c>
      <c r="AJ51" s="1156">
        <f t="array" ref="AJ51">IFERROR(MAX(IF($AS$11:$AS$40="No",AJ11:AJ40)),"")</f>
        <v>0</v>
      </c>
      <c r="AK51" s="1156">
        <f t="array" ref="AK51">IFERROR(MAX(IF($AS$11:$AS$40="No",AK11:AK40)),"")</f>
        <v>0</v>
      </c>
      <c r="AL51" s="1156">
        <f t="array" ref="AL51">IFERROR(MAX(IF($AS$11:$AS$40="No",AL11:AL40)),"")</f>
        <v>0</v>
      </c>
      <c r="AM51" s="1156">
        <f t="array" ref="AM51">IFERROR(MAX(IF($AS$11:$AS$40="No",AM11:AM40)),"")</f>
        <v>0</v>
      </c>
      <c r="AN51" s="1156">
        <f t="array" ref="AN51">IFERROR(MAX(IF($AS$11:$AS$40="No",AN11:AN40)),"")</f>
        <v>0</v>
      </c>
      <c r="AO51" s="1156">
        <f t="array" ref="AO51">IFERROR(MAX(IF($AS$11:$AS$40="No",AO11:AO40)),"")</f>
        <v>0</v>
      </c>
      <c r="AP51" s="1156">
        <f t="array" ref="AP51">IFERROR(MAX(IF($AS$11:$AS$40="No",AP11:AP40)),"")</f>
        <v>0</v>
      </c>
    </row>
    <row r="52" spans="2:43">
      <c r="C52" s="1277"/>
      <c r="E52" s="1035" t="s">
        <v>1479</v>
      </c>
      <c r="F52" s="1267">
        <f t="array" ref="F52">IFERROR(PERCENTILE(IF($AS$11:$AS$40="No",F11:F40),0.75),"")</f>
        <v>0</v>
      </c>
      <c r="G52" s="1267">
        <f t="array" ref="G52">IFERROR(PERCENTILE(IF($AS$11:$AS$40="No",G11:G40),0.75),"")</f>
        <v>0</v>
      </c>
      <c r="H52" s="1267">
        <f t="array" ref="H52">IFERROR(PERCENTILE(IF($AS$11:$AS$40="No",H11:H40),0.75),"")</f>
        <v>0</v>
      </c>
      <c r="I52" s="1267">
        <f t="array" ref="I52">IFERROR(PERCENTILE(IF($AS$11:$AS$40="No",I11:I40),0.75),"")</f>
        <v>0</v>
      </c>
      <c r="J52" s="1267">
        <f t="array" ref="J52">IFERROR(PERCENTILE(IF($AS$11:$AS$40="No",J11:J40),0.75),"")</f>
        <v>0</v>
      </c>
      <c r="K52" s="1267">
        <f t="array" ref="K52">IFERROR(PERCENTILE(IF($AS$11:$AS$40="No",K11:K40),0.75),"")</f>
        <v>0</v>
      </c>
      <c r="L52" s="1267">
        <f t="array" ref="L52">IFERROR(PERCENTILE(IF($AS$11:$AS$40="No",L11:L40),0.75),"")</f>
        <v>0</v>
      </c>
      <c r="M52" s="1267">
        <f t="array" ref="M52">IFERROR(PERCENTILE(IF($AS$11:$AS$40="No",M11:M40),0.75),"")</f>
        <v>0</v>
      </c>
      <c r="N52" s="1267">
        <f t="array" ref="N52">IFERROR(PERCENTILE(IF($AS$11:$AS$40="No",N11:N40),0.75),"")</f>
        <v>0</v>
      </c>
      <c r="O52" s="1267">
        <f t="array" ref="O52">IFERROR(PERCENTILE(IF($AS$11:$AS$40="No",O11:O40),0.75),"")</f>
        <v>0</v>
      </c>
      <c r="P52" s="1267">
        <f t="array" ref="P52">IFERROR(PERCENTILE(IF($AS$11:$AS$40="No",P11:P40),0.75),"")</f>
        <v>0</v>
      </c>
      <c r="Q52" s="1267">
        <f t="array" ref="Q52">IFERROR(PERCENTILE(IF($AS$11:$AS$40="No",Q11:Q40),0.75),"")</f>
        <v>0</v>
      </c>
      <c r="R52" s="1158">
        <f t="array" ref="R52">IFERROR(PERCENTILE(IF($AS$11:$AS$40="No",R11:R40),0.75),"")</f>
        <v>0</v>
      </c>
      <c r="S52" s="1267">
        <f t="array" ref="S52">IFERROR(PERCENTILE(IF($AS$11:$AS$40="No",S11:S40),0.75),"")</f>
        <v>0</v>
      </c>
      <c r="T52" s="1267" cm="1">
        <f t="array" ref="T52">IFERROR(PERCENTILE(IF($AS$11:$AS$40="No",T11:T40),0.75),"")</f>
        <v>0</v>
      </c>
      <c r="U52" s="1267">
        <f t="array" ref="U52">IFERROR(PERCENTILE(IF($AS$11:$AS$40="No",U11:U40),0.75),"")</f>
        <v>0</v>
      </c>
      <c r="V52" s="1267">
        <f t="array" ref="V52">IFERROR(PERCENTILE(IF($AS$11:$AS$40="No",V11:V40),0.75),"")</f>
        <v>0</v>
      </c>
      <c r="W52" s="1158">
        <f t="array" ref="W52">IFERROR(PERCENTILE(IF($AS$11:$AS$40="No",W11:W40),0.75),"")</f>
        <v>0</v>
      </c>
      <c r="X52" s="1158">
        <f t="array" ref="X52">IFERROR(PERCENTILE(IF($AS$11:$AS$40="No",X11:X40),0.75),"")</f>
        <v>0</v>
      </c>
      <c r="Y52" s="1158">
        <f t="array" ref="Y52">IFERROR(PERCENTILE(IF($AS$11:$AS$40="No",Y11:Y40),0.75),"")</f>
        <v>0</v>
      </c>
      <c r="Z52" s="1158">
        <f t="array" ref="Z52">IFERROR(PERCENTILE(IF($AS$11:$AS$40="No",Z11:Z40),0.75),"")</f>
        <v>0</v>
      </c>
      <c r="AA52" s="1158">
        <f t="array" ref="AA52">IFERROR(PERCENTILE(IF($AS$11:$AS$40="No",AA11:AA40),0.75),"")</f>
        <v>0</v>
      </c>
      <c r="AB52" s="1158">
        <f t="array" ref="AB52">IFERROR(PERCENTILE(IF($AS$11:$AS$40="No",AB11:AB40),0.75),"")</f>
        <v>0</v>
      </c>
      <c r="AC52" s="1158">
        <f t="array" ref="AC52">IFERROR(PERCENTILE(IF($AS$11:$AS$40="No",AC11:AC40),0.75),"")</f>
        <v>0</v>
      </c>
      <c r="AD52" s="1158">
        <f t="array" ref="AD52">IFERROR(PERCENTILE(IF($AS$11:$AS$40="No",AD11:AD40),0.75),"")</f>
        <v>0</v>
      </c>
      <c r="AE52" s="1158">
        <f t="array" ref="AE52">IFERROR(PERCENTILE(IF($AS$11:$AS$40="No",AE11:AE40),0.75),"")</f>
        <v>0</v>
      </c>
      <c r="AF52" s="1158">
        <f t="array" ref="AF52">IFERROR(PERCENTILE(IF($AS$11:$AS$40="No",AF11:AF40),0.75),"")</f>
        <v>0</v>
      </c>
      <c r="AG52" s="1158">
        <f t="array" ref="AG52">IFERROR(PERCENTILE(IF($AS$11:$AS$40="No",AG11:AG40),0.75),"")</f>
        <v>0</v>
      </c>
      <c r="AH52" s="1158">
        <f t="array" ref="AH52">IFERROR(PERCENTILE(IF($AS$11:$AS$40="No",AH11:AH40),0.75),"")</f>
        <v>0</v>
      </c>
      <c r="AI52" s="1158">
        <f t="array" ref="AI52">IFERROR(PERCENTILE(IF($AS$11:$AS$40="No",AI11:AI40),0.75),"")</f>
        <v>0</v>
      </c>
      <c r="AJ52" s="1158">
        <f t="array" ref="AJ52">IFERROR(PERCENTILE(IF($AS$11:$AS$40="No",AJ11:AJ40),0.75),"")</f>
        <v>0</v>
      </c>
      <c r="AK52" s="1158">
        <f t="array" ref="AK52">IFERROR(PERCENTILE(IF($AS$11:$AS$40="No",AK11:AK40),0.75),"")</f>
        <v>0</v>
      </c>
      <c r="AL52" s="1158">
        <f t="array" ref="AL52">IFERROR(PERCENTILE(IF($AS$11:$AS$40="No",AL11:AL40),0.75),"")</f>
        <v>0</v>
      </c>
      <c r="AM52" s="1158">
        <f t="array" ref="AM52">IFERROR(PERCENTILE(IF($AS$11:$AS$40="No",AM11:AM40),0.75),"")</f>
        <v>0</v>
      </c>
      <c r="AN52" s="1158">
        <f t="array" ref="AN52">IFERROR(PERCENTILE(IF($AS$11:$AS$40="No",AN11:AN40),0.75),"")</f>
        <v>0</v>
      </c>
      <c r="AO52" s="1158">
        <f t="array" ref="AO52">IFERROR(PERCENTILE(IF($AS$11:$AS$40="No",AO11:AO40),0.75),"")</f>
        <v>0</v>
      </c>
      <c r="AP52" s="1158">
        <f t="array" ref="AP52">IFERROR(PERCENTILE(IF($AS$11:$AS$40="No",AP11:AP40),0.75),"")</f>
        <v>0</v>
      </c>
    </row>
    <row r="53" spans="2:43">
      <c r="C53" s="1277"/>
      <c r="E53" s="1035" t="s">
        <v>1380</v>
      </c>
      <c r="F53" s="1267">
        <f t="array" ref="F53">IFERROR(AVERAGEIF($AS$11:$AS$40,"No",F11:F40),"")</f>
        <v>0</v>
      </c>
      <c r="G53" s="1267">
        <f t="array" ref="G53">IFERROR(AVERAGEIF($AS$11:$AS$40,"No",G11:G40),"")</f>
        <v>0</v>
      </c>
      <c r="H53" s="1267">
        <f t="array" ref="H53">IFERROR(AVERAGEIF($AS$11:$AS$40,"No",H11:H40),"")</f>
        <v>0</v>
      </c>
      <c r="I53" s="1267">
        <f t="array" ref="I53">IFERROR(AVERAGEIF($AS$11:$AS$40,"No",I11:I40),"")</f>
        <v>0</v>
      </c>
      <c r="J53" s="1267">
        <f t="array" ref="J53">IFERROR(AVERAGEIF($AS$11:$AS$40,"No",J11:J40),"")</f>
        <v>0</v>
      </c>
      <c r="K53" s="1267">
        <f t="array" ref="K53">IFERROR(AVERAGEIF($AS$11:$AS$40,"No",K11:K40),"")</f>
        <v>0</v>
      </c>
      <c r="L53" s="1267">
        <f t="array" ref="L53">IFERROR(AVERAGEIF($AS$11:$AS$40,"No",L11:L40),"")</f>
        <v>0</v>
      </c>
      <c r="M53" s="1267">
        <f t="array" ref="M53">IFERROR(AVERAGEIF($AS$11:$AS$40,"No",M11:M40),"")</f>
        <v>0</v>
      </c>
      <c r="N53" s="1267">
        <f t="array" ref="N53">IFERROR(AVERAGEIF($AS$11:$AS$40,"No",N11:N40),"")</f>
        <v>0</v>
      </c>
      <c r="O53" s="1267">
        <f t="array" ref="O53">IFERROR(AVERAGEIF($AS$11:$AS$40,"No",O11:O40),"")</f>
        <v>0</v>
      </c>
      <c r="P53" s="1267">
        <f t="array" ref="P53">IFERROR(AVERAGEIF($AS$11:$AS$40,"No",P11:P40),"")</f>
        <v>0</v>
      </c>
      <c r="Q53" s="1267">
        <f t="array" ref="Q53">IFERROR(AVERAGEIF($AS$11:$AS$40,"No",Q11:Q40),"")</f>
        <v>0</v>
      </c>
      <c r="R53" s="1158">
        <f t="array" ref="R53">IFERROR(AVERAGEIF($AS$11:$AS$40,"No",R11:R40),"")</f>
        <v>0</v>
      </c>
      <c r="S53" s="1267">
        <f t="array" ref="S53">IFERROR(AVERAGEIF($AS$11:$AS$40,"No",S11:S40),"")</f>
        <v>0</v>
      </c>
      <c r="T53" s="1267">
        <f t="array" ref="T53">IFERROR(AVERAGEIF($AS$11:$AS$40,"No",T11:T40),"")</f>
        <v>0</v>
      </c>
      <c r="U53" s="1267">
        <f t="array" ref="U53">IFERROR(AVERAGEIF($AS$11:$AS$40,"No",U11:U40),"")</f>
        <v>0</v>
      </c>
      <c r="V53" s="1267">
        <f t="array" ref="V53">IFERROR(AVERAGEIF($AS$11:$AS$40,"No",V11:V40),"")</f>
        <v>0</v>
      </c>
      <c r="W53" s="1158">
        <f t="array" ref="W53">IFERROR(AVERAGEIF($AS$11:$AS$40,"No",W11:W40),"")</f>
        <v>0</v>
      </c>
      <c r="X53" s="1158">
        <f t="array" ref="X53">IFERROR(AVERAGEIF($AS$11:$AS$40,"No",X11:X40),"")</f>
        <v>0</v>
      </c>
      <c r="Y53" s="1158">
        <f t="array" ref="Y53">IFERROR(AVERAGEIF($AS$11:$AS$40,"No",Y11:Y40),"")</f>
        <v>0</v>
      </c>
      <c r="Z53" s="1158">
        <f t="array" ref="Z53">IFERROR(AVERAGEIF($AS$11:$AS$40,"No",Z11:Z40),"")</f>
        <v>0</v>
      </c>
      <c r="AA53" s="1158">
        <f t="array" ref="AA53">IFERROR(AVERAGEIF($AS$11:$AS$40,"No",AA11:AA40),"")</f>
        <v>0</v>
      </c>
      <c r="AB53" s="1158">
        <f t="array" ref="AB53">IFERROR(AVERAGEIF($AS$11:$AS$40,"No",AB11:AB40),"")</f>
        <v>0</v>
      </c>
      <c r="AC53" s="1158">
        <f t="array" ref="AC53">IFERROR(AVERAGEIF($AS$11:$AS$40,"No",AC11:AC40),"")</f>
        <v>0</v>
      </c>
      <c r="AD53" s="1158">
        <f t="array" ref="AD53">IFERROR(AVERAGEIF($AS$11:$AS$40,"No",AD11:AD40),"")</f>
        <v>0</v>
      </c>
      <c r="AE53" s="1158">
        <f t="array" ref="AE53">IFERROR(AVERAGEIF($AS$11:$AS$40,"No",AE11:AE40),"")</f>
        <v>0</v>
      </c>
      <c r="AF53" s="1158">
        <f t="array" ref="AF53">IFERROR(AVERAGEIF($AS$11:$AS$40,"No",AF11:AF40),"")</f>
        <v>0</v>
      </c>
      <c r="AG53" s="1158">
        <f t="array" ref="AG53">IFERROR(AVERAGEIF($AS$11:$AS$40,"No",AG11:AG40),"")</f>
        <v>0</v>
      </c>
      <c r="AH53" s="1158">
        <f t="array" ref="AH53">IFERROR(AVERAGEIF($AS$11:$AS$40,"No",AH11:AH40),"")</f>
        <v>0</v>
      </c>
      <c r="AI53" s="1158">
        <f t="array" ref="AI53">IFERROR(AVERAGEIF($AS$11:$AS$40,"No",AI11:AI40),"")</f>
        <v>0</v>
      </c>
      <c r="AJ53" s="1158">
        <f t="array" ref="AJ53">IFERROR(AVERAGEIF($AS$11:$AS$40,"No",AJ11:AJ40),"")</f>
        <v>0</v>
      </c>
      <c r="AK53" s="1158">
        <f t="array" ref="AK53">IFERROR(AVERAGEIF($AS$11:$AS$40,"No",AK11:AK40),"")</f>
        <v>0</v>
      </c>
      <c r="AL53" s="1158">
        <f t="array" ref="AL53">IFERROR(AVERAGEIF($AS$11:$AS$40,"No",AL11:AL40),"")</f>
        <v>0</v>
      </c>
      <c r="AM53" s="1158">
        <f t="array" ref="AM53">IFERROR(AVERAGEIF($AS$11:$AS$40,"No",AM11:AM40),"")</f>
        <v>0</v>
      </c>
      <c r="AN53" s="1158">
        <f t="array" ref="AN53">IFERROR(AVERAGEIF($AS$11:$AS$40,"No",AN11:AN40),"")</f>
        <v>0</v>
      </c>
      <c r="AO53" s="1158">
        <f t="array" ref="AO53">IFERROR(AVERAGEIF($AS$11:$AS$40,"No",AO11:AO40),"")</f>
        <v>0</v>
      </c>
      <c r="AP53" s="1158">
        <f t="array" ref="AP53">IFERROR(AVERAGEIF($AS$11:$AS$40,"No",AP11:AP40),"")</f>
        <v>0</v>
      </c>
    </row>
    <row r="54" spans="2:43">
      <c r="C54" s="1277"/>
      <c r="E54" s="1041" t="s">
        <v>1381</v>
      </c>
      <c r="F54" s="1268">
        <f t="array" ref="F54">IFERROR(MEDIAN(IF($AS$11:$AS$40="No",F11:F40)),"")</f>
        <v>0</v>
      </c>
      <c r="G54" s="1268">
        <f t="array" ref="G54">IFERROR(MEDIAN(IF($AS$11:$AS$40="No",G11:G40)),"")</f>
        <v>0</v>
      </c>
      <c r="H54" s="1268">
        <f t="array" ref="H54">IFERROR(MEDIAN(IF($AS$11:$AS$40="No",H11:H40)),"")</f>
        <v>0</v>
      </c>
      <c r="I54" s="1268">
        <f t="array" ref="I54">IFERROR(MEDIAN(IF($AS$11:$AS$40="No",I11:I40)),"")</f>
        <v>0</v>
      </c>
      <c r="J54" s="1268">
        <f t="array" ref="J54">IFERROR(MEDIAN(IF($AS$11:$AS$40="No",J11:J40)),"")</f>
        <v>0</v>
      </c>
      <c r="K54" s="1268">
        <f t="array" ref="K54">IFERROR(MEDIAN(IF($AS$11:$AS$40="No",K11:K40)),"")</f>
        <v>0</v>
      </c>
      <c r="L54" s="1268">
        <f t="array" ref="L54">IFERROR(MEDIAN(IF($AS$11:$AS$40="No",L11:L40)),"")</f>
        <v>0</v>
      </c>
      <c r="M54" s="1268">
        <f t="array" ref="M54">IFERROR(MEDIAN(IF($AS$11:$AS$40="No",M11:M40)),"")</f>
        <v>0</v>
      </c>
      <c r="N54" s="1268">
        <f t="array" ref="N54">IFERROR(MEDIAN(IF($AS$11:$AS$40="No",N11:N40)),"")</f>
        <v>0</v>
      </c>
      <c r="O54" s="1268">
        <f t="array" ref="O54">IFERROR(MEDIAN(IF($AS$11:$AS$40="No",O11:O40)),"")</f>
        <v>0</v>
      </c>
      <c r="P54" s="1268">
        <f t="array" ref="P54">IFERROR(MEDIAN(IF($AS$11:$AS$40="No",P11:P40)),"")</f>
        <v>0</v>
      </c>
      <c r="Q54" s="1268">
        <f t="array" ref="Q54">IFERROR(MEDIAN(IF($AS$11:$AS$40="No",Q11:Q40)),"")</f>
        <v>0</v>
      </c>
      <c r="R54" s="1120">
        <f t="array" ref="R54">IFERROR(MEDIAN(IF($AS$11:$AS$40="No",R11:R40)),"")</f>
        <v>0</v>
      </c>
      <c r="S54" s="1268">
        <f t="array" ref="S54">IFERROR(MEDIAN(IF($AS$11:$AS$40="No",S11:S40)),"")</f>
        <v>0</v>
      </c>
      <c r="T54" s="1268">
        <f t="array" ref="T54">IFERROR(MEDIAN(IF($AS$11:$AS$40="No",T11:T40)),"")</f>
        <v>0</v>
      </c>
      <c r="U54" s="1268">
        <f t="array" ref="U54">IFERROR(MEDIAN(IF($AS$11:$AS$40="No",U11:U40)),"")</f>
        <v>0</v>
      </c>
      <c r="V54" s="1268">
        <f t="array" ref="V54">IFERROR(MEDIAN(IF($AS$11:$AS$40="No",V11:V40)),"")</f>
        <v>0</v>
      </c>
      <c r="W54" s="1120">
        <f t="array" ref="W54">IFERROR(MEDIAN(IF($AS$11:$AS$40="No",W11:W40)),"")</f>
        <v>0</v>
      </c>
      <c r="X54" s="1120">
        <f t="array" ref="X54">IFERROR(MEDIAN(IF($AS$11:$AS$40="No",X11:X40)),"")</f>
        <v>0</v>
      </c>
      <c r="Y54" s="1120">
        <f t="array" ref="Y54">IFERROR(MEDIAN(IF($AS$11:$AS$40="No",Y11:Y40)),"")</f>
        <v>0</v>
      </c>
      <c r="Z54" s="1120">
        <f t="array" ref="Z54">IFERROR(MEDIAN(IF($AS$11:$AS$40="No",Z11:Z40)),"")</f>
        <v>0</v>
      </c>
      <c r="AA54" s="1120">
        <f t="array" ref="AA54">IFERROR(MEDIAN(IF($AS$11:$AS$40="No",AA11:AA40)),"")</f>
        <v>0</v>
      </c>
      <c r="AB54" s="1120">
        <f t="array" ref="AB54">IFERROR(MEDIAN(IF($AS$11:$AS$40="No",AB11:AB40)),"")</f>
        <v>0</v>
      </c>
      <c r="AC54" s="1120">
        <f t="array" ref="AC54">IFERROR(MEDIAN(IF($AS$11:$AS$40="No",AC11:AC40)),"")</f>
        <v>0</v>
      </c>
      <c r="AD54" s="1120">
        <f t="array" ref="AD54">IFERROR(MEDIAN(IF($AS$11:$AS$40="No",AD11:AD40)),"")</f>
        <v>0</v>
      </c>
      <c r="AE54" s="1120">
        <f t="array" ref="AE54">IFERROR(MEDIAN(IF($AS$11:$AS$40="No",AE11:AE40)),"")</f>
        <v>0</v>
      </c>
      <c r="AF54" s="1120">
        <f t="array" ref="AF54">IFERROR(MEDIAN(IF($AS$11:$AS$40="No",AF11:AF40)),"")</f>
        <v>0</v>
      </c>
      <c r="AG54" s="1120">
        <f t="array" ref="AG54">IFERROR(MEDIAN(IF($AS$11:$AS$40="No",AG11:AG40)),"")</f>
        <v>0</v>
      </c>
      <c r="AH54" s="1120">
        <f t="array" ref="AH54">IFERROR(MEDIAN(IF($AS$11:$AS$40="No",AH11:AH40)),"")</f>
        <v>0</v>
      </c>
      <c r="AI54" s="1120">
        <f t="array" ref="AI54">IFERROR(MEDIAN(IF($AS$11:$AS$40="No",AI11:AI40)),"")</f>
        <v>0</v>
      </c>
      <c r="AJ54" s="1120">
        <f t="array" ref="AJ54">IFERROR(MEDIAN(IF($AS$11:$AS$40="No",AJ11:AJ40)),"")</f>
        <v>0</v>
      </c>
      <c r="AK54" s="1120">
        <f t="array" ref="AK54">IFERROR(MEDIAN(IF($AS$11:$AS$40="No",AK11:AK40)),"")</f>
        <v>0</v>
      </c>
      <c r="AL54" s="1120">
        <f t="array" ref="AL54">IFERROR(MEDIAN(IF($AS$11:$AS$40="No",AL11:AL40)),"")</f>
        <v>0</v>
      </c>
      <c r="AM54" s="1120">
        <f t="array" ref="AM54">IFERROR(MEDIAN(IF($AS$11:$AS$40="No",AM11:AM40)),"")</f>
        <v>0</v>
      </c>
      <c r="AN54" s="1120">
        <f t="array" ref="AN54">IFERROR(MEDIAN(IF($AS$11:$AS$40="No",AN11:AN40)),"")</f>
        <v>0</v>
      </c>
      <c r="AO54" s="1120">
        <f t="array" ref="AO54">IFERROR(MEDIAN(IF($AS$11:$AS$40="No",AO11:AO40)),"")</f>
        <v>0</v>
      </c>
      <c r="AP54" s="1120">
        <f t="array" ref="AP54">IFERROR(MEDIAN(IF($AS$11:$AS$40="No",AP11:AP40)),"")</f>
        <v>0</v>
      </c>
    </row>
    <row r="55" spans="2:43">
      <c r="C55" s="1277"/>
      <c r="E55" s="1035" t="s">
        <v>1480</v>
      </c>
      <c r="F55" s="1267">
        <f t="array" ref="F55">IFERROR(PERCENTILE(IF($AS$11:$AS$40="No",F11:F40),0.25),"")</f>
        <v>0</v>
      </c>
      <c r="G55" s="1267">
        <f t="array" ref="G55">IFERROR(PERCENTILE(IF($AS$11:$AS$40="No",G11:G40),0.25),"")</f>
        <v>0</v>
      </c>
      <c r="H55" s="1267">
        <f t="array" ref="H55">IFERROR(PERCENTILE(IF($AS$11:$AS$40="No",H11:H40),0.25),"")</f>
        <v>0</v>
      </c>
      <c r="I55" s="1267">
        <f t="array" ref="I55">IFERROR(PERCENTILE(IF($AS$11:$AS$40="No",I11:I40),0.25),"")</f>
        <v>0</v>
      </c>
      <c r="J55" s="1267">
        <f t="array" ref="J55">IFERROR(PERCENTILE(IF($AS$11:$AS$40="No",J11:J40),0.25),"")</f>
        <v>0</v>
      </c>
      <c r="K55" s="1267">
        <f t="array" ref="K55">IFERROR(PERCENTILE(IF($AS$11:$AS$40="No",K11:K40),0.25),"")</f>
        <v>0</v>
      </c>
      <c r="L55" s="1267">
        <f t="array" ref="L55">IFERROR(PERCENTILE(IF($AS$11:$AS$40="No",L11:L40),0.25),"")</f>
        <v>0</v>
      </c>
      <c r="M55" s="1267">
        <f t="array" ref="M55">IFERROR(PERCENTILE(IF($AS$11:$AS$40="No",M11:M40),0.25),"")</f>
        <v>0</v>
      </c>
      <c r="N55" s="1267">
        <f t="array" ref="N55">IFERROR(PERCENTILE(IF($AS$11:$AS$40="No",N11:N40),0.25),"")</f>
        <v>0</v>
      </c>
      <c r="O55" s="1267">
        <f t="array" ref="O55">IFERROR(PERCENTILE(IF($AS$11:$AS$40="No",O11:O40),0.25),"")</f>
        <v>0</v>
      </c>
      <c r="P55" s="1267">
        <f t="array" ref="P55">IFERROR(PERCENTILE(IF($AS$11:$AS$40="No",P11:P40),0.25),"")</f>
        <v>0</v>
      </c>
      <c r="Q55" s="1267">
        <f t="array" ref="Q55">IFERROR(PERCENTILE(IF($AS$11:$AS$40="No",Q11:Q40),0.25),"")</f>
        <v>0</v>
      </c>
      <c r="R55" s="1158">
        <f t="array" ref="R55">IFERROR(PERCENTILE(IF($AS$11:$AS$40="No",R11:R40),0.25),"")</f>
        <v>0</v>
      </c>
      <c r="S55" s="1267">
        <f t="array" ref="S55">IFERROR(PERCENTILE(IF($AS$11:$AS$40="No",S11:S40),0.25),"")</f>
        <v>0</v>
      </c>
      <c r="T55" s="1267">
        <f t="array" ref="T55">IFERROR(PERCENTILE(IF($AS$11:$AS$40="No",T11:T40),0.25),"")</f>
        <v>0</v>
      </c>
      <c r="U55" s="1267">
        <f t="array" ref="U55">IFERROR(PERCENTILE(IF($AS$11:$AS$40="No",U11:U40),0.25),"")</f>
        <v>0</v>
      </c>
      <c r="V55" s="1267">
        <f t="array" ref="V55">IFERROR(PERCENTILE(IF($AS$11:$AS$40="No",V11:V40),0.25),"")</f>
        <v>0</v>
      </c>
      <c r="W55" s="1158">
        <f t="array" ref="W55">IFERROR(PERCENTILE(IF($AS$11:$AS$40="No",W11:W40),0.25),"")</f>
        <v>0</v>
      </c>
      <c r="X55" s="1158">
        <f t="array" ref="X55">IFERROR(PERCENTILE(IF($AS$11:$AS$40="No",X11:X40),0.25),"")</f>
        <v>0</v>
      </c>
      <c r="Y55" s="1158">
        <f t="array" ref="Y55">IFERROR(PERCENTILE(IF($AS$11:$AS$40="No",Y11:Y40),0.25),"")</f>
        <v>0</v>
      </c>
      <c r="Z55" s="1158">
        <f t="array" ref="Z55">IFERROR(PERCENTILE(IF($AS$11:$AS$40="No",Z11:Z40),0.25),"")</f>
        <v>0</v>
      </c>
      <c r="AA55" s="1158">
        <f t="array" ref="AA55">IFERROR(PERCENTILE(IF($AS$11:$AS$40="No",AA11:AA40),0.25),"")</f>
        <v>0</v>
      </c>
      <c r="AB55" s="1158">
        <f t="array" ref="AB55">IFERROR(PERCENTILE(IF($AS$11:$AS$40="No",AB11:AB40),0.25),"")</f>
        <v>0</v>
      </c>
      <c r="AC55" s="1158">
        <f t="array" ref="AC55">IFERROR(PERCENTILE(IF($AS$11:$AS$40="No",AC11:AC40),0.25),"")</f>
        <v>0</v>
      </c>
      <c r="AD55" s="1158">
        <f t="array" ref="AD55">IFERROR(PERCENTILE(IF($AS$11:$AS$40="No",AD11:AD40),0.25),"")</f>
        <v>0</v>
      </c>
      <c r="AE55" s="1158">
        <f t="array" ref="AE55">IFERROR(PERCENTILE(IF($AS$11:$AS$40="No",AE11:AE40),0.25),"")</f>
        <v>0</v>
      </c>
      <c r="AF55" s="1158">
        <f t="array" ref="AF55">IFERROR(PERCENTILE(IF($AS$11:$AS$40="No",AF11:AF40),0.25),"")</f>
        <v>0</v>
      </c>
      <c r="AG55" s="1158">
        <f t="array" ref="AG55">IFERROR(PERCENTILE(IF($AS$11:$AS$40="No",AG11:AG40),0.25),"")</f>
        <v>0</v>
      </c>
      <c r="AH55" s="1158">
        <f t="array" ref="AH55">IFERROR(PERCENTILE(IF($AS$11:$AS$40="No",AH11:AH40),0.25),"")</f>
        <v>0</v>
      </c>
      <c r="AI55" s="1158">
        <f t="array" ref="AI55">IFERROR(PERCENTILE(IF($AS$11:$AS$40="No",AI11:AI40),0.25),"")</f>
        <v>0</v>
      </c>
      <c r="AJ55" s="1158">
        <f t="array" ref="AJ55">IFERROR(PERCENTILE(IF($AS$11:$AS$40="No",AJ11:AJ40),0.25),"")</f>
        <v>0</v>
      </c>
      <c r="AK55" s="1158">
        <f t="array" ref="AK55">IFERROR(PERCENTILE(IF($AS$11:$AS$40="No",AK11:AK40),0.25),"")</f>
        <v>0</v>
      </c>
      <c r="AL55" s="1158">
        <f t="array" ref="AL55">IFERROR(PERCENTILE(IF($AS$11:$AS$40="No",AL11:AL40),0.25),"")</f>
        <v>0</v>
      </c>
      <c r="AM55" s="1158">
        <f t="array" ref="AM55">IFERROR(PERCENTILE(IF($AS$11:$AS$40="No",AM11:AM40),0.25),"")</f>
        <v>0</v>
      </c>
      <c r="AN55" s="1158">
        <f t="array" ref="AN55">IFERROR(PERCENTILE(IF($AS$11:$AS$40="No",AN11:AN40),0.25),"")</f>
        <v>0</v>
      </c>
      <c r="AO55" s="1158">
        <f t="array" ref="AO55">IFERROR(PERCENTILE(IF($AS$11:$AS$40="No",AO11:AO40),0.25),"")</f>
        <v>0</v>
      </c>
      <c r="AP55" s="1158">
        <f t="array" ref="AP55">IFERROR(PERCENTILE(IF($AS$11:$AS$40="No",AP11:AP40),0.25),"")</f>
        <v>0</v>
      </c>
    </row>
    <row r="56" spans="2:43">
      <c r="C56" s="1277"/>
      <c r="E56" s="1046" t="s">
        <v>215</v>
      </c>
      <c r="F56" s="1271">
        <f t="array" ref="F56">IFERROR(MIN(IF($AS$11:$AS$40="No",F11:F40)),"")</f>
        <v>0</v>
      </c>
      <c r="G56" s="1271">
        <f t="array" ref="G56">IFERROR(MIN(IF($AS$11:$AS$40="No",G11:G40)),"")</f>
        <v>0</v>
      </c>
      <c r="H56" s="1271">
        <f t="array" ref="H56">IFERROR(MIN(IF($AS$11:$AS$40="No",H11:H40)),"")</f>
        <v>0</v>
      </c>
      <c r="I56" s="1271">
        <f t="array" ref="I56">IFERROR(MIN(IF($AS$11:$AS$40="No",I11:I40)),"")</f>
        <v>0</v>
      </c>
      <c r="J56" s="1271">
        <f t="array" ref="J56">IFERROR(MIN(IF($AS$11:$AS$40="No",J11:J40)),"")</f>
        <v>0</v>
      </c>
      <c r="K56" s="1271">
        <f t="array" ref="K56">IFERROR(MIN(IF($AS$11:$AS$40="No",K11:K40)),"")</f>
        <v>0</v>
      </c>
      <c r="L56" s="1271">
        <f t="array" ref="L56">IFERROR(MIN(IF($AS$11:$AS$40="No",L11:L40)),"")</f>
        <v>0</v>
      </c>
      <c r="M56" s="1271">
        <f t="array" ref="M56">IFERROR(MIN(IF($AS$11:$AS$40="No",M11:M40)),"")</f>
        <v>0</v>
      </c>
      <c r="N56" s="1271">
        <f t="array" ref="N56">IFERROR(MIN(IF($AS$11:$AS$40="No",N11:N40)),"")</f>
        <v>0</v>
      </c>
      <c r="O56" s="1271">
        <f t="array" ref="O56">IFERROR(MIN(IF($AS$11:$AS$40="No",O11:O40)),"")</f>
        <v>0</v>
      </c>
      <c r="P56" s="1271">
        <f t="array" ref="P56">IFERROR(MIN(IF($AS$11:$AS$40="No",P11:P40)),"")</f>
        <v>0</v>
      </c>
      <c r="Q56" s="1271">
        <f t="array" ref="Q56">IFERROR(MIN(IF($AS$11:$AS$40="No",Q11:Q40)),"")</f>
        <v>0</v>
      </c>
      <c r="R56" s="1160">
        <f t="array" ref="R56">IFERROR(MIN(IF($AS$11:$AS$40="No",R11:R40)),"")</f>
        <v>0</v>
      </c>
      <c r="S56" s="1271">
        <f t="array" ref="S56">IFERROR(MIN(IF($AS$11:$AS$40="No",S11:S40)),"")</f>
        <v>0</v>
      </c>
      <c r="T56" s="1271">
        <f t="array" ref="T56">IFERROR(MIN(IF($AS$11:$AS$40="No",T11:T40)),"")</f>
        <v>0</v>
      </c>
      <c r="U56" s="1271">
        <f t="array" ref="U56">IFERROR(MIN(IF($AS$11:$AS$40="No",U11:U40)),"")</f>
        <v>0</v>
      </c>
      <c r="V56" s="1271">
        <f t="array" ref="V56">IFERROR(MIN(IF($AS$11:$AS$40="No",V11:V40)),"")</f>
        <v>0</v>
      </c>
      <c r="W56" s="1160">
        <f t="array" ref="W56">IFERROR(MIN(IF($AS$11:$AS$40="No",W11:W40)),"")</f>
        <v>0</v>
      </c>
      <c r="X56" s="1160">
        <f t="array" ref="X56">IFERROR(MIN(IF($AS$11:$AS$40="No",X11:X40)),"")</f>
        <v>0</v>
      </c>
      <c r="Y56" s="1160">
        <f t="array" ref="Y56">IFERROR(MIN(IF($AS$11:$AS$40="No",Y11:Y40)),"")</f>
        <v>0</v>
      </c>
      <c r="Z56" s="1160">
        <f t="array" ref="Z56">IFERROR(MIN(IF($AS$11:$AS$40="No",Z11:Z40)),"")</f>
        <v>0</v>
      </c>
      <c r="AA56" s="1160">
        <f t="array" ref="AA56">IFERROR(MIN(IF($AS$11:$AS$40="No",AA11:AA40)),"")</f>
        <v>0</v>
      </c>
      <c r="AB56" s="1160">
        <f t="array" ref="AB56">IFERROR(MIN(IF($AS$11:$AS$40="No",AB11:AB40)),"")</f>
        <v>0</v>
      </c>
      <c r="AC56" s="1160">
        <f t="array" ref="AC56">IFERROR(MIN(IF($AS$11:$AS$40="No",AC11:AC40)),"")</f>
        <v>0</v>
      </c>
      <c r="AD56" s="1160">
        <f t="array" ref="AD56">IFERROR(MIN(IF($AS$11:$AS$40="No",AD11:AD40)),"")</f>
        <v>0</v>
      </c>
      <c r="AE56" s="1160">
        <f t="array" ref="AE56">IFERROR(MIN(IF($AS$11:$AS$40="No",AE11:AE40)),"")</f>
        <v>0</v>
      </c>
      <c r="AF56" s="1160">
        <f t="array" ref="AF56">IFERROR(MIN(IF($AS$11:$AS$40="No",AF11:AF40)),"")</f>
        <v>0</v>
      </c>
      <c r="AG56" s="1160">
        <f t="array" ref="AG56">IFERROR(MIN(IF($AS$11:$AS$40="No",AG11:AG40)),"")</f>
        <v>0</v>
      </c>
      <c r="AH56" s="1160">
        <f t="array" ref="AH56">IFERROR(MIN(IF($AS$11:$AS$40="No",AH11:AH40)),"")</f>
        <v>0</v>
      </c>
      <c r="AI56" s="1160">
        <f t="array" ref="AI56">IFERROR(MIN(IF($AS$11:$AS$40="No",AI11:AI40)),"")</f>
        <v>0</v>
      </c>
      <c r="AJ56" s="1160">
        <f t="array" ref="AJ56">IFERROR(MIN(IF($AS$11:$AS$40="No",AJ11:AJ40)),"")</f>
        <v>0</v>
      </c>
      <c r="AK56" s="1160">
        <f t="array" ref="AK56">IFERROR(MIN(IF($AS$11:$AS$40="No",AK11:AK40)),"")</f>
        <v>0</v>
      </c>
      <c r="AL56" s="1160">
        <f t="array" ref="AL56">IFERROR(MIN(IF($AS$11:$AS$40="No",AL11:AL40)),"")</f>
        <v>0</v>
      </c>
      <c r="AM56" s="1160">
        <f t="array" ref="AM56">IFERROR(MIN(IF($AS$11:$AS$40="No",AM11:AM40)),"")</f>
        <v>0</v>
      </c>
      <c r="AN56" s="1160">
        <f t="array" ref="AN56">IFERROR(MIN(IF($AS$11:$AS$40="No",AN11:AN40)),"")</f>
        <v>0</v>
      </c>
      <c r="AO56" s="1160">
        <f t="array" ref="AO56">IFERROR(MIN(IF($AS$11:$AS$40="No",AO11:AO40)),"")</f>
        <v>0</v>
      </c>
      <c r="AP56" s="1160">
        <f t="array" ref="AP56">IFERROR(MIN(IF($AS$11:$AS$40="No",AP11:AP40)),"")</f>
        <v>0</v>
      </c>
    </row>
    <row r="57" spans="2:43">
      <c r="C57" s="1277"/>
    </row>
    <row r="58" spans="2:43">
      <c r="C58" s="1277"/>
    </row>
    <row r="59" spans="2:43">
      <c r="C59" s="1277"/>
    </row>
    <row r="60" spans="2:43">
      <c r="C60" s="1277"/>
    </row>
    <row r="61" spans="2:43">
      <c r="C61" s="1277"/>
    </row>
    <row r="62" spans="2:43">
      <c r="C62" s="1277"/>
    </row>
    <row r="63" spans="2:43">
      <c r="C63" s="1277"/>
    </row>
    <row r="64" spans="2:43">
      <c r="C64" s="1277"/>
    </row>
    <row r="65" spans="3:3">
      <c r="C65" s="1277"/>
    </row>
    <row r="66" spans="3:3">
      <c r="C66" s="1277"/>
    </row>
  </sheetData>
  <mergeCells count="8">
    <mergeCell ref="AK7:AM7"/>
    <mergeCell ref="AN7:AP7"/>
    <mergeCell ref="F7:G7"/>
    <mergeCell ref="H7:N7"/>
    <mergeCell ref="O7:V7"/>
    <mergeCell ref="W7:AD7"/>
    <mergeCell ref="AE7:AG7"/>
    <mergeCell ref="AH7:AJ7"/>
  </mergeCells>
  <dataValidations count="1">
    <dataValidation type="list" allowBlank="1" showInputMessage="1" showErrorMessage="1" sqref="AS11:AS40" xr:uid="{AE12F88F-BCED-421C-9046-772A21566A36}">
      <formula1>"Yes, No"</formula1>
    </dataValidation>
  </dataValidations>
  <printOptions horizontalCentered="1"/>
  <pageMargins left="0.25" right="0.25" top="0.75" bottom="0.25" header="0.25" footer="0.25"/>
  <pageSetup scale="30" orientation="landscape" horizontalDpi="300" verticalDpi="300" r:id="rId1"/>
  <headerFooter alignWithMargins="0">
    <oddHeader>&amp;R&amp;"Arial"&amp;8&amp;K000000Confidential&amp;1#</oddHeader>
  </headerFooter>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2A713-6A30-4568-8E7D-D59B90538CE4}">
  <sheetPr>
    <tabColor theme="1"/>
  </sheetPr>
  <dimension ref="A1:H30"/>
  <sheetViews>
    <sheetView showGridLines="0" workbookViewId="0">
      <selection activeCell="B5" sqref="B4:H5"/>
    </sheetView>
  </sheetViews>
  <sheetFormatPr defaultColWidth="0" defaultRowHeight="0" customHeight="1" zeroHeight="1"/>
  <cols>
    <col min="1" max="1" width="2.3828125" style="246" customWidth="1"/>
    <col min="2" max="8" width="8.69140625" style="246" customWidth="1"/>
    <col min="9" max="16384" width="8.69140625" style="246" hidden="1"/>
  </cols>
  <sheetData>
    <row r="1" spans="2:8" ht="10.5"/>
    <row r="2" spans="2:8" ht="10.5">
      <c r="B2" s="245" t="s">
        <v>2328</v>
      </c>
    </row>
    <row r="3" spans="2:8" ht="10.5">
      <c r="B3" s="247" t="str">
        <f>Inputs!$B$3</f>
        <v>Aerial Arts India XXXXXXXXXXXXXXXXX - Self Valuation using DCF Method, Transaction Multiples Method, &amp; Market Multiples Method as at September 30, 2024</v>
      </c>
    </row>
    <row r="4" spans="2:8" ht="10.5">
      <c r="B4" s="285" t="s">
        <v>2193</v>
      </c>
    </row>
    <row r="5" spans="2:8" ht="5" customHeight="1" thickBot="1">
      <c r="B5" s="1285"/>
      <c r="C5" s="1286"/>
      <c r="D5" s="1286"/>
      <c r="E5" s="1286"/>
      <c r="F5" s="1286"/>
      <c r="G5" s="1286"/>
      <c r="H5" s="1286"/>
    </row>
    <row r="6" spans="2:8" ht="10.5"/>
    <row r="7" spans="2:8" ht="10.5">
      <c r="B7" s="245" t="s">
        <v>2192</v>
      </c>
    </row>
    <row r="8" spans="2:8" ht="10.5"/>
    <row r="9" spans="2:8" ht="10.5"/>
    <row r="10" spans="2:8" ht="10.5"/>
    <row r="11" spans="2:8" ht="10.5"/>
    <row r="12" spans="2:8" ht="10.5"/>
    <row r="13" spans="2:8" ht="10.5"/>
    <row r="14" spans="2:8" ht="10.5"/>
    <row r="15" spans="2:8" ht="10.5"/>
    <row r="16" spans="2:8" ht="10.5" hidden="1"/>
    <row r="17" ht="10.5" hidden="1"/>
    <row r="18" ht="10.5" hidden="1"/>
    <row r="19" ht="10.5" hidden="1"/>
    <row r="20" ht="10.5" hidden="1"/>
    <row r="21" ht="10.5" hidden="1"/>
    <row r="22" ht="10.5" hidden="1"/>
    <row r="23" ht="10.5" hidden="1"/>
    <row r="24" ht="10.5" hidden="1"/>
    <row r="25" ht="10.5" hidden="1"/>
    <row r="26" ht="10.5" hidden="1"/>
    <row r="27" ht="10.5" hidden="1"/>
    <row r="28" ht="10.5" hidden="1"/>
    <row r="29" ht="10.5" hidden="1"/>
    <row r="30" ht="10.5" hidden="1"/>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531D6-927C-4673-A138-766C5B8C6EB1}">
  <sheetPr>
    <tabColor theme="1" tint="0.499984740745262"/>
  </sheetPr>
  <dimension ref="A1:R158"/>
  <sheetViews>
    <sheetView showGridLines="0" zoomScale="106" workbookViewId="0">
      <pane xSplit="5" ySplit="3" topLeftCell="F4" activePane="bottomRight" state="frozen"/>
      <selection activeCell="G159" sqref="G159"/>
      <selection pane="topRight" activeCell="G159" sqref="G159"/>
      <selection pane="bottomLeft" activeCell="G159" sqref="G159"/>
      <selection pane="bottomRight" activeCell="G1" sqref="G1:G1048576"/>
    </sheetView>
  </sheetViews>
  <sheetFormatPr defaultColWidth="0" defaultRowHeight="10.5" outlineLevelRow="1"/>
  <cols>
    <col min="1" max="1" width="2.61328125" style="246" customWidth="1"/>
    <col min="2" max="4" width="8.69140625" style="246" customWidth="1"/>
    <col min="5" max="5" width="0" style="246" hidden="1" customWidth="1"/>
    <col min="6" max="6" width="10.15234375" style="246" bestFit="1" customWidth="1"/>
    <col min="7" max="10" width="6.15234375" style="246" bestFit="1" customWidth="1"/>
    <col min="11" max="11" width="8.69140625" style="246" customWidth="1"/>
    <col min="12" max="18" width="0" style="246" hidden="1" customWidth="1"/>
    <col min="19" max="16384" width="8.69140625" style="246" hidden="1"/>
  </cols>
  <sheetData>
    <row r="1" spans="1:10">
      <c r="H1" s="1808" t="s">
        <v>2280</v>
      </c>
      <c r="I1" s="1808"/>
      <c r="J1" s="1808"/>
    </row>
    <row r="2" spans="1:10">
      <c r="A2" s="1287"/>
      <c r="B2" s="1288" t="s">
        <v>2265</v>
      </c>
      <c r="E2" s="1289"/>
      <c r="F2" s="252" t="s">
        <v>1955</v>
      </c>
      <c r="G2" s="252" t="str">
        <f>IS!H7</f>
        <v>FY21</v>
      </c>
      <c r="H2" s="252" t="str">
        <f>IS!I7</f>
        <v>FY22</v>
      </c>
      <c r="I2" s="252" t="str">
        <f>IS!J7</f>
        <v>FY23</v>
      </c>
      <c r="J2" s="252" t="str">
        <f>IS!K7</f>
        <v>YTD24</v>
      </c>
    </row>
    <row r="3" spans="1:10">
      <c r="A3" s="1290"/>
      <c r="B3" s="1290"/>
      <c r="E3" s="1289"/>
      <c r="F3" s="251"/>
      <c r="G3" s="252" t="str">
        <f>IS!H8</f>
        <v>Actual</v>
      </c>
      <c r="H3" s="252" t="str">
        <f>IS!I8</f>
        <v>Actual</v>
      </c>
      <c r="I3" s="252" t="str">
        <f>IS!J8</f>
        <v>Actual</v>
      </c>
      <c r="J3" s="252" t="str">
        <f>IS!K8</f>
        <v>Actual</v>
      </c>
    </row>
    <row r="4" spans="1:10">
      <c r="A4" s="1291" t="s">
        <v>2278</v>
      </c>
      <c r="B4" s="277"/>
      <c r="C4" s="1292"/>
      <c r="D4" s="1292"/>
      <c r="E4" s="1292"/>
      <c r="F4" s="1292"/>
      <c r="G4" s="278"/>
      <c r="H4" s="278"/>
      <c r="I4" s="278"/>
      <c r="J4" s="278"/>
    </row>
    <row r="5" spans="1:10">
      <c r="B5" s="436"/>
      <c r="C5" s="433"/>
      <c r="D5" s="433"/>
      <c r="E5" s="433"/>
      <c r="F5" s="433"/>
      <c r="G5" s="433"/>
      <c r="H5" s="433"/>
      <c r="I5" s="433"/>
      <c r="J5" s="433"/>
    </row>
    <row r="6" spans="1:10" hidden="1" outlineLevel="1">
      <c r="B6" s="436" t="s">
        <v>1650</v>
      </c>
      <c r="C6" s="433"/>
      <c r="D6" s="433"/>
      <c r="E6" s="433"/>
      <c r="F6" s="433"/>
      <c r="G6" s="433"/>
      <c r="H6" s="433"/>
      <c r="I6" s="433"/>
      <c r="J6" s="433"/>
    </row>
    <row r="7" spans="1:10" hidden="1" outlineLevel="1">
      <c r="B7" s="433"/>
      <c r="C7" s="433" t="s">
        <v>2266</v>
      </c>
      <c r="D7" s="433"/>
      <c r="E7" s="433"/>
      <c r="F7" s="433"/>
      <c r="G7" s="402">
        <v>90000</v>
      </c>
      <c r="H7" s="402">
        <v>90000</v>
      </c>
      <c r="I7" s="402">
        <v>90000</v>
      </c>
      <c r="J7" s="402">
        <v>90000</v>
      </c>
    </row>
    <row r="8" spans="1:10" hidden="1" outlineLevel="1">
      <c r="B8" s="433"/>
      <c r="C8" s="433" t="s">
        <v>2267</v>
      </c>
      <c r="D8" s="433"/>
      <c r="E8" s="433"/>
      <c r="F8" s="433"/>
      <c r="G8" s="402">
        <v>40000</v>
      </c>
      <c r="H8" s="402">
        <v>40000</v>
      </c>
      <c r="I8" s="402">
        <v>40000</v>
      </c>
      <c r="J8" s="402">
        <v>40000</v>
      </c>
    </row>
    <row r="9" spans="1:10" hidden="1" outlineLevel="1">
      <c r="B9" s="433"/>
      <c r="C9" s="433" t="s">
        <v>2268</v>
      </c>
      <c r="D9" s="433"/>
      <c r="E9" s="433"/>
      <c r="F9" s="433"/>
      <c r="G9" s="402">
        <v>10000</v>
      </c>
      <c r="H9" s="402">
        <v>10000</v>
      </c>
      <c r="I9" s="402">
        <v>10000</v>
      </c>
      <c r="J9" s="402">
        <v>10000</v>
      </c>
    </row>
    <row r="10" spans="1:10" hidden="1" outlineLevel="1">
      <c r="B10" s="433"/>
      <c r="C10" s="433" t="s">
        <v>2269</v>
      </c>
      <c r="D10" s="433"/>
      <c r="E10" s="433"/>
      <c r="F10" s="433"/>
      <c r="G10" s="402">
        <v>22500</v>
      </c>
      <c r="H10" s="402">
        <v>22500</v>
      </c>
      <c r="I10" s="402">
        <v>22500</v>
      </c>
      <c r="J10" s="402">
        <v>22500</v>
      </c>
    </row>
    <row r="11" spans="1:10" hidden="1" outlineLevel="1">
      <c r="B11" s="433"/>
      <c r="C11" s="433" t="s">
        <v>2270</v>
      </c>
      <c r="D11" s="433"/>
      <c r="E11" s="433"/>
      <c r="F11" s="433"/>
      <c r="G11" s="402">
        <v>0</v>
      </c>
      <c r="H11" s="402">
        <v>0</v>
      </c>
      <c r="I11" s="402">
        <v>0</v>
      </c>
      <c r="J11" s="402">
        <v>0</v>
      </c>
    </row>
    <row r="12" spans="1:10" hidden="1" outlineLevel="1">
      <c r="B12" s="433"/>
      <c r="C12" s="433" t="s">
        <v>2271</v>
      </c>
      <c r="D12" s="433"/>
      <c r="E12" s="433"/>
      <c r="F12" s="433"/>
      <c r="G12" s="402">
        <v>0</v>
      </c>
      <c r="H12" s="402">
        <v>0</v>
      </c>
      <c r="I12" s="402">
        <v>0</v>
      </c>
      <c r="J12" s="402">
        <v>0</v>
      </c>
    </row>
    <row r="13" spans="1:10" hidden="1" outlineLevel="1">
      <c r="B13" s="433"/>
      <c r="C13" s="433" t="s">
        <v>2272</v>
      </c>
      <c r="D13" s="433"/>
      <c r="E13" s="433"/>
      <c r="F13" s="433"/>
      <c r="G13" s="402">
        <v>0</v>
      </c>
      <c r="H13" s="402">
        <v>0</v>
      </c>
      <c r="I13" s="402">
        <v>0</v>
      </c>
      <c r="J13" s="402">
        <v>0</v>
      </c>
    </row>
    <row r="14" spans="1:10" hidden="1" outlineLevel="1">
      <c r="B14" s="433"/>
      <c r="C14" s="433" t="s">
        <v>2273</v>
      </c>
      <c r="D14" s="433"/>
      <c r="E14" s="433"/>
      <c r="F14" s="433"/>
      <c r="G14" s="402">
        <v>0</v>
      </c>
      <c r="H14" s="402">
        <v>0</v>
      </c>
      <c r="I14" s="402">
        <v>0</v>
      </c>
      <c r="J14" s="402">
        <v>0</v>
      </c>
    </row>
    <row r="15" spans="1:10" hidden="1" outlineLevel="1">
      <c r="B15" s="433"/>
      <c r="C15" s="433" t="s">
        <v>2274</v>
      </c>
      <c r="D15" s="433"/>
      <c r="E15" s="433"/>
      <c r="F15" s="433"/>
      <c r="G15" s="402">
        <v>0</v>
      </c>
      <c r="H15" s="402">
        <v>0</v>
      </c>
      <c r="I15" s="402">
        <v>0</v>
      </c>
      <c r="J15" s="402">
        <v>0</v>
      </c>
    </row>
    <row r="16" spans="1:10" hidden="1" outlineLevel="1">
      <c r="B16" s="433"/>
      <c r="C16" s="433" t="s">
        <v>2275</v>
      </c>
      <c r="D16" s="433"/>
      <c r="E16" s="433"/>
      <c r="F16" s="433"/>
      <c r="G16" s="402">
        <v>0</v>
      </c>
      <c r="H16" s="402">
        <v>0</v>
      </c>
      <c r="I16" s="402">
        <v>0</v>
      </c>
      <c r="J16" s="402">
        <v>0</v>
      </c>
    </row>
    <row r="17" spans="2:10" hidden="1" outlineLevel="1">
      <c r="B17" s="433"/>
      <c r="C17" s="433" t="s">
        <v>2276</v>
      </c>
      <c r="D17" s="433"/>
      <c r="E17" s="433"/>
      <c r="F17" s="433"/>
      <c r="G17" s="402">
        <v>0</v>
      </c>
      <c r="H17" s="402">
        <v>0</v>
      </c>
      <c r="I17" s="402">
        <v>0</v>
      </c>
      <c r="J17" s="402">
        <v>0</v>
      </c>
    </row>
    <row r="18" spans="2:10" hidden="1" outlineLevel="1">
      <c r="B18" s="433"/>
      <c r="C18" s="433" t="s">
        <v>2277</v>
      </c>
      <c r="D18" s="433"/>
      <c r="E18" s="433"/>
      <c r="F18" s="433"/>
      <c r="G18" s="402">
        <v>0</v>
      </c>
      <c r="H18" s="402">
        <v>0</v>
      </c>
      <c r="I18" s="402">
        <v>0</v>
      </c>
      <c r="J18" s="402">
        <v>0</v>
      </c>
    </row>
    <row r="19" spans="2:10" collapsed="1">
      <c r="B19" s="443" t="s">
        <v>2145</v>
      </c>
      <c r="C19" s="443"/>
      <c r="D19" s="443"/>
      <c r="E19" s="443"/>
      <c r="F19" s="443"/>
      <c r="G19" s="444">
        <v>162500</v>
      </c>
      <c r="H19" s="444">
        <v>162500</v>
      </c>
      <c r="I19" s="444">
        <v>162500</v>
      </c>
      <c r="J19" s="444">
        <v>162500</v>
      </c>
    </row>
    <row r="20" spans="2:10" hidden="1" outlineLevel="1">
      <c r="B20" s="433"/>
      <c r="C20" s="433"/>
      <c r="D20" s="433"/>
      <c r="E20" s="433"/>
      <c r="F20" s="433"/>
      <c r="G20" s="433"/>
      <c r="H20" s="433"/>
      <c r="I20" s="433"/>
      <c r="J20" s="433"/>
    </row>
    <row r="21" spans="2:10" hidden="1" outlineLevel="1">
      <c r="B21" s="436" t="s">
        <v>1651</v>
      </c>
      <c r="C21" s="433"/>
      <c r="D21" s="433"/>
      <c r="E21" s="433"/>
      <c r="F21" s="433"/>
      <c r="G21" s="433"/>
      <c r="H21" s="433"/>
      <c r="I21" s="433"/>
      <c r="J21" s="433"/>
    </row>
    <row r="22" spans="2:10" hidden="1" outlineLevel="1">
      <c r="B22" s="433"/>
      <c r="C22" s="433" t="s">
        <v>2266</v>
      </c>
      <c r="D22" s="433"/>
      <c r="E22" s="433"/>
      <c r="F22" s="433"/>
      <c r="G22" s="402">
        <v>72000</v>
      </c>
      <c r="H22" s="402">
        <v>72000</v>
      </c>
      <c r="I22" s="402">
        <v>72000</v>
      </c>
      <c r="J22" s="402">
        <v>72000</v>
      </c>
    </row>
    <row r="23" spans="2:10" hidden="1" outlineLevel="1">
      <c r="B23" s="433"/>
      <c r="C23" s="433" t="s">
        <v>2267</v>
      </c>
      <c r="D23" s="433"/>
      <c r="E23" s="433"/>
      <c r="F23" s="433"/>
      <c r="G23" s="402">
        <v>24000</v>
      </c>
      <c r="H23" s="402">
        <v>24000</v>
      </c>
      <c r="I23" s="402">
        <v>24000</v>
      </c>
      <c r="J23" s="402">
        <v>24000</v>
      </c>
    </row>
    <row r="24" spans="2:10" hidden="1" outlineLevel="1">
      <c r="B24" s="433"/>
      <c r="C24" s="433" t="s">
        <v>2268</v>
      </c>
      <c r="D24" s="433"/>
      <c r="E24" s="433"/>
      <c r="F24" s="433"/>
      <c r="G24" s="402">
        <v>5500</v>
      </c>
      <c r="H24" s="402">
        <v>5500</v>
      </c>
      <c r="I24" s="402">
        <v>5500</v>
      </c>
      <c r="J24" s="402">
        <v>5500</v>
      </c>
    </row>
    <row r="25" spans="2:10" hidden="1" outlineLevel="1">
      <c r="B25" s="433"/>
      <c r="C25" s="433" t="s">
        <v>2269</v>
      </c>
      <c r="D25" s="433"/>
      <c r="E25" s="433"/>
      <c r="F25" s="433"/>
      <c r="G25" s="402">
        <v>17100</v>
      </c>
      <c r="H25" s="402">
        <v>17100</v>
      </c>
      <c r="I25" s="402">
        <v>17100</v>
      </c>
      <c r="J25" s="402">
        <v>17100</v>
      </c>
    </row>
    <row r="26" spans="2:10" hidden="1" outlineLevel="1">
      <c r="B26" s="433"/>
      <c r="C26" s="433" t="s">
        <v>2270</v>
      </c>
      <c r="D26" s="433"/>
      <c r="E26" s="433"/>
      <c r="F26" s="433"/>
      <c r="G26" s="402">
        <v>0</v>
      </c>
      <c r="H26" s="402">
        <v>0</v>
      </c>
      <c r="I26" s="402">
        <v>0</v>
      </c>
      <c r="J26" s="402">
        <v>0</v>
      </c>
    </row>
    <row r="27" spans="2:10" hidden="1" outlineLevel="1">
      <c r="B27" s="433"/>
      <c r="C27" s="433" t="s">
        <v>2271</v>
      </c>
      <c r="D27" s="433"/>
      <c r="E27" s="433"/>
      <c r="F27" s="433"/>
      <c r="G27" s="402">
        <v>0</v>
      </c>
      <c r="H27" s="402">
        <v>0</v>
      </c>
      <c r="I27" s="402">
        <v>0</v>
      </c>
      <c r="J27" s="402">
        <v>0</v>
      </c>
    </row>
    <row r="28" spans="2:10" hidden="1" outlineLevel="1">
      <c r="B28" s="433"/>
      <c r="C28" s="433" t="s">
        <v>2272</v>
      </c>
      <c r="D28" s="433"/>
      <c r="E28" s="433"/>
      <c r="F28" s="433"/>
      <c r="G28" s="402">
        <v>0</v>
      </c>
      <c r="H28" s="402">
        <v>0</v>
      </c>
      <c r="I28" s="402">
        <v>0</v>
      </c>
      <c r="J28" s="402">
        <v>0</v>
      </c>
    </row>
    <row r="29" spans="2:10" hidden="1" outlineLevel="1">
      <c r="B29" s="433"/>
      <c r="C29" s="433" t="s">
        <v>2273</v>
      </c>
      <c r="D29" s="433"/>
      <c r="E29" s="433"/>
      <c r="F29" s="433"/>
      <c r="G29" s="402">
        <v>0</v>
      </c>
      <c r="H29" s="402">
        <v>0</v>
      </c>
      <c r="I29" s="402">
        <v>0</v>
      </c>
      <c r="J29" s="402">
        <v>0</v>
      </c>
    </row>
    <row r="30" spans="2:10" hidden="1" outlineLevel="1">
      <c r="B30" s="433"/>
      <c r="C30" s="433" t="s">
        <v>2274</v>
      </c>
      <c r="D30" s="433"/>
      <c r="E30" s="433"/>
      <c r="F30" s="433"/>
      <c r="G30" s="402">
        <v>0</v>
      </c>
      <c r="H30" s="402">
        <v>0</v>
      </c>
      <c r="I30" s="402">
        <v>0</v>
      </c>
      <c r="J30" s="402">
        <v>0</v>
      </c>
    </row>
    <row r="31" spans="2:10" hidden="1" outlineLevel="1">
      <c r="B31" s="433"/>
      <c r="C31" s="433" t="s">
        <v>2275</v>
      </c>
      <c r="D31" s="433"/>
      <c r="E31" s="433"/>
      <c r="F31" s="433"/>
      <c r="G31" s="402">
        <v>0</v>
      </c>
      <c r="H31" s="402">
        <v>0</v>
      </c>
      <c r="I31" s="402">
        <v>0</v>
      </c>
      <c r="J31" s="402">
        <v>0</v>
      </c>
    </row>
    <row r="32" spans="2:10" hidden="1" outlineLevel="1">
      <c r="B32" s="433"/>
      <c r="C32" s="433" t="s">
        <v>2276</v>
      </c>
      <c r="D32" s="433"/>
      <c r="E32" s="433"/>
      <c r="F32" s="433"/>
      <c r="G32" s="402">
        <v>0</v>
      </c>
      <c r="H32" s="402">
        <v>0</v>
      </c>
      <c r="I32" s="402">
        <v>0</v>
      </c>
      <c r="J32" s="402">
        <v>0</v>
      </c>
    </row>
    <row r="33" spans="2:10" hidden="1" outlineLevel="1">
      <c r="B33" s="433"/>
      <c r="C33" s="433" t="s">
        <v>2277</v>
      </c>
      <c r="D33" s="433"/>
      <c r="E33" s="433"/>
      <c r="F33" s="433"/>
      <c r="G33" s="402">
        <v>0</v>
      </c>
      <c r="H33" s="402">
        <v>0</v>
      </c>
      <c r="I33" s="402">
        <v>0</v>
      </c>
      <c r="J33" s="402">
        <v>0</v>
      </c>
    </row>
    <row r="34" spans="2:10" collapsed="1">
      <c r="B34" s="445" t="s">
        <v>2148</v>
      </c>
      <c r="C34" s="445"/>
      <c r="D34" s="445"/>
      <c r="E34" s="445"/>
      <c r="F34" s="445"/>
      <c r="G34" s="446">
        <v>-118600</v>
      </c>
      <c r="H34" s="446">
        <v>-118600</v>
      </c>
      <c r="I34" s="446">
        <v>-118600</v>
      </c>
      <c r="J34" s="446">
        <v>-118600</v>
      </c>
    </row>
    <row r="35" spans="2:10">
      <c r="B35" s="433"/>
      <c r="C35" s="433"/>
      <c r="D35" s="433"/>
      <c r="E35" s="433"/>
      <c r="F35" s="433"/>
      <c r="G35" s="433"/>
      <c r="H35" s="433"/>
      <c r="I35" s="433"/>
      <c r="J35" s="433"/>
    </row>
    <row r="36" spans="2:10">
      <c r="B36" s="436" t="s">
        <v>234</v>
      </c>
      <c r="C36" s="436"/>
      <c r="D36" s="436"/>
      <c r="E36" s="436"/>
      <c r="F36" s="436"/>
      <c r="G36" s="447">
        <v>43900</v>
      </c>
      <c r="H36" s="447">
        <v>43900</v>
      </c>
      <c r="I36" s="447">
        <v>43900</v>
      </c>
      <c r="J36" s="447">
        <v>43900</v>
      </c>
    </row>
    <row r="37" spans="2:10">
      <c r="B37" s="433"/>
      <c r="C37" s="433"/>
      <c r="D37" s="433"/>
      <c r="E37" s="433"/>
      <c r="F37" s="433"/>
      <c r="G37" s="433"/>
      <c r="H37" s="433"/>
      <c r="I37" s="433"/>
      <c r="J37" s="433"/>
    </row>
    <row r="38" spans="2:10">
      <c r="B38" s="436" t="s">
        <v>1652</v>
      </c>
      <c r="C38" s="433"/>
      <c r="D38" s="433"/>
      <c r="E38" s="433"/>
      <c r="F38" s="433"/>
      <c r="G38" s="433"/>
      <c r="H38" s="433"/>
      <c r="I38" s="433"/>
      <c r="J38" s="433"/>
    </row>
    <row r="39" spans="2:10">
      <c r="B39" s="436"/>
      <c r="C39" s="433" t="s">
        <v>1911</v>
      </c>
      <c r="D39" s="433"/>
      <c r="E39" s="433"/>
      <c r="F39" s="433"/>
      <c r="G39" s="402">
        <v>-25859</v>
      </c>
      <c r="H39" s="402">
        <v>-25859</v>
      </c>
      <c r="I39" s="402">
        <v>-430250</v>
      </c>
      <c r="J39" s="402">
        <v>-430250</v>
      </c>
    </row>
    <row r="40" spans="2:10">
      <c r="B40" s="436"/>
      <c r="C40" s="433" t="s">
        <v>1912</v>
      </c>
      <c r="D40" s="433"/>
      <c r="E40" s="433"/>
      <c r="F40" s="433"/>
      <c r="G40" s="402">
        <v>0</v>
      </c>
      <c r="H40" s="402">
        <v>0</v>
      </c>
      <c r="I40" s="402">
        <v>-39764</v>
      </c>
      <c r="J40" s="402">
        <v>-39764</v>
      </c>
    </row>
    <row r="41" spans="2:10">
      <c r="B41" s="436"/>
      <c r="C41" s="433" t="s">
        <v>1913</v>
      </c>
      <c r="D41" s="433"/>
      <c r="E41" s="433"/>
      <c r="F41" s="433"/>
      <c r="G41" s="402">
        <v>-57731</v>
      </c>
      <c r="H41" s="402">
        <v>-57731</v>
      </c>
      <c r="I41" s="402">
        <v>-83433</v>
      </c>
      <c r="J41" s="402">
        <v>-83433</v>
      </c>
    </row>
    <row r="42" spans="2:10">
      <c r="B42" s="436"/>
      <c r="C42" s="433" t="s">
        <v>1914</v>
      </c>
      <c r="D42" s="433"/>
      <c r="E42" s="433"/>
      <c r="F42" s="433"/>
      <c r="G42" s="402">
        <v>-46928</v>
      </c>
      <c r="H42" s="402">
        <v>-46928</v>
      </c>
      <c r="I42" s="402">
        <v>-98038</v>
      </c>
      <c r="J42" s="402">
        <v>-98038</v>
      </c>
    </row>
    <row r="43" spans="2:10">
      <c r="B43" s="433"/>
      <c r="C43" s="433" t="s">
        <v>1915</v>
      </c>
      <c r="D43" s="433"/>
      <c r="E43" s="433"/>
      <c r="F43" s="433"/>
      <c r="G43" s="402">
        <v>-34136</v>
      </c>
      <c r="H43" s="402">
        <v>-34136</v>
      </c>
      <c r="I43" s="402">
        <v>-38142</v>
      </c>
      <c r="J43" s="402">
        <v>-38142</v>
      </c>
    </row>
    <row r="44" spans="2:10">
      <c r="B44" s="433"/>
      <c r="C44" s="433" t="s">
        <v>1916</v>
      </c>
      <c r="D44" s="433"/>
      <c r="E44" s="433"/>
      <c r="F44" s="433"/>
      <c r="G44" s="402">
        <v>-10725</v>
      </c>
      <c r="H44" s="402">
        <v>-10725</v>
      </c>
      <c r="I44" s="402">
        <v>-33816</v>
      </c>
      <c r="J44" s="402">
        <v>-33816</v>
      </c>
    </row>
    <row r="45" spans="2:10">
      <c r="B45" s="433"/>
      <c r="C45" s="433" t="s">
        <v>1917</v>
      </c>
      <c r="D45" s="433"/>
      <c r="E45" s="433"/>
      <c r="F45" s="433"/>
      <c r="G45" s="402">
        <v>-22605</v>
      </c>
      <c r="H45" s="402">
        <v>-22605</v>
      </c>
      <c r="I45" s="402">
        <v>-70843</v>
      </c>
      <c r="J45" s="402">
        <v>-70843</v>
      </c>
    </row>
    <row r="46" spans="2:10">
      <c r="B46" s="448" t="s">
        <v>1653</v>
      </c>
      <c r="C46" s="448"/>
      <c r="D46" s="448"/>
      <c r="E46" s="448"/>
      <c r="F46" s="448"/>
      <c r="G46" s="449">
        <v>-197984</v>
      </c>
      <c r="H46" s="449">
        <v>-197984</v>
      </c>
      <c r="I46" s="449">
        <v>-794286</v>
      </c>
      <c r="J46" s="449">
        <v>-794286</v>
      </c>
    </row>
    <row r="47" spans="2:10">
      <c r="B47" s="433"/>
      <c r="C47" s="433"/>
      <c r="D47" s="433"/>
      <c r="E47" s="433"/>
      <c r="F47" s="433"/>
      <c r="G47" s="433"/>
      <c r="H47" s="433"/>
      <c r="I47" s="433"/>
      <c r="J47" s="433"/>
    </row>
    <row r="48" spans="2:10">
      <c r="B48" s="436" t="s">
        <v>2150</v>
      </c>
      <c r="C48" s="436"/>
      <c r="D48" s="436"/>
      <c r="E48" s="436"/>
      <c r="F48" s="436"/>
      <c r="G48" s="447">
        <v>-154084</v>
      </c>
      <c r="H48" s="447">
        <v>-154084</v>
      </c>
      <c r="I48" s="447">
        <v>-750386</v>
      </c>
      <c r="J48" s="447">
        <v>-750386</v>
      </c>
    </row>
    <row r="49" spans="2:10">
      <c r="B49" s="433"/>
      <c r="C49" s="433" t="s">
        <v>97</v>
      </c>
      <c r="D49" s="433"/>
      <c r="E49" s="433"/>
      <c r="F49" s="433"/>
      <c r="G49" s="433"/>
      <c r="H49" s="433"/>
      <c r="I49" s="433"/>
      <c r="J49" s="433"/>
    </row>
    <row r="50" spans="2:10">
      <c r="B50" s="436" t="s">
        <v>2152</v>
      </c>
      <c r="C50" s="433"/>
      <c r="D50" s="433"/>
      <c r="E50" s="433"/>
      <c r="F50" s="433"/>
      <c r="G50" s="433"/>
      <c r="H50" s="433"/>
      <c r="I50" s="433"/>
      <c r="J50" s="433"/>
    </row>
    <row r="51" spans="2:10">
      <c r="B51" s="433"/>
      <c r="C51" s="433" t="s">
        <v>1654</v>
      </c>
      <c r="D51" s="433"/>
      <c r="E51" s="433"/>
      <c r="F51" s="433"/>
      <c r="G51" s="450"/>
      <c r="H51" s="450"/>
      <c r="I51" s="450"/>
      <c r="J51" s="450"/>
    </row>
    <row r="52" spans="2:10">
      <c r="B52" s="433"/>
      <c r="C52" s="433" t="s">
        <v>1655</v>
      </c>
      <c r="D52" s="433"/>
      <c r="E52" s="433"/>
      <c r="F52" s="433"/>
      <c r="G52" s="450"/>
      <c r="H52" s="450"/>
      <c r="I52" s="450"/>
      <c r="J52" s="450"/>
    </row>
    <row r="53" spans="2:10">
      <c r="B53" s="433"/>
      <c r="C53" s="433" t="s">
        <v>1656</v>
      </c>
      <c r="D53" s="433"/>
      <c r="E53" s="433"/>
      <c r="F53" s="433"/>
      <c r="G53" s="450"/>
      <c r="H53" s="450"/>
      <c r="I53" s="450"/>
      <c r="J53" s="450"/>
    </row>
    <row r="54" spans="2:10">
      <c r="B54" s="433"/>
      <c r="C54" s="433" t="s">
        <v>1657</v>
      </c>
      <c r="D54" s="433"/>
      <c r="E54" s="433"/>
      <c r="F54" s="433"/>
      <c r="G54" s="450"/>
      <c r="H54" s="450"/>
      <c r="I54" s="450"/>
      <c r="J54" s="450"/>
    </row>
    <row r="55" spans="2:10">
      <c r="B55" s="451" t="s">
        <v>1658</v>
      </c>
      <c r="C55" s="451"/>
      <c r="D55" s="451"/>
      <c r="E55" s="451"/>
      <c r="F55" s="451"/>
      <c r="G55" s="452">
        <v>0</v>
      </c>
      <c r="H55" s="452">
        <v>0</v>
      </c>
      <c r="I55" s="452">
        <v>0</v>
      </c>
      <c r="J55" s="452">
        <v>0</v>
      </c>
    </row>
    <row r="56" spans="2:10">
      <c r="B56" s="433"/>
      <c r="C56" s="433"/>
      <c r="D56" s="433"/>
      <c r="E56" s="433"/>
      <c r="F56" s="433"/>
      <c r="G56" s="433"/>
      <c r="H56" s="433"/>
      <c r="I56" s="433"/>
      <c r="J56" s="433"/>
    </row>
    <row r="57" spans="2:10">
      <c r="B57" s="436" t="s">
        <v>1461</v>
      </c>
      <c r="C57" s="436"/>
      <c r="D57" s="436"/>
      <c r="E57" s="436"/>
      <c r="F57" s="436"/>
      <c r="G57" s="447">
        <v>-154084</v>
      </c>
      <c r="H57" s="447">
        <v>-154084</v>
      </c>
      <c r="I57" s="447">
        <v>-750386</v>
      </c>
      <c r="J57" s="447">
        <v>-750386</v>
      </c>
    </row>
    <row r="58" spans="2:10">
      <c r="B58" s="433"/>
      <c r="C58" s="433"/>
      <c r="D58" s="433"/>
      <c r="E58" s="433"/>
      <c r="F58" s="433"/>
      <c r="G58" s="433"/>
      <c r="H58" s="433"/>
      <c r="I58" s="433"/>
      <c r="J58" s="433"/>
    </row>
    <row r="59" spans="2:10">
      <c r="B59" s="433"/>
      <c r="C59" s="433" t="s">
        <v>2151</v>
      </c>
      <c r="D59" s="433"/>
      <c r="E59" s="433"/>
      <c r="F59" s="433"/>
      <c r="G59" s="433"/>
      <c r="H59" s="433"/>
      <c r="I59" s="433"/>
      <c r="J59" s="433"/>
    </row>
    <row r="60" spans="2:10">
      <c r="B60" s="451" t="s">
        <v>2153</v>
      </c>
      <c r="C60" s="451"/>
      <c r="D60" s="451"/>
      <c r="E60" s="451"/>
      <c r="F60" s="451"/>
      <c r="G60" s="452">
        <v>-154084</v>
      </c>
      <c r="H60" s="452">
        <v>-154084</v>
      </c>
      <c r="I60" s="452">
        <v>-750386</v>
      </c>
      <c r="J60" s="452">
        <v>-750386</v>
      </c>
    </row>
    <row r="61" spans="2:10">
      <c r="B61" s="433"/>
      <c r="C61" s="433"/>
      <c r="D61" s="433"/>
      <c r="E61" s="433"/>
      <c r="F61" s="433"/>
      <c r="G61" s="433"/>
      <c r="H61" s="433"/>
      <c r="I61" s="433"/>
      <c r="J61" s="433"/>
    </row>
    <row r="62" spans="2:10">
      <c r="B62" s="433"/>
      <c r="C62" s="433" t="s">
        <v>2149</v>
      </c>
      <c r="D62" s="433"/>
      <c r="E62" s="433"/>
      <c r="F62" s="433"/>
      <c r="G62" s="402">
        <v>0</v>
      </c>
      <c r="H62" s="402">
        <v>0</v>
      </c>
      <c r="I62" s="402">
        <v>0</v>
      </c>
      <c r="J62" s="402">
        <v>0</v>
      </c>
    </row>
    <row r="63" spans="2:10">
      <c r="B63" s="451" t="s">
        <v>2154</v>
      </c>
      <c r="C63" s="451"/>
      <c r="D63" s="451"/>
      <c r="E63" s="451"/>
      <c r="F63" s="451"/>
      <c r="G63" s="452">
        <v>-154084</v>
      </c>
      <c r="H63" s="452">
        <v>-154084</v>
      </c>
      <c r="I63" s="452">
        <v>-750386</v>
      </c>
      <c r="J63" s="452">
        <v>-750386</v>
      </c>
    </row>
    <row r="64" spans="2:10">
      <c r="B64" s="433"/>
      <c r="C64" s="433"/>
      <c r="D64" s="433"/>
      <c r="E64" s="433"/>
      <c r="F64" s="433"/>
      <c r="G64" s="433"/>
      <c r="H64" s="433"/>
      <c r="I64" s="433"/>
      <c r="J64" s="433"/>
    </row>
    <row r="65" spans="2:10">
      <c r="B65" s="433"/>
      <c r="C65" s="433" t="s">
        <v>1659</v>
      </c>
      <c r="D65" s="433"/>
      <c r="E65" s="433"/>
      <c r="F65" s="433"/>
      <c r="G65" s="450"/>
      <c r="H65" s="450"/>
      <c r="I65" s="450"/>
      <c r="J65" s="450"/>
    </row>
    <row r="66" spans="2:10">
      <c r="B66" s="433"/>
      <c r="C66" s="433" t="s">
        <v>1491</v>
      </c>
      <c r="D66" s="433"/>
      <c r="E66" s="433"/>
      <c r="F66" s="433"/>
      <c r="G66" s="450"/>
      <c r="H66" s="450"/>
      <c r="I66" s="450"/>
      <c r="J66" s="450"/>
    </row>
    <row r="67" spans="2:10">
      <c r="B67" s="451" t="s">
        <v>1660</v>
      </c>
      <c r="C67" s="451"/>
      <c r="D67" s="451"/>
      <c r="E67" s="451"/>
      <c r="F67" s="451"/>
      <c r="G67" s="453">
        <v>-154084</v>
      </c>
      <c r="H67" s="453">
        <v>-154084</v>
      </c>
      <c r="I67" s="453">
        <v>-750386</v>
      </c>
      <c r="J67" s="453">
        <v>-750386</v>
      </c>
    </row>
    <row r="68" spans="2:10">
      <c r="B68" s="433"/>
      <c r="C68" s="433"/>
      <c r="D68" s="433"/>
      <c r="E68" s="433"/>
      <c r="F68" s="433"/>
      <c r="G68" s="433"/>
      <c r="H68" s="433"/>
      <c r="I68" s="433"/>
      <c r="J68" s="433"/>
    </row>
    <row r="69" spans="2:10">
      <c r="B69" s="433"/>
      <c r="C69" s="433" t="s">
        <v>1661</v>
      </c>
      <c r="D69" s="433"/>
      <c r="E69" s="433"/>
      <c r="F69" s="433"/>
      <c r="G69" s="450"/>
      <c r="H69" s="450"/>
      <c r="I69" s="450"/>
      <c r="J69" s="450"/>
    </row>
    <row r="70" spans="2:10">
      <c r="B70" s="451" t="s">
        <v>1662</v>
      </c>
      <c r="C70" s="451"/>
      <c r="D70" s="451"/>
      <c r="E70" s="451"/>
      <c r="F70" s="451"/>
      <c r="G70" s="453">
        <v>-154084</v>
      </c>
      <c r="H70" s="453">
        <v>-154084</v>
      </c>
      <c r="I70" s="453">
        <v>-750386</v>
      </c>
      <c r="J70" s="453">
        <v>-750386</v>
      </c>
    </row>
    <row r="71" spans="2:10">
      <c r="B71" s="433"/>
      <c r="C71" s="433"/>
      <c r="D71" s="433"/>
      <c r="E71" s="433"/>
      <c r="F71" s="433"/>
      <c r="G71" s="433"/>
      <c r="H71" s="433"/>
      <c r="I71" s="433"/>
      <c r="J71" s="433"/>
    </row>
    <row r="72" spans="2:10">
      <c r="B72" s="433"/>
      <c r="C72" s="433" t="s">
        <v>1663</v>
      </c>
      <c r="D72" s="433"/>
      <c r="E72" s="433"/>
      <c r="F72" s="433"/>
      <c r="G72" s="450"/>
      <c r="H72" s="450"/>
      <c r="I72" s="450"/>
      <c r="J72" s="450"/>
    </row>
    <row r="73" spans="2:10">
      <c r="B73" s="433"/>
      <c r="C73" s="433" t="s">
        <v>1664</v>
      </c>
      <c r="D73" s="433"/>
      <c r="E73" s="433"/>
      <c r="F73" s="433"/>
      <c r="G73" s="450"/>
      <c r="H73" s="450"/>
      <c r="I73" s="450"/>
      <c r="J73" s="450"/>
    </row>
    <row r="74" spans="2:10">
      <c r="B74" s="451" t="s">
        <v>1665</v>
      </c>
      <c r="C74" s="451"/>
      <c r="D74" s="451"/>
      <c r="E74" s="451"/>
      <c r="F74" s="451"/>
      <c r="G74" s="453">
        <v>-154084</v>
      </c>
      <c r="H74" s="453">
        <v>-154084</v>
      </c>
      <c r="I74" s="453">
        <v>-750386</v>
      </c>
      <c r="J74" s="453">
        <v>-750386</v>
      </c>
    </row>
    <row r="75" spans="2:10">
      <c r="B75" s="433"/>
      <c r="C75" s="433"/>
      <c r="D75" s="433"/>
      <c r="E75" s="433"/>
      <c r="F75" s="433"/>
      <c r="G75" s="433"/>
      <c r="H75" s="433"/>
      <c r="I75" s="433"/>
      <c r="J75" s="433"/>
    </row>
    <row r="76" spans="2:10">
      <c r="B76" s="455"/>
      <c r="C76" s="455"/>
      <c r="D76" s="455"/>
      <c r="E76" s="455"/>
      <c r="F76" s="433"/>
      <c r="G76" s="433"/>
      <c r="H76" s="433"/>
      <c r="I76" s="433"/>
      <c r="J76" s="433"/>
    </row>
    <row r="77" spans="2:10">
      <c r="B77" s="455"/>
      <c r="C77" s="455"/>
      <c r="D77" s="455"/>
      <c r="E77" s="455"/>
      <c r="F77" s="433"/>
      <c r="G77" s="433"/>
      <c r="H77" s="433"/>
      <c r="I77" s="433"/>
      <c r="J77" s="433"/>
    </row>
    <row r="78" spans="2:10">
      <c r="B78" s="1293" t="s">
        <v>2229</v>
      </c>
      <c r="C78" s="1294"/>
      <c r="D78" s="1294"/>
      <c r="E78" s="1294"/>
      <c r="F78" s="1294"/>
      <c r="G78" s="1294"/>
      <c r="H78" s="1294"/>
      <c r="I78" s="1294"/>
      <c r="J78" s="1294"/>
    </row>
    <row r="79" spans="2:10">
      <c r="B79" s="456" t="s">
        <v>1927</v>
      </c>
      <c r="C79" s="433"/>
      <c r="D79" s="433"/>
      <c r="E79" s="433"/>
      <c r="F79" s="433"/>
      <c r="G79" s="457" t="e">
        <v>#DIV/0!</v>
      </c>
      <c r="H79" s="457" t="e">
        <v>#DIV/0!</v>
      </c>
      <c r="I79" s="457">
        <v>0</v>
      </c>
      <c r="J79" s="457">
        <v>0</v>
      </c>
    </row>
    <row r="80" spans="2:10">
      <c r="B80" s="433" t="s">
        <v>2230</v>
      </c>
      <c r="C80" s="433"/>
      <c r="D80" s="433"/>
      <c r="E80" s="433"/>
      <c r="F80" s="433"/>
      <c r="G80" s="457">
        <v>0.27015384615384613</v>
      </c>
      <c r="H80" s="457">
        <v>0.27015384615384613</v>
      </c>
      <c r="I80" s="457">
        <v>0.27015384615384613</v>
      </c>
      <c r="J80" s="457">
        <v>0.27015384615384613</v>
      </c>
    </row>
    <row r="81" spans="1:10">
      <c r="B81" s="433" t="s">
        <v>2231</v>
      </c>
      <c r="C81" s="433"/>
      <c r="D81" s="433"/>
      <c r="E81" s="433"/>
      <c r="F81" s="433"/>
      <c r="G81" s="457">
        <v>1.2183630769230769</v>
      </c>
      <c r="H81" s="457">
        <v>1.2183630769230769</v>
      </c>
      <c r="I81" s="457">
        <v>4.8879138461538458</v>
      </c>
      <c r="J81" s="457">
        <v>4.8879138461538458</v>
      </c>
    </row>
    <row r="82" spans="1:10">
      <c r="B82" s="433" t="s">
        <v>1462</v>
      </c>
      <c r="C82" s="433"/>
      <c r="D82" s="433"/>
      <c r="E82" s="433"/>
      <c r="F82" s="433"/>
      <c r="G82" s="457">
        <v>-0.9482092307692308</v>
      </c>
      <c r="H82" s="457">
        <v>-0.9482092307692308</v>
      </c>
      <c r="I82" s="457">
        <v>-4.6177599999999996</v>
      </c>
      <c r="J82" s="457">
        <v>-4.6177599999999996</v>
      </c>
    </row>
    <row r="83" spans="1:10">
      <c r="B83" s="433" t="s">
        <v>2232</v>
      </c>
      <c r="C83" s="433"/>
      <c r="D83" s="433"/>
      <c r="E83" s="433"/>
      <c r="F83" s="433"/>
      <c r="G83" s="457">
        <v>0</v>
      </c>
      <c r="H83" s="457">
        <v>0</v>
      </c>
      <c r="I83" s="457">
        <v>0</v>
      </c>
      <c r="J83" s="457">
        <v>0</v>
      </c>
    </row>
    <row r="84" spans="1:10">
      <c r="B84" s="433" t="s">
        <v>1928</v>
      </c>
      <c r="C84" s="433"/>
      <c r="D84" s="433"/>
      <c r="E84" s="433"/>
      <c r="F84" s="433"/>
      <c r="G84" s="457">
        <v>-0.9482092307692308</v>
      </c>
      <c r="H84" s="457">
        <v>-0.9482092307692308</v>
      </c>
      <c r="I84" s="457">
        <v>-4.6177599999999996</v>
      </c>
      <c r="J84" s="457">
        <v>-4.6177599999999996</v>
      </c>
    </row>
    <row r="85" spans="1:10">
      <c r="B85" s="433"/>
      <c r="C85" s="433"/>
      <c r="D85" s="433"/>
      <c r="E85" s="433"/>
      <c r="F85" s="433"/>
      <c r="G85" s="433"/>
      <c r="H85" s="433"/>
      <c r="I85" s="433"/>
      <c r="J85" s="433"/>
    </row>
    <row r="86" spans="1:10">
      <c r="A86" s="1291" t="s">
        <v>2279</v>
      </c>
      <c r="B86" s="1291"/>
      <c r="C86" s="1292"/>
      <c r="D86" s="1292"/>
      <c r="E86" s="1292"/>
      <c r="F86" s="278"/>
      <c r="G86" s="278"/>
      <c r="H86" s="278"/>
      <c r="I86" s="278"/>
      <c r="J86" s="278"/>
    </row>
    <row r="88" spans="1:10">
      <c r="B88" s="436" t="s">
        <v>1595</v>
      </c>
      <c r="C88" s="433"/>
      <c r="D88" s="433"/>
      <c r="E88" s="433"/>
      <c r="F88" s="433"/>
      <c r="G88" s="472">
        <v>0</v>
      </c>
      <c r="H88" s="472">
        <v>0</v>
      </c>
      <c r="I88" s="472">
        <v>0</v>
      </c>
      <c r="J88" s="472">
        <v>0</v>
      </c>
    </row>
    <row r="89" spans="1:10">
      <c r="B89" s="433"/>
      <c r="C89" s="433" t="s">
        <v>1596</v>
      </c>
      <c r="D89" s="433"/>
      <c r="E89" s="433"/>
      <c r="F89" s="433"/>
      <c r="G89" s="472">
        <v>0</v>
      </c>
      <c r="H89" s="472">
        <v>0</v>
      </c>
      <c r="I89" s="472">
        <v>0</v>
      </c>
      <c r="J89" s="472">
        <v>0</v>
      </c>
    </row>
    <row r="90" spans="1:10">
      <c r="B90" s="433"/>
      <c r="C90" s="433" t="s">
        <v>1597</v>
      </c>
      <c r="D90" s="433"/>
      <c r="E90" s="433"/>
      <c r="F90" s="433"/>
      <c r="G90" s="472">
        <v>0</v>
      </c>
      <c r="H90" s="472">
        <v>0</v>
      </c>
      <c r="I90" s="472">
        <v>0</v>
      </c>
      <c r="J90" s="472">
        <v>0</v>
      </c>
    </row>
    <row r="91" spans="1:10">
      <c r="B91" s="433"/>
      <c r="C91" s="433" t="s">
        <v>1598</v>
      </c>
      <c r="D91" s="433"/>
      <c r="E91" s="433"/>
      <c r="F91" s="433"/>
      <c r="G91" s="472">
        <v>0</v>
      </c>
      <c r="H91" s="472">
        <v>0</v>
      </c>
      <c r="I91" s="472">
        <v>0</v>
      </c>
      <c r="J91" s="472">
        <v>0</v>
      </c>
    </row>
    <row r="92" spans="1:10">
      <c r="B92" s="433"/>
      <c r="C92" s="433" t="s">
        <v>1599</v>
      </c>
      <c r="D92" s="433"/>
      <c r="E92" s="433"/>
      <c r="F92" s="433"/>
      <c r="G92" s="472">
        <v>0</v>
      </c>
      <c r="H92" s="472">
        <v>0</v>
      </c>
      <c r="I92" s="472">
        <v>0</v>
      </c>
      <c r="J92" s="472">
        <v>0</v>
      </c>
    </row>
    <row r="93" spans="1:10">
      <c r="B93" s="433"/>
      <c r="C93" s="433" t="s">
        <v>1600</v>
      </c>
      <c r="D93" s="433"/>
      <c r="E93" s="433"/>
      <c r="F93" s="433"/>
      <c r="G93" s="472">
        <v>0</v>
      </c>
      <c r="H93" s="472">
        <v>0</v>
      </c>
      <c r="I93" s="472">
        <v>0</v>
      </c>
      <c r="J93" s="472">
        <v>0</v>
      </c>
    </row>
    <row r="94" spans="1:10">
      <c r="B94" s="433"/>
      <c r="C94" s="433" t="s">
        <v>1601</v>
      </c>
      <c r="D94" s="433"/>
      <c r="E94" s="433"/>
      <c r="F94" s="433"/>
      <c r="G94" s="472">
        <v>0</v>
      </c>
      <c r="H94" s="472">
        <v>0</v>
      </c>
      <c r="I94" s="472">
        <v>0</v>
      </c>
      <c r="J94" s="472">
        <v>0</v>
      </c>
    </row>
    <row r="95" spans="1:10">
      <c r="B95" s="433"/>
      <c r="C95" s="433" t="s">
        <v>1602</v>
      </c>
      <c r="D95" s="433"/>
      <c r="E95" s="433"/>
      <c r="F95" s="433"/>
      <c r="G95" s="472">
        <v>0</v>
      </c>
      <c r="H95" s="472">
        <v>0</v>
      </c>
      <c r="I95" s="472">
        <v>0</v>
      </c>
      <c r="J95" s="472">
        <v>0</v>
      </c>
    </row>
    <row r="96" spans="1:10">
      <c r="B96" s="433"/>
      <c r="C96" s="433" t="s">
        <v>1603</v>
      </c>
      <c r="D96" s="433"/>
      <c r="E96" s="433"/>
      <c r="F96" s="433"/>
      <c r="G96" s="472">
        <v>0</v>
      </c>
      <c r="H96" s="472">
        <v>0</v>
      </c>
      <c r="I96" s="472">
        <v>0</v>
      </c>
      <c r="J96" s="472">
        <v>0</v>
      </c>
    </row>
    <row r="97" spans="2:10">
      <c r="B97" s="433"/>
      <c r="C97" s="433" t="s">
        <v>1604</v>
      </c>
      <c r="D97" s="433"/>
      <c r="E97" s="433"/>
      <c r="F97" s="433"/>
      <c r="G97" s="472">
        <v>0</v>
      </c>
      <c r="H97" s="472">
        <v>0</v>
      </c>
      <c r="I97" s="472">
        <v>0</v>
      </c>
      <c r="J97" s="472">
        <v>0</v>
      </c>
    </row>
    <row r="98" spans="2:10">
      <c r="B98" s="433"/>
      <c r="C98" s="433" t="s">
        <v>1605</v>
      </c>
      <c r="D98" s="433"/>
      <c r="E98" s="433"/>
      <c r="F98" s="433"/>
      <c r="G98" s="472">
        <v>0</v>
      </c>
      <c r="H98" s="472">
        <v>0</v>
      </c>
      <c r="I98" s="472">
        <v>0</v>
      </c>
      <c r="J98" s="472">
        <v>0</v>
      </c>
    </row>
    <row r="99" spans="2:10">
      <c r="B99" s="451" t="s">
        <v>1606</v>
      </c>
      <c r="C99" s="451"/>
      <c r="D99" s="451"/>
      <c r="E99" s="451"/>
      <c r="F99" s="451"/>
      <c r="G99" s="474">
        <v>0</v>
      </c>
      <c r="H99" s="474">
        <v>0</v>
      </c>
      <c r="I99" s="474">
        <v>0</v>
      </c>
      <c r="J99" s="474">
        <v>0</v>
      </c>
    </row>
    <row r="100" spans="2:10">
      <c r="B100" s="433"/>
      <c r="C100" s="433"/>
      <c r="D100" s="433"/>
      <c r="E100" s="433"/>
      <c r="F100" s="433"/>
      <c r="G100" s="476"/>
      <c r="H100" s="476"/>
      <c r="I100" s="476"/>
      <c r="J100" s="476"/>
    </row>
    <row r="101" spans="2:10">
      <c r="B101" s="436" t="s">
        <v>1607</v>
      </c>
      <c r="C101" s="433"/>
      <c r="D101" s="433"/>
      <c r="E101" s="433"/>
      <c r="F101" s="433"/>
      <c r="G101" s="476"/>
      <c r="H101" s="476"/>
      <c r="I101" s="476"/>
      <c r="J101" s="476"/>
    </row>
    <row r="102" spans="2:10">
      <c r="B102" s="433"/>
      <c r="C102" s="433"/>
      <c r="D102" s="433" t="s">
        <v>1608</v>
      </c>
      <c r="E102" s="433"/>
      <c r="F102" s="433"/>
      <c r="G102" s="476"/>
      <c r="H102" s="476"/>
      <c r="I102" s="476"/>
      <c r="J102" s="476"/>
    </row>
    <row r="103" spans="2:10">
      <c r="B103" s="433"/>
      <c r="C103" s="433"/>
      <c r="D103" s="433" t="s">
        <v>1609</v>
      </c>
      <c r="E103" s="433"/>
      <c r="F103" s="433"/>
      <c r="G103" s="476"/>
      <c r="H103" s="476"/>
      <c r="I103" s="476"/>
      <c r="J103" s="476"/>
    </row>
    <row r="104" spans="2:10">
      <c r="B104" s="433"/>
      <c r="C104" s="433"/>
      <c r="D104" s="433" t="s">
        <v>1610</v>
      </c>
      <c r="E104" s="433"/>
      <c r="F104" s="433"/>
      <c r="G104" s="476"/>
      <c r="H104" s="476"/>
      <c r="I104" s="476"/>
      <c r="J104" s="476"/>
    </row>
    <row r="105" spans="2:10">
      <c r="B105" s="433"/>
      <c r="C105" s="433"/>
      <c r="D105" s="433" t="s">
        <v>1611</v>
      </c>
      <c r="E105" s="433"/>
      <c r="F105" s="433"/>
      <c r="G105" s="476"/>
      <c r="H105" s="476"/>
      <c r="I105" s="476"/>
      <c r="J105" s="476"/>
    </row>
    <row r="106" spans="2:10">
      <c r="B106" s="433"/>
      <c r="C106" s="433" t="s">
        <v>1612</v>
      </c>
      <c r="D106" s="433"/>
      <c r="E106" s="433"/>
      <c r="F106" s="433"/>
      <c r="G106" s="472">
        <v>0</v>
      </c>
      <c r="H106" s="472">
        <v>0</v>
      </c>
      <c r="I106" s="472">
        <v>0</v>
      </c>
      <c r="J106" s="472">
        <v>0</v>
      </c>
    </row>
    <row r="107" spans="2:10">
      <c r="B107" s="433"/>
      <c r="C107" s="433" t="s">
        <v>1613</v>
      </c>
      <c r="D107" s="433"/>
      <c r="E107" s="433"/>
      <c r="F107" s="433"/>
      <c r="G107" s="472">
        <v>0</v>
      </c>
      <c r="H107" s="472">
        <v>0</v>
      </c>
      <c r="I107" s="472">
        <v>0</v>
      </c>
      <c r="J107" s="472">
        <v>0</v>
      </c>
    </row>
    <row r="108" spans="2:10">
      <c r="B108" s="451" t="s">
        <v>1614</v>
      </c>
      <c r="C108" s="451"/>
      <c r="D108" s="451"/>
      <c r="E108" s="451"/>
      <c r="F108" s="451"/>
      <c r="G108" s="474">
        <v>0</v>
      </c>
      <c r="H108" s="474">
        <v>0</v>
      </c>
      <c r="I108" s="474">
        <v>0</v>
      </c>
      <c r="J108" s="474">
        <v>0</v>
      </c>
    </row>
    <row r="109" spans="2:10">
      <c r="B109" s="433"/>
      <c r="C109" s="433"/>
      <c r="D109" s="433"/>
      <c r="E109" s="433"/>
      <c r="F109" s="433"/>
      <c r="G109" s="476"/>
      <c r="H109" s="476"/>
      <c r="I109" s="476"/>
      <c r="J109" s="476"/>
    </row>
    <row r="110" spans="2:10">
      <c r="B110" s="436" t="s">
        <v>1615</v>
      </c>
      <c r="C110" s="433"/>
      <c r="D110" s="433"/>
      <c r="E110" s="433"/>
      <c r="F110" s="433"/>
      <c r="G110" s="476"/>
      <c r="H110" s="476"/>
      <c r="I110" s="476"/>
      <c r="J110" s="476"/>
    </row>
    <row r="111" spans="2:10">
      <c r="B111" s="433"/>
      <c r="C111" s="433" t="s">
        <v>1616</v>
      </c>
      <c r="D111" s="433"/>
      <c r="E111" s="433"/>
      <c r="F111" s="433"/>
      <c r="G111" s="472">
        <v>0</v>
      </c>
      <c r="H111" s="472">
        <v>0</v>
      </c>
      <c r="I111" s="472">
        <v>0</v>
      </c>
      <c r="J111" s="472">
        <v>0</v>
      </c>
    </row>
    <row r="112" spans="2:10">
      <c r="B112" s="433"/>
      <c r="C112" s="433" t="s">
        <v>1617</v>
      </c>
      <c r="D112" s="433"/>
      <c r="E112" s="433"/>
      <c r="F112" s="433"/>
      <c r="G112" s="472">
        <v>0</v>
      </c>
      <c r="H112" s="472">
        <v>0</v>
      </c>
      <c r="I112" s="472">
        <v>0</v>
      </c>
      <c r="J112" s="472">
        <v>0</v>
      </c>
    </row>
    <row r="113" spans="2:10">
      <c r="B113" s="433"/>
      <c r="C113" s="433"/>
      <c r="D113" s="433" t="s">
        <v>1618</v>
      </c>
      <c r="E113" s="433"/>
      <c r="F113" s="433"/>
      <c r="G113" s="472">
        <v>0</v>
      </c>
      <c r="H113" s="472">
        <v>0</v>
      </c>
      <c r="I113" s="472">
        <v>0</v>
      </c>
      <c r="J113" s="472">
        <v>0</v>
      </c>
    </row>
    <row r="114" spans="2:10">
      <c r="B114" s="433"/>
      <c r="C114" s="433"/>
      <c r="D114" s="433" t="s">
        <v>1619</v>
      </c>
      <c r="E114" s="433"/>
      <c r="F114" s="433"/>
      <c r="G114" s="472">
        <v>0</v>
      </c>
      <c r="H114" s="472">
        <v>0</v>
      </c>
      <c r="I114" s="472">
        <v>0</v>
      </c>
      <c r="J114" s="472">
        <v>0</v>
      </c>
    </row>
    <row r="115" spans="2:10">
      <c r="B115" s="433"/>
      <c r="C115" s="433" t="s">
        <v>1620</v>
      </c>
      <c r="D115" s="433"/>
      <c r="E115" s="433"/>
      <c r="F115" s="433"/>
      <c r="G115" s="472">
        <v>0</v>
      </c>
      <c r="H115" s="472">
        <v>0</v>
      </c>
      <c r="I115" s="472">
        <v>0</v>
      </c>
      <c r="J115" s="472">
        <v>0</v>
      </c>
    </row>
    <row r="116" spans="2:10">
      <c r="B116" s="433"/>
      <c r="C116" s="433"/>
      <c r="D116" s="433" t="s">
        <v>1605</v>
      </c>
      <c r="E116" s="433"/>
      <c r="F116" s="433"/>
      <c r="G116" s="472">
        <v>0</v>
      </c>
      <c r="H116" s="472">
        <v>0</v>
      </c>
      <c r="I116" s="472">
        <v>0</v>
      </c>
      <c r="J116" s="472">
        <v>0</v>
      </c>
    </row>
    <row r="117" spans="2:10">
      <c r="B117" s="433"/>
      <c r="C117" s="433"/>
      <c r="D117" s="433" t="s">
        <v>1619</v>
      </c>
      <c r="E117" s="433"/>
      <c r="F117" s="433"/>
      <c r="G117" s="472">
        <v>0</v>
      </c>
      <c r="H117" s="472">
        <v>0</v>
      </c>
      <c r="I117" s="472">
        <v>0</v>
      </c>
      <c r="J117" s="472">
        <v>0</v>
      </c>
    </row>
    <row r="118" spans="2:10">
      <c r="B118" s="433"/>
      <c r="C118" s="433" t="s">
        <v>1621</v>
      </c>
      <c r="D118" s="433"/>
      <c r="E118" s="433"/>
      <c r="F118" s="433"/>
      <c r="G118" s="472">
        <v>0</v>
      </c>
      <c r="H118" s="472">
        <v>0</v>
      </c>
      <c r="I118" s="472">
        <v>0</v>
      </c>
      <c r="J118" s="472">
        <v>0</v>
      </c>
    </row>
    <row r="119" spans="2:10">
      <c r="B119" s="433"/>
      <c r="C119" s="433" t="s">
        <v>1622</v>
      </c>
      <c r="D119" s="433"/>
      <c r="E119" s="433"/>
      <c r="F119" s="433"/>
      <c r="G119" s="472">
        <v>0</v>
      </c>
      <c r="H119" s="472">
        <v>0</v>
      </c>
      <c r="I119" s="472">
        <v>0</v>
      </c>
      <c r="J119" s="472">
        <v>0</v>
      </c>
    </row>
    <row r="120" spans="2:10">
      <c r="B120" s="433"/>
      <c r="C120" s="433" t="s">
        <v>1623</v>
      </c>
      <c r="D120" s="433"/>
      <c r="E120" s="433"/>
      <c r="F120" s="433"/>
      <c r="G120" s="472">
        <v>0</v>
      </c>
      <c r="H120" s="472">
        <v>0</v>
      </c>
      <c r="I120" s="472">
        <v>0</v>
      </c>
      <c r="J120" s="472">
        <v>0</v>
      </c>
    </row>
    <row r="121" spans="2:10">
      <c r="B121" s="433"/>
      <c r="C121" s="433" t="s">
        <v>1603</v>
      </c>
      <c r="D121" s="433"/>
      <c r="E121" s="433"/>
      <c r="F121" s="433"/>
      <c r="G121" s="472">
        <v>0</v>
      </c>
      <c r="H121" s="472">
        <v>0</v>
      </c>
      <c r="I121" s="472">
        <v>0</v>
      </c>
      <c r="J121" s="472">
        <v>0</v>
      </c>
    </row>
    <row r="122" spans="2:10">
      <c r="B122" s="451" t="s">
        <v>1624</v>
      </c>
      <c r="C122" s="451"/>
      <c r="D122" s="451"/>
      <c r="E122" s="451"/>
      <c r="F122" s="451"/>
      <c r="G122" s="474">
        <v>0</v>
      </c>
      <c r="H122" s="474">
        <v>0</v>
      </c>
      <c r="I122" s="474">
        <v>0</v>
      </c>
      <c r="J122" s="474">
        <v>0</v>
      </c>
    </row>
    <row r="123" spans="2:10">
      <c r="B123" s="433"/>
      <c r="C123" s="433"/>
      <c r="D123" s="433"/>
      <c r="E123" s="433"/>
      <c r="F123" s="433"/>
      <c r="G123" s="476"/>
      <c r="H123" s="476"/>
      <c r="I123" s="476"/>
      <c r="J123" s="476"/>
    </row>
    <row r="124" spans="2:10">
      <c r="B124" s="436" t="s">
        <v>1625</v>
      </c>
      <c r="C124" s="436"/>
      <c r="D124" s="436"/>
      <c r="E124" s="436"/>
      <c r="F124" s="433"/>
      <c r="G124" s="1295">
        <v>0</v>
      </c>
      <c r="H124" s="1295">
        <v>0</v>
      </c>
      <c r="I124" s="479">
        <v>0</v>
      </c>
      <c r="J124" s="479">
        <v>0</v>
      </c>
    </row>
    <row r="125" spans="2:10">
      <c r="B125" s="433"/>
      <c r="C125" s="433"/>
      <c r="D125" s="433"/>
      <c r="E125" s="433"/>
      <c r="F125" s="433"/>
      <c r="G125" s="476"/>
      <c r="H125" s="476"/>
      <c r="I125" s="476"/>
      <c r="J125" s="476"/>
    </row>
    <row r="126" spans="2:10">
      <c r="B126" s="436" t="s">
        <v>1626</v>
      </c>
      <c r="C126" s="433"/>
      <c r="D126" s="433"/>
      <c r="E126" s="433"/>
      <c r="F126" s="433"/>
      <c r="G126" s="476"/>
      <c r="H126" s="476"/>
      <c r="I126" s="476"/>
      <c r="J126" s="476"/>
    </row>
    <row r="127" spans="2:10">
      <c r="B127" s="433"/>
      <c r="C127" s="433" t="s">
        <v>1627</v>
      </c>
      <c r="D127" s="433"/>
      <c r="E127" s="433"/>
      <c r="F127" s="433"/>
      <c r="G127" s="472">
        <v>0</v>
      </c>
      <c r="H127" s="472">
        <v>0</v>
      </c>
      <c r="I127" s="472">
        <v>0</v>
      </c>
      <c r="J127" s="472">
        <v>0</v>
      </c>
    </row>
    <row r="128" spans="2:10">
      <c r="B128" s="433"/>
      <c r="C128" s="433" t="s">
        <v>1628</v>
      </c>
      <c r="D128" s="433"/>
      <c r="E128" s="433"/>
      <c r="F128" s="433"/>
      <c r="G128" s="472">
        <v>0</v>
      </c>
      <c r="H128" s="472">
        <v>0</v>
      </c>
      <c r="I128" s="472">
        <v>0</v>
      </c>
      <c r="J128" s="472">
        <v>0</v>
      </c>
    </row>
    <row r="129" spans="2:10">
      <c r="B129" s="433"/>
      <c r="C129" s="433" t="s">
        <v>1629</v>
      </c>
      <c r="D129" s="433"/>
      <c r="E129" s="433"/>
      <c r="F129" s="433"/>
      <c r="G129" s="472">
        <v>0</v>
      </c>
      <c r="H129" s="472">
        <v>0</v>
      </c>
      <c r="I129" s="472">
        <v>0</v>
      </c>
      <c r="J129" s="472">
        <v>0</v>
      </c>
    </row>
    <row r="130" spans="2:10">
      <c r="B130" s="433"/>
      <c r="C130" s="433" t="s">
        <v>1630</v>
      </c>
      <c r="D130" s="433"/>
      <c r="E130" s="433"/>
      <c r="F130" s="433"/>
      <c r="G130" s="472">
        <v>0</v>
      </c>
      <c r="H130" s="472">
        <v>0</v>
      </c>
      <c r="I130" s="472">
        <v>0</v>
      </c>
      <c r="J130" s="472">
        <v>0</v>
      </c>
    </row>
    <row r="131" spans="2:10">
      <c r="B131" s="433"/>
      <c r="C131" s="433" t="s">
        <v>1443</v>
      </c>
      <c r="D131" s="433"/>
      <c r="E131" s="433"/>
      <c r="F131" s="433"/>
      <c r="G131" s="472">
        <v>0</v>
      </c>
      <c r="H131" s="472">
        <v>0</v>
      </c>
      <c r="I131" s="472">
        <v>0</v>
      </c>
      <c r="J131" s="472">
        <v>0</v>
      </c>
    </row>
    <row r="132" spans="2:10">
      <c r="B132" s="433"/>
      <c r="C132" s="433" t="s">
        <v>1631</v>
      </c>
      <c r="D132" s="433"/>
      <c r="E132" s="433"/>
      <c r="F132" s="433"/>
      <c r="G132" s="472">
        <v>0</v>
      </c>
      <c r="H132" s="472">
        <v>0</v>
      </c>
      <c r="I132" s="472">
        <v>0</v>
      </c>
      <c r="J132" s="472">
        <v>0</v>
      </c>
    </row>
    <row r="133" spans="2:10">
      <c r="B133" s="433"/>
      <c r="C133" s="433" t="s">
        <v>1632</v>
      </c>
      <c r="D133" s="433"/>
      <c r="E133" s="433"/>
      <c r="F133" s="433"/>
      <c r="G133" s="472">
        <v>0</v>
      </c>
      <c r="H133" s="472">
        <v>0</v>
      </c>
      <c r="I133" s="472">
        <v>0</v>
      </c>
      <c r="J133" s="472">
        <v>0</v>
      </c>
    </row>
    <row r="134" spans="2:10">
      <c r="B134" s="433"/>
      <c r="C134" s="433" t="s">
        <v>1633</v>
      </c>
      <c r="D134" s="433"/>
      <c r="E134" s="433"/>
      <c r="F134" s="433"/>
      <c r="G134" s="472">
        <v>0</v>
      </c>
      <c r="H134" s="472">
        <v>0</v>
      </c>
      <c r="I134" s="472">
        <v>0</v>
      </c>
      <c r="J134" s="472">
        <v>0</v>
      </c>
    </row>
    <row r="135" spans="2:10">
      <c r="B135" s="433"/>
      <c r="C135" s="433" t="s">
        <v>1634</v>
      </c>
      <c r="D135" s="433"/>
      <c r="E135" s="433"/>
      <c r="F135" s="433"/>
      <c r="G135" s="472">
        <v>0</v>
      </c>
      <c r="H135" s="472">
        <v>0</v>
      </c>
      <c r="I135" s="472">
        <v>0</v>
      </c>
      <c r="J135" s="472">
        <v>0</v>
      </c>
    </row>
    <row r="136" spans="2:10">
      <c r="B136" s="480" t="s">
        <v>1445</v>
      </c>
      <c r="C136" s="480"/>
      <c r="D136" s="480"/>
      <c r="E136" s="480"/>
      <c r="F136" s="480"/>
      <c r="G136" s="482">
        <v>0</v>
      </c>
      <c r="H136" s="482">
        <v>0</v>
      </c>
      <c r="I136" s="482">
        <v>0</v>
      </c>
      <c r="J136" s="482">
        <v>0</v>
      </c>
    </row>
    <row r="137" spans="2:10">
      <c r="B137" s="433"/>
      <c r="C137" s="433"/>
      <c r="D137" s="433"/>
      <c r="E137" s="433"/>
      <c r="F137" s="433"/>
      <c r="G137" s="476"/>
      <c r="H137" s="476"/>
      <c r="I137" s="476"/>
      <c r="J137" s="476"/>
    </row>
    <row r="138" spans="2:10">
      <c r="B138" s="436" t="s">
        <v>1635</v>
      </c>
      <c r="C138" s="433"/>
      <c r="D138" s="433"/>
      <c r="E138" s="433"/>
      <c r="F138" s="433"/>
      <c r="G138" s="476"/>
      <c r="H138" s="476"/>
      <c r="I138" s="476"/>
      <c r="J138" s="476"/>
    </row>
    <row r="139" spans="2:10">
      <c r="B139" s="433"/>
      <c r="C139" s="433" t="s">
        <v>1636</v>
      </c>
      <c r="D139" s="433"/>
      <c r="E139" s="433"/>
      <c r="F139" s="433"/>
      <c r="G139" s="472">
        <v>0</v>
      </c>
      <c r="H139" s="472">
        <v>0</v>
      </c>
      <c r="I139" s="472">
        <v>0</v>
      </c>
      <c r="J139" s="472">
        <v>0</v>
      </c>
    </row>
    <row r="140" spans="2:10">
      <c r="B140" s="433"/>
      <c r="C140" s="433" t="s">
        <v>1603</v>
      </c>
      <c r="D140" s="433"/>
      <c r="E140" s="433"/>
      <c r="F140" s="433"/>
      <c r="G140" s="472">
        <v>0</v>
      </c>
      <c r="H140" s="472">
        <v>0</v>
      </c>
      <c r="I140" s="472">
        <v>0</v>
      </c>
      <c r="J140" s="472">
        <v>0</v>
      </c>
    </row>
    <row r="141" spans="2:10">
      <c r="B141" s="433"/>
      <c r="C141" s="433" t="s">
        <v>1637</v>
      </c>
      <c r="D141" s="433"/>
      <c r="E141" s="433"/>
      <c r="F141" s="433"/>
      <c r="G141" s="472">
        <v>0</v>
      </c>
      <c r="H141" s="472">
        <v>0</v>
      </c>
      <c r="I141" s="472">
        <v>0</v>
      </c>
      <c r="J141" s="472">
        <v>0</v>
      </c>
    </row>
    <row r="142" spans="2:10">
      <c r="B142" s="433"/>
      <c r="C142" s="433" t="s">
        <v>1491</v>
      </c>
      <c r="D142" s="433"/>
      <c r="E142" s="433"/>
      <c r="F142" s="433"/>
      <c r="G142" s="472">
        <v>0</v>
      </c>
      <c r="H142" s="472">
        <v>0</v>
      </c>
      <c r="I142" s="472">
        <v>0</v>
      </c>
      <c r="J142" s="472">
        <v>0</v>
      </c>
    </row>
    <row r="143" spans="2:10">
      <c r="B143" s="433"/>
      <c r="C143" s="433" t="s">
        <v>1638</v>
      </c>
      <c r="D143" s="433"/>
      <c r="E143" s="433"/>
      <c r="F143" s="433"/>
      <c r="G143" s="472">
        <v>0</v>
      </c>
      <c r="H143" s="472">
        <v>0</v>
      </c>
      <c r="I143" s="472">
        <v>0</v>
      </c>
      <c r="J143" s="472">
        <v>0</v>
      </c>
    </row>
    <row r="144" spans="2:10">
      <c r="B144" s="480" t="s">
        <v>1639</v>
      </c>
      <c r="C144" s="480"/>
      <c r="D144" s="480"/>
      <c r="E144" s="480"/>
      <c r="F144" s="480"/>
      <c r="G144" s="482">
        <v>0</v>
      </c>
      <c r="H144" s="482">
        <v>0</v>
      </c>
      <c r="I144" s="482">
        <v>0</v>
      </c>
      <c r="J144" s="482">
        <v>0</v>
      </c>
    </row>
    <row r="145" spans="2:10">
      <c r="B145" s="433"/>
      <c r="C145" s="433"/>
      <c r="D145" s="433"/>
      <c r="E145" s="433"/>
      <c r="F145" s="433"/>
      <c r="G145" s="476"/>
      <c r="H145" s="476"/>
      <c r="I145" s="476"/>
      <c r="J145" s="476"/>
    </row>
    <row r="146" spans="2:10">
      <c r="B146" s="436" t="s">
        <v>1640</v>
      </c>
      <c r="C146" s="436"/>
      <c r="D146" s="436"/>
      <c r="E146" s="436"/>
      <c r="F146" s="433"/>
      <c r="G146" s="1296">
        <v>0</v>
      </c>
      <c r="H146" s="1296">
        <v>0</v>
      </c>
      <c r="I146" s="479">
        <v>0</v>
      </c>
      <c r="J146" s="479">
        <v>0</v>
      </c>
    </row>
    <row r="147" spans="2:10">
      <c r="B147" s="433"/>
      <c r="C147" s="433"/>
      <c r="D147" s="433"/>
      <c r="E147" s="433"/>
      <c r="F147" s="433"/>
      <c r="G147" s="476"/>
      <c r="H147" s="476"/>
      <c r="I147" s="476"/>
      <c r="J147" s="476"/>
    </row>
    <row r="148" spans="2:10">
      <c r="B148" s="436" t="s">
        <v>1641</v>
      </c>
      <c r="C148" s="433"/>
      <c r="D148" s="433"/>
      <c r="E148" s="433"/>
      <c r="F148" s="433"/>
      <c r="G148" s="476"/>
      <c r="H148" s="476"/>
      <c r="I148" s="476"/>
      <c r="J148" s="476"/>
    </row>
    <row r="149" spans="2:10">
      <c r="B149" s="433"/>
      <c r="C149" s="433" t="s">
        <v>1489</v>
      </c>
      <c r="D149" s="433"/>
      <c r="E149" s="433"/>
      <c r="F149" s="433"/>
      <c r="G149" s="472">
        <v>0</v>
      </c>
      <c r="H149" s="472">
        <v>0</v>
      </c>
      <c r="I149" s="472">
        <v>0</v>
      </c>
      <c r="J149" s="472">
        <v>0</v>
      </c>
    </row>
    <row r="150" spans="2:10">
      <c r="B150" s="433"/>
      <c r="C150" s="433" t="s">
        <v>1642</v>
      </c>
      <c r="D150" s="433"/>
      <c r="E150" s="433"/>
      <c r="F150" s="433"/>
      <c r="G150" s="472">
        <v>0</v>
      </c>
      <c r="H150" s="472">
        <v>0</v>
      </c>
      <c r="I150" s="472">
        <v>0</v>
      </c>
      <c r="J150" s="472">
        <v>0</v>
      </c>
    </row>
    <row r="151" spans="2:10">
      <c r="B151" s="433"/>
      <c r="C151" s="433" t="s">
        <v>1643</v>
      </c>
      <c r="D151" s="433"/>
      <c r="E151" s="433"/>
      <c r="F151" s="433"/>
      <c r="G151" s="472">
        <v>0</v>
      </c>
      <c r="H151" s="472">
        <v>0</v>
      </c>
      <c r="I151" s="472">
        <v>0</v>
      </c>
      <c r="J151" s="472">
        <v>0</v>
      </c>
    </row>
    <row r="152" spans="2:10">
      <c r="B152" s="433"/>
      <c r="C152" s="433" t="s">
        <v>1644</v>
      </c>
      <c r="D152" s="433"/>
      <c r="E152" s="433"/>
      <c r="F152" s="433"/>
      <c r="G152" s="472">
        <v>0</v>
      </c>
      <c r="H152" s="472">
        <v>0</v>
      </c>
      <c r="I152" s="472">
        <v>0</v>
      </c>
      <c r="J152" s="472">
        <v>0</v>
      </c>
    </row>
    <row r="153" spans="2:10">
      <c r="B153" s="433"/>
      <c r="C153" s="433" t="s">
        <v>1645</v>
      </c>
      <c r="D153" s="433"/>
      <c r="E153" s="433"/>
      <c r="F153" s="433"/>
      <c r="G153" s="472">
        <v>0</v>
      </c>
      <c r="H153" s="472">
        <v>0</v>
      </c>
      <c r="I153" s="472">
        <v>0</v>
      </c>
      <c r="J153" s="472">
        <v>0</v>
      </c>
    </row>
    <row r="154" spans="2:10">
      <c r="B154" s="433"/>
      <c r="C154" s="433" t="s">
        <v>1646</v>
      </c>
      <c r="D154" s="433"/>
      <c r="E154" s="433"/>
      <c r="F154" s="433"/>
      <c r="G154" s="472">
        <v>0</v>
      </c>
      <c r="H154" s="472">
        <v>0</v>
      </c>
      <c r="I154" s="472">
        <v>0</v>
      </c>
      <c r="J154" s="472">
        <v>0</v>
      </c>
    </row>
    <row r="155" spans="2:10">
      <c r="B155" s="433"/>
      <c r="C155" s="433" t="s">
        <v>1647</v>
      </c>
      <c r="D155" s="433"/>
      <c r="E155" s="433"/>
      <c r="F155" s="433"/>
      <c r="G155" s="472">
        <v>0</v>
      </c>
      <c r="H155" s="472">
        <v>0</v>
      </c>
      <c r="I155" s="472">
        <v>0</v>
      </c>
      <c r="J155" s="472">
        <v>0</v>
      </c>
    </row>
    <row r="156" spans="2:10">
      <c r="B156" s="480" t="s">
        <v>1648</v>
      </c>
      <c r="C156" s="480"/>
      <c r="D156" s="480"/>
      <c r="E156" s="480"/>
      <c r="F156" s="480"/>
      <c r="G156" s="482">
        <v>0</v>
      </c>
      <c r="H156" s="482">
        <v>0</v>
      </c>
      <c r="I156" s="482">
        <v>0</v>
      </c>
      <c r="J156" s="482">
        <v>0</v>
      </c>
    </row>
    <row r="157" spans="2:10">
      <c r="B157" s="433"/>
      <c r="C157" s="433"/>
      <c r="D157" s="433"/>
      <c r="E157" s="433"/>
      <c r="F157" s="433"/>
      <c r="G157" s="476"/>
      <c r="H157" s="476"/>
      <c r="I157" s="476"/>
      <c r="J157" s="476"/>
    </row>
    <row r="158" spans="2:10">
      <c r="B158" s="436" t="s">
        <v>1649</v>
      </c>
      <c r="C158" s="436"/>
      <c r="D158" s="436"/>
      <c r="E158" s="436"/>
      <c r="F158" s="433"/>
      <c r="G158" s="1296">
        <v>0</v>
      </c>
      <c r="H158" s="1296">
        <v>0</v>
      </c>
      <c r="I158" s="479">
        <v>0</v>
      </c>
      <c r="J158" s="479">
        <v>0</v>
      </c>
    </row>
  </sheetData>
  <mergeCells count="1">
    <mergeCell ref="H1:J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6">
    <tabColor theme="6" tint="-0.249977111117893"/>
    <pageSetUpPr fitToPage="1"/>
  </sheetPr>
  <dimension ref="A1"/>
  <sheetViews>
    <sheetView zoomScaleNormal="100" zoomScaleSheetLayoutView="90" workbookViewId="0">
      <selection activeCell="C22" sqref="C22"/>
    </sheetView>
  </sheetViews>
  <sheetFormatPr defaultColWidth="8.84375" defaultRowHeight="12.5"/>
  <cols>
    <col min="1" max="2" width="2.84375" style="2" customWidth="1"/>
    <col min="3" max="3" width="28.84375" style="2" customWidth="1"/>
    <col min="4" max="11" width="11.84375" style="2" customWidth="1"/>
    <col min="12" max="16384" width="8.84375" style="2"/>
  </cols>
  <sheetData/>
  <printOptions horizontalCentered="1"/>
  <pageMargins left="0.5" right="0.5" top="0.75" bottom="0.5" header="0.25" footer="0.25"/>
  <pageSetup orientation="landscape" r:id="rId1"/>
  <headerFooter alignWithMargins="0">
    <oddHeader>&amp;R&amp;"Arial"&amp;8&amp;K000000Confidential&amp;1#</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54089-C7A5-464A-8F07-349BE1D26ED8}">
  <sheetPr>
    <tabColor theme="7"/>
  </sheetPr>
  <dimension ref="A2:H195"/>
  <sheetViews>
    <sheetView showGridLines="0" workbookViewId="0">
      <selection activeCell="E20" sqref="E20"/>
    </sheetView>
  </sheetViews>
  <sheetFormatPr defaultColWidth="0" defaultRowHeight="10.5"/>
  <cols>
    <col min="1" max="1" width="16.53515625" style="246" bestFit="1" customWidth="1"/>
    <col min="2" max="2" width="12.53515625" style="246" bestFit="1" customWidth="1"/>
    <col min="3" max="3" width="12.84375" style="246" bestFit="1" customWidth="1"/>
    <col min="4" max="4" width="13.84375" style="246" bestFit="1" customWidth="1"/>
    <col min="5" max="5" width="12.3828125" style="246" bestFit="1" customWidth="1"/>
    <col min="6" max="6" width="8.53515625" style="246" bestFit="1" customWidth="1"/>
    <col min="7" max="7" width="14.3828125" style="246" bestFit="1" customWidth="1"/>
    <col min="8" max="8" width="8.69140625" style="246" customWidth="1"/>
    <col min="9" max="16384" width="8.69140625" style="246" hidden="1"/>
  </cols>
  <sheetData>
    <row r="2" spans="1:7">
      <c r="B2" s="1297" t="s">
        <v>1885</v>
      </c>
      <c r="C2" s="1298">
        <v>45296</v>
      </c>
    </row>
    <row r="4" spans="1:7">
      <c r="A4" s="1299" t="s">
        <v>96</v>
      </c>
      <c r="B4" s="1300" t="s">
        <v>2303</v>
      </c>
      <c r="C4" s="1300" t="s">
        <v>2079</v>
      </c>
      <c r="D4" s="1300" t="s">
        <v>1392</v>
      </c>
      <c r="E4" s="1300" t="s">
        <v>2080</v>
      </c>
      <c r="F4" s="1301" t="s">
        <v>1715</v>
      </c>
      <c r="G4" s="1300" t="s">
        <v>2304</v>
      </c>
    </row>
    <row r="5" spans="1:7">
      <c r="A5" s="1302" t="s">
        <v>1716</v>
      </c>
      <c r="B5" s="1303">
        <v>5.4000000000000003E-3</v>
      </c>
      <c r="C5" s="1303">
        <v>5.3199999999999997E-2</v>
      </c>
      <c r="D5" s="1303">
        <v>7.1999999999999998E-3</v>
      </c>
      <c r="E5" s="1303">
        <v>0.15</v>
      </c>
      <c r="F5" s="1304" t="s">
        <v>1717</v>
      </c>
      <c r="G5" s="1303">
        <v>7.4999999999999997E-3</v>
      </c>
    </row>
    <row r="6" spans="1:7">
      <c r="A6" s="1302" t="s">
        <v>1718</v>
      </c>
      <c r="B6" s="1303">
        <v>4.9000000000000002E-2</v>
      </c>
      <c r="C6" s="1303">
        <v>0.1118</v>
      </c>
      <c r="D6" s="1303">
        <v>6.5799999999999997E-2</v>
      </c>
      <c r="E6" s="1303">
        <v>0.15</v>
      </c>
      <c r="F6" s="1304" t="s">
        <v>1719</v>
      </c>
      <c r="G6" s="1304" t="s">
        <v>1450</v>
      </c>
    </row>
    <row r="7" spans="1:7">
      <c r="A7" s="1302" t="s">
        <v>1835</v>
      </c>
      <c r="B7" s="1303">
        <v>4.9000000000000002E-2</v>
      </c>
      <c r="C7" s="1303">
        <v>0.1118</v>
      </c>
      <c r="D7" s="1303">
        <v>6.5799999999999997E-2</v>
      </c>
      <c r="E7" s="1303">
        <v>0.26</v>
      </c>
      <c r="F7" s="1304" t="s">
        <v>1752</v>
      </c>
      <c r="G7" s="1303">
        <v>1.7000000000000001E-2</v>
      </c>
    </row>
    <row r="8" spans="1:7">
      <c r="A8" s="1302" t="s">
        <v>1721</v>
      </c>
      <c r="B8" s="1303">
        <v>2.07E-2</v>
      </c>
      <c r="C8" s="1303">
        <v>7.3800000000000004E-2</v>
      </c>
      <c r="D8" s="1303">
        <v>2.7799999999999998E-2</v>
      </c>
      <c r="E8" s="1303">
        <v>0.1898</v>
      </c>
      <c r="F8" s="1304" t="s">
        <v>1745</v>
      </c>
      <c r="G8" s="1304" t="s">
        <v>1450</v>
      </c>
    </row>
    <row r="9" spans="1:7">
      <c r="A9" s="1302" t="s">
        <v>1724</v>
      </c>
      <c r="B9" s="1303">
        <v>7.0800000000000002E-2</v>
      </c>
      <c r="C9" s="1303">
        <v>0.1411</v>
      </c>
      <c r="D9" s="1303">
        <v>9.5100000000000004E-2</v>
      </c>
      <c r="E9" s="1303">
        <v>0.25</v>
      </c>
      <c r="F9" s="1304" t="s">
        <v>1725</v>
      </c>
      <c r="G9" s="1303">
        <v>7.8200000000000006E-2</v>
      </c>
    </row>
    <row r="10" spans="1:7">
      <c r="A10" s="1302" t="s">
        <v>1860</v>
      </c>
      <c r="B10" s="1303">
        <v>0.10539999999999999</v>
      </c>
      <c r="C10" s="1303">
        <v>0.1875</v>
      </c>
      <c r="D10" s="1303">
        <v>0.1875</v>
      </c>
      <c r="E10" s="1303">
        <v>0.27250000000000002</v>
      </c>
      <c r="F10" s="1304" t="s">
        <v>1752</v>
      </c>
      <c r="G10" s="1304" t="s">
        <v>1450</v>
      </c>
    </row>
    <row r="11" spans="1:7">
      <c r="A11" s="1302" t="s">
        <v>2305</v>
      </c>
      <c r="B11" s="1303">
        <v>0.10539999999999999</v>
      </c>
      <c r="C11" s="1303">
        <v>0.1875</v>
      </c>
      <c r="D11" s="1303">
        <v>0.1875</v>
      </c>
      <c r="E11" s="1303">
        <v>0.27250000000000002</v>
      </c>
      <c r="F11" s="1304" t="s">
        <v>1752</v>
      </c>
      <c r="G11" s="1304" t="s">
        <v>1450</v>
      </c>
    </row>
    <row r="12" spans="1:7">
      <c r="A12" s="1302" t="s">
        <v>160</v>
      </c>
      <c r="B12" s="1303">
        <v>0.13070000000000001</v>
      </c>
      <c r="C12" s="1303">
        <v>0.2215</v>
      </c>
      <c r="D12" s="1303">
        <v>0.17549999999999999</v>
      </c>
      <c r="E12" s="1303">
        <v>0.35</v>
      </c>
      <c r="F12" s="1304" t="s">
        <v>1727</v>
      </c>
      <c r="G12" s="1303">
        <v>0.46189999999999998</v>
      </c>
    </row>
    <row r="13" spans="1:7">
      <c r="A13" s="1302" t="s">
        <v>1729</v>
      </c>
      <c r="B13" s="1303">
        <v>3.9199999999999999E-2</v>
      </c>
      <c r="C13" s="1303">
        <v>9.8599999999999993E-2</v>
      </c>
      <c r="D13" s="1303">
        <v>5.2600000000000001E-2</v>
      </c>
      <c r="E13" s="1303">
        <v>0.18</v>
      </c>
      <c r="F13" s="1304" t="s">
        <v>1730</v>
      </c>
      <c r="G13" s="1304" t="s">
        <v>1450</v>
      </c>
    </row>
    <row r="14" spans="1:7">
      <c r="A14" s="1302" t="s">
        <v>1731</v>
      </c>
      <c r="B14" s="1303">
        <v>2.07E-2</v>
      </c>
      <c r="C14" s="1303">
        <v>7.3800000000000004E-2</v>
      </c>
      <c r="D14" s="1303">
        <v>2.7799999999999998E-2</v>
      </c>
      <c r="E14" s="1303">
        <v>0.25</v>
      </c>
      <c r="F14" s="1304" t="s">
        <v>1745</v>
      </c>
      <c r="G14" s="1304" t="s">
        <v>1450</v>
      </c>
    </row>
    <row r="15" spans="1:7">
      <c r="A15" s="1302" t="s">
        <v>161</v>
      </c>
      <c r="B15" s="1303">
        <v>0</v>
      </c>
      <c r="C15" s="1303">
        <v>4.5999999999999999E-2</v>
      </c>
      <c r="D15" s="1303">
        <v>0</v>
      </c>
      <c r="E15" s="1303">
        <v>0.3</v>
      </c>
      <c r="F15" s="1304" t="s">
        <v>1734</v>
      </c>
      <c r="G15" s="1303">
        <v>2.5999999999999999E-3</v>
      </c>
    </row>
    <row r="16" spans="1:7">
      <c r="A16" s="1302" t="s">
        <v>162</v>
      </c>
      <c r="B16" s="1303">
        <v>4.4000000000000003E-3</v>
      </c>
      <c r="C16" s="1303">
        <v>5.1799999999999999E-2</v>
      </c>
      <c r="D16" s="1303">
        <v>5.7999999999999996E-3</v>
      </c>
      <c r="E16" s="1303">
        <v>0.24</v>
      </c>
      <c r="F16" s="1304" t="s">
        <v>1728</v>
      </c>
      <c r="G16" s="1303">
        <v>2.7000000000000001E-3</v>
      </c>
    </row>
    <row r="17" spans="1:7">
      <c r="A17" s="1302" t="s">
        <v>1735</v>
      </c>
      <c r="B17" s="1303">
        <v>2.7300000000000001E-2</v>
      </c>
      <c r="C17" s="1303">
        <v>8.2600000000000007E-2</v>
      </c>
      <c r="D17" s="1303">
        <v>3.6600000000000001E-2</v>
      </c>
      <c r="E17" s="1303">
        <v>0.2</v>
      </c>
      <c r="F17" s="1304" t="s">
        <v>1740</v>
      </c>
      <c r="G17" s="1304" t="s">
        <v>1450</v>
      </c>
    </row>
    <row r="18" spans="1:7">
      <c r="A18" s="1302" t="s">
        <v>1738</v>
      </c>
      <c r="B18" s="1303">
        <v>4.9000000000000002E-2</v>
      </c>
      <c r="C18" s="1303">
        <v>0.1118</v>
      </c>
      <c r="D18" s="1303">
        <v>6.5799999999999997E-2</v>
      </c>
      <c r="E18" s="1303">
        <v>0</v>
      </c>
      <c r="F18" s="1304" t="s">
        <v>1719</v>
      </c>
      <c r="G18" s="1304" t="s">
        <v>1450</v>
      </c>
    </row>
    <row r="19" spans="1:7">
      <c r="A19" s="1302" t="s">
        <v>1739</v>
      </c>
      <c r="B19" s="1303">
        <v>5.9900000000000002E-2</v>
      </c>
      <c r="C19" s="1303">
        <v>0.12640000000000001</v>
      </c>
      <c r="D19" s="1303">
        <v>8.0399999999999999E-2</v>
      </c>
      <c r="E19" s="1303">
        <v>0</v>
      </c>
      <c r="F19" s="1304" t="s">
        <v>1737</v>
      </c>
      <c r="G19" s="1303">
        <v>2.7400000000000001E-2</v>
      </c>
    </row>
    <row r="20" spans="1:7">
      <c r="A20" s="1302" t="s">
        <v>1741</v>
      </c>
      <c r="B20" s="1303">
        <v>4.9000000000000002E-2</v>
      </c>
      <c r="C20" s="1303">
        <v>0.1118</v>
      </c>
      <c r="D20" s="1303">
        <v>6.5799999999999997E-2</v>
      </c>
      <c r="E20" s="1303">
        <v>0.3</v>
      </c>
      <c r="F20" s="1304" t="s">
        <v>1719</v>
      </c>
      <c r="G20" s="1304" t="s">
        <v>1450</v>
      </c>
    </row>
    <row r="21" spans="1:7">
      <c r="A21" s="1302" t="s">
        <v>1742</v>
      </c>
      <c r="B21" s="1303">
        <v>7.0800000000000002E-2</v>
      </c>
      <c r="C21" s="1303">
        <v>0.1411</v>
      </c>
      <c r="D21" s="1303">
        <v>9.5100000000000004E-2</v>
      </c>
      <c r="E21" s="1303">
        <v>5.5E-2</v>
      </c>
      <c r="F21" s="1304" t="s">
        <v>1725</v>
      </c>
      <c r="G21" s="1304" t="s">
        <v>1450</v>
      </c>
    </row>
    <row r="22" spans="1:7">
      <c r="A22" s="1302" t="s">
        <v>1744</v>
      </c>
      <c r="B22" s="1303">
        <v>0.17499999999999999</v>
      </c>
      <c r="C22" s="1303">
        <v>0.28089999999999998</v>
      </c>
      <c r="D22" s="1303">
        <v>0.2349</v>
      </c>
      <c r="E22" s="1303">
        <v>0.18</v>
      </c>
      <c r="F22" s="1304" t="s">
        <v>132</v>
      </c>
      <c r="G22" s="1304" t="s">
        <v>1450</v>
      </c>
    </row>
    <row r="23" spans="1:7">
      <c r="A23" s="1302" t="s">
        <v>163</v>
      </c>
      <c r="B23" s="1303">
        <v>6.4999999999999997E-3</v>
      </c>
      <c r="C23" s="1303">
        <v>5.4800000000000001E-2</v>
      </c>
      <c r="D23" s="1303">
        <v>8.8000000000000005E-3</v>
      </c>
      <c r="E23" s="1303">
        <v>0.25</v>
      </c>
      <c r="F23" s="1304" t="s">
        <v>1733</v>
      </c>
      <c r="G23" s="1303">
        <v>3.3E-3</v>
      </c>
    </row>
    <row r="24" spans="1:7">
      <c r="A24" s="1302" t="s">
        <v>1746</v>
      </c>
      <c r="B24" s="1303">
        <v>9.8100000000000007E-2</v>
      </c>
      <c r="C24" s="1303">
        <v>0.1777</v>
      </c>
      <c r="D24" s="1303">
        <v>0.13170000000000001</v>
      </c>
      <c r="E24" s="1303">
        <v>0.2853</v>
      </c>
      <c r="F24" s="1304" t="s">
        <v>1760</v>
      </c>
      <c r="G24" s="1304" t="s">
        <v>1450</v>
      </c>
    </row>
    <row r="25" spans="1:7">
      <c r="A25" s="1302" t="s">
        <v>1747</v>
      </c>
      <c r="B25" s="1303">
        <v>4.9000000000000002E-2</v>
      </c>
      <c r="C25" s="1303">
        <v>0.1118</v>
      </c>
      <c r="D25" s="1303">
        <v>6.5799999999999997E-2</v>
      </c>
      <c r="E25" s="1303">
        <v>0.3</v>
      </c>
      <c r="F25" s="1304" t="s">
        <v>1719</v>
      </c>
      <c r="G25" s="1304" t="s">
        <v>1450</v>
      </c>
    </row>
    <row r="26" spans="1:7">
      <c r="A26" s="1302" t="s">
        <v>1748</v>
      </c>
      <c r="B26" s="1303">
        <v>9.1999999999999998E-3</v>
      </c>
      <c r="C26" s="1303">
        <v>5.8400000000000001E-2</v>
      </c>
      <c r="D26" s="1303">
        <v>1.24E-2</v>
      </c>
      <c r="E26" s="1303">
        <v>0</v>
      </c>
      <c r="F26" s="1304" t="s">
        <v>1723</v>
      </c>
      <c r="G26" s="1304" t="s">
        <v>1450</v>
      </c>
    </row>
    <row r="27" spans="1:7">
      <c r="A27" s="1302" t="s">
        <v>1749</v>
      </c>
      <c r="B27" s="1303">
        <v>8.1699999999999995E-2</v>
      </c>
      <c r="C27" s="1303">
        <v>0.15570000000000001</v>
      </c>
      <c r="D27" s="1303">
        <v>0.10970000000000001</v>
      </c>
      <c r="E27" s="1303">
        <v>0.25</v>
      </c>
      <c r="F27" s="1304" t="s">
        <v>1743</v>
      </c>
      <c r="G27" s="1304" t="s">
        <v>1450</v>
      </c>
    </row>
    <row r="28" spans="1:7">
      <c r="A28" s="1302" t="s">
        <v>1750</v>
      </c>
      <c r="B28" s="1303">
        <v>7.0800000000000002E-2</v>
      </c>
      <c r="C28" s="1303">
        <v>0.1411</v>
      </c>
      <c r="D28" s="1303">
        <v>9.5100000000000004E-2</v>
      </c>
      <c r="E28" s="1303">
        <v>0.1</v>
      </c>
      <c r="F28" s="1304" t="s">
        <v>1725</v>
      </c>
      <c r="G28" s="1304" t="s">
        <v>1450</v>
      </c>
    </row>
    <row r="29" spans="1:7">
      <c r="A29" s="1302" t="s">
        <v>1751</v>
      </c>
      <c r="B29" s="1303">
        <v>1.3100000000000001E-2</v>
      </c>
      <c r="C29" s="1303">
        <v>6.3500000000000001E-2</v>
      </c>
      <c r="D29" s="1303">
        <v>1.7500000000000002E-2</v>
      </c>
      <c r="E29" s="1303">
        <v>0.22</v>
      </c>
      <c r="F29" s="1304" t="s">
        <v>1726</v>
      </c>
      <c r="G29" s="1304" t="s">
        <v>1450</v>
      </c>
    </row>
    <row r="30" spans="1:7">
      <c r="A30" s="1302" t="s">
        <v>164</v>
      </c>
      <c r="B30" s="1303">
        <v>3.2800000000000003E-2</v>
      </c>
      <c r="C30" s="1303">
        <v>0.09</v>
      </c>
      <c r="D30" s="1303">
        <v>4.3999999999999997E-2</v>
      </c>
      <c r="E30" s="1303">
        <v>0.34</v>
      </c>
      <c r="F30" s="1304" t="s">
        <v>1736</v>
      </c>
      <c r="G30" s="1303">
        <v>2.3900000000000001E-2</v>
      </c>
    </row>
    <row r="31" spans="1:7">
      <c r="A31" s="1302" t="s">
        <v>2306</v>
      </c>
      <c r="B31" s="1303">
        <v>3.2800000000000003E-2</v>
      </c>
      <c r="C31" s="1303">
        <v>0.09</v>
      </c>
      <c r="D31" s="1303">
        <v>4.3999999999999997E-2</v>
      </c>
      <c r="E31" s="1303">
        <v>0.34</v>
      </c>
      <c r="F31" s="1304" t="s">
        <v>1736</v>
      </c>
      <c r="G31" s="1304" t="s">
        <v>1450</v>
      </c>
    </row>
    <row r="32" spans="1:7">
      <c r="A32" s="1302" t="s">
        <v>1836</v>
      </c>
      <c r="B32" s="1303">
        <v>6.4999999999999997E-3</v>
      </c>
      <c r="C32" s="1303">
        <v>5.4800000000000001E-2</v>
      </c>
      <c r="D32" s="1303">
        <v>8.8000000000000005E-3</v>
      </c>
      <c r="E32" s="1303">
        <v>0.185</v>
      </c>
      <c r="F32" s="1304" t="s">
        <v>1752</v>
      </c>
      <c r="G32" s="1304" t="s">
        <v>1450</v>
      </c>
    </row>
    <row r="33" spans="1:7">
      <c r="A33" s="1302" t="s">
        <v>165</v>
      </c>
      <c r="B33" s="1303">
        <v>1.7399999999999999E-2</v>
      </c>
      <c r="C33" s="1303">
        <v>6.9400000000000003E-2</v>
      </c>
      <c r="D33" s="1303">
        <v>2.3400000000000001E-2</v>
      </c>
      <c r="E33" s="1303">
        <v>0.1</v>
      </c>
      <c r="F33" s="1304" t="s">
        <v>1732</v>
      </c>
      <c r="G33" s="1303">
        <v>1.47E-2</v>
      </c>
    </row>
    <row r="34" spans="1:7">
      <c r="A34" s="1302" t="s">
        <v>1753</v>
      </c>
      <c r="B34" s="1303">
        <v>8.1699999999999995E-2</v>
      </c>
      <c r="C34" s="1303">
        <v>0.15570000000000001</v>
      </c>
      <c r="D34" s="1303">
        <v>0.10970000000000001</v>
      </c>
      <c r="E34" s="1303">
        <v>0.28000000000000003</v>
      </c>
      <c r="F34" s="1304" t="s">
        <v>1743</v>
      </c>
      <c r="G34" s="1304" t="s">
        <v>1450</v>
      </c>
    </row>
    <row r="35" spans="1:7">
      <c r="A35" s="1302" t="s">
        <v>1754</v>
      </c>
      <c r="B35" s="1303">
        <v>5.9900000000000002E-2</v>
      </c>
      <c r="C35" s="1303">
        <v>0.12640000000000001</v>
      </c>
      <c r="D35" s="1303">
        <v>8.0399999999999999E-2</v>
      </c>
      <c r="E35" s="1303">
        <v>0.2</v>
      </c>
      <c r="F35" s="1304" t="s">
        <v>1737</v>
      </c>
      <c r="G35" s="1304" t="s">
        <v>1450</v>
      </c>
    </row>
    <row r="36" spans="1:7">
      <c r="A36" s="1302" t="s">
        <v>1755</v>
      </c>
      <c r="B36" s="1303">
        <v>8.1699999999999995E-2</v>
      </c>
      <c r="C36" s="1303">
        <v>0.15570000000000001</v>
      </c>
      <c r="D36" s="1303">
        <v>0.10970000000000001</v>
      </c>
      <c r="E36" s="1303">
        <v>0.33</v>
      </c>
      <c r="F36" s="1304" t="s">
        <v>1743</v>
      </c>
      <c r="G36" s="1303">
        <v>9.1399999999999995E-2</v>
      </c>
    </row>
    <row r="37" spans="1:7">
      <c r="A37" s="1302" t="s">
        <v>166</v>
      </c>
      <c r="B37" s="1303">
        <v>0</v>
      </c>
      <c r="C37" s="1303">
        <v>4.5999999999999999E-2</v>
      </c>
      <c r="D37" s="1303">
        <v>0</v>
      </c>
      <c r="E37" s="1303">
        <v>0.26500000000000001</v>
      </c>
      <c r="F37" s="1304" t="s">
        <v>1734</v>
      </c>
      <c r="G37" s="1303">
        <v>4.4000000000000003E-3</v>
      </c>
    </row>
    <row r="38" spans="1:7">
      <c r="A38" s="1302" t="s">
        <v>1756</v>
      </c>
      <c r="B38" s="1303">
        <v>7.0800000000000002E-2</v>
      </c>
      <c r="C38" s="1303">
        <v>0.1411</v>
      </c>
      <c r="D38" s="1303">
        <v>9.5100000000000004E-2</v>
      </c>
      <c r="E38" s="1303">
        <v>0</v>
      </c>
      <c r="F38" s="1304" t="s">
        <v>1725</v>
      </c>
      <c r="G38" s="1304" t="s">
        <v>1450</v>
      </c>
    </row>
    <row r="39" spans="1:7">
      <c r="A39" s="1302" t="s">
        <v>1757</v>
      </c>
      <c r="B39" s="1303">
        <v>6.4999999999999997E-3</v>
      </c>
      <c r="C39" s="1303">
        <v>5.4800000000000001E-2</v>
      </c>
      <c r="D39" s="1303">
        <v>8.8000000000000005E-3</v>
      </c>
      <c r="E39" s="1303">
        <v>0</v>
      </c>
      <c r="F39" s="1304" t="s">
        <v>1733</v>
      </c>
      <c r="G39" s="1304" t="s">
        <v>1450</v>
      </c>
    </row>
    <row r="40" spans="1:7">
      <c r="A40" s="1302" t="s">
        <v>2307</v>
      </c>
      <c r="B40" s="1303">
        <v>9.5999999999999992E-3</v>
      </c>
      <c r="C40" s="1303">
        <v>5.8900000000000001E-2</v>
      </c>
      <c r="D40" s="1303">
        <v>5.8900000000000001E-2</v>
      </c>
      <c r="E40" s="1303">
        <v>0.24709999999999999</v>
      </c>
      <c r="F40" s="1304" t="s">
        <v>1752</v>
      </c>
      <c r="G40" s="1304" t="s">
        <v>1450</v>
      </c>
    </row>
    <row r="41" spans="1:7">
      <c r="A41" s="1302" t="s">
        <v>167</v>
      </c>
      <c r="B41" s="1303">
        <v>9.1999999999999998E-3</v>
      </c>
      <c r="C41" s="1303">
        <v>5.8400000000000001E-2</v>
      </c>
      <c r="D41" s="1303">
        <v>1.24E-2</v>
      </c>
      <c r="E41" s="1303">
        <v>0.27</v>
      </c>
      <c r="F41" s="1304" t="s">
        <v>1723</v>
      </c>
      <c r="G41" s="1303">
        <v>1.15E-2</v>
      </c>
    </row>
    <row r="42" spans="1:7">
      <c r="A42" s="1302" t="s">
        <v>168</v>
      </c>
      <c r="B42" s="1303">
        <v>7.7000000000000002E-3</v>
      </c>
      <c r="C42" s="1303">
        <v>5.6300000000000003E-2</v>
      </c>
      <c r="D42" s="1303">
        <v>1.03E-2</v>
      </c>
      <c r="E42" s="1303">
        <v>0.25</v>
      </c>
      <c r="F42" s="1304" t="s">
        <v>1720</v>
      </c>
      <c r="G42" s="1303">
        <v>9.9000000000000008E-3</v>
      </c>
    </row>
    <row r="43" spans="1:7">
      <c r="A43" s="1302" t="s">
        <v>1758</v>
      </c>
      <c r="B43" s="1303">
        <v>2.07E-2</v>
      </c>
      <c r="C43" s="1303">
        <v>7.3800000000000004E-2</v>
      </c>
      <c r="D43" s="1303">
        <v>2.7799999999999998E-2</v>
      </c>
      <c r="E43" s="1303">
        <v>0.35</v>
      </c>
      <c r="F43" s="1304" t="s">
        <v>1745</v>
      </c>
      <c r="G43" s="1303">
        <v>2.7400000000000001E-2</v>
      </c>
    </row>
    <row r="44" spans="1:7">
      <c r="A44" s="1302" t="s">
        <v>2308</v>
      </c>
      <c r="B44" s="1303">
        <v>7.0800000000000002E-2</v>
      </c>
      <c r="C44" s="1303">
        <v>0.1411</v>
      </c>
      <c r="D44" s="1303">
        <v>9.5100000000000004E-2</v>
      </c>
      <c r="E44" s="1303">
        <v>0.3</v>
      </c>
      <c r="F44" s="1304" t="s">
        <v>1725</v>
      </c>
      <c r="G44" s="1304" t="s">
        <v>1450</v>
      </c>
    </row>
    <row r="45" spans="1:7">
      <c r="A45" s="1302" t="s">
        <v>1759</v>
      </c>
      <c r="B45" s="1303">
        <v>9.8100000000000007E-2</v>
      </c>
      <c r="C45" s="1303">
        <v>0.1777</v>
      </c>
      <c r="D45" s="1303">
        <v>0.13170000000000001</v>
      </c>
      <c r="E45" s="1303">
        <v>0.28000000000000003</v>
      </c>
      <c r="F45" s="1304" t="s">
        <v>1760</v>
      </c>
      <c r="G45" s="1304" t="s">
        <v>1450</v>
      </c>
    </row>
    <row r="46" spans="1:7">
      <c r="A46" s="1302" t="s">
        <v>1761</v>
      </c>
      <c r="B46" s="1303">
        <v>4.9000000000000002E-2</v>
      </c>
      <c r="C46" s="1303">
        <v>0.1118</v>
      </c>
      <c r="D46" s="1303">
        <v>6.5799999999999997E-2</v>
      </c>
      <c r="E46" s="1303">
        <v>0.2974</v>
      </c>
      <c r="F46" s="1304" t="s">
        <v>1719</v>
      </c>
      <c r="G46" s="1304" t="s">
        <v>1450</v>
      </c>
    </row>
    <row r="47" spans="1:7">
      <c r="A47" s="1302" t="s">
        <v>1762</v>
      </c>
      <c r="B47" s="1303">
        <v>4.9000000000000002E-2</v>
      </c>
      <c r="C47" s="1303">
        <v>0.1118</v>
      </c>
      <c r="D47" s="1303">
        <v>6.5799999999999997E-2</v>
      </c>
      <c r="E47" s="1303">
        <v>0.3</v>
      </c>
      <c r="F47" s="1304" t="s">
        <v>1719</v>
      </c>
      <c r="G47" s="1303">
        <v>3.1099999999999999E-2</v>
      </c>
    </row>
    <row r="48" spans="1:7">
      <c r="A48" s="1302" t="s">
        <v>169</v>
      </c>
      <c r="B48" s="1303">
        <v>2.07E-2</v>
      </c>
      <c r="C48" s="1303">
        <v>7.3800000000000004E-2</v>
      </c>
      <c r="D48" s="1303">
        <v>2.7799999999999998E-2</v>
      </c>
      <c r="E48" s="1303">
        <v>0.18</v>
      </c>
      <c r="F48" s="1304" t="s">
        <v>1745</v>
      </c>
      <c r="G48" s="1303">
        <v>1.34E-2</v>
      </c>
    </row>
    <row r="49" spans="1:7">
      <c r="A49" s="1302" t="s">
        <v>1763</v>
      </c>
      <c r="B49" s="1303">
        <v>0.13070000000000001</v>
      </c>
      <c r="C49" s="1303">
        <v>0.2215</v>
      </c>
      <c r="D49" s="1303">
        <v>0.17549999999999999</v>
      </c>
      <c r="E49" s="1303">
        <v>0.2853</v>
      </c>
      <c r="F49" s="1304" t="s">
        <v>1727</v>
      </c>
      <c r="G49" s="1304" t="s">
        <v>1450</v>
      </c>
    </row>
    <row r="50" spans="1:7">
      <c r="A50" s="1305" t="s">
        <v>2309</v>
      </c>
      <c r="B50" s="1303">
        <v>2.07E-2</v>
      </c>
      <c r="C50" s="1303">
        <v>7.3800000000000004E-2</v>
      </c>
      <c r="D50" s="1303">
        <v>2.7799999999999998E-2</v>
      </c>
      <c r="E50" s="1303">
        <v>0.22</v>
      </c>
      <c r="F50" s="1304" t="s">
        <v>1745</v>
      </c>
      <c r="G50" s="1304" t="s">
        <v>1450</v>
      </c>
    </row>
    <row r="51" spans="1:7">
      <c r="A51" s="1302" t="s">
        <v>1764</v>
      </c>
      <c r="B51" s="1303">
        <v>2.07E-2</v>
      </c>
      <c r="C51" s="1303">
        <v>7.3800000000000004E-2</v>
      </c>
      <c r="D51" s="1303">
        <v>2.7799999999999998E-2</v>
      </c>
      <c r="E51" s="1303">
        <v>0.125</v>
      </c>
      <c r="F51" s="1304" t="s">
        <v>1745</v>
      </c>
      <c r="G51" s="1303">
        <v>1.11E-2</v>
      </c>
    </row>
    <row r="52" spans="1:7">
      <c r="A52" s="1302" t="s">
        <v>170</v>
      </c>
      <c r="B52" s="1303">
        <v>6.4999999999999997E-3</v>
      </c>
      <c r="C52" s="1303">
        <v>5.4800000000000001E-2</v>
      </c>
      <c r="D52" s="1303">
        <v>8.8000000000000005E-3</v>
      </c>
      <c r="E52" s="1303">
        <v>0.19</v>
      </c>
      <c r="F52" s="1304" t="s">
        <v>1733</v>
      </c>
      <c r="G52" s="1303">
        <v>5.5999999999999999E-3</v>
      </c>
    </row>
    <row r="53" spans="1:7">
      <c r="A53" s="1302" t="s">
        <v>171</v>
      </c>
      <c r="B53" s="1303">
        <v>0</v>
      </c>
      <c r="C53" s="1303">
        <v>4.5999999999999999E-2</v>
      </c>
      <c r="D53" s="1303">
        <v>0</v>
      </c>
      <c r="E53" s="1303">
        <v>0.22</v>
      </c>
      <c r="F53" s="1304" t="s">
        <v>1734</v>
      </c>
      <c r="G53" s="1303">
        <v>2.3999999999999998E-3</v>
      </c>
    </row>
    <row r="54" spans="1:7">
      <c r="A54" s="1302" t="s">
        <v>1765</v>
      </c>
      <c r="B54" s="1303">
        <v>3.9199999999999999E-2</v>
      </c>
      <c r="C54" s="1303">
        <v>9.8599999999999993E-2</v>
      </c>
      <c r="D54" s="1303">
        <v>5.2600000000000001E-2</v>
      </c>
      <c r="E54" s="1303">
        <v>0.27</v>
      </c>
      <c r="F54" s="1304" t="s">
        <v>1730</v>
      </c>
      <c r="G54" s="1304" t="s">
        <v>1450</v>
      </c>
    </row>
    <row r="55" spans="1:7">
      <c r="A55" s="1302" t="s">
        <v>1766</v>
      </c>
      <c r="B55" s="1303">
        <v>0.109</v>
      </c>
      <c r="C55" s="1303">
        <v>0.1923</v>
      </c>
      <c r="D55" s="1303">
        <v>0.14630000000000001</v>
      </c>
      <c r="E55" s="1303">
        <v>0.25</v>
      </c>
      <c r="F55" s="1304" t="s">
        <v>1767</v>
      </c>
      <c r="G55" s="1303">
        <v>0.52739999999999998</v>
      </c>
    </row>
    <row r="56" spans="1:7">
      <c r="A56" s="1302" t="s">
        <v>172</v>
      </c>
      <c r="B56" s="1303">
        <v>8.1699999999999995E-2</v>
      </c>
      <c r="C56" s="1303">
        <v>0.15570000000000001</v>
      </c>
      <c r="D56" s="1303">
        <v>0.10970000000000001</v>
      </c>
      <c r="E56" s="1303">
        <v>0.22500000000000001</v>
      </c>
      <c r="F56" s="1304" t="s">
        <v>1743</v>
      </c>
      <c r="G56" s="1303">
        <v>0.1013</v>
      </c>
    </row>
    <row r="57" spans="1:7">
      <c r="A57" s="1302" t="s">
        <v>1768</v>
      </c>
      <c r="B57" s="1303">
        <v>0.109</v>
      </c>
      <c r="C57" s="1303">
        <v>0.1923</v>
      </c>
      <c r="D57" s="1303">
        <v>0.14630000000000001</v>
      </c>
      <c r="E57" s="1303">
        <v>0.3</v>
      </c>
      <c r="F57" s="1304" t="s">
        <v>1767</v>
      </c>
      <c r="G57" s="1303">
        <v>8.4000000000000005E-2</v>
      </c>
    </row>
    <row r="58" spans="1:7">
      <c r="A58" s="1302" t="s">
        <v>1769</v>
      </c>
      <c r="B58" s="1303">
        <v>7.7000000000000002E-3</v>
      </c>
      <c r="C58" s="1303">
        <v>5.6300000000000003E-2</v>
      </c>
      <c r="D58" s="1303">
        <v>1.03E-2</v>
      </c>
      <c r="E58" s="1303">
        <v>0.2</v>
      </c>
      <c r="F58" s="1304" t="s">
        <v>1720</v>
      </c>
      <c r="G58" s="1303">
        <v>6.0000000000000001E-3</v>
      </c>
    </row>
    <row r="59" spans="1:7">
      <c r="A59" s="1302" t="s">
        <v>1770</v>
      </c>
      <c r="B59" s="1303">
        <v>9.8100000000000007E-2</v>
      </c>
      <c r="C59" s="1303">
        <v>0.1777</v>
      </c>
      <c r="D59" s="1303">
        <v>0.13170000000000001</v>
      </c>
      <c r="E59" s="1303">
        <v>0.3</v>
      </c>
      <c r="F59" s="1304" t="s">
        <v>1760</v>
      </c>
      <c r="G59" s="1303">
        <v>0.3231</v>
      </c>
    </row>
    <row r="60" spans="1:7">
      <c r="A60" s="1302" t="s">
        <v>2310</v>
      </c>
      <c r="B60" s="1303">
        <v>4.2900000000000001E-2</v>
      </c>
      <c r="C60" s="1303">
        <v>0.1036</v>
      </c>
      <c r="D60" s="1303">
        <v>0.1036</v>
      </c>
      <c r="E60" s="1303">
        <v>0.316</v>
      </c>
      <c r="F60" s="1304" t="s">
        <v>1752</v>
      </c>
      <c r="G60" s="1304" t="s">
        <v>1450</v>
      </c>
    </row>
    <row r="61" spans="1:7">
      <c r="A61" s="1302" t="s">
        <v>1771</v>
      </c>
      <c r="B61" s="1303">
        <v>4.9000000000000002E-2</v>
      </c>
      <c r="C61" s="1303">
        <v>0.1118</v>
      </c>
      <c r="D61" s="1303">
        <v>6.5799999999999997E-2</v>
      </c>
      <c r="E61" s="1303">
        <v>0.2</v>
      </c>
      <c r="F61" s="1304" t="s">
        <v>1719</v>
      </c>
      <c r="G61" s="1304" t="s">
        <v>1450</v>
      </c>
    </row>
    <row r="62" spans="1:7">
      <c r="A62" s="1302" t="s">
        <v>1772</v>
      </c>
      <c r="B62" s="1303">
        <v>4.4000000000000003E-3</v>
      </c>
      <c r="C62" s="1303">
        <v>5.1799999999999999E-2</v>
      </c>
      <c r="D62" s="1303">
        <v>5.7999999999999996E-3</v>
      </c>
      <c r="E62" s="1303">
        <v>0.2</v>
      </c>
      <c r="F62" s="1304" t="s">
        <v>1728</v>
      </c>
      <c r="G62" s="1303">
        <v>3.3999999999999998E-3</v>
      </c>
    </row>
    <row r="63" spans="1:7">
      <c r="A63" s="1302" t="s">
        <v>173</v>
      </c>
      <c r="B63" s="1303">
        <v>5.4000000000000003E-3</v>
      </c>
      <c r="C63" s="1303">
        <v>5.3199999999999997E-2</v>
      </c>
      <c r="D63" s="1303">
        <v>7.1999999999999998E-3</v>
      </c>
      <c r="E63" s="1303">
        <v>0.25</v>
      </c>
      <c r="F63" s="1304" t="s">
        <v>1717</v>
      </c>
      <c r="G63" s="1303">
        <v>4.3E-3</v>
      </c>
    </row>
    <row r="64" spans="1:7">
      <c r="A64" s="1302" t="s">
        <v>2311</v>
      </c>
      <c r="B64" s="1303">
        <v>4.2900000000000001E-2</v>
      </c>
      <c r="C64" s="1303">
        <v>0.1036</v>
      </c>
      <c r="D64" s="1303">
        <v>0.1036</v>
      </c>
      <c r="E64" s="1303">
        <v>0.316</v>
      </c>
      <c r="F64" s="1304" t="s">
        <v>1752</v>
      </c>
      <c r="G64" s="1304" t="s">
        <v>1450</v>
      </c>
    </row>
    <row r="65" spans="1:7">
      <c r="A65" s="1302" t="s">
        <v>1773</v>
      </c>
      <c r="B65" s="1303">
        <v>8.1699999999999995E-2</v>
      </c>
      <c r="C65" s="1303">
        <v>0.15570000000000001</v>
      </c>
      <c r="D65" s="1303">
        <v>0.10970000000000001</v>
      </c>
      <c r="E65" s="1303">
        <v>0.3</v>
      </c>
      <c r="F65" s="1304" t="s">
        <v>1743</v>
      </c>
      <c r="G65" s="1303">
        <v>6.8500000000000005E-2</v>
      </c>
    </row>
    <row r="66" spans="1:7">
      <c r="A66" s="1302" t="s">
        <v>1837</v>
      </c>
      <c r="B66" s="1303">
        <v>4.9000000000000002E-2</v>
      </c>
      <c r="C66" s="1303">
        <v>0.1118</v>
      </c>
      <c r="D66" s="1303">
        <v>6.5799999999999997E-2</v>
      </c>
      <c r="E66" s="1303">
        <v>0.31</v>
      </c>
      <c r="F66" s="1304" t="s">
        <v>1752</v>
      </c>
      <c r="G66" s="1304" t="s">
        <v>1450</v>
      </c>
    </row>
    <row r="67" spans="1:7">
      <c r="A67" s="1302" t="s">
        <v>1774</v>
      </c>
      <c r="B67" s="1303">
        <v>3.2800000000000003E-2</v>
      </c>
      <c r="C67" s="1303">
        <v>0.09</v>
      </c>
      <c r="D67" s="1303">
        <v>4.3999999999999997E-2</v>
      </c>
      <c r="E67" s="1303">
        <v>0.15</v>
      </c>
      <c r="F67" s="1304" t="s">
        <v>1736</v>
      </c>
      <c r="G67" s="1304" t="s">
        <v>1450</v>
      </c>
    </row>
    <row r="68" spans="1:7">
      <c r="A68" s="1302" t="s">
        <v>174</v>
      </c>
      <c r="B68" s="1303">
        <v>0</v>
      </c>
      <c r="C68" s="1303">
        <v>4.5999999999999999E-2</v>
      </c>
      <c r="D68" s="1303">
        <v>0</v>
      </c>
      <c r="E68" s="1303">
        <v>0.3</v>
      </c>
      <c r="F68" s="1304" t="s">
        <v>1734</v>
      </c>
      <c r="G68" s="1303">
        <v>2.8999999999999998E-3</v>
      </c>
    </row>
    <row r="69" spans="1:7">
      <c r="A69" s="1302" t="s">
        <v>1775</v>
      </c>
      <c r="B69" s="1303">
        <v>0.109</v>
      </c>
      <c r="C69" s="1303">
        <v>0.1923</v>
      </c>
      <c r="D69" s="1303">
        <v>0.14630000000000001</v>
      </c>
      <c r="E69" s="1303">
        <v>0.25</v>
      </c>
      <c r="F69" s="1304" t="s">
        <v>1767</v>
      </c>
      <c r="G69" s="1304" t="s">
        <v>1450</v>
      </c>
    </row>
    <row r="70" spans="1:7">
      <c r="A70" s="1302" t="s">
        <v>1863</v>
      </c>
      <c r="B70" s="1303">
        <v>9.5999999999999992E-3</v>
      </c>
      <c r="C70" s="1303">
        <v>5.8900000000000001E-2</v>
      </c>
      <c r="D70" s="1303">
        <v>5.8900000000000001E-2</v>
      </c>
      <c r="E70" s="1303">
        <v>0.24709999999999999</v>
      </c>
      <c r="F70" s="1304" t="s">
        <v>1752</v>
      </c>
      <c r="G70" s="1304" t="s">
        <v>1450</v>
      </c>
    </row>
    <row r="71" spans="1:7">
      <c r="A71" s="1302" t="s">
        <v>1776</v>
      </c>
      <c r="B71" s="1303">
        <v>2.7300000000000001E-2</v>
      </c>
      <c r="C71" s="1303">
        <v>8.2600000000000007E-2</v>
      </c>
      <c r="D71" s="1303">
        <v>3.6600000000000001E-2</v>
      </c>
      <c r="E71" s="1303">
        <v>0.22</v>
      </c>
      <c r="F71" s="1304" t="s">
        <v>1740</v>
      </c>
      <c r="G71" s="1303">
        <v>1.2800000000000001E-2</v>
      </c>
    </row>
    <row r="72" spans="1:7">
      <c r="A72" s="1302" t="s">
        <v>2312</v>
      </c>
      <c r="B72" s="1303">
        <v>0</v>
      </c>
      <c r="C72" s="1304" t="s">
        <v>1450</v>
      </c>
      <c r="D72" s="1304" t="s">
        <v>1450</v>
      </c>
      <c r="E72" s="1303">
        <v>0</v>
      </c>
      <c r="F72" s="1304" t="s">
        <v>1752</v>
      </c>
      <c r="G72" s="1304" t="s">
        <v>1450</v>
      </c>
    </row>
    <row r="73" spans="1:7">
      <c r="A73" s="1302" t="s">
        <v>1777</v>
      </c>
      <c r="B73" s="1303">
        <v>2.7300000000000001E-2</v>
      </c>
      <c r="C73" s="1303">
        <v>8.2600000000000007E-2</v>
      </c>
      <c r="D73" s="1303">
        <v>3.6600000000000001E-2</v>
      </c>
      <c r="E73" s="1303">
        <v>0.25</v>
      </c>
      <c r="F73" s="1304" t="s">
        <v>1740</v>
      </c>
      <c r="G73" s="1304" t="s">
        <v>1450</v>
      </c>
    </row>
    <row r="74" spans="1:7">
      <c r="A74" s="1302" t="s">
        <v>1778</v>
      </c>
      <c r="B74" s="1303">
        <v>7.7000000000000002E-3</v>
      </c>
      <c r="C74" s="1303">
        <v>5.6300000000000003E-2</v>
      </c>
      <c r="D74" s="1303">
        <v>1.03E-2</v>
      </c>
      <c r="E74" s="1303">
        <v>0</v>
      </c>
      <c r="F74" s="1304" t="s">
        <v>1720</v>
      </c>
      <c r="G74" s="1304" t="s">
        <v>1450</v>
      </c>
    </row>
    <row r="75" spans="1:7">
      <c r="A75" s="1302" t="s">
        <v>1838</v>
      </c>
      <c r="B75" s="1303">
        <v>9.8100000000000007E-2</v>
      </c>
      <c r="C75" s="1303">
        <v>0.1777</v>
      </c>
      <c r="D75" s="1303">
        <v>0.13170000000000001</v>
      </c>
      <c r="E75" s="1303">
        <v>0.29149999999999998</v>
      </c>
      <c r="F75" s="1304" t="s">
        <v>1752</v>
      </c>
      <c r="G75" s="1304" t="s">
        <v>1450</v>
      </c>
    </row>
    <row r="76" spans="1:7">
      <c r="A76" s="1302" t="s">
        <v>1839</v>
      </c>
      <c r="B76" s="1303">
        <v>5.9900000000000002E-2</v>
      </c>
      <c r="C76" s="1303">
        <v>0.12640000000000001</v>
      </c>
      <c r="D76" s="1303">
        <v>8.0399999999999999E-2</v>
      </c>
      <c r="E76" s="1303">
        <v>0.29149999999999998</v>
      </c>
      <c r="F76" s="1304" t="s">
        <v>1752</v>
      </c>
      <c r="G76" s="1304" t="s">
        <v>1450</v>
      </c>
    </row>
    <row r="77" spans="1:7">
      <c r="A77" s="1302" t="s">
        <v>1840</v>
      </c>
      <c r="B77" s="1303">
        <v>1.7399999999999999E-2</v>
      </c>
      <c r="C77" s="1303">
        <v>6.9400000000000003E-2</v>
      </c>
      <c r="D77" s="1303">
        <v>2.3400000000000001E-2</v>
      </c>
      <c r="E77" s="1303">
        <v>0.18640000000000001</v>
      </c>
      <c r="F77" s="1304" t="s">
        <v>1752</v>
      </c>
      <c r="G77" s="1304" t="s">
        <v>1450</v>
      </c>
    </row>
    <row r="78" spans="1:7">
      <c r="A78" s="1302" t="s">
        <v>1841</v>
      </c>
      <c r="B78" s="1303">
        <v>0.109</v>
      </c>
      <c r="C78" s="1303">
        <v>0.1923</v>
      </c>
      <c r="D78" s="1303">
        <v>0.14630000000000001</v>
      </c>
      <c r="E78" s="1303">
        <v>0.18640000000000001</v>
      </c>
      <c r="F78" s="1304" t="s">
        <v>1752</v>
      </c>
      <c r="G78" s="1304" t="s">
        <v>1450</v>
      </c>
    </row>
    <row r="79" spans="1:7">
      <c r="A79" s="1302" t="s">
        <v>1779</v>
      </c>
      <c r="B79" s="1303">
        <v>4.9000000000000002E-2</v>
      </c>
      <c r="C79" s="1303">
        <v>0.1118</v>
      </c>
      <c r="D79" s="1303">
        <v>6.5799999999999997E-2</v>
      </c>
      <c r="E79" s="1303">
        <v>0.25</v>
      </c>
      <c r="F79" s="1304" t="s">
        <v>1719</v>
      </c>
      <c r="G79" s="1304" t="s">
        <v>1450</v>
      </c>
    </row>
    <row r="80" spans="1:7">
      <c r="A80" s="1302" t="s">
        <v>175</v>
      </c>
      <c r="B80" s="1303">
        <v>6.4999999999999997E-3</v>
      </c>
      <c r="C80" s="1303">
        <v>5.4800000000000001E-2</v>
      </c>
      <c r="D80" s="1303">
        <v>8.8000000000000005E-3</v>
      </c>
      <c r="E80" s="1303">
        <v>0.16500000000000001</v>
      </c>
      <c r="F80" s="1304" t="s">
        <v>1733</v>
      </c>
      <c r="G80" s="1303">
        <v>6.0000000000000001E-3</v>
      </c>
    </row>
    <row r="81" spans="1:7">
      <c r="A81" s="1302" t="s">
        <v>176</v>
      </c>
      <c r="B81" s="1303">
        <v>2.07E-2</v>
      </c>
      <c r="C81" s="1303">
        <v>7.3800000000000004E-2</v>
      </c>
      <c r="D81" s="1303">
        <v>2.7799999999999998E-2</v>
      </c>
      <c r="E81" s="1303">
        <v>0.09</v>
      </c>
      <c r="F81" s="1304" t="s">
        <v>1745</v>
      </c>
      <c r="G81" s="1303">
        <v>1.95E-2</v>
      </c>
    </row>
    <row r="82" spans="1:7">
      <c r="A82" s="1302" t="s">
        <v>177</v>
      </c>
      <c r="B82" s="1303">
        <v>9.1999999999999998E-3</v>
      </c>
      <c r="C82" s="1303">
        <v>5.8400000000000001E-2</v>
      </c>
      <c r="D82" s="1303">
        <v>1.24E-2</v>
      </c>
      <c r="E82" s="1303">
        <v>0.2</v>
      </c>
      <c r="F82" s="1304" t="s">
        <v>1723</v>
      </c>
      <c r="G82" s="1303">
        <v>8.8000000000000005E-3</v>
      </c>
    </row>
    <row r="83" spans="1:7">
      <c r="A83" s="1302" t="s">
        <v>178</v>
      </c>
      <c r="B83" s="1303">
        <v>2.3900000000000001E-2</v>
      </c>
      <c r="C83" s="1303">
        <v>7.8100000000000003E-2</v>
      </c>
      <c r="D83" s="1303">
        <v>3.2099999999999997E-2</v>
      </c>
      <c r="E83" s="1303">
        <v>0.3</v>
      </c>
      <c r="F83" s="1304" t="s">
        <v>1722</v>
      </c>
      <c r="G83" s="1303">
        <v>9.9000000000000008E-3</v>
      </c>
    </row>
    <row r="84" spans="1:7">
      <c r="A84" s="1302" t="s">
        <v>179</v>
      </c>
      <c r="B84" s="1303">
        <v>2.07E-2</v>
      </c>
      <c r="C84" s="1303">
        <v>7.3800000000000004E-2</v>
      </c>
      <c r="D84" s="1303">
        <v>2.7799999999999998E-2</v>
      </c>
      <c r="E84" s="1303">
        <v>0.22</v>
      </c>
      <c r="F84" s="1304" t="s">
        <v>1745</v>
      </c>
      <c r="G84" s="1303">
        <v>1.32E-2</v>
      </c>
    </row>
    <row r="85" spans="1:7">
      <c r="A85" s="1302" t="s">
        <v>1842</v>
      </c>
      <c r="B85" s="1303">
        <v>7.0800000000000002E-2</v>
      </c>
      <c r="C85" s="1303">
        <v>0.1411</v>
      </c>
      <c r="D85" s="1303">
        <v>9.5100000000000004E-2</v>
      </c>
      <c r="E85" s="1303">
        <v>0.20230000000000001</v>
      </c>
      <c r="F85" s="1304" t="s">
        <v>1752</v>
      </c>
      <c r="G85" s="1304" t="s">
        <v>1450</v>
      </c>
    </row>
    <row r="86" spans="1:7">
      <c r="A86" s="1302" t="s">
        <v>1780</v>
      </c>
      <c r="B86" s="1303">
        <v>8.1699999999999995E-2</v>
      </c>
      <c r="C86" s="1303">
        <v>0.15570000000000001</v>
      </c>
      <c r="D86" s="1303">
        <v>0.10970000000000001</v>
      </c>
      <c r="E86" s="1303">
        <v>0.15</v>
      </c>
      <c r="F86" s="1304" t="s">
        <v>1743</v>
      </c>
      <c r="G86" s="1303">
        <v>5.1400000000000001E-2</v>
      </c>
    </row>
    <row r="87" spans="1:7">
      <c r="A87" s="1302" t="s">
        <v>180</v>
      </c>
      <c r="B87" s="1303">
        <v>6.4999999999999997E-3</v>
      </c>
      <c r="C87" s="1303">
        <v>5.4800000000000001E-2</v>
      </c>
      <c r="D87" s="1303">
        <v>8.8000000000000005E-3</v>
      </c>
      <c r="E87" s="1303">
        <v>0.125</v>
      </c>
      <c r="F87" s="1304" t="s">
        <v>1733</v>
      </c>
      <c r="G87" s="1303">
        <v>4.1000000000000003E-3</v>
      </c>
    </row>
    <row r="88" spans="1:7">
      <c r="A88" s="1302" t="s">
        <v>1781</v>
      </c>
      <c r="B88" s="1303">
        <v>6.4999999999999997E-3</v>
      </c>
      <c r="C88" s="1303">
        <v>5.4800000000000001E-2</v>
      </c>
      <c r="D88" s="1303">
        <v>8.8000000000000005E-3</v>
      </c>
      <c r="E88" s="1303">
        <v>0</v>
      </c>
      <c r="F88" s="1304" t="s">
        <v>1733</v>
      </c>
      <c r="G88" s="1304" t="s">
        <v>1450</v>
      </c>
    </row>
    <row r="89" spans="1:7">
      <c r="A89" s="1302" t="s">
        <v>181</v>
      </c>
      <c r="B89" s="1303">
        <v>7.7000000000000002E-3</v>
      </c>
      <c r="C89" s="1303">
        <v>5.6300000000000003E-2</v>
      </c>
      <c r="D89" s="1303">
        <v>1.03E-2</v>
      </c>
      <c r="E89" s="1303">
        <v>0.23</v>
      </c>
      <c r="F89" s="1304" t="s">
        <v>1720</v>
      </c>
      <c r="G89" s="1303">
        <v>1.5699999999999999E-2</v>
      </c>
    </row>
    <row r="90" spans="1:7">
      <c r="A90" s="1302" t="s">
        <v>182</v>
      </c>
      <c r="B90" s="1303">
        <v>2.3900000000000001E-2</v>
      </c>
      <c r="C90" s="1303">
        <v>7.8100000000000003E-2</v>
      </c>
      <c r="D90" s="1303">
        <v>3.2099999999999997E-2</v>
      </c>
      <c r="E90" s="1303">
        <v>0.24</v>
      </c>
      <c r="F90" s="1304" t="s">
        <v>1722</v>
      </c>
      <c r="G90" s="1303">
        <v>1.34E-2</v>
      </c>
    </row>
    <row r="91" spans="1:7">
      <c r="A91" s="1302" t="s">
        <v>1864</v>
      </c>
      <c r="B91" s="1303">
        <v>3.9199999999999999E-2</v>
      </c>
      <c r="C91" s="1303">
        <v>9.8599999999999993E-2</v>
      </c>
      <c r="D91" s="1303">
        <v>5.2600000000000001E-2</v>
      </c>
      <c r="E91" s="1303">
        <v>0.25</v>
      </c>
      <c r="F91" s="1304" t="s">
        <v>1730</v>
      </c>
      <c r="G91" s="1304" t="s">
        <v>1450</v>
      </c>
    </row>
    <row r="92" spans="1:7">
      <c r="A92" s="1302" t="s">
        <v>1782</v>
      </c>
      <c r="B92" s="1303">
        <v>4.9000000000000002E-2</v>
      </c>
      <c r="C92" s="1303">
        <v>0.1118</v>
      </c>
      <c r="D92" s="1303">
        <v>6.5799999999999997E-2</v>
      </c>
      <c r="E92" s="1303">
        <v>0.25</v>
      </c>
      <c r="F92" s="1304" t="s">
        <v>1719</v>
      </c>
      <c r="G92" s="1304" t="s">
        <v>1450</v>
      </c>
    </row>
    <row r="93" spans="1:7">
      <c r="A93" s="1302" t="s">
        <v>183</v>
      </c>
      <c r="B93" s="1303">
        <v>7.7000000000000002E-3</v>
      </c>
      <c r="C93" s="1303">
        <v>5.6300000000000003E-2</v>
      </c>
      <c r="D93" s="1303">
        <v>1.03E-2</v>
      </c>
      <c r="E93" s="1303">
        <v>0.30620000000000003</v>
      </c>
      <c r="F93" s="1304" t="s">
        <v>1720</v>
      </c>
      <c r="G93" s="1303">
        <v>4.3E-3</v>
      </c>
    </row>
    <row r="94" spans="1:7">
      <c r="A94" s="1302" t="s">
        <v>1783</v>
      </c>
      <c r="B94" s="1303">
        <v>6.4999999999999997E-3</v>
      </c>
      <c r="C94" s="1303">
        <v>5.4800000000000001E-2</v>
      </c>
      <c r="D94" s="1303">
        <v>8.8000000000000005E-3</v>
      </c>
      <c r="E94" s="1303">
        <v>0</v>
      </c>
      <c r="F94" s="1304" t="s">
        <v>1733</v>
      </c>
      <c r="G94" s="1304" t="s">
        <v>1450</v>
      </c>
    </row>
    <row r="95" spans="1:7">
      <c r="A95" s="1302" t="s">
        <v>1784</v>
      </c>
      <c r="B95" s="1303">
        <v>4.9000000000000002E-2</v>
      </c>
      <c r="C95" s="1303">
        <v>0.1118</v>
      </c>
      <c r="D95" s="1303">
        <v>6.5799999999999997E-2</v>
      </c>
      <c r="E95" s="1303">
        <v>0.2</v>
      </c>
      <c r="F95" s="1304" t="s">
        <v>1719</v>
      </c>
      <c r="G95" s="1304" t="s">
        <v>1450</v>
      </c>
    </row>
    <row r="96" spans="1:7">
      <c r="A96" s="1302" t="s">
        <v>1785</v>
      </c>
      <c r="B96" s="1303">
        <v>2.07E-2</v>
      </c>
      <c r="C96" s="1303">
        <v>7.3800000000000004E-2</v>
      </c>
      <c r="D96" s="1303">
        <v>2.7799999999999998E-2</v>
      </c>
      <c r="E96" s="1303">
        <v>0.2</v>
      </c>
      <c r="F96" s="1304" t="s">
        <v>1745</v>
      </c>
      <c r="G96" s="1303">
        <v>1.7600000000000001E-2</v>
      </c>
    </row>
    <row r="97" spans="1:7">
      <c r="A97" s="1302" t="s">
        <v>184</v>
      </c>
      <c r="B97" s="1303">
        <v>7.0800000000000002E-2</v>
      </c>
      <c r="C97" s="1303">
        <v>0.1411</v>
      </c>
      <c r="D97" s="1303">
        <v>9.5100000000000004E-2</v>
      </c>
      <c r="E97" s="1303">
        <v>0.3</v>
      </c>
      <c r="F97" s="1304" t="s">
        <v>1725</v>
      </c>
      <c r="G97" s="1303">
        <v>7.0400000000000004E-2</v>
      </c>
    </row>
    <row r="98" spans="1:7">
      <c r="A98" s="1302" t="s">
        <v>1843</v>
      </c>
      <c r="B98" s="1303">
        <v>0.17499999999999999</v>
      </c>
      <c r="C98" s="1303">
        <v>0.28089999999999998</v>
      </c>
      <c r="D98" s="1303">
        <v>0.2349</v>
      </c>
      <c r="E98" s="1303">
        <v>0.23100000000000001</v>
      </c>
      <c r="F98" s="1304" t="s">
        <v>1752</v>
      </c>
      <c r="G98" s="1304" t="s">
        <v>1450</v>
      </c>
    </row>
    <row r="99" spans="1:7">
      <c r="A99" s="1302" t="s">
        <v>1786</v>
      </c>
      <c r="B99" s="1303">
        <v>7.7000000000000002E-3</v>
      </c>
      <c r="C99" s="1303">
        <v>5.6300000000000003E-2</v>
      </c>
      <c r="D99" s="1303">
        <v>1.03E-2</v>
      </c>
      <c r="E99" s="1303">
        <v>0.15</v>
      </c>
      <c r="F99" s="1304" t="s">
        <v>1720</v>
      </c>
      <c r="G99" s="1303">
        <v>8.3000000000000001E-3</v>
      </c>
    </row>
    <row r="100" spans="1:7">
      <c r="A100" s="1302" t="s">
        <v>1787</v>
      </c>
      <c r="B100" s="1303">
        <v>7.0800000000000002E-2</v>
      </c>
      <c r="C100" s="1303">
        <v>0.1411</v>
      </c>
      <c r="D100" s="1303">
        <v>9.5100000000000004E-2</v>
      </c>
      <c r="E100" s="1303">
        <v>0.1</v>
      </c>
      <c r="F100" s="1304" t="s">
        <v>1725</v>
      </c>
      <c r="G100" s="1304" t="s">
        <v>1450</v>
      </c>
    </row>
    <row r="101" spans="1:7">
      <c r="A101" s="1302" t="s">
        <v>1788</v>
      </c>
      <c r="B101" s="1303">
        <v>0.109</v>
      </c>
      <c r="C101" s="1303">
        <v>0.1923</v>
      </c>
      <c r="D101" s="1303">
        <v>0.14630000000000001</v>
      </c>
      <c r="E101" s="1303">
        <v>0.26860000000000001</v>
      </c>
      <c r="F101" s="1304" t="s">
        <v>1767</v>
      </c>
      <c r="G101" s="1304" t="s">
        <v>1450</v>
      </c>
    </row>
    <row r="102" spans="1:7">
      <c r="A102" s="1302" t="s">
        <v>1789</v>
      </c>
      <c r="B102" s="1303">
        <v>1.3100000000000001E-2</v>
      </c>
      <c r="C102" s="1303">
        <v>6.3500000000000001E-2</v>
      </c>
      <c r="D102" s="1303">
        <v>1.7500000000000002E-2</v>
      </c>
      <c r="E102" s="1303">
        <v>0.2</v>
      </c>
      <c r="F102" s="1304" t="s">
        <v>1726</v>
      </c>
      <c r="G102" s="1303">
        <v>9.4000000000000004E-3</v>
      </c>
    </row>
    <row r="103" spans="1:7">
      <c r="A103" s="1302" t="s">
        <v>1790</v>
      </c>
      <c r="B103" s="1303">
        <v>0.17499999999999999</v>
      </c>
      <c r="C103" s="1303">
        <v>0.28089999999999998</v>
      </c>
      <c r="D103" s="1303">
        <v>0.2349</v>
      </c>
      <c r="E103" s="1303">
        <v>0.17</v>
      </c>
      <c r="F103" s="1304" t="s">
        <v>132</v>
      </c>
      <c r="G103" s="1304" t="s">
        <v>1450</v>
      </c>
    </row>
    <row r="104" spans="1:7">
      <c r="A104" s="1302" t="s">
        <v>1844</v>
      </c>
      <c r="B104" s="1303">
        <v>0.13070000000000001</v>
      </c>
      <c r="C104" s="1303">
        <v>0.2215</v>
      </c>
      <c r="D104" s="1303">
        <v>0.17549999999999999</v>
      </c>
      <c r="E104" s="1303">
        <v>0.29149999999999998</v>
      </c>
      <c r="F104" s="1304" t="s">
        <v>1752</v>
      </c>
      <c r="G104" s="1304" t="s">
        <v>1450</v>
      </c>
    </row>
    <row r="105" spans="1:7">
      <c r="A105" s="1302" t="s">
        <v>1845</v>
      </c>
      <c r="B105" s="1303">
        <v>2.07E-2</v>
      </c>
      <c r="C105" s="1303">
        <v>7.3800000000000004E-2</v>
      </c>
      <c r="D105" s="1303">
        <v>2.7799999999999998E-2</v>
      </c>
      <c r="E105" s="1303">
        <v>0.2</v>
      </c>
      <c r="F105" s="1304" t="s">
        <v>1752</v>
      </c>
      <c r="G105" s="1304" t="s">
        <v>1450</v>
      </c>
    </row>
    <row r="106" spans="1:7">
      <c r="A106" s="1302" t="s">
        <v>1791</v>
      </c>
      <c r="B106" s="1303">
        <v>0</v>
      </c>
      <c r="C106" s="1303">
        <v>4.5999999999999999E-2</v>
      </c>
      <c r="D106" s="1303">
        <v>0</v>
      </c>
      <c r="E106" s="1303">
        <v>0.125</v>
      </c>
      <c r="F106" s="1304" t="s">
        <v>1734</v>
      </c>
      <c r="G106" s="1304" t="s">
        <v>1450</v>
      </c>
    </row>
    <row r="107" spans="1:7">
      <c r="A107" s="1302" t="s">
        <v>1792</v>
      </c>
      <c r="B107" s="1303">
        <v>9.1999999999999998E-3</v>
      </c>
      <c r="C107" s="1303">
        <v>5.8400000000000001E-2</v>
      </c>
      <c r="D107" s="1303">
        <v>1.24E-2</v>
      </c>
      <c r="E107" s="1303">
        <v>0.15</v>
      </c>
      <c r="F107" s="1304" t="s">
        <v>1723</v>
      </c>
      <c r="G107" s="1303">
        <v>8.9999999999999993E-3</v>
      </c>
    </row>
    <row r="108" spans="1:7">
      <c r="A108" s="1302" t="s">
        <v>185</v>
      </c>
      <c r="B108" s="1303">
        <v>0</v>
      </c>
      <c r="C108" s="1303">
        <v>4.5999999999999999E-2</v>
      </c>
      <c r="D108" s="1303">
        <v>0</v>
      </c>
      <c r="E108" s="1303">
        <v>0.24940000000000001</v>
      </c>
      <c r="F108" s="1304" t="s">
        <v>1734</v>
      </c>
      <c r="G108" s="1304" t="s">
        <v>1450</v>
      </c>
    </row>
    <row r="109" spans="1:7">
      <c r="A109" s="1302" t="s">
        <v>1865</v>
      </c>
      <c r="B109" s="1303">
        <v>6.4999999999999997E-3</v>
      </c>
      <c r="C109" s="1303">
        <v>5.4800000000000001E-2</v>
      </c>
      <c r="D109" s="1303">
        <v>8.8000000000000005E-3</v>
      </c>
      <c r="E109" s="1303">
        <v>0.26860000000000001</v>
      </c>
      <c r="F109" s="1304" t="s">
        <v>1733</v>
      </c>
      <c r="G109" s="1304" t="s">
        <v>1450</v>
      </c>
    </row>
    <row r="110" spans="1:7">
      <c r="A110" s="1302" t="s">
        <v>1793</v>
      </c>
      <c r="B110" s="1303">
        <v>3.9199999999999999E-2</v>
      </c>
      <c r="C110" s="1303">
        <v>9.8599999999999993E-2</v>
      </c>
      <c r="D110" s="1303">
        <v>5.2600000000000001E-2</v>
      </c>
      <c r="E110" s="1303">
        <v>0.1</v>
      </c>
      <c r="F110" s="1304" t="s">
        <v>1730</v>
      </c>
      <c r="G110" s="1304" t="s">
        <v>1450</v>
      </c>
    </row>
    <row r="111" spans="1:7">
      <c r="A111" s="1302" t="s">
        <v>1846</v>
      </c>
      <c r="B111" s="1303">
        <v>7.0800000000000002E-2</v>
      </c>
      <c r="C111" s="1303">
        <v>0.1411</v>
      </c>
      <c r="D111" s="1303">
        <v>9.5100000000000004E-2</v>
      </c>
      <c r="E111" s="1303">
        <v>0.2</v>
      </c>
      <c r="F111" s="1304" t="s">
        <v>1752</v>
      </c>
      <c r="G111" s="1304" t="s">
        <v>1450</v>
      </c>
    </row>
    <row r="112" spans="1:7">
      <c r="A112" s="1302" t="s">
        <v>1847</v>
      </c>
      <c r="B112" s="1303">
        <v>0.13070000000000001</v>
      </c>
      <c r="C112" s="1303">
        <v>0.2215</v>
      </c>
      <c r="D112" s="1303">
        <v>0.17549999999999999</v>
      </c>
      <c r="E112" s="1303">
        <v>0.3</v>
      </c>
      <c r="F112" s="1304" t="s">
        <v>1752</v>
      </c>
      <c r="G112" s="1304" t="s">
        <v>1450</v>
      </c>
    </row>
    <row r="113" spans="1:7">
      <c r="A113" s="1302" t="s">
        <v>186</v>
      </c>
      <c r="B113" s="1303">
        <v>1.3100000000000001E-2</v>
      </c>
      <c r="C113" s="1303">
        <v>6.3500000000000001E-2</v>
      </c>
      <c r="D113" s="1303">
        <v>1.7500000000000002E-2</v>
      </c>
      <c r="E113" s="1303">
        <v>0.24</v>
      </c>
      <c r="F113" s="1304" t="s">
        <v>1726</v>
      </c>
      <c r="G113" s="1303">
        <v>8.6E-3</v>
      </c>
    </row>
    <row r="114" spans="1:7">
      <c r="A114" s="1302" t="s">
        <v>1794</v>
      </c>
      <c r="B114" s="1303">
        <v>8.1699999999999995E-2</v>
      </c>
      <c r="C114" s="1303">
        <v>0.15570000000000001</v>
      </c>
      <c r="D114" s="1303">
        <v>0.10970000000000001</v>
      </c>
      <c r="E114" s="1303">
        <v>0.26860000000000001</v>
      </c>
      <c r="F114" s="1304" t="s">
        <v>1743</v>
      </c>
      <c r="G114" s="1304" t="s">
        <v>1450</v>
      </c>
    </row>
    <row r="115" spans="1:7">
      <c r="A115" s="1302" t="s">
        <v>1795</v>
      </c>
      <c r="B115" s="1303">
        <v>9.8100000000000007E-2</v>
      </c>
      <c r="C115" s="1303">
        <v>0.1777</v>
      </c>
      <c r="D115" s="1303">
        <v>0.13170000000000001</v>
      </c>
      <c r="E115" s="1303">
        <v>0.26860000000000001</v>
      </c>
      <c r="F115" s="1304" t="s">
        <v>1760</v>
      </c>
      <c r="G115" s="1304" t="s">
        <v>1450</v>
      </c>
    </row>
    <row r="116" spans="1:7">
      <c r="A116" s="1302" t="s">
        <v>1796</v>
      </c>
      <c r="B116" s="1303">
        <v>9.1999999999999998E-3</v>
      </c>
      <c r="C116" s="1303">
        <v>5.8400000000000001E-2</v>
      </c>
      <c r="D116" s="1303">
        <v>1.24E-2</v>
      </c>
      <c r="E116" s="1303">
        <v>0.35</v>
      </c>
      <c r="F116" s="1304" t="s">
        <v>1723</v>
      </c>
      <c r="G116" s="1304" t="s">
        <v>1450</v>
      </c>
    </row>
    <row r="117" spans="1:7">
      <c r="A117" s="1302" t="s">
        <v>2313</v>
      </c>
      <c r="B117" s="1303">
        <v>0</v>
      </c>
      <c r="C117" s="1304" t="s">
        <v>1450</v>
      </c>
      <c r="D117" s="1304" t="s">
        <v>1450</v>
      </c>
      <c r="E117" s="1303">
        <v>0</v>
      </c>
      <c r="F117" s="1304" t="s">
        <v>1752</v>
      </c>
      <c r="G117" s="1304" t="s">
        <v>1450</v>
      </c>
    </row>
    <row r="118" spans="1:7">
      <c r="A118" s="1302" t="s">
        <v>1797</v>
      </c>
      <c r="B118" s="1303">
        <v>2.3900000000000001E-2</v>
      </c>
      <c r="C118" s="1303">
        <v>7.8100000000000003E-2</v>
      </c>
      <c r="D118" s="1303">
        <v>3.2099999999999997E-2</v>
      </c>
      <c r="E118" s="1303">
        <v>0.15</v>
      </c>
      <c r="F118" s="1304" t="s">
        <v>1722</v>
      </c>
      <c r="G118" s="1304" t="s">
        <v>1450</v>
      </c>
    </row>
    <row r="119" spans="1:7">
      <c r="A119" s="1302" t="s">
        <v>187</v>
      </c>
      <c r="B119" s="1303">
        <v>2.07E-2</v>
      </c>
      <c r="C119" s="1303">
        <v>7.3800000000000004E-2</v>
      </c>
      <c r="D119" s="1303">
        <v>2.7799999999999998E-2</v>
      </c>
      <c r="E119" s="1303">
        <v>0.3</v>
      </c>
      <c r="F119" s="1304" t="s">
        <v>1745</v>
      </c>
      <c r="G119" s="1303">
        <v>1.6799999999999999E-2</v>
      </c>
    </row>
    <row r="120" spans="1:7">
      <c r="A120" s="1302" t="s">
        <v>1866</v>
      </c>
      <c r="B120" s="1303">
        <v>9.5999999999999992E-3</v>
      </c>
      <c r="C120" s="1303">
        <v>5.8900000000000001E-2</v>
      </c>
      <c r="D120" s="1303">
        <v>5.8900000000000001E-2</v>
      </c>
      <c r="E120" s="1303">
        <v>0.24709999999999999</v>
      </c>
      <c r="F120" s="1304" t="s">
        <v>1752</v>
      </c>
      <c r="G120" s="1304" t="s">
        <v>1450</v>
      </c>
    </row>
    <row r="121" spans="1:7">
      <c r="A121" s="1302" t="s">
        <v>1798</v>
      </c>
      <c r="B121" s="1303">
        <v>7.0800000000000002E-2</v>
      </c>
      <c r="C121" s="1303">
        <v>0.1411</v>
      </c>
      <c r="D121" s="1303">
        <v>9.5100000000000004E-2</v>
      </c>
      <c r="E121" s="1303">
        <v>0.12</v>
      </c>
      <c r="F121" s="1304" t="s">
        <v>1725</v>
      </c>
      <c r="G121" s="1304" t="s">
        <v>1450</v>
      </c>
    </row>
    <row r="122" spans="1:7">
      <c r="A122" s="1302" t="s">
        <v>1799</v>
      </c>
      <c r="B122" s="1303">
        <v>7.0800000000000002E-2</v>
      </c>
      <c r="C122" s="1303">
        <v>0.1411</v>
      </c>
      <c r="D122" s="1303">
        <v>9.5100000000000004E-2</v>
      </c>
      <c r="E122" s="1303">
        <v>0.25</v>
      </c>
      <c r="F122" s="1304" t="s">
        <v>1725</v>
      </c>
      <c r="G122" s="1303">
        <v>4.02E-2</v>
      </c>
    </row>
    <row r="123" spans="1:7">
      <c r="A123" s="1302" t="s">
        <v>1800</v>
      </c>
      <c r="B123" s="1303">
        <v>4.9000000000000002E-2</v>
      </c>
      <c r="C123" s="1303">
        <v>0.1118</v>
      </c>
      <c r="D123" s="1303">
        <v>6.5799999999999997E-2</v>
      </c>
      <c r="E123" s="1303">
        <v>0.15</v>
      </c>
      <c r="F123" s="1304" t="s">
        <v>1719</v>
      </c>
      <c r="G123" s="1304" t="s">
        <v>1450</v>
      </c>
    </row>
    <row r="124" spans="1:7">
      <c r="A124" s="1302" t="s">
        <v>1801</v>
      </c>
      <c r="B124" s="1303">
        <v>2.3900000000000001E-2</v>
      </c>
      <c r="C124" s="1303">
        <v>7.8100000000000003E-2</v>
      </c>
      <c r="D124" s="1303">
        <v>3.2099999999999997E-2</v>
      </c>
      <c r="E124" s="1303">
        <v>0.2853</v>
      </c>
      <c r="F124" s="1304" t="s">
        <v>1722</v>
      </c>
      <c r="G124" s="1304" t="s">
        <v>1450</v>
      </c>
    </row>
    <row r="125" spans="1:7">
      <c r="A125" s="1302" t="s">
        <v>188</v>
      </c>
      <c r="B125" s="1303">
        <v>2.7300000000000001E-2</v>
      </c>
      <c r="C125" s="1303">
        <v>8.2600000000000007E-2</v>
      </c>
      <c r="D125" s="1303">
        <v>3.6600000000000001E-2</v>
      </c>
      <c r="E125" s="1303">
        <v>0.32</v>
      </c>
      <c r="F125" s="1304" t="s">
        <v>1740</v>
      </c>
      <c r="G125" s="1303">
        <v>1.9E-2</v>
      </c>
    </row>
    <row r="126" spans="1:7">
      <c r="A126" s="1302" t="s">
        <v>1802</v>
      </c>
      <c r="B126" s="1303">
        <v>9.8100000000000007E-2</v>
      </c>
      <c r="C126" s="1303">
        <v>0.1777</v>
      </c>
      <c r="D126" s="1303">
        <v>0.13170000000000001</v>
      </c>
      <c r="E126" s="1303">
        <v>0.32</v>
      </c>
      <c r="F126" s="1304" t="s">
        <v>1760</v>
      </c>
      <c r="G126" s="1304" t="s">
        <v>1450</v>
      </c>
    </row>
    <row r="127" spans="1:7">
      <c r="A127" s="1302" t="s">
        <v>1848</v>
      </c>
      <c r="B127" s="1303">
        <v>0.109</v>
      </c>
      <c r="C127" s="1303">
        <v>0.1923</v>
      </c>
      <c r="D127" s="1303">
        <v>0.14630000000000001</v>
      </c>
      <c r="E127" s="1303">
        <v>0.25</v>
      </c>
      <c r="F127" s="1304" t="s">
        <v>1752</v>
      </c>
      <c r="G127" s="1304" t="s">
        <v>1450</v>
      </c>
    </row>
    <row r="128" spans="1:7">
      <c r="A128" s="1302" t="s">
        <v>1803</v>
      </c>
      <c r="B128" s="1303">
        <v>4.9000000000000002E-2</v>
      </c>
      <c r="C128" s="1303">
        <v>0.1118</v>
      </c>
      <c r="D128" s="1303">
        <v>6.5799999999999997E-2</v>
      </c>
      <c r="E128" s="1303">
        <v>0.32</v>
      </c>
      <c r="F128" s="1304" t="s">
        <v>1719</v>
      </c>
      <c r="G128" s="1303">
        <v>2.1000000000000001E-2</v>
      </c>
    </row>
    <row r="129" spans="1:7">
      <c r="A129" s="1302" t="s">
        <v>189</v>
      </c>
      <c r="B129" s="1303">
        <v>0</v>
      </c>
      <c r="C129" s="1303">
        <v>4.5999999999999999E-2</v>
      </c>
      <c r="D129" s="1303">
        <v>0</v>
      </c>
      <c r="E129" s="1303">
        <v>0.25800000000000001</v>
      </c>
      <c r="F129" s="1304" t="s">
        <v>1734</v>
      </c>
      <c r="G129" s="1303">
        <v>2.3999999999999998E-3</v>
      </c>
    </row>
    <row r="130" spans="1:7">
      <c r="A130" s="1302" t="s">
        <v>2314</v>
      </c>
      <c r="B130" s="1303">
        <v>0.10539999999999999</v>
      </c>
      <c r="C130" s="1303">
        <v>0.1875</v>
      </c>
      <c r="D130" s="1303">
        <v>0.1875</v>
      </c>
      <c r="E130" s="1303">
        <v>0.27250000000000002</v>
      </c>
      <c r="F130" s="1304" t="s">
        <v>1752</v>
      </c>
      <c r="G130" s="1304" t="s">
        <v>1450</v>
      </c>
    </row>
    <row r="131" spans="1:7">
      <c r="A131" s="1302" t="s">
        <v>190</v>
      </c>
      <c r="B131" s="1303">
        <v>0</v>
      </c>
      <c r="C131" s="1303">
        <v>4.5999999999999999E-2</v>
      </c>
      <c r="D131" s="1303">
        <v>0</v>
      </c>
      <c r="E131" s="1303">
        <v>0.28000000000000003</v>
      </c>
      <c r="F131" s="1304" t="s">
        <v>1734</v>
      </c>
      <c r="G131" s="1303">
        <v>2.8999999999999998E-3</v>
      </c>
    </row>
    <row r="132" spans="1:7">
      <c r="A132" s="1302" t="s">
        <v>1804</v>
      </c>
      <c r="B132" s="1303">
        <v>7.0800000000000002E-2</v>
      </c>
      <c r="C132" s="1303">
        <v>0.1411</v>
      </c>
      <c r="D132" s="1303">
        <v>9.5100000000000004E-2</v>
      </c>
      <c r="E132" s="1303">
        <v>0.3</v>
      </c>
      <c r="F132" s="1304" t="s">
        <v>1725</v>
      </c>
      <c r="G132" s="1303">
        <v>4.8899999999999999E-2</v>
      </c>
    </row>
    <row r="133" spans="1:7">
      <c r="A133" s="1302" t="s">
        <v>1805</v>
      </c>
      <c r="B133" s="1303">
        <v>9.8100000000000007E-2</v>
      </c>
      <c r="C133" s="1303">
        <v>0.1777</v>
      </c>
      <c r="D133" s="1303">
        <v>0.13170000000000001</v>
      </c>
      <c r="E133" s="1303">
        <v>0.26860000000000001</v>
      </c>
      <c r="F133" s="1304" t="s">
        <v>1760</v>
      </c>
      <c r="G133" s="1304" t="s">
        <v>1450</v>
      </c>
    </row>
    <row r="134" spans="1:7">
      <c r="A134" s="1302" t="s">
        <v>191</v>
      </c>
      <c r="B134" s="1303">
        <v>8.1699999999999995E-2</v>
      </c>
      <c r="C134" s="1303">
        <v>0.15570000000000001</v>
      </c>
      <c r="D134" s="1303">
        <v>0.10970000000000001</v>
      </c>
      <c r="E134" s="1303">
        <v>0.3</v>
      </c>
      <c r="F134" s="1304" t="s">
        <v>1743</v>
      </c>
      <c r="G134" s="1303">
        <v>6.4399999999999999E-2</v>
      </c>
    </row>
    <row r="135" spans="1:7">
      <c r="A135" s="1302" t="s">
        <v>192</v>
      </c>
      <c r="B135" s="1303">
        <v>0</v>
      </c>
      <c r="C135" s="1303">
        <v>4.5999999999999999E-2</v>
      </c>
      <c r="D135" s="1303">
        <v>0</v>
      </c>
      <c r="E135" s="1303">
        <v>0.22</v>
      </c>
      <c r="F135" s="1304" t="s">
        <v>1734</v>
      </c>
      <c r="G135" s="1303">
        <v>2.3999999999999998E-3</v>
      </c>
    </row>
    <row r="136" spans="1:7">
      <c r="A136" s="1302" t="s">
        <v>1806</v>
      </c>
      <c r="B136" s="1303">
        <v>2.7300000000000001E-2</v>
      </c>
      <c r="C136" s="1303">
        <v>8.2600000000000007E-2</v>
      </c>
      <c r="D136" s="1303">
        <v>3.6600000000000001E-2</v>
      </c>
      <c r="E136" s="1303">
        <v>0.15</v>
      </c>
      <c r="F136" s="1304" t="s">
        <v>1740</v>
      </c>
      <c r="G136" s="1303">
        <v>1.9199999999999998E-2</v>
      </c>
    </row>
    <row r="137" spans="1:7">
      <c r="A137" s="1302" t="s">
        <v>1807</v>
      </c>
      <c r="B137" s="1303">
        <v>0.109</v>
      </c>
      <c r="C137" s="1303">
        <v>0.1923</v>
      </c>
      <c r="D137" s="1303">
        <v>0.14630000000000001</v>
      </c>
      <c r="E137" s="1303">
        <v>0.28999999999999998</v>
      </c>
      <c r="F137" s="1304" t="s">
        <v>1767</v>
      </c>
      <c r="G137" s="1303">
        <v>0.41039999999999999</v>
      </c>
    </row>
    <row r="138" spans="1:7">
      <c r="A138" s="1302" t="s">
        <v>2315</v>
      </c>
      <c r="B138" s="1303">
        <v>1.61E-2</v>
      </c>
      <c r="C138" s="1303">
        <v>6.7599999999999993E-2</v>
      </c>
      <c r="D138" s="1303">
        <v>6.7599999999999993E-2</v>
      </c>
      <c r="E138" s="1303">
        <v>0.18759999999999999</v>
      </c>
      <c r="F138" s="1304" t="s">
        <v>1752</v>
      </c>
      <c r="G138" s="1304" t="s">
        <v>1450</v>
      </c>
    </row>
    <row r="139" spans="1:7">
      <c r="A139" s="1302" t="s">
        <v>1808</v>
      </c>
      <c r="B139" s="1303">
        <v>2.07E-2</v>
      </c>
      <c r="C139" s="1303">
        <v>7.3800000000000004E-2</v>
      </c>
      <c r="D139" s="1303">
        <v>2.7799999999999998E-2</v>
      </c>
      <c r="E139" s="1303">
        <v>0.25</v>
      </c>
      <c r="F139" s="1304" t="s">
        <v>1745</v>
      </c>
      <c r="G139" s="1303">
        <v>2.3099999999999999E-2</v>
      </c>
    </row>
    <row r="140" spans="1:7">
      <c r="A140" s="1302" t="s">
        <v>1809</v>
      </c>
      <c r="B140" s="1303">
        <v>5.9900000000000002E-2</v>
      </c>
      <c r="C140" s="1303">
        <v>0.12640000000000001</v>
      </c>
      <c r="D140" s="1303">
        <v>8.0399999999999999E-2</v>
      </c>
      <c r="E140" s="1303">
        <v>0.3</v>
      </c>
      <c r="F140" s="1304" t="s">
        <v>1737</v>
      </c>
      <c r="G140" s="1304" t="s">
        <v>1450</v>
      </c>
    </row>
    <row r="141" spans="1:7">
      <c r="A141" s="1302" t="s">
        <v>1810</v>
      </c>
      <c r="B141" s="1303">
        <v>2.7300000000000001E-2</v>
      </c>
      <c r="C141" s="1303">
        <v>8.2600000000000007E-2</v>
      </c>
      <c r="D141" s="1303">
        <v>3.6600000000000001E-2</v>
      </c>
      <c r="E141" s="1303">
        <v>0.1</v>
      </c>
      <c r="F141" s="1304" t="s">
        <v>1740</v>
      </c>
      <c r="G141" s="1304" t="s">
        <v>1450</v>
      </c>
    </row>
    <row r="142" spans="1:7">
      <c r="A142" s="1302" t="s">
        <v>1811</v>
      </c>
      <c r="B142" s="1303">
        <v>1.7399999999999999E-2</v>
      </c>
      <c r="C142" s="1303">
        <v>6.9400000000000003E-2</v>
      </c>
      <c r="D142" s="1303">
        <v>2.3400000000000001E-2</v>
      </c>
      <c r="E142" s="1303">
        <v>0.29499999999999998</v>
      </c>
      <c r="F142" s="1304" t="s">
        <v>1732</v>
      </c>
      <c r="G142" s="1303">
        <v>1.37E-2</v>
      </c>
    </row>
    <row r="143" spans="1:7">
      <c r="A143" s="1302" t="s">
        <v>193</v>
      </c>
      <c r="B143" s="1303">
        <v>2.07E-2</v>
      </c>
      <c r="C143" s="1303">
        <v>7.3800000000000004E-2</v>
      </c>
      <c r="D143" s="1303">
        <v>2.7799999999999998E-2</v>
      </c>
      <c r="E143" s="1303">
        <v>0.25</v>
      </c>
      <c r="F143" s="1304" t="s">
        <v>1745</v>
      </c>
      <c r="G143" s="1303">
        <v>1.18E-2</v>
      </c>
    </row>
    <row r="144" spans="1:7">
      <c r="A144" s="1302" t="s">
        <v>194</v>
      </c>
      <c r="B144" s="1303">
        <v>9.1999999999999998E-3</v>
      </c>
      <c r="C144" s="1303">
        <v>5.8400000000000001E-2</v>
      </c>
      <c r="D144" s="1303">
        <v>1.24E-2</v>
      </c>
      <c r="E144" s="1303">
        <v>0.19</v>
      </c>
      <c r="F144" s="1304" t="s">
        <v>1723</v>
      </c>
      <c r="G144" s="1303">
        <v>1.06E-2</v>
      </c>
    </row>
    <row r="145" spans="1:7">
      <c r="A145" s="1302" t="s">
        <v>1812</v>
      </c>
      <c r="B145" s="1303">
        <v>1.3100000000000001E-2</v>
      </c>
      <c r="C145" s="1303">
        <v>6.3500000000000001E-2</v>
      </c>
      <c r="D145" s="1303">
        <v>1.7500000000000002E-2</v>
      </c>
      <c r="E145" s="1303">
        <v>0.21</v>
      </c>
      <c r="F145" s="1304" t="s">
        <v>1726</v>
      </c>
      <c r="G145" s="1303">
        <v>7.4999999999999997E-3</v>
      </c>
    </row>
    <row r="146" spans="1:7">
      <c r="A146" s="1302" t="s">
        <v>195</v>
      </c>
      <c r="B146" s="1303">
        <v>6.4999999999999997E-3</v>
      </c>
      <c r="C146" s="1303">
        <v>5.4800000000000001E-2</v>
      </c>
      <c r="D146" s="1303">
        <v>8.8000000000000005E-3</v>
      </c>
      <c r="E146" s="1303">
        <v>0.1</v>
      </c>
      <c r="F146" s="1304" t="s">
        <v>1733</v>
      </c>
      <c r="G146" s="1303">
        <v>8.3000000000000001E-3</v>
      </c>
    </row>
    <row r="147" spans="1:7">
      <c r="A147" s="1302" t="s">
        <v>1813</v>
      </c>
      <c r="B147" s="1303">
        <v>1.3100000000000001E-2</v>
      </c>
      <c r="C147" s="1303">
        <v>6.3500000000000001E-2</v>
      </c>
      <c r="D147" s="1303">
        <v>1.7500000000000002E-2</v>
      </c>
      <c r="E147" s="1303">
        <v>0</v>
      </c>
      <c r="F147" s="1304" t="s">
        <v>1726</v>
      </c>
      <c r="G147" s="1304" t="s">
        <v>1450</v>
      </c>
    </row>
    <row r="148" spans="1:7">
      <c r="A148" s="1302" t="s">
        <v>2316</v>
      </c>
      <c r="B148" s="1303">
        <v>1.2500000000000001E-2</v>
      </c>
      <c r="C148" s="1303">
        <v>6.2799999999999995E-2</v>
      </c>
      <c r="D148" s="1303">
        <v>6.2799999999999995E-2</v>
      </c>
      <c r="E148" s="1303">
        <v>0.2576</v>
      </c>
      <c r="F148" s="1304" t="s">
        <v>1752</v>
      </c>
      <c r="G148" s="1304" t="s">
        <v>1450</v>
      </c>
    </row>
    <row r="149" spans="1:7">
      <c r="A149" s="1302" t="s">
        <v>196</v>
      </c>
      <c r="B149" s="1303">
        <v>2.3900000000000001E-2</v>
      </c>
      <c r="C149" s="1303">
        <v>7.8100000000000003E-2</v>
      </c>
      <c r="D149" s="1303">
        <v>3.2099999999999997E-2</v>
      </c>
      <c r="E149" s="1303">
        <v>0.16</v>
      </c>
      <c r="F149" s="1304" t="s">
        <v>1722</v>
      </c>
      <c r="G149" s="1303">
        <v>2.3099999999999999E-2</v>
      </c>
    </row>
    <row r="150" spans="1:7">
      <c r="A150" s="1302" t="s">
        <v>197</v>
      </c>
      <c r="B150" s="1303">
        <v>4.9000000000000002E-2</v>
      </c>
      <c r="C150" s="1303">
        <v>0.1118</v>
      </c>
      <c r="D150" s="1303">
        <v>6.5799999999999997E-2</v>
      </c>
      <c r="E150" s="1303">
        <v>0.25</v>
      </c>
      <c r="F150" s="1304" t="s">
        <v>1752</v>
      </c>
      <c r="G150" s="1304" t="s">
        <v>1450</v>
      </c>
    </row>
    <row r="151" spans="1:7">
      <c r="A151" s="1302" t="s">
        <v>1814</v>
      </c>
      <c r="B151" s="1303">
        <v>5.9900000000000002E-2</v>
      </c>
      <c r="C151" s="1303">
        <v>0.12640000000000001</v>
      </c>
      <c r="D151" s="1303">
        <v>8.0399999999999999E-2</v>
      </c>
      <c r="E151" s="1303">
        <v>0.3</v>
      </c>
      <c r="F151" s="1304" t="s">
        <v>1737</v>
      </c>
      <c r="G151" s="1303">
        <v>5.5300000000000002E-2</v>
      </c>
    </row>
    <row r="152" spans="1:7">
      <c r="A152" s="1302" t="s">
        <v>1867</v>
      </c>
      <c r="B152" s="1303">
        <v>0.10539999999999999</v>
      </c>
      <c r="C152" s="1303">
        <v>0.1875</v>
      </c>
      <c r="D152" s="1303">
        <v>0.1875</v>
      </c>
      <c r="E152" s="1303">
        <v>0.27250000000000002</v>
      </c>
      <c r="F152" s="1304" t="s">
        <v>1752</v>
      </c>
      <c r="G152" s="1304" t="s">
        <v>1450</v>
      </c>
    </row>
    <row r="153" spans="1:7">
      <c r="A153" s="1302" t="s">
        <v>198</v>
      </c>
      <c r="B153" s="1303">
        <v>7.7000000000000002E-3</v>
      </c>
      <c r="C153" s="1303">
        <v>5.6300000000000003E-2</v>
      </c>
      <c r="D153" s="1303">
        <v>1.03E-2</v>
      </c>
      <c r="E153" s="1303">
        <v>0.2</v>
      </c>
      <c r="F153" s="1304" t="s">
        <v>1720</v>
      </c>
      <c r="G153" s="1303">
        <v>8.5000000000000006E-3</v>
      </c>
    </row>
    <row r="154" spans="1:7">
      <c r="A154" s="1302" t="s">
        <v>1815</v>
      </c>
      <c r="B154" s="1303">
        <v>3.9199999999999999E-2</v>
      </c>
      <c r="C154" s="1303">
        <v>9.8599999999999993E-2</v>
      </c>
      <c r="D154" s="1303">
        <v>5.2600000000000001E-2</v>
      </c>
      <c r="E154" s="1303">
        <v>0.3</v>
      </c>
      <c r="F154" s="1304" t="s">
        <v>1730</v>
      </c>
      <c r="G154" s="1303">
        <v>6.8900000000000003E-2</v>
      </c>
    </row>
    <row r="155" spans="1:7">
      <c r="A155" s="1302" t="s">
        <v>1816</v>
      </c>
      <c r="B155" s="1303">
        <v>3.2800000000000003E-2</v>
      </c>
      <c r="C155" s="1303">
        <v>0.09</v>
      </c>
      <c r="D155" s="1303">
        <v>4.3999999999999997E-2</v>
      </c>
      <c r="E155" s="1303">
        <v>0.15</v>
      </c>
      <c r="F155" s="1304" t="s">
        <v>1736</v>
      </c>
      <c r="G155" s="1303">
        <v>2.86E-2</v>
      </c>
    </row>
    <row r="156" spans="1:7">
      <c r="A156" s="1302" t="s">
        <v>1817</v>
      </c>
      <c r="B156" s="1303">
        <v>2.7300000000000001E-2</v>
      </c>
      <c r="C156" s="1303">
        <v>8.2600000000000007E-2</v>
      </c>
      <c r="D156" s="1303">
        <v>3.6600000000000001E-2</v>
      </c>
      <c r="E156" s="1303">
        <v>0</v>
      </c>
      <c r="F156" s="1304" t="s">
        <v>1740</v>
      </c>
      <c r="G156" s="1304" t="s">
        <v>1450</v>
      </c>
    </row>
    <row r="157" spans="1:7">
      <c r="A157" s="1302" t="s">
        <v>1849</v>
      </c>
      <c r="B157" s="1303">
        <v>0.109</v>
      </c>
      <c r="C157" s="1303">
        <v>0.1923</v>
      </c>
      <c r="D157" s="1303">
        <v>0.14630000000000001</v>
      </c>
      <c r="E157" s="1303">
        <v>0.3</v>
      </c>
      <c r="F157" s="1304" t="s">
        <v>1752</v>
      </c>
      <c r="G157" s="1304" t="s">
        <v>1450</v>
      </c>
    </row>
    <row r="158" spans="1:7">
      <c r="A158" s="1302" t="s">
        <v>199</v>
      </c>
      <c r="B158" s="1303">
        <v>0</v>
      </c>
      <c r="C158" s="1303">
        <v>4.5999999999999999E-2</v>
      </c>
      <c r="D158" s="1303">
        <v>0</v>
      </c>
      <c r="E158" s="1303">
        <v>0.17</v>
      </c>
      <c r="F158" s="1304" t="s">
        <v>1734</v>
      </c>
      <c r="G158" s="1304" t="s">
        <v>1450</v>
      </c>
    </row>
    <row r="159" spans="1:7">
      <c r="A159" s="1302" t="s">
        <v>1818</v>
      </c>
      <c r="B159" s="1303">
        <v>9.1999999999999998E-3</v>
      </c>
      <c r="C159" s="1303">
        <v>5.8400000000000001E-2</v>
      </c>
      <c r="D159" s="1303">
        <v>1.24E-2</v>
      </c>
      <c r="E159" s="1303">
        <v>0.21</v>
      </c>
      <c r="F159" s="1304" t="s">
        <v>1723</v>
      </c>
      <c r="G159" s="1303">
        <v>6.0000000000000001E-3</v>
      </c>
    </row>
    <row r="160" spans="1:7">
      <c r="A160" s="1302" t="s">
        <v>1819</v>
      </c>
      <c r="B160" s="1303">
        <v>1.3100000000000001E-2</v>
      </c>
      <c r="C160" s="1303">
        <v>6.3500000000000001E-2</v>
      </c>
      <c r="D160" s="1303">
        <v>1.7500000000000002E-2</v>
      </c>
      <c r="E160" s="1303">
        <v>0.19</v>
      </c>
      <c r="F160" s="1304" t="s">
        <v>1726</v>
      </c>
      <c r="G160" s="1303">
        <v>7.6E-3</v>
      </c>
    </row>
    <row r="161" spans="1:7">
      <c r="A161" s="1302" t="s">
        <v>1820</v>
      </c>
      <c r="B161" s="1303">
        <v>8.1699999999999995E-2</v>
      </c>
      <c r="C161" s="1303">
        <v>0.15570000000000001</v>
      </c>
      <c r="D161" s="1303">
        <v>0.10970000000000001</v>
      </c>
      <c r="E161" s="1303">
        <v>0.3</v>
      </c>
      <c r="F161" s="1304" t="s">
        <v>1743</v>
      </c>
      <c r="G161" s="1304" t="s">
        <v>1450</v>
      </c>
    </row>
    <row r="162" spans="1:7">
      <c r="A162" s="1302" t="s">
        <v>1850</v>
      </c>
      <c r="B162" s="1303">
        <v>0.13070000000000001</v>
      </c>
      <c r="C162" s="1303">
        <v>0.2215</v>
      </c>
      <c r="D162" s="1303">
        <v>0.17549999999999999</v>
      </c>
      <c r="E162" s="1303">
        <v>0.29149999999999998</v>
      </c>
      <c r="F162" s="1304" t="s">
        <v>1752</v>
      </c>
      <c r="G162" s="1304" t="s">
        <v>1450</v>
      </c>
    </row>
    <row r="163" spans="1:7">
      <c r="A163" s="1302" t="s">
        <v>200</v>
      </c>
      <c r="B163" s="1303">
        <v>3.2800000000000003E-2</v>
      </c>
      <c r="C163" s="1303">
        <v>0.09</v>
      </c>
      <c r="D163" s="1303">
        <v>4.3999999999999997E-2</v>
      </c>
      <c r="E163" s="1303">
        <v>0.27</v>
      </c>
      <c r="F163" s="1304" t="s">
        <v>1736</v>
      </c>
      <c r="G163" s="1303">
        <v>3.1600000000000003E-2</v>
      </c>
    </row>
    <row r="164" spans="1:7">
      <c r="A164" s="1302" t="s">
        <v>2317</v>
      </c>
      <c r="B164" s="1303">
        <v>5.4000000000000003E-3</v>
      </c>
      <c r="C164" s="1303">
        <v>5.3199999999999997E-2</v>
      </c>
      <c r="D164" s="1303">
        <v>7.1999999999999998E-3</v>
      </c>
      <c r="E164" s="1303">
        <v>0.25</v>
      </c>
      <c r="F164" s="1304" t="s">
        <v>1717</v>
      </c>
      <c r="G164" s="1304" t="s">
        <v>1450</v>
      </c>
    </row>
    <row r="165" spans="1:7">
      <c r="A165" s="1302" t="s">
        <v>201</v>
      </c>
      <c r="B165" s="1303">
        <v>1.7399999999999999E-2</v>
      </c>
      <c r="C165" s="1303">
        <v>6.9400000000000003E-2</v>
      </c>
      <c r="D165" s="1303">
        <v>2.3400000000000001E-2</v>
      </c>
      <c r="E165" s="1303">
        <v>0.25</v>
      </c>
      <c r="F165" s="1304" t="s">
        <v>1732</v>
      </c>
      <c r="G165" s="1303">
        <v>7.7999999999999996E-3</v>
      </c>
    </row>
    <row r="166" spans="1:7">
      <c r="A166" s="1302" t="s">
        <v>202</v>
      </c>
      <c r="B166" s="1303">
        <v>0.13070000000000001</v>
      </c>
      <c r="C166" s="1303">
        <v>0.2215</v>
      </c>
      <c r="D166" s="1303">
        <v>0.17549999999999999</v>
      </c>
      <c r="E166" s="1303">
        <v>0.24</v>
      </c>
      <c r="F166" s="1304" t="s">
        <v>1727</v>
      </c>
      <c r="G166" s="1303">
        <v>0.59360000000000002</v>
      </c>
    </row>
    <row r="167" spans="1:7">
      <c r="A167" s="1302" t="s">
        <v>1821</v>
      </c>
      <c r="B167" s="1303">
        <v>3.2800000000000003E-2</v>
      </c>
      <c r="C167" s="1303">
        <v>0.09</v>
      </c>
      <c r="D167" s="1303">
        <v>4.3999999999999997E-2</v>
      </c>
      <c r="E167" s="1303">
        <v>0.2853</v>
      </c>
      <c r="F167" s="1304" t="s">
        <v>1736</v>
      </c>
      <c r="G167" s="1304" t="s">
        <v>1450</v>
      </c>
    </row>
    <row r="168" spans="1:7">
      <c r="A168" s="1302" t="s">
        <v>1822</v>
      </c>
      <c r="B168" s="1303">
        <v>7.0800000000000002E-2</v>
      </c>
      <c r="C168" s="1303">
        <v>0.1411</v>
      </c>
      <c r="D168" s="1303">
        <v>9.5100000000000004E-2</v>
      </c>
      <c r="E168" s="1303">
        <v>0.2853</v>
      </c>
      <c r="F168" s="1304" t="s">
        <v>1725</v>
      </c>
      <c r="G168" s="1304" t="s">
        <v>1450</v>
      </c>
    </row>
    <row r="169" spans="1:7">
      <c r="A169" s="1302" t="s">
        <v>1851</v>
      </c>
      <c r="B169" s="1303">
        <v>0.17499999999999999</v>
      </c>
      <c r="C169" s="1303">
        <v>0.28089999999999998</v>
      </c>
      <c r="D169" s="1303">
        <v>0.2349</v>
      </c>
      <c r="E169" s="1303">
        <v>0.35</v>
      </c>
      <c r="F169" s="1304" t="s">
        <v>1752</v>
      </c>
      <c r="G169" s="1304" t="s">
        <v>1450</v>
      </c>
    </row>
    <row r="170" spans="1:7">
      <c r="A170" s="1302" t="s">
        <v>1823</v>
      </c>
      <c r="B170" s="1303">
        <v>0.109</v>
      </c>
      <c r="C170" s="1303">
        <v>0.1923</v>
      </c>
      <c r="D170" s="1303">
        <v>0.14630000000000001</v>
      </c>
      <c r="E170" s="1303">
        <v>0.36</v>
      </c>
      <c r="F170" s="1304" t="s">
        <v>1767</v>
      </c>
      <c r="G170" s="1304" t="s">
        <v>1450</v>
      </c>
    </row>
    <row r="171" spans="1:7">
      <c r="A171" s="1302" t="s">
        <v>1824</v>
      </c>
      <c r="B171" s="1303">
        <v>7.0800000000000002E-2</v>
      </c>
      <c r="C171" s="1303">
        <v>0.1411</v>
      </c>
      <c r="D171" s="1303">
        <v>9.5100000000000004E-2</v>
      </c>
      <c r="E171" s="1303">
        <v>0.27500000000000002</v>
      </c>
      <c r="F171" s="1304" t="s">
        <v>1725</v>
      </c>
      <c r="G171" s="1304" t="s">
        <v>1450</v>
      </c>
    </row>
    <row r="172" spans="1:7">
      <c r="A172" s="1302" t="s">
        <v>203</v>
      </c>
      <c r="B172" s="1303">
        <v>0</v>
      </c>
      <c r="C172" s="1303">
        <v>4.5999999999999999E-2</v>
      </c>
      <c r="D172" s="1303">
        <v>0</v>
      </c>
      <c r="E172" s="1303">
        <v>0.20599999999999999</v>
      </c>
      <c r="F172" s="1304" t="s">
        <v>1734</v>
      </c>
      <c r="G172" s="1303">
        <v>2.8E-3</v>
      </c>
    </row>
    <row r="173" spans="1:7">
      <c r="A173" s="1302" t="s">
        <v>204</v>
      </c>
      <c r="B173" s="1303">
        <v>0</v>
      </c>
      <c r="C173" s="1303">
        <v>4.5999999999999999E-2</v>
      </c>
      <c r="D173" s="1303">
        <v>0</v>
      </c>
      <c r="E173" s="1303">
        <v>0.14599999999999999</v>
      </c>
      <c r="F173" s="1304" t="s">
        <v>1734</v>
      </c>
      <c r="G173" s="1303">
        <v>2.2000000000000001E-3</v>
      </c>
    </row>
    <row r="174" spans="1:7">
      <c r="A174" s="1302" t="s">
        <v>1852</v>
      </c>
      <c r="B174" s="1303">
        <v>0.17499999999999999</v>
      </c>
      <c r="C174" s="1303">
        <v>0.28089999999999998</v>
      </c>
      <c r="D174" s="1303">
        <v>0.2349</v>
      </c>
      <c r="E174" s="1303">
        <v>0.28000000000000003</v>
      </c>
      <c r="F174" s="1304" t="s">
        <v>1752</v>
      </c>
      <c r="G174" s="1304" t="s">
        <v>1450</v>
      </c>
    </row>
    <row r="175" spans="1:7">
      <c r="A175" s="1302" t="s">
        <v>205</v>
      </c>
      <c r="B175" s="1303">
        <v>6.4999999999999997E-3</v>
      </c>
      <c r="C175" s="1303">
        <v>5.4800000000000001E-2</v>
      </c>
      <c r="D175" s="1303">
        <v>8.8000000000000005E-3</v>
      </c>
      <c r="E175" s="1303">
        <v>0.2</v>
      </c>
      <c r="F175" s="1304" t="s">
        <v>1733</v>
      </c>
      <c r="G175" s="1304" t="s">
        <v>1450</v>
      </c>
    </row>
    <row r="176" spans="1:7">
      <c r="A176" s="1302" t="s">
        <v>1825</v>
      </c>
      <c r="B176" s="1303">
        <v>7.0800000000000002E-2</v>
      </c>
      <c r="C176" s="1303">
        <v>0.1411</v>
      </c>
      <c r="D176" s="1303">
        <v>9.5100000000000004E-2</v>
      </c>
      <c r="E176" s="1303">
        <v>0.18</v>
      </c>
      <c r="F176" s="1304" t="s">
        <v>1725</v>
      </c>
      <c r="G176" s="1304" t="s">
        <v>1450</v>
      </c>
    </row>
    <row r="177" spans="1:7">
      <c r="A177" s="1302" t="s">
        <v>1826</v>
      </c>
      <c r="B177" s="1303">
        <v>5.9900000000000002E-2</v>
      </c>
      <c r="C177" s="1303">
        <v>0.12640000000000001</v>
      </c>
      <c r="D177" s="1303">
        <v>8.0399999999999999E-2</v>
      </c>
      <c r="E177" s="1303">
        <v>0.3</v>
      </c>
      <c r="F177" s="1304" t="s">
        <v>1737</v>
      </c>
      <c r="G177" s="1304" t="s">
        <v>1450</v>
      </c>
    </row>
    <row r="178" spans="1:7">
      <c r="A178" s="1302" t="s">
        <v>206</v>
      </c>
      <c r="B178" s="1303">
        <v>1.7399999999999999E-2</v>
      </c>
      <c r="C178" s="1303">
        <v>6.9400000000000003E-2</v>
      </c>
      <c r="D178" s="1303">
        <v>2.3400000000000001E-2</v>
      </c>
      <c r="E178" s="1303">
        <v>0.2</v>
      </c>
      <c r="F178" s="1304" t="s">
        <v>1732</v>
      </c>
      <c r="G178" s="1303">
        <v>6.4999999999999997E-3</v>
      </c>
    </row>
    <row r="179" spans="1:7">
      <c r="A179" s="1302" t="s">
        <v>1827</v>
      </c>
      <c r="B179" s="1303">
        <v>7.0800000000000002E-2</v>
      </c>
      <c r="C179" s="1303">
        <v>0.1411</v>
      </c>
      <c r="D179" s="1303">
        <v>9.5100000000000004E-2</v>
      </c>
      <c r="E179" s="1303">
        <v>0.26860000000000001</v>
      </c>
      <c r="F179" s="1304" t="s">
        <v>1725</v>
      </c>
      <c r="G179" s="1304" t="s">
        <v>1450</v>
      </c>
    </row>
    <row r="180" spans="1:7">
      <c r="A180" s="1302" t="s">
        <v>2318</v>
      </c>
      <c r="B180" s="1303">
        <v>3.2800000000000003E-2</v>
      </c>
      <c r="C180" s="1303">
        <v>0.09</v>
      </c>
      <c r="D180" s="1303">
        <v>4.3999999999999997E-2</v>
      </c>
      <c r="E180" s="1303">
        <v>0.3</v>
      </c>
      <c r="F180" s="1304" t="s">
        <v>1736</v>
      </c>
      <c r="G180" s="1304" t="s">
        <v>1450</v>
      </c>
    </row>
    <row r="181" spans="1:7">
      <c r="A181" s="1302" t="s">
        <v>1828</v>
      </c>
      <c r="B181" s="1303">
        <v>9.8100000000000007E-2</v>
      </c>
      <c r="C181" s="1303">
        <v>0.1777</v>
      </c>
      <c r="D181" s="1303">
        <v>0.13170000000000001</v>
      </c>
      <c r="E181" s="1303">
        <v>0.15</v>
      </c>
      <c r="F181" s="1304" t="s">
        <v>1760</v>
      </c>
      <c r="G181" s="1303">
        <v>9.7799999999999998E-2</v>
      </c>
    </row>
    <row r="182" spans="1:7">
      <c r="A182" s="1302" t="s">
        <v>207</v>
      </c>
      <c r="B182" s="1303">
        <v>7.0800000000000002E-2</v>
      </c>
      <c r="C182" s="1303">
        <v>0.1411</v>
      </c>
      <c r="D182" s="1303">
        <v>9.5100000000000004E-2</v>
      </c>
      <c r="E182" s="1303">
        <v>0.25</v>
      </c>
      <c r="F182" s="1304" t="s">
        <v>1725</v>
      </c>
      <c r="G182" s="1303">
        <v>3.8600000000000002E-2</v>
      </c>
    </row>
    <row r="183" spans="1:7">
      <c r="A183" s="1305" t="s">
        <v>2319</v>
      </c>
      <c r="B183" s="1303">
        <v>1.7399999999999999E-2</v>
      </c>
      <c r="C183" s="1303">
        <v>6.9400000000000003E-2</v>
      </c>
      <c r="D183" s="1303">
        <v>2.3400000000000001E-2</v>
      </c>
      <c r="E183" s="1303">
        <v>0</v>
      </c>
      <c r="F183" s="1304" t="s">
        <v>1732</v>
      </c>
      <c r="G183" s="1304" t="s">
        <v>1450</v>
      </c>
    </row>
    <row r="184" spans="1:7">
      <c r="A184" s="1302" t="s">
        <v>1829</v>
      </c>
      <c r="B184" s="1303">
        <v>5.9900000000000002E-2</v>
      </c>
      <c r="C184" s="1303">
        <v>0.12640000000000001</v>
      </c>
      <c r="D184" s="1303">
        <v>8.0399999999999999E-2</v>
      </c>
      <c r="E184" s="1303">
        <v>0.3</v>
      </c>
      <c r="F184" s="1304" t="s">
        <v>1737</v>
      </c>
      <c r="G184" s="1304" t="s">
        <v>1450</v>
      </c>
    </row>
    <row r="185" spans="1:7">
      <c r="A185" s="1302" t="s">
        <v>1830</v>
      </c>
      <c r="B185" s="1303">
        <v>0.13070000000000001</v>
      </c>
      <c r="C185" s="1303">
        <v>0.2215</v>
      </c>
      <c r="D185" s="1303">
        <v>0.17549999999999999</v>
      </c>
      <c r="E185" s="1303">
        <v>0.18</v>
      </c>
      <c r="F185" s="1304" t="s">
        <v>1727</v>
      </c>
      <c r="G185" s="1304" t="s">
        <v>1450</v>
      </c>
    </row>
    <row r="186" spans="1:7">
      <c r="A186" s="1302" t="s">
        <v>1831</v>
      </c>
      <c r="B186" s="1303">
        <v>5.4000000000000003E-3</v>
      </c>
      <c r="C186" s="1303">
        <v>5.3199999999999997E-2</v>
      </c>
      <c r="D186" s="1303">
        <v>7.1999999999999998E-3</v>
      </c>
      <c r="E186" s="1303">
        <v>0.25</v>
      </c>
      <c r="F186" s="1304" t="s">
        <v>1717</v>
      </c>
      <c r="G186" s="1304" t="s">
        <v>1450</v>
      </c>
    </row>
    <row r="187" spans="1:7">
      <c r="A187" s="1302" t="s">
        <v>208</v>
      </c>
      <c r="B187" s="1303">
        <v>6.4999999999999997E-3</v>
      </c>
      <c r="C187" s="1303">
        <v>5.4800000000000001E-2</v>
      </c>
      <c r="D187" s="1303">
        <v>8.8000000000000005E-3</v>
      </c>
      <c r="E187" s="1303">
        <v>0.25</v>
      </c>
      <c r="F187" s="1304" t="s">
        <v>1733</v>
      </c>
      <c r="G187" s="1303">
        <v>5.1000000000000004E-3</v>
      </c>
    </row>
    <row r="188" spans="1:7">
      <c r="A188" s="1302" t="s">
        <v>209</v>
      </c>
      <c r="B188" s="1303">
        <v>0</v>
      </c>
      <c r="C188" s="1303">
        <v>4.5999999999999999E-2</v>
      </c>
      <c r="D188" s="1303">
        <v>0</v>
      </c>
      <c r="E188" s="1303">
        <v>0.25</v>
      </c>
      <c r="F188" s="1304" t="s">
        <v>1734</v>
      </c>
      <c r="G188" s="1303">
        <v>5.7999999999999996E-3</v>
      </c>
    </row>
    <row r="189" spans="1:7">
      <c r="A189" s="1302" t="s">
        <v>1832</v>
      </c>
      <c r="B189" s="1303">
        <v>2.07E-2</v>
      </c>
      <c r="C189" s="1303">
        <v>7.3800000000000004E-2</v>
      </c>
      <c r="D189" s="1303">
        <v>2.7799999999999998E-2</v>
      </c>
      <c r="E189" s="1303">
        <v>0.25</v>
      </c>
      <c r="F189" s="1304" t="s">
        <v>1745</v>
      </c>
      <c r="G189" s="1303">
        <v>1.14E-2</v>
      </c>
    </row>
    <row r="190" spans="1:7">
      <c r="A190" s="1302" t="s">
        <v>1833</v>
      </c>
      <c r="B190" s="1303">
        <v>3.9199999999999999E-2</v>
      </c>
      <c r="C190" s="1303">
        <v>9.8599999999999993E-2</v>
      </c>
      <c r="D190" s="1303">
        <v>5.2600000000000001E-2</v>
      </c>
      <c r="E190" s="1303">
        <v>0.15</v>
      </c>
      <c r="F190" s="1304" t="s">
        <v>1730</v>
      </c>
      <c r="G190" s="1304" t="s">
        <v>1450</v>
      </c>
    </row>
    <row r="191" spans="1:7">
      <c r="A191" s="1302" t="s">
        <v>1834</v>
      </c>
      <c r="B191" s="1303">
        <v>0.17499999999999999</v>
      </c>
      <c r="C191" s="1303">
        <v>0.28089999999999998</v>
      </c>
      <c r="D191" s="1303">
        <v>0.2349</v>
      </c>
      <c r="E191" s="1303">
        <v>0.34</v>
      </c>
      <c r="F191" s="1304" t="s">
        <v>132</v>
      </c>
      <c r="G191" s="1303">
        <v>0.1125</v>
      </c>
    </row>
    <row r="192" spans="1:7">
      <c r="A192" s="1302" t="s">
        <v>210</v>
      </c>
      <c r="B192" s="1303">
        <v>3.2800000000000003E-2</v>
      </c>
      <c r="C192" s="1303">
        <v>0.09</v>
      </c>
      <c r="D192" s="1303">
        <v>4.3999999999999997E-2</v>
      </c>
      <c r="E192" s="1303">
        <v>0.2</v>
      </c>
      <c r="F192" s="1304" t="s">
        <v>1736</v>
      </c>
      <c r="G192" s="1303">
        <v>1.84E-2</v>
      </c>
    </row>
    <row r="193" spans="1:7">
      <c r="A193" s="1302" t="s">
        <v>1870</v>
      </c>
      <c r="B193" s="1303">
        <v>0.109</v>
      </c>
      <c r="C193" s="1303">
        <v>0.1923</v>
      </c>
      <c r="D193" s="1303">
        <v>0.14630000000000001</v>
      </c>
      <c r="E193" s="1303">
        <v>0.2</v>
      </c>
      <c r="F193" s="1304" t="s">
        <v>1752</v>
      </c>
      <c r="G193" s="1304" t="s">
        <v>1450</v>
      </c>
    </row>
    <row r="194" spans="1:7">
      <c r="A194" s="1302" t="s">
        <v>211</v>
      </c>
      <c r="B194" s="1303">
        <v>0.109</v>
      </c>
      <c r="C194" s="1303">
        <v>0.1923</v>
      </c>
      <c r="D194" s="1303">
        <v>0.14630000000000001</v>
      </c>
      <c r="E194" s="1303">
        <v>0.35</v>
      </c>
      <c r="F194" s="1304" t="s">
        <v>1767</v>
      </c>
      <c r="G194" s="1304" t="s">
        <v>1450</v>
      </c>
    </row>
    <row r="195" spans="1:7">
      <c r="A195" s="1302" t="s">
        <v>1853</v>
      </c>
      <c r="B195" s="1303">
        <v>9.8100000000000007E-2</v>
      </c>
      <c r="C195" s="1303">
        <v>0.1777</v>
      </c>
      <c r="D195" s="1303">
        <v>0.13170000000000001</v>
      </c>
      <c r="E195" s="1303">
        <v>0.25</v>
      </c>
      <c r="F195" s="1304" t="s">
        <v>1752</v>
      </c>
      <c r="G195" s="1304" t="s">
        <v>1450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52DF5-E411-48FA-9225-C6253B7A070A}">
  <sheetPr>
    <tabColor theme="7"/>
  </sheetPr>
  <dimension ref="A2:L98"/>
  <sheetViews>
    <sheetView showGridLines="0" zoomScale="67" workbookViewId="0">
      <selection activeCell="A3" sqref="A3"/>
    </sheetView>
  </sheetViews>
  <sheetFormatPr defaultColWidth="0" defaultRowHeight="15.5"/>
  <cols>
    <col min="1" max="1" width="28.23046875" bestFit="1" customWidth="1"/>
    <col min="2" max="2" width="8.15234375" bestFit="1" customWidth="1"/>
    <col min="3" max="3" width="5.84375" bestFit="1" customWidth="1"/>
    <col min="4" max="4" width="7.07421875" bestFit="1" customWidth="1"/>
    <col min="5" max="5" width="8.921875" bestFit="1" customWidth="1"/>
    <col min="6" max="6" width="9" bestFit="1" customWidth="1"/>
    <col min="7" max="7" width="13.23046875" customWidth="1"/>
    <col min="8" max="8" width="10.3828125" customWidth="1"/>
    <col min="9" max="9" width="16.07421875" customWidth="1"/>
    <col min="10" max="10" width="10.84375" customWidth="1"/>
    <col min="11" max="11" width="19.15234375" customWidth="1"/>
    <col min="12" max="12" width="8.69140625" customWidth="1"/>
    <col min="13" max="16384" width="8.69140625" hidden="1"/>
  </cols>
  <sheetData>
    <row r="2" spans="1:11" s="1530" customFormat="1" ht="54.5">
      <c r="A2" s="1531" t="s">
        <v>2764</v>
      </c>
      <c r="B2" s="1531" t="s">
        <v>2659</v>
      </c>
      <c r="C2" s="1531" t="s">
        <v>2660</v>
      </c>
      <c r="D2" s="1531" t="s">
        <v>2661</v>
      </c>
      <c r="E2" s="1531" t="s">
        <v>2662</v>
      </c>
      <c r="F2" s="1531" t="s">
        <v>2663</v>
      </c>
      <c r="G2" s="1531" t="s">
        <v>2664</v>
      </c>
      <c r="H2" s="1531" t="s">
        <v>2665</v>
      </c>
      <c r="I2" s="1531" t="s">
        <v>2666</v>
      </c>
      <c r="J2" s="1531" t="s">
        <v>2667</v>
      </c>
      <c r="K2" s="1531" t="s">
        <v>2668</v>
      </c>
    </row>
    <row r="3" spans="1:11">
      <c r="A3" s="1524" t="s">
        <v>2669</v>
      </c>
      <c r="B3" s="1525">
        <v>57</v>
      </c>
      <c r="C3" s="1525">
        <v>1.37</v>
      </c>
      <c r="D3" s="1526">
        <v>0.33760000000000001</v>
      </c>
      <c r="E3" s="1526">
        <v>5.4399999999999997E-2</v>
      </c>
      <c r="F3" s="1525">
        <v>1.1000000000000001</v>
      </c>
      <c r="G3" s="1526">
        <v>7.2499999999999995E-2</v>
      </c>
      <c r="H3" s="1525">
        <v>1.18</v>
      </c>
      <c r="I3" s="1525">
        <v>0.62039999999999995</v>
      </c>
      <c r="J3" s="1526">
        <v>0.56410000000000005</v>
      </c>
      <c r="K3" s="1526">
        <v>0.14940000000000001</v>
      </c>
    </row>
    <row r="4" spans="1:11">
      <c r="A4" s="1527" t="s">
        <v>2670</v>
      </c>
      <c r="B4" s="1528">
        <v>70</v>
      </c>
      <c r="C4" s="1528">
        <v>1.08</v>
      </c>
      <c r="D4" s="1529">
        <v>0.25459999999999999</v>
      </c>
      <c r="E4" s="1529">
        <v>7.2800000000000004E-2</v>
      </c>
      <c r="F4" s="1528">
        <v>0.9</v>
      </c>
      <c r="G4" s="1529">
        <v>2.9000000000000001E-2</v>
      </c>
      <c r="H4" s="1528">
        <v>0.93</v>
      </c>
      <c r="I4" s="1528">
        <v>0.45839999999999997</v>
      </c>
      <c r="J4" s="1529">
        <v>0.36399999999999999</v>
      </c>
      <c r="K4" s="1529">
        <v>0.19500000000000001</v>
      </c>
    </row>
    <row r="5" spans="1:11">
      <c r="A5" s="1524" t="s">
        <v>2671</v>
      </c>
      <c r="B5" s="1525">
        <v>25</v>
      </c>
      <c r="C5" s="1525">
        <v>1.27</v>
      </c>
      <c r="D5" s="1526">
        <v>1.6214999999999999</v>
      </c>
      <c r="E5" s="1526">
        <v>8.6199999999999999E-2</v>
      </c>
      <c r="F5" s="1525">
        <v>0.56999999999999995</v>
      </c>
      <c r="G5" s="1526">
        <v>0.1071</v>
      </c>
      <c r="H5" s="1525">
        <v>0.64</v>
      </c>
      <c r="I5" s="1525">
        <v>0.52210000000000001</v>
      </c>
      <c r="J5" s="1526">
        <v>0.44650000000000001</v>
      </c>
      <c r="K5" s="1526">
        <v>2.153</v>
      </c>
    </row>
    <row r="6" spans="1:11">
      <c r="A6" s="1527" t="s">
        <v>2672</v>
      </c>
      <c r="B6" s="1528">
        <v>38</v>
      </c>
      <c r="C6" s="1528">
        <v>1.19</v>
      </c>
      <c r="D6" s="1529">
        <v>0.48759999999999998</v>
      </c>
      <c r="E6" s="1529">
        <v>0.1019</v>
      </c>
      <c r="F6" s="1528">
        <v>0.87</v>
      </c>
      <c r="G6" s="1529">
        <v>5.8900000000000001E-2</v>
      </c>
      <c r="H6" s="1528">
        <v>0.93</v>
      </c>
      <c r="I6" s="1528">
        <v>0.48159999999999997</v>
      </c>
      <c r="J6" s="1529">
        <v>0.37040000000000001</v>
      </c>
      <c r="K6" s="1529">
        <v>0.2404</v>
      </c>
    </row>
    <row r="7" spans="1:11">
      <c r="A7" s="1524" t="s">
        <v>2507</v>
      </c>
      <c r="B7" s="1525">
        <v>34</v>
      </c>
      <c r="C7" s="1525">
        <v>1.52</v>
      </c>
      <c r="D7" s="1526">
        <v>0.31019999999999998</v>
      </c>
      <c r="E7" s="1526">
        <v>3.1199999999999999E-2</v>
      </c>
      <c r="F7" s="1525">
        <v>1.24</v>
      </c>
      <c r="G7" s="1526">
        <v>5.2900000000000003E-2</v>
      </c>
      <c r="H7" s="1525">
        <v>1.3</v>
      </c>
      <c r="I7" s="1525">
        <v>0.70809999999999995</v>
      </c>
      <c r="J7" s="1526">
        <v>0.59699999999999998</v>
      </c>
      <c r="K7" s="1526">
        <v>0.48099999999999998</v>
      </c>
    </row>
    <row r="8" spans="1:11">
      <c r="A8" s="1527" t="s">
        <v>2673</v>
      </c>
      <c r="B8" s="1528">
        <v>39</v>
      </c>
      <c r="C8" s="1528">
        <v>1.34</v>
      </c>
      <c r="D8" s="1529">
        <v>0.38440000000000002</v>
      </c>
      <c r="E8" s="1529">
        <v>0.1462</v>
      </c>
      <c r="F8" s="1528">
        <v>1.04</v>
      </c>
      <c r="G8" s="1529">
        <v>6.9199999999999998E-2</v>
      </c>
      <c r="H8" s="1528">
        <v>1.1200000000000001</v>
      </c>
      <c r="I8" s="1528">
        <v>0.4652</v>
      </c>
      <c r="J8" s="1529">
        <v>0.37069999999999997</v>
      </c>
      <c r="K8" s="1529">
        <v>0.2099</v>
      </c>
    </row>
    <row r="9" spans="1:11">
      <c r="A9" s="1524" t="s">
        <v>2674</v>
      </c>
      <c r="B9" s="1525">
        <v>15</v>
      </c>
      <c r="C9" s="1525">
        <v>1.06</v>
      </c>
      <c r="D9" s="1526">
        <v>2.1616</v>
      </c>
      <c r="E9" s="1526">
        <v>0.1769</v>
      </c>
      <c r="F9" s="1525">
        <v>0.4</v>
      </c>
      <c r="G9" s="1526">
        <v>0.37130000000000002</v>
      </c>
      <c r="H9" s="1525">
        <v>0.64</v>
      </c>
      <c r="I9" s="1525">
        <v>0.31090000000000001</v>
      </c>
      <c r="J9" s="1526">
        <v>0.22509999999999999</v>
      </c>
      <c r="K9" s="1525" t="s">
        <v>1450</v>
      </c>
    </row>
    <row r="10" spans="1:11">
      <c r="A10" s="1527" t="s">
        <v>2675</v>
      </c>
      <c r="B10" s="1528">
        <v>625</v>
      </c>
      <c r="C10" s="1528">
        <v>0.46</v>
      </c>
      <c r="D10" s="1529">
        <v>1.0195000000000001</v>
      </c>
      <c r="E10" s="1529">
        <v>0.1769</v>
      </c>
      <c r="F10" s="1528">
        <v>0.26</v>
      </c>
      <c r="G10" s="1529">
        <v>0.21609999999999999</v>
      </c>
      <c r="H10" s="1528">
        <v>0.33</v>
      </c>
      <c r="I10" s="1528">
        <v>0.23980000000000001</v>
      </c>
      <c r="J10" s="1529">
        <v>0.18679999999999999</v>
      </c>
      <c r="K10" s="1529">
        <v>0.75660000000000005</v>
      </c>
    </row>
    <row r="11" spans="1:11">
      <c r="A11" s="1524" t="s">
        <v>2676</v>
      </c>
      <c r="B11" s="1525">
        <v>19</v>
      </c>
      <c r="C11" s="1525">
        <v>1.1299999999999999</v>
      </c>
      <c r="D11" s="1526">
        <v>0.24460000000000001</v>
      </c>
      <c r="E11" s="1526">
        <v>0.1042</v>
      </c>
      <c r="F11" s="1525">
        <v>0.96</v>
      </c>
      <c r="G11" s="1526">
        <v>1.43E-2</v>
      </c>
      <c r="H11" s="1525">
        <v>0.97</v>
      </c>
      <c r="I11" s="1525">
        <v>0.52700000000000002</v>
      </c>
      <c r="J11" s="1526">
        <v>0.497</v>
      </c>
      <c r="K11" s="1526">
        <v>0.26869999999999999</v>
      </c>
    </row>
    <row r="12" spans="1:11">
      <c r="A12" s="1527" t="s">
        <v>2677</v>
      </c>
      <c r="B12" s="1528">
        <v>29</v>
      </c>
      <c r="C12" s="1528">
        <v>0.76</v>
      </c>
      <c r="D12" s="1529">
        <v>0.17119999999999999</v>
      </c>
      <c r="E12" s="1529">
        <v>6.6799999999999998E-2</v>
      </c>
      <c r="F12" s="1528">
        <v>0.68</v>
      </c>
      <c r="G12" s="1529">
        <v>3.5099999999999999E-2</v>
      </c>
      <c r="H12" s="1528">
        <v>0.7</v>
      </c>
      <c r="I12" s="1528">
        <v>0.56189999999999996</v>
      </c>
      <c r="J12" s="1529">
        <v>0.42959999999999998</v>
      </c>
      <c r="K12" s="1529">
        <v>0.1139</v>
      </c>
    </row>
    <row r="13" spans="1:11">
      <c r="A13" s="1524" t="s">
        <v>2678</v>
      </c>
      <c r="B13" s="1525">
        <v>22</v>
      </c>
      <c r="C13" s="1525">
        <v>1.06</v>
      </c>
      <c r="D13" s="1526">
        <v>1.764</v>
      </c>
      <c r="E13" s="1526">
        <v>7.85E-2</v>
      </c>
      <c r="F13" s="1525">
        <v>0.46</v>
      </c>
      <c r="G13" s="1526">
        <v>8.6199999999999999E-2</v>
      </c>
      <c r="H13" s="1525">
        <v>0.5</v>
      </c>
      <c r="I13" s="1525">
        <v>0.51339999999999997</v>
      </c>
      <c r="J13" s="1526">
        <v>0.3846</v>
      </c>
      <c r="K13" s="1526">
        <v>0.29649999999999999</v>
      </c>
    </row>
    <row r="14" spans="1:11">
      <c r="A14" s="1527" t="s">
        <v>2679</v>
      </c>
      <c r="B14" s="1528">
        <v>27</v>
      </c>
      <c r="C14" s="1528">
        <v>1.1200000000000001</v>
      </c>
      <c r="D14" s="1529">
        <v>2.2606000000000002</v>
      </c>
      <c r="E14" s="1529">
        <v>0.16839999999999999</v>
      </c>
      <c r="F14" s="1528">
        <v>0.42</v>
      </c>
      <c r="G14" s="1529">
        <v>0.24540000000000001</v>
      </c>
      <c r="H14" s="1528">
        <v>0.55000000000000004</v>
      </c>
      <c r="I14" s="1528">
        <v>0.32719999999999999</v>
      </c>
      <c r="J14" s="1529">
        <v>0.25209999999999999</v>
      </c>
      <c r="K14" s="1529">
        <v>0.45889999999999997</v>
      </c>
    </row>
    <row r="15" spans="1:11">
      <c r="A15" s="1524" t="s">
        <v>2680</v>
      </c>
      <c r="B15" s="1525">
        <v>44</v>
      </c>
      <c r="C15" s="1525">
        <v>1.32</v>
      </c>
      <c r="D15" s="1526">
        <v>0.18149999999999999</v>
      </c>
      <c r="E15" s="1526">
        <v>0.19939999999999999</v>
      </c>
      <c r="F15" s="1525">
        <v>1.1599999999999999</v>
      </c>
      <c r="G15" s="1526">
        <v>4.0599999999999997E-2</v>
      </c>
      <c r="H15" s="1525">
        <v>1.21</v>
      </c>
      <c r="I15" s="1525">
        <v>0.3866</v>
      </c>
      <c r="J15" s="1526">
        <v>0.28720000000000001</v>
      </c>
      <c r="K15" s="1526">
        <v>0.52149999999999996</v>
      </c>
    </row>
    <row r="16" spans="1:11">
      <c r="A16" s="1527" t="s">
        <v>2681</v>
      </c>
      <c r="B16" s="1528">
        <v>162</v>
      </c>
      <c r="C16" s="1528">
        <v>1.02</v>
      </c>
      <c r="D16" s="1529">
        <v>0.1794</v>
      </c>
      <c r="E16" s="1529">
        <v>0.1084</v>
      </c>
      <c r="F16" s="1528">
        <v>0.9</v>
      </c>
      <c r="G16" s="1529">
        <v>3.09E-2</v>
      </c>
      <c r="H16" s="1528">
        <v>0.93</v>
      </c>
      <c r="I16" s="1528">
        <v>0.48780000000000001</v>
      </c>
      <c r="J16" s="1529">
        <v>0.41289999999999999</v>
      </c>
      <c r="K16" s="1529">
        <v>0.23549999999999999</v>
      </c>
    </row>
    <row r="17" spans="1:11">
      <c r="A17" s="1524" t="s">
        <v>2682</v>
      </c>
      <c r="B17" s="1525">
        <v>10</v>
      </c>
      <c r="C17" s="1525">
        <v>1.28</v>
      </c>
      <c r="D17" s="1526">
        <v>1.0172000000000001</v>
      </c>
      <c r="E17" s="1526">
        <v>0.23719999999999999</v>
      </c>
      <c r="F17" s="1525">
        <v>0.72</v>
      </c>
      <c r="G17" s="1526">
        <v>1.54E-2</v>
      </c>
      <c r="H17" s="1525">
        <v>0.74</v>
      </c>
      <c r="I17" s="1525">
        <v>0.4199</v>
      </c>
      <c r="J17" s="1526">
        <v>0.3301</v>
      </c>
      <c r="K17" s="1526">
        <v>0.27250000000000002</v>
      </c>
    </row>
    <row r="18" spans="1:11">
      <c r="A18" s="1527" t="s">
        <v>2683</v>
      </c>
      <c r="B18" s="1528">
        <v>32</v>
      </c>
      <c r="C18" s="1528">
        <v>1.1000000000000001</v>
      </c>
      <c r="D18" s="1529">
        <v>0.45679999999999998</v>
      </c>
      <c r="E18" s="1529">
        <v>8.9300000000000004E-2</v>
      </c>
      <c r="F18" s="1528">
        <v>0.82</v>
      </c>
      <c r="G18" s="1529">
        <v>6.6500000000000004E-2</v>
      </c>
      <c r="H18" s="1528">
        <v>0.87</v>
      </c>
      <c r="I18" s="1528">
        <v>0.48549999999999999</v>
      </c>
      <c r="J18" s="1529">
        <v>0.38919999999999999</v>
      </c>
      <c r="K18" s="1529">
        <v>0.40820000000000001</v>
      </c>
    </row>
    <row r="19" spans="1:11">
      <c r="A19" s="1524" t="s">
        <v>2684</v>
      </c>
      <c r="B19" s="1525">
        <v>4</v>
      </c>
      <c r="C19" s="1525">
        <v>1.1299999999999999</v>
      </c>
      <c r="D19" s="1526">
        <v>0.69530000000000003</v>
      </c>
      <c r="E19" s="1526">
        <v>0.1489</v>
      </c>
      <c r="F19" s="1525">
        <v>0.74</v>
      </c>
      <c r="G19" s="1526">
        <v>8.43E-2</v>
      </c>
      <c r="H19" s="1525">
        <v>0.81</v>
      </c>
      <c r="I19" s="1525">
        <v>0.30120000000000002</v>
      </c>
      <c r="J19" s="1526">
        <v>0.37240000000000001</v>
      </c>
      <c r="K19" s="1526">
        <v>0.34910000000000002</v>
      </c>
    </row>
    <row r="20" spans="1:11">
      <c r="A20" s="1527" t="s">
        <v>2685</v>
      </c>
      <c r="B20" s="1528">
        <v>68</v>
      </c>
      <c r="C20" s="1528">
        <v>1.0900000000000001</v>
      </c>
      <c r="D20" s="1529">
        <v>0.26819999999999999</v>
      </c>
      <c r="E20" s="1529">
        <v>0.104</v>
      </c>
      <c r="F20" s="1528">
        <v>0.91</v>
      </c>
      <c r="G20" s="1529">
        <v>3.5000000000000003E-2</v>
      </c>
      <c r="H20" s="1528">
        <v>0.94</v>
      </c>
      <c r="I20" s="1528">
        <v>0.44429999999999997</v>
      </c>
      <c r="J20" s="1529">
        <v>0.36599999999999999</v>
      </c>
      <c r="K20" s="1529">
        <v>0.186</v>
      </c>
    </row>
    <row r="21" spans="1:11">
      <c r="A21" s="1524" t="s">
        <v>2686</v>
      </c>
      <c r="B21" s="1525">
        <v>18</v>
      </c>
      <c r="C21" s="1525">
        <v>1.27</v>
      </c>
      <c r="D21" s="1526">
        <v>0.22539999999999999</v>
      </c>
      <c r="E21" s="1526">
        <v>2.6200000000000001E-2</v>
      </c>
      <c r="F21" s="1525">
        <v>1.0900000000000001</v>
      </c>
      <c r="G21" s="1526">
        <v>0.12529999999999999</v>
      </c>
      <c r="H21" s="1525">
        <v>1.24</v>
      </c>
      <c r="I21" s="1525">
        <v>0.50839999999999996</v>
      </c>
      <c r="J21" s="1526">
        <v>0.55689999999999995</v>
      </c>
      <c r="K21" s="1526">
        <v>4.1548999999999996</v>
      </c>
    </row>
    <row r="22" spans="1:11">
      <c r="A22" s="1527" t="s">
        <v>2687</v>
      </c>
      <c r="B22" s="1528">
        <v>72</v>
      </c>
      <c r="C22" s="1528">
        <v>1</v>
      </c>
      <c r="D22" s="1529">
        <v>0.29139999999999999</v>
      </c>
      <c r="E22" s="1529">
        <v>7.7799999999999994E-2</v>
      </c>
      <c r="F22" s="1528">
        <v>0.82</v>
      </c>
      <c r="G22" s="1529">
        <v>4.6899999999999997E-2</v>
      </c>
      <c r="H22" s="1528">
        <v>0.86</v>
      </c>
      <c r="I22" s="1528">
        <v>0.57499999999999996</v>
      </c>
      <c r="J22" s="1529">
        <v>0.49609999999999999</v>
      </c>
      <c r="K22" s="1529">
        <v>0.25480000000000003</v>
      </c>
    </row>
    <row r="23" spans="1:11">
      <c r="A23" s="1524" t="s">
        <v>2688</v>
      </c>
      <c r="B23" s="1525">
        <v>36</v>
      </c>
      <c r="C23" s="1525">
        <v>1.1299999999999999</v>
      </c>
      <c r="D23" s="1526">
        <v>6.0900000000000003E-2</v>
      </c>
      <c r="E23" s="1526">
        <v>8.6699999999999999E-2</v>
      </c>
      <c r="F23" s="1525">
        <v>1.08</v>
      </c>
      <c r="G23" s="1526">
        <v>1.54E-2</v>
      </c>
      <c r="H23" s="1525">
        <v>1.1000000000000001</v>
      </c>
      <c r="I23" s="1525">
        <v>0.439</v>
      </c>
      <c r="J23" s="1526">
        <v>0.38900000000000001</v>
      </c>
      <c r="K23" s="1526">
        <v>0.2908</v>
      </c>
    </row>
    <row r="24" spans="1:11">
      <c r="A24" s="1527" t="s">
        <v>2689</v>
      </c>
      <c r="B24" s="1528">
        <v>45</v>
      </c>
      <c r="C24" s="1528">
        <v>1.1299999999999999</v>
      </c>
      <c r="D24" s="1529">
        <v>0.247</v>
      </c>
      <c r="E24" s="1529">
        <v>0.14910000000000001</v>
      </c>
      <c r="F24" s="1528">
        <v>0.95</v>
      </c>
      <c r="G24" s="1529">
        <v>3.9399999999999998E-2</v>
      </c>
      <c r="H24" s="1528">
        <v>0.99</v>
      </c>
      <c r="I24" s="1528">
        <v>0.3977</v>
      </c>
      <c r="J24" s="1529">
        <v>0.37830000000000003</v>
      </c>
      <c r="K24" s="1529">
        <v>0.23960000000000001</v>
      </c>
    </row>
    <row r="25" spans="1:11">
      <c r="A25" s="1524" t="s">
        <v>2690</v>
      </c>
      <c r="B25" s="1525">
        <v>23</v>
      </c>
      <c r="C25" s="1525">
        <v>1.19</v>
      </c>
      <c r="D25" s="1526">
        <v>0.1915</v>
      </c>
      <c r="E25" s="1526">
        <v>5.2499999999999998E-2</v>
      </c>
      <c r="F25" s="1525">
        <v>1.04</v>
      </c>
      <c r="G25" s="1526">
        <v>4.36E-2</v>
      </c>
      <c r="H25" s="1525">
        <v>1.0900000000000001</v>
      </c>
      <c r="I25" s="1525">
        <v>0.54549999999999998</v>
      </c>
      <c r="J25" s="1526">
        <v>0.52249999999999996</v>
      </c>
      <c r="K25" s="1526">
        <v>0.66700000000000004</v>
      </c>
    </row>
    <row r="26" spans="1:11">
      <c r="A26" s="1527" t="s">
        <v>2691</v>
      </c>
      <c r="B26" s="1528">
        <v>572</v>
      </c>
      <c r="C26" s="1528">
        <v>1.1200000000000001</v>
      </c>
      <c r="D26" s="1529">
        <v>0.16389999999999999</v>
      </c>
      <c r="E26" s="1529">
        <v>8.0999999999999996E-3</v>
      </c>
      <c r="F26" s="1528">
        <v>1</v>
      </c>
      <c r="G26" s="1529">
        <v>8.1500000000000003E-2</v>
      </c>
      <c r="H26" s="1528">
        <v>1.0900000000000001</v>
      </c>
      <c r="I26" s="1528">
        <v>0.63170000000000004</v>
      </c>
      <c r="J26" s="1529">
        <v>0.61980000000000002</v>
      </c>
      <c r="K26" s="1529">
        <v>0.27239999999999998</v>
      </c>
    </row>
    <row r="27" spans="1:11">
      <c r="A27" s="1524" t="s">
        <v>2692</v>
      </c>
      <c r="B27" s="1525">
        <v>245</v>
      </c>
      <c r="C27" s="1525">
        <v>1.03</v>
      </c>
      <c r="D27" s="1526">
        <v>0.1605</v>
      </c>
      <c r="E27" s="1526">
        <v>2.8899999999999999E-2</v>
      </c>
      <c r="F27" s="1525">
        <v>0.92</v>
      </c>
      <c r="G27" s="1526">
        <v>2.9000000000000001E-2</v>
      </c>
      <c r="H27" s="1525">
        <v>0.94</v>
      </c>
      <c r="I27" s="1525">
        <v>0.66159999999999997</v>
      </c>
      <c r="J27" s="1526">
        <v>0.65300000000000002</v>
      </c>
      <c r="K27" s="1526">
        <v>0.2908</v>
      </c>
    </row>
    <row r="28" spans="1:11">
      <c r="A28" s="1527" t="s">
        <v>2693</v>
      </c>
      <c r="B28" s="1528">
        <v>31</v>
      </c>
      <c r="C28" s="1528">
        <v>1.23</v>
      </c>
      <c r="D28" s="1529">
        <v>0.19589999999999999</v>
      </c>
      <c r="E28" s="1529">
        <v>0.1115</v>
      </c>
      <c r="F28" s="1528">
        <v>1.07</v>
      </c>
      <c r="G28" s="1529">
        <v>6.8500000000000005E-2</v>
      </c>
      <c r="H28" s="1528">
        <v>1.1499999999999999</v>
      </c>
      <c r="I28" s="1528">
        <v>0.54039999999999999</v>
      </c>
      <c r="J28" s="1529">
        <v>0.43780000000000002</v>
      </c>
      <c r="K28" s="1529">
        <v>0.17180000000000001</v>
      </c>
    </row>
    <row r="29" spans="1:11">
      <c r="A29" s="1524" t="s">
        <v>2694</v>
      </c>
      <c r="B29" s="1525">
        <v>103</v>
      </c>
      <c r="C29" s="1525">
        <v>1.24</v>
      </c>
      <c r="D29" s="1526">
        <v>0.21390000000000001</v>
      </c>
      <c r="E29" s="1526">
        <v>5.6599999999999998E-2</v>
      </c>
      <c r="F29" s="1525">
        <v>1.07</v>
      </c>
      <c r="G29" s="1526">
        <v>6.6600000000000006E-2</v>
      </c>
      <c r="H29" s="1525">
        <v>1.1499999999999999</v>
      </c>
      <c r="I29" s="1525">
        <v>0.62</v>
      </c>
      <c r="J29" s="1526">
        <v>0.54420000000000002</v>
      </c>
      <c r="K29" s="1526">
        <v>0.16700000000000001</v>
      </c>
    </row>
    <row r="30" spans="1:11">
      <c r="A30" s="1527" t="s">
        <v>2695</v>
      </c>
      <c r="B30" s="1528">
        <v>13</v>
      </c>
      <c r="C30" s="1528">
        <v>1.3</v>
      </c>
      <c r="D30" s="1529">
        <v>0.1832</v>
      </c>
      <c r="E30" s="1529">
        <v>7.3099999999999998E-2</v>
      </c>
      <c r="F30" s="1528">
        <v>1.1399999999999999</v>
      </c>
      <c r="G30" s="1529">
        <v>0.12609999999999999</v>
      </c>
      <c r="H30" s="1528">
        <v>1.3</v>
      </c>
      <c r="I30" s="1528">
        <v>0.52829999999999999</v>
      </c>
      <c r="J30" s="1529">
        <v>0.39419999999999999</v>
      </c>
      <c r="K30" s="1529">
        <v>2.6707000000000001</v>
      </c>
    </row>
    <row r="31" spans="1:11">
      <c r="A31" s="1524" t="s">
        <v>2696</v>
      </c>
      <c r="B31" s="1525">
        <v>129</v>
      </c>
      <c r="C31" s="1525">
        <v>0.93</v>
      </c>
      <c r="D31" s="1526">
        <v>0.17199999999999999</v>
      </c>
      <c r="E31" s="1526">
        <v>8.1699999999999995E-2</v>
      </c>
      <c r="F31" s="1525">
        <v>0.83</v>
      </c>
      <c r="G31" s="1526">
        <v>5.6899999999999999E-2</v>
      </c>
      <c r="H31" s="1525">
        <v>0.88</v>
      </c>
      <c r="I31" s="1525">
        <v>0.48699999999999999</v>
      </c>
      <c r="J31" s="1526">
        <v>0.4294</v>
      </c>
      <c r="K31" s="1526">
        <v>0.28539999999999999</v>
      </c>
    </row>
    <row r="32" spans="1:11">
      <c r="A32" s="1527" t="s">
        <v>2697</v>
      </c>
      <c r="B32" s="1528">
        <v>43</v>
      </c>
      <c r="C32" s="1528">
        <v>0.96</v>
      </c>
      <c r="D32" s="1529">
        <v>0.26200000000000001</v>
      </c>
      <c r="E32" s="1529">
        <v>0.14269999999999999</v>
      </c>
      <c r="F32" s="1528">
        <v>0.8</v>
      </c>
      <c r="G32" s="1529">
        <v>4.9500000000000002E-2</v>
      </c>
      <c r="H32" s="1528">
        <v>0.84</v>
      </c>
      <c r="I32" s="1528">
        <v>0.42209999999999998</v>
      </c>
      <c r="J32" s="1529">
        <v>0.33679999999999999</v>
      </c>
      <c r="K32" s="1529">
        <v>9.3700000000000006E-2</v>
      </c>
    </row>
    <row r="33" spans="1:11">
      <c r="A33" s="1524" t="s">
        <v>2698</v>
      </c>
      <c r="B33" s="1525">
        <v>98</v>
      </c>
      <c r="C33" s="1525">
        <v>0.99</v>
      </c>
      <c r="D33" s="1526">
        <v>0.28749999999999998</v>
      </c>
      <c r="E33" s="1526">
        <v>3.2500000000000001E-2</v>
      </c>
      <c r="F33" s="1525">
        <v>0.82</v>
      </c>
      <c r="G33" s="1526">
        <v>5.4899999999999997E-2</v>
      </c>
      <c r="H33" s="1525">
        <v>0.87</v>
      </c>
      <c r="I33" s="1525">
        <v>0.61539999999999995</v>
      </c>
      <c r="J33" s="1526">
        <v>0.6119</v>
      </c>
      <c r="K33" s="1526">
        <v>0.30690000000000001</v>
      </c>
    </row>
    <row r="34" spans="1:11">
      <c r="A34" s="1527" t="s">
        <v>2699</v>
      </c>
      <c r="B34" s="1528">
        <v>57</v>
      </c>
      <c r="C34" s="1528">
        <v>0.91</v>
      </c>
      <c r="D34" s="1529">
        <v>0.2195</v>
      </c>
      <c r="E34" s="1529">
        <v>5.4199999999999998E-2</v>
      </c>
      <c r="F34" s="1528">
        <v>0.78</v>
      </c>
      <c r="G34" s="1529">
        <v>8.8000000000000005E-3</v>
      </c>
      <c r="H34" s="1528">
        <v>0.79</v>
      </c>
      <c r="I34" s="1528">
        <v>0.55049999999999999</v>
      </c>
      <c r="J34" s="1529">
        <v>0.4607</v>
      </c>
      <c r="K34" s="1529">
        <v>0.2351</v>
      </c>
    </row>
    <row r="35" spans="1:11">
      <c r="A35" s="1524" t="s">
        <v>2700</v>
      </c>
      <c r="B35" s="1525">
        <v>42</v>
      </c>
      <c r="C35" s="1525">
        <v>0.99</v>
      </c>
      <c r="D35" s="1526">
        <v>0.45300000000000001</v>
      </c>
      <c r="E35" s="1526">
        <v>6.6799999999999998E-2</v>
      </c>
      <c r="F35" s="1525">
        <v>0.74</v>
      </c>
      <c r="G35" s="1526">
        <v>3.78E-2</v>
      </c>
      <c r="H35" s="1525">
        <v>0.77</v>
      </c>
      <c r="I35" s="1525">
        <v>0.57899999999999996</v>
      </c>
      <c r="J35" s="1526">
        <v>0.54139999999999999</v>
      </c>
      <c r="K35" s="1526">
        <v>0.41410000000000002</v>
      </c>
    </row>
    <row r="36" spans="1:11">
      <c r="A36" s="1527" t="s">
        <v>2701</v>
      </c>
      <c r="B36" s="1528">
        <v>172</v>
      </c>
      <c r="C36" s="1528">
        <v>1.1399999999999999</v>
      </c>
      <c r="D36" s="1529">
        <v>3.5406</v>
      </c>
      <c r="E36" s="1529">
        <v>0.11070000000000001</v>
      </c>
      <c r="F36" s="1528">
        <v>0.31</v>
      </c>
      <c r="G36" s="1529">
        <v>2.8400000000000002E-2</v>
      </c>
      <c r="H36" s="1528">
        <v>0.32</v>
      </c>
      <c r="I36" s="1528">
        <v>0.41889999999999999</v>
      </c>
      <c r="J36" s="1529">
        <v>0.3866</v>
      </c>
      <c r="K36" s="1529">
        <v>0.40910000000000002</v>
      </c>
    </row>
    <row r="37" spans="1:11">
      <c r="A37" s="1524" t="s">
        <v>2702</v>
      </c>
      <c r="B37" s="1525">
        <v>82</v>
      </c>
      <c r="C37" s="1525">
        <v>0.61</v>
      </c>
      <c r="D37" s="1526">
        <v>0.33700000000000002</v>
      </c>
      <c r="E37" s="1526">
        <v>8.2900000000000001E-2</v>
      </c>
      <c r="F37" s="1525">
        <v>0.48</v>
      </c>
      <c r="G37" s="1526">
        <v>2.5000000000000001E-2</v>
      </c>
      <c r="H37" s="1525">
        <v>0.5</v>
      </c>
      <c r="I37" s="1525">
        <v>0.47220000000000001</v>
      </c>
      <c r="J37" s="1526">
        <v>0.36509999999999998</v>
      </c>
      <c r="K37" s="1526">
        <v>0.1341</v>
      </c>
    </row>
    <row r="38" spans="1:11">
      <c r="A38" s="1527" t="s">
        <v>2703</v>
      </c>
      <c r="B38" s="1528">
        <v>14</v>
      </c>
      <c r="C38" s="1528">
        <v>0.97</v>
      </c>
      <c r="D38" s="1529">
        <v>0.44629999999999997</v>
      </c>
      <c r="E38" s="1529">
        <v>0.159</v>
      </c>
      <c r="F38" s="1528">
        <v>0.72</v>
      </c>
      <c r="G38" s="1529">
        <v>1.5699999999999999E-2</v>
      </c>
      <c r="H38" s="1528">
        <v>0.74</v>
      </c>
      <c r="I38" s="1528">
        <v>0.40939999999999999</v>
      </c>
      <c r="J38" s="1529">
        <v>0.27300000000000002</v>
      </c>
      <c r="K38" s="1529">
        <v>0.2949</v>
      </c>
    </row>
    <row r="39" spans="1:11">
      <c r="A39" s="1524" t="s">
        <v>2704</v>
      </c>
      <c r="B39" s="1525">
        <v>31</v>
      </c>
      <c r="C39" s="1525">
        <v>1.1100000000000001</v>
      </c>
      <c r="D39" s="1526">
        <v>0.47549999999999998</v>
      </c>
      <c r="E39" s="1526">
        <v>0.1394</v>
      </c>
      <c r="F39" s="1525">
        <v>0.82</v>
      </c>
      <c r="G39" s="1526">
        <v>5.2400000000000002E-2</v>
      </c>
      <c r="H39" s="1525">
        <v>0.86</v>
      </c>
      <c r="I39" s="1525">
        <v>0.45119999999999999</v>
      </c>
      <c r="J39" s="1526">
        <v>0.46650000000000003</v>
      </c>
      <c r="K39" s="1526">
        <v>0.23419999999999999</v>
      </c>
    </row>
    <row r="40" spans="1:11">
      <c r="A40" s="1527" t="s">
        <v>2705</v>
      </c>
      <c r="B40" s="1528">
        <v>17</v>
      </c>
      <c r="C40" s="1528">
        <v>1.1100000000000001</v>
      </c>
      <c r="D40" s="1529">
        <v>1.4140999999999999</v>
      </c>
      <c r="E40" s="1529">
        <v>4.3900000000000002E-2</v>
      </c>
      <c r="F40" s="1528">
        <v>0.54</v>
      </c>
      <c r="G40" s="1529">
        <v>3.4200000000000001E-2</v>
      </c>
      <c r="H40" s="1528">
        <v>0.56000000000000005</v>
      </c>
      <c r="I40" s="1528">
        <v>0.60050000000000003</v>
      </c>
      <c r="J40" s="1529">
        <v>0.57340000000000002</v>
      </c>
      <c r="K40" s="1529">
        <v>0.49859999999999999</v>
      </c>
    </row>
    <row r="41" spans="1:11">
      <c r="A41" s="1524" t="s">
        <v>2706</v>
      </c>
      <c r="B41" s="1525">
        <v>230</v>
      </c>
      <c r="C41" s="1525">
        <v>1.06</v>
      </c>
      <c r="D41" s="1526">
        <v>0.12659999999999999</v>
      </c>
      <c r="E41" s="1526">
        <v>4.8099999999999997E-2</v>
      </c>
      <c r="F41" s="1525">
        <v>0.97</v>
      </c>
      <c r="G41" s="1526">
        <v>3.5299999999999998E-2</v>
      </c>
      <c r="H41" s="1525">
        <v>1.01</v>
      </c>
      <c r="I41" s="1525">
        <v>0.57299999999999995</v>
      </c>
      <c r="J41" s="1526">
        <v>0.52210000000000001</v>
      </c>
      <c r="K41" s="1526">
        <v>0.3296</v>
      </c>
    </row>
    <row r="42" spans="1:11">
      <c r="A42" s="1527" t="s">
        <v>2707</v>
      </c>
      <c r="B42" s="1528">
        <v>119</v>
      </c>
      <c r="C42" s="1528">
        <v>1.03</v>
      </c>
      <c r="D42" s="1529">
        <v>0.26860000000000001</v>
      </c>
      <c r="E42" s="1529">
        <v>8.0799999999999997E-2</v>
      </c>
      <c r="F42" s="1528">
        <v>0.86</v>
      </c>
      <c r="G42" s="1529">
        <v>8.5999999999999993E-2</v>
      </c>
      <c r="H42" s="1528">
        <v>0.94</v>
      </c>
      <c r="I42" s="1528">
        <v>0.52229999999999999</v>
      </c>
      <c r="J42" s="1529">
        <v>0.49530000000000002</v>
      </c>
      <c r="K42" s="1529">
        <v>0.26950000000000002</v>
      </c>
    </row>
    <row r="43" spans="1:11">
      <c r="A43" s="1524" t="s">
        <v>2708</v>
      </c>
      <c r="B43" s="1525">
        <v>128</v>
      </c>
      <c r="C43" s="1525">
        <v>1.27</v>
      </c>
      <c r="D43" s="1526">
        <v>0.16070000000000001</v>
      </c>
      <c r="E43" s="1526">
        <v>3.1099999999999999E-2</v>
      </c>
      <c r="F43" s="1525">
        <v>1.1399999999999999</v>
      </c>
      <c r="G43" s="1526">
        <v>4.2000000000000003E-2</v>
      </c>
      <c r="H43" s="1525">
        <v>1.19</v>
      </c>
      <c r="I43" s="1525">
        <v>0.56069999999999998</v>
      </c>
      <c r="J43" s="1526">
        <v>0.54149999999999998</v>
      </c>
      <c r="K43" s="1526">
        <v>0.50829999999999997</v>
      </c>
    </row>
    <row r="44" spans="1:11">
      <c r="A44" s="1527" t="s">
        <v>2709</v>
      </c>
      <c r="B44" s="1528">
        <v>32</v>
      </c>
      <c r="C44" s="1528">
        <v>1.37</v>
      </c>
      <c r="D44" s="1529">
        <v>0.16420000000000001</v>
      </c>
      <c r="E44" s="1529">
        <v>0.17219999999999999</v>
      </c>
      <c r="F44" s="1528">
        <v>1.22</v>
      </c>
      <c r="G44" s="1529">
        <v>9.9199999999999997E-2</v>
      </c>
      <c r="H44" s="1528">
        <v>1.35</v>
      </c>
      <c r="I44" s="1528">
        <v>0.47849999999999998</v>
      </c>
      <c r="J44" s="1529">
        <v>0.3231</v>
      </c>
      <c r="K44" s="1529">
        <v>0.75829999999999997</v>
      </c>
    </row>
    <row r="45" spans="1:11">
      <c r="A45" s="1524" t="s">
        <v>2710</v>
      </c>
      <c r="B45" s="1525">
        <v>32</v>
      </c>
      <c r="C45" s="1525">
        <v>0.88</v>
      </c>
      <c r="D45" s="1526">
        <v>0.7974</v>
      </c>
      <c r="E45" s="1526">
        <v>6.8599999999999994E-2</v>
      </c>
      <c r="F45" s="1525">
        <v>0.55000000000000004</v>
      </c>
      <c r="G45" s="1526">
        <v>1.7100000000000001E-2</v>
      </c>
      <c r="H45" s="1525">
        <v>0.56000000000000005</v>
      </c>
      <c r="I45" s="1525">
        <v>0.58089999999999997</v>
      </c>
      <c r="J45" s="1526">
        <v>0.46329999999999999</v>
      </c>
      <c r="K45" s="1526">
        <v>0.1704</v>
      </c>
    </row>
    <row r="46" spans="1:11">
      <c r="A46" s="1527" t="s">
        <v>2711</v>
      </c>
      <c r="B46" s="1528">
        <v>68</v>
      </c>
      <c r="C46" s="1528">
        <v>1.34</v>
      </c>
      <c r="D46" s="1529">
        <v>0.48670000000000002</v>
      </c>
      <c r="E46" s="1529">
        <v>8.6300000000000002E-2</v>
      </c>
      <c r="F46" s="1528">
        <v>0.98</v>
      </c>
      <c r="G46" s="1529">
        <v>6.1100000000000002E-2</v>
      </c>
      <c r="H46" s="1528">
        <v>1.05</v>
      </c>
      <c r="I46" s="1528">
        <v>0.45540000000000003</v>
      </c>
      <c r="J46" s="1529">
        <v>0.40799999999999997</v>
      </c>
      <c r="K46" s="1529">
        <v>1.0448999999999999</v>
      </c>
    </row>
    <row r="47" spans="1:11">
      <c r="A47" s="1524" t="s">
        <v>2712</v>
      </c>
      <c r="B47" s="1525">
        <v>93</v>
      </c>
      <c r="C47" s="1525">
        <v>0.84</v>
      </c>
      <c r="D47" s="1526">
        <v>0.1656</v>
      </c>
      <c r="E47" s="1526">
        <v>8.2100000000000006E-2</v>
      </c>
      <c r="F47" s="1525">
        <v>0.75</v>
      </c>
      <c r="G47" s="1526">
        <v>2.93E-2</v>
      </c>
      <c r="H47" s="1525">
        <v>0.77</v>
      </c>
      <c r="I47" s="1525">
        <v>0.5665</v>
      </c>
      <c r="J47" s="1526">
        <v>0.51119999999999999</v>
      </c>
      <c r="K47" s="1526">
        <v>0.11509999999999999</v>
      </c>
    </row>
    <row r="48" spans="1:11">
      <c r="A48" s="1527" t="s">
        <v>2713</v>
      </c>
      <c r="B48" s="1528">
        <v>18</v>
      </c>
      <c r="C48" s="1528">
        <v>0.93</v>
      </c>
      <c r="D48" s="1529">
        <v>0.35670000000000002</v>
      </c>
      <c r="E48" s="1529">
        <v>0.15790000000000001</v>
      </c>
      <c r="F48" s="1528">
        <v>0.73</v>
      </c>
      <c r="G48" s="1529">
        <v>4.9299999999999997E-2</v>
      </c>
      <c r="H48" s="1528">
        <v>0.77</v>
      </c>
      <c r="I48" s="1528">
        <v>0.44330000000000003</v>
      </c>
      <c r="J48" s="1529">
        <v>0.33829999999999999</v>
      </c>
      <c r="K48" s="1529">
        <v>0.45179999999999998</v>
      </c>
    </row>
    <row r="49" spans="1:11">
      <c r="A49" s="1524" t="s">
        <v>2714</v>
      </c>
      <c r="B49" s="1525">
        <v>21</v>
      </c>
      <c r="C49" s="1525">
        <v>1.03</v>
      </c>
      <c r="D49" s="1526">
        <v>0.25929999999999997</v>
      </c>
      <c r="E49" s="1526">
        <v>0.13689999999999999</v>
      </c>
      <c r="F49" s="1525">
        <v>0.86</v>
      </c>
      <c r="G49" s="1526">
        <v>3.32E-2</v>
      </c>
      <c r="H49" s="1525">
        <v>0.89</v>
      </c>
      <c r="I49" s="1525">
        <v>0.41</v>
      </c>
      <c r="J49" s="1526">
        <v>0.40379999999999999</v>
      </c>
      <c r="K49" s="1526">
        <v>0.48449999999999999</v>
      </c>
    </row>
    <row r="50" spans="1:11">
      <c r="A50" s="1527" t="s">
        <v>2715</v>
      </c>
      <c r="B50" s="1528">
        <v>23</v>
      </c>
      <c r="C50" s="1528">
        <v>0.77</v>
      </c>
      <c r="D50" s="1529">
        <v>0.92249999999999999</v>
      </c>
      <c r="E50" s="1529">
        <v>0.1018</v>
      </c>
      <c r="F50" s="1528">
        <v>0.45</v>
      </c>
      <c r="G50" s="1529">
        <v>0.16159999999999999</v>
      </c>
      <c r="H50" s="1528">
        <v>0.54</v>
      </c>
      <c r="I50" s="1528">
        <v>0.31319999999999998</v>
      </c>
      <c r="J50" s="1529">
        <v>0.3085</v>
      </c>
      <c r="K50" s="1529">
        <v>0.23089999999999999</v>
      </c>
    </row>
    <row r="51" spans="1:11">
      <c r="A51" s="1524" t="s">
        <v>2716</v>
      </c>
      <c r="B51" s="1525">
        <v>50</v>
      </c>
      <c r="C51" s="1525">
        <v>0.74</v>
      </c>
      <c r="D51" s="1526">
        <v>0.1938</v>
      </c>
      <c r="E51" s="1526">
        <v>0.1242</v>
      </c>
      <c r="F51" s="1525">
        <v>0.64</v>
      </c>
      <c r="G51" s="1526">
        <v>4.4699999999999997E-2</v>
      </c>
      <c r="H51" s="1525">
        <v>0.68</v>
      </c>
      <c r="I51" s="1525">
        <v>0.2954</v>
      </c>
      <c r="J51" s="1526">
        <v>0.27400000000000002</v>
      </c>
      <c r="K51" s="1526">
        <v>0.29799999999999999</v>
      </c>
    </row>
    <row r="52" spans="1:11">
      <c r="A52" s="1527" t="s">
        <v>2717</v>
      </c>
      <c r="B52" s="1528">
        <v>334</v>
      </c>
      <c r="C52" s="1528">
        <v>0.46</v>
      </c>
      <c r="D52" s="1529">
        <v>0.40339999999999998</v>
      </c>
      <c r="E52" s="1529">
        <v>0.1133</v>
      </c>
      <c r="F52" s="1528">
        <v>0.35</v>
      </c>
      <c r="G52" s="1529">
        <v>0.1033</v>
      </c>
      <c r="H52" s="1528">
        <v>0.39</v>
      </c>
      <c r="I52" s="1528">
        <v>0.23130000000000001</v>
      </c>
      <c r="J52" s="1529">
        <v>0.1515</v>
      </c>
      <c r="K52" s="1529">
        <v>0.2334</v>
      </c>
    </row>
    <row r="53" spans="1:11">
      <c r="A53" s="1524" t="s">
        <v>2718</v>
      </c>
      <c r="B53" s="1525">
        <v>103</v>
      </c>
      <c r="C53" s="1525">
        <v>1.03</v>
      </c>
      <c r="D53" s="1526">
        <v>0.1686</v>
      </c>
      <c r="E53" s="1526">
        <v>0.1173</v>
      </c>
      <c r="F53" s="1525">
        <v>0.91</v>
      </c>
      <c r="G53" s="1526">
        <v>2.8500000000000001E-2</v>
      </c>
      <c r="H53" s="1525">
        <v>0.94</v>
      </c>
      <c r="I53" s="1525">
        <v>0.43149999999999999</v>
      </c>
      <c r="J53" s="1526">
        <v>0.33439999999999998</v>
      </c>
      <c r="K53" s="1526">
        <v>0.18509999999999999</v>
      </c>
    </row>
    <row r="54" spans="1:11">
      <c r="A54" s="1527" t="s">
        <v>2719</v>
      </c>
      <c r="B54" s="1528">
        <v>68</v>
      </c>
      <c r="C54" s="1528">
        <v>0.96</v>
      </c>
      <c r="D54" s="1529">
        <v>0.15820000000000001</v>
      </c>
      <c r="E54" s="1529">
        <v>0.02</v>
      </c>
      <c r="F54" s="1528">
        <v>0.86</v>
      </c>
      <c r="G54" s="1529">
        <v>5.67E-2</v>
      </c>
      <c r="H54" s="1528">
        <v>0.91</v>
      </c>
      <c r="I54" s="1528">
        <v>0.64480000000000004</v>
      </c>
      <c r="J54" s="1529">
        <v>0.60560000000000003</v>
      </c>
      <c r="K54" s="1529">
        <v>0.54710000000000003</v>
      </c>
    </row>
    <row r="55" spans="1:11">
      <c r="A55" s="1524" t="s">
        <v>2720</v>
      </c>
      <c r="B55" s="1525">
        <v>17</v>
      </c>
      <c r="C55" s="1525">
        <v>1.1399999999999999</v>
      </c>
      <c r="D55" s="1526">
        <v>0.52569999999999995</v>
      </c>
      <c r="E55" s="1526">
        <v>0.17119999999999999</v>
      </c>
      <c r="F55" s="1525">
        <v>0.82</v>
      </c>
      <c r="G55" s="1526">
        <v>6.7599999999999993E-2</v>
      </c>
      <c r="H55" s="1525">
        <v>0.88</v>
      </c>
      <c r="I55" s="1525">
        <v>0.43859999999999999</v>
      </c>
      <c r="J55" s="1526">
        <v>0.30280000000000001</v>
      </c>
      <c r="K55" s="1526">
        <v>0.17630000000000001</v>
      </c>
    </row>
    <row r="56" spans="1:11">
      <c r="A56" s="1527" t="s">
        <v>2721</v>
      </c>
      <c r="B56" s="1528">
        <v>4</v>
      </c>
      <c r="C56" s="1528">
        <v>0.67</v>
      </c>
      <c r="D56" s="1529">
        <v>0.125</v>
      </c>
      <c r="E56" s="1529">
        <v>0.21179999999999999</v>
      </c>
      <c r="F56" s="1528">
        <v>0.61</v>
      </c>
      <c r="G56" s="1529">
        <v>4.8000000000000001E-2</v>
      </c>
      <c r="H56" s="1528">
        <v>0.64</v>
      </c>
      <c r="I56" s="1528">
        <v>0.15590000000000001</v>
      </c>
      <c r="J56" s="1529">
        <v>0.26440000000000002</v>
      </c>
      <c r="K56" s="1529">
        <v>1.0782</v>
      </c>
    </row>
    <row r="57" spans="1:11">
      <c r="A57" s="1524" t="s">
        <v>2722</v>
      </c>
      <c r="B57" s="1525">
        <v>166</v>
      </c>
      <c r="C57" s="1525">
        <v>0.93</v>
      </c>
      <c r="D57" s="1526">
        <v>0.23280000000000001</v>
      </c>
      <c r="E57" s="1526">
        <v>5.6099999999999997E-2</v>
      </c>
      <c r="F57" s="1525">
        <v>0.79</v>
      </c>
      <c r="G57" s="1526">
        <v>3.6200000000000003E-2</v>
      </c>
      <c r="H57" s="1525">
        <v>0.82</v>
      </c>
      <c r="I57" s="1525">
        <v>0.50280000000000002</v>
      </c>
      <c r="J57" s="1526">
        <v>0.46310000000000001</v>
      </c>
      <c r="K57" s="1526">
        <v>2.0846</v>
      </c>
    </row>
    <row r="58" spans="1:11">
      <c r="A58" s="1527" t="s">
        <v>2723</v>
      </c>
      <c r="B58" s="1528">
        <v>24</v>
      </c>
      <c r="C58" s="1528">
        <v>0.79</v>
      </c>
      <c r="D58" s="1529">
        <v>0.70220000000000005</v>
      </c>
      <c r="E58" s="1529">
        <v>9.2499999999999999E-2</v>
      </c>
      <c r="F58" s="1528">
        <v>0.52</v>
      </c>
      <c r="G58" s="1529">
        <v>2.1100000000000001E-2</v>
      </c>
      <c r="H58" s="1528">
        <v>0.53</v>
      </c>
      <c r="I58" s="1528">
        <v>0.35809999999999997</v>
      </c>
      <c r="J58" s="1529">
        <v>0.32550000000000001</v>
      </c>
      <c r="K58" s="1529">
        <v>0.38819999999999999</v>
      </c>
    </row>
    <row r="59" spans="1:11">
      <c r="A59" s="1524" t="s">
        <v>2724</v>
      </c>
      <c r="B59" s="1525">
        <v>100</v>
      </c>
      <c r="C59" s="1525">
        <v>0.98</v>
      </c>
      <c r="D59" s="1526">
        <v>0.32140000000000002</v>
      </c>
      <c r="E59" s="1526">
        <v>0.10879999999999999</v>
      </c>
      <c r="F59" s="1525">
        <v>0.79</v>
      </c>
      <c r="G59" s="1526">
        <v>7.46E-2</v>
      </c>
      <c r="H59" s="1525">
        <v>0.85</v>
      </c>
      <c r="I59" s="1525">
        <v>0.47760000000000002</v>
      </c>
      <c r="J59" s="1526">
        <v>0.43730000000000002</v>
      </c>
      <c r="K59" s="1526">
        <v>0.80500000000000005</v>
      </c>
    </row>
    <row r="60" spans="1:11">
      <c r="A60" s="1527" t="s">
        <v>2725</v>
      </c>
      <c r="B60" s="1528">
        <v>22</v>
      </c>
      <c r="C60" s="1528">
        <v>1.1299999999999999</v>
      </c>
      <c r="D60" s="1529">
        <v>0.61260000000000003</v>
      </c>
      <c r="E60" s="1529">
        <v>0.1812</v>
      </c>
      <c r="F60" s="1528">
        <v>0.78</v>
      </c>
      <c r="G60" s="1529">
        <v>3.8100000000000002E-2</v>
      </c>
      <c r="H60" s="1528">
        <v>0.81</v>
      </c>
      <c r="I60" s="1528">
        <v>0.28510000000000002</v>
      </c>
      <c r="J60" s="1529">
        <v>0.26240000000000002</v>
      </c>
      <c r="K60" s="1529">
        <v>0.1244</v>
      </c>
    </row>
    <row r="61" spans="1:11">
      <c r="A61" s="1524" t="s">
        <v>2726</v>
      </c>
      <c r="B61" s="1525">
        <v>7</v>
      </c>
      <c r="C61" s="1525">
        <v>1.94</v>
      </c>
      <c r="D61" s="1526">
        <v>0.37369999999999998</v>
      </c>
      <c r="E61" s="1526">
        <v>0.12909999999999999</v>
      </c>
      <c r="F61" s="1525">
        <v>1.51</v>
      </c>
      <c r="G61" s="1526">
        <v>4.8000000000000001E-2</v>
      </c>
      <c r="H61" s="1525">
        <v>1.59</v>
      </c>
      <c r="I61" s="1525">
        <v>0.44890000000000002</v>
      </c>
      <c r="J61" s="1526">
        <v>0.4304</v>
      </c>
      <c r="K61" s="1526">
        <v>0.8296</v>
      </c>
    </row>
    <row r="62" spans="1:11">
      <c r="A62" s="1527" t="s">
        <v>2727</v>
      </c>
      <c r="B62" s="1528">
        <v>50</v>
      </c>
      <c r="C62" s="1528">
        <v>0.65</v>
      </c>
      <c r="D62" s="1529">
        <v>0.92920000000000003</v>
      </c>
      <c r="E62" s="1529">
        <v>0.13689999999999999</v>
      </c>
      <c r="F62" s="1528">
        <v>0.38</v>
      </c>
      <c r="G62" s="1529">
        <v>1.3100000000000001E-2</v>
      </c>
      <c r="H62" s="1528">
        <v>0.39</v>
      </c>
      <c r="I62" s="1528">
        <v>0.2732</v>
      </c>
      <c r="J62" s="1529">
        <v>0.2039</v>
      </c>
      <c r="K62" s="1529">
        <v>5.8900000000000001E-2</v>
      </c>
    </row>
    <row r="63" spans="1:11">
      <c r="A63" s="1524" t="s">
        <v>2728</v>
      </c>
      <c r="B63" s="1525">
        <v>61</v>
      </c>
      <c r="C63" s="1525">
        <v>0.87</v>
      </c>
      <c r="D63" s="1526">
        <v>0.15210000000000001</v>
      </c>
      <c r="E63" s="1526">
        <v>1.9800000000000002E-2</v>
      </c>
      <c r="F63" s="1525">
        <v>0.78</v>
      </c>
      <c r="G63" s="1526">
        <v>6.0299999999999999E-2</v>
      </c>
      <c r="H63" s="1525">
        <v>0.83</v>
      </c>
      <c r="I63" s="1525">
        <v>0.62780000000000002</v>
      </c>
      <c r="J63" s="1526">
        <v>0.6361</v>
      </c>
      <c r="K63" s="1526">
        <v>0.56840000000000002</v>
      </c>
    </row>
    <row r="64" spans="1:11">
      <c r="A64" s="1527" t="s">
        <v>2729</v>
      </c>
      <c r="B64" s="1528">
        <v>21</v>
      </c>
      <c r="C64" s="1528">
        <v>0.96</v>
      </c>
      <c r="D64" s="1529">
        <v>0.32479999999999998</v>
      </c>
      <c r="E64" s="1529">
        <v>0.10009999999999999</v>
      </c>
      <c r="F64" s="1528">
        <v>0.77</v>
      </c>
      <c r="G64" s="1529">
        <v>6.0900000000000003E-2</v>
      </c>
      <c r="H64" s="1528">
        <v>0.82</v>
      </c>
      <c r="I64" s="1528">
        <v>0.37609999999999999</v>
      </c>
      <c r="J64" s="1529">
        <v>0.38200000000000001</v>
      </c>
      <c r="K64" s="1529">
        <v>0.12470000000000001</v>
      </c>
    </row>
    <row r="65" spans="1:11">
      <c r="A65" s="1524" t="s">
        <v>2730</v>
      </c>
      <c r="B65" s="1525">
        <v>193</v>
      </c>
      <c r="C65" s="1525">
        <v>1.03</v>
      </c>
      <c r="D65" s="1526">
        <v>0.79039999999999999</v>
      </c>
      <c r="E65" s="1526">
        <v>1.95E-2</v>
      </c>
      <c r="F65" s="1525">
        <v>0.65</v>
      </c>
      <c r="G65" s="1526">
        <v>1.8800000000000001E-2</v>
      </c>
      <c r="H65" s="1525">
        <v>0.66</v>
      </c>
      <c r="I65" s="1525">
        <v>0.27850000000000003</v>
      </c>
      <c r="J65" s="1526">
        <v>0.23719999999999999</v>
      </c>
      <c r="K65" s="1526">
        <v>0.22420000000000001</v>
      </c>
    </row>
    <row r="66" spans="1:11">
      <c r="A66" s="1527" t="s">
        <v>2731</v>
      </c>
      <c r="B66" s="1528">
        <v>17</v>
      </c>
      <c r="C66" s="1528">
        <v>0.67</v>
      </c>
      <c r="D66" s="1529">
        <v>0.94099999999999995</v>
      </c>
      <c r="E66" s="1529">
        <v>1.4500000000000001E-2</v>
      </c>
      <c r="F66" s="1528">
        <v>0.39</v>
      </c>
      <c r="G66" s="1529">
        <v>9.1499999999999998E-2</v>
      </c>
      <c r="H66" s="1528">
        <v>0.43</v>
      </c>
      <c r="I66" s="1528">
        <v>0.58879999999999999</v>
      </c>
      <c r="J66" s="1529">
        <v>0.34239999999999998</v>
      </c>
      <c r="K66" s="1529">
        <v>0.76280000000000003</v>
      </c>
    </row>
    <row r="67" spans="1:11">
      <c r="A67" s="1524" t="s">
        <v>2732</v>
      </c>
      <c r="B67" s="1525">
        <v>11</v>
      </c>
      <c r="C67" s="1525">
        <v>0.56000000000000005</v>
      </c>
      <c r="D67" s="1526">
        <v>0.31879999999999997</v>
      </c>
      <c r="E67" s="1526">
        <v>0.1321</v>
      </c>
      <c r="F67" s="1525">
        <v>0.45</v>
      </c>
      <c r="G67" s="1526">
        <v>0.11260000000000001</v>
      </c>
      <c r="H67" s="1525">
        <v>0.51</v>
      </c>
      <c r="I67" s="1525">
        <v>0.34770000000000001</v>
      </c>
      <c r="J67" s="1526">
        <v>0.35909999999999997</v>
      </c>
      <c r="K67" s="1526">
        <v>0.98729999999999996</v>
      </c>
    </row>
    <row r="68" spans="1:11">
      <c r="A68" s="1527" t="s">
        <v>2733</v>
      </c>
      <c r="B68" s="1528">
        <v>60</v>
      </c>
      <c r="C68" s="1528">
        <v>1.08</v>
      </c>
      <c r="D68" s="1529">
        <v>0.44569999999999999</v>
      </c>
      <c r="E68" s="1529">
        <v>4.2900000000000001E-2</v>
      </c>
      <c r="F68" s="1528">
        <v>0.81</v>
      </c>
      <c r="G68" s="1529">
        <v>8.3000000000000004E-2</v>
      </c>
      <c r="H68" s="1528">
        <v>0.88</v>
      </c>
      <c r="I68" s="1528">
        <v>0.48209999999999997</v>
      </c>
      <c r="J68" s="1529">
        <v>0.44190000000000002</v>
      </c>
      <c r="K68" s="1529">
        <v>0.99419999999999997</v>
      </c>
    </row>
    <row r="69" spans="1:11">
      <c r="A69" s="1524" t="s">
        <v>2734</v>
      </c>
      <c r="B69" s="1525">
        <v>55</v>
      </c>
      <c r="C69" s="1525">
        <v>1.17</v>
      </c>
      <c r="D69" s="1526">
        <v>0.5857</v>
      </c>
      <c r="E69" s="1526">
        <v>8.2600000000000007E-2</v>
      </c>
      <c r="F69" s="1525">
        <v>0.81</v>
      </c>
      <c r="G69" s="1526">
        <v>4.1300000000000003E-2</v>
      </c>
      <c r="H69" s="1525">
        <v>0.85</v>
      </c>
      <c r="I69" s="1525">
        <v>0.50839999999999996</v>
      </c>
      <c r="J69" s="1526">
        <v>0.443</v>
      </c>
      <c r="K69" s="1526">
        <v>0.24030000000000001</v>
      </c>
    </row>
    <row r="70" spans="1:11">
      <c r="A70" s="1527" t="s">
        <v>2735</v>
      </c>
      <c r="B70" s="1528">
        <v>1</v>
      </c>
      <c r="C70" s="1528">
        <v>0.66</v>
      </c>
      <c r="D70" s="1529">
        <v>0.4254</v>
      </c>
      <c r="E70" s="1529">
        <v>0.22950000000000001</v>
      </c>
      <c r="F70" s="1528">
        <v>0.5</v>
      </c>
      <c r="G70" s="1529">
        <v>0.18559999999999999</v>
      </c>
      <c r="H70" s="1528">
        <v>0.61</v>
      </c>
      <c r="I70" s="1528">
        <v>0.17019999999999999</v>
      </c>
      <c r="J70" s="1529">
        <v>0.1709</v>
      </c>
      <c r="K70" s="1529">
        <v>0.21779999999999999</v>
      </c>
    </row>
    <row r="71" spans="1:11">
      <c r="A71" s="1524" t="s">
        <v>2736</v>
      </c>
      <c r="B71" s="1525">
        <v>64</v>
      </c>
      <c r="C71" s="1525">
        <v>1.19</v>
      </c>
      <c r="D71" s="1526">
        <v>0.25729999999999997</v>
      </c>
      <c r="E71" s="1526">
        <v>0.11409999999999999</v>
      </c>
      <c r="F71" s="1525">
        <v>1</v>
      </c>
      <c r="G71" s="1526">
        <v>2.24E-2</v>
      </c>
      <c r="H71" s="1525">
        <v>1.02</v>
      </c>
      <c r="I71" s="1525">
        <v>0.40279999999999999</v>
      </c>
      <c r="J71" s="1526">
        <v>0.35370000000000001</v>
      </c>
      <c r="K71" s="1526">
        <v>0.16639999999999999</v>
      </c>
    </row>
    <row r="72" spans="1:11">
      <c r="A72" s="1527" t="s">
        <v>2737</v>
      </c>
      <c r="B72" s="1528">
        <v>30</v>
      </c>
      <c r="C72" s="1528">
        <v>1.49</v>
      </c>
      <c r="D72" s="1529">
        <v>0.57509999999999994</v>
      </c>
      <c r="E72" s="1529">
        <v>0.13500000000000001</v>
      </c>
      <c r="F72" s="1528">
        <v>1.04</v>
      </c>
      <c r="G72" s="1529">
        <v>1.38E-2</v>
      </c>
      <c r="H72" s="1528">
        <v>1.06</v>
      </c>
      <c r="I72" s="1528">
        <v>0.49740000000000001</v>
      </c>
      <c r="J72" s="1529">
        <v>0.46789999999999998</v>
      </c>
      <c r="K72" s="1529">
        <v>0.32500000000000001</v>
      </c>
    </row>
    <row r="73" spans="1:11">
      <c r="A73" s="1524" t="s">
        <v>2738</v>
      </c>
      <c r="B73" s="1525">
        <v>16</v>
      </c>
      <c r="C73" s="1525">
        <v>1.94</v>
      </c>
      <c r="D73" s="1526">
        <v>0.19919999999999999</v>
      </c>
      <c r="E73" s="1526">
        <v>0.12590000000000001</v>
      </c>
      <c r="F73" s="1525">
        <v>1.69</v>
      </c>
      <c r="G73" s="1526">
        <v>1.0500000000000001E-2</v>
      </c>
      <c r="H73" s="1525">
        <v>1.7</v>
      </c>
      <c r="I73" s="1525">
        <v>0.40870000000000001</v>
      </c>
      <c r="J73" s="1526">
        <v>0.4521</v>
      </c>
      <c r="K73" s="1526">
        <v>0.35749999999999998</v>
      </c>
    </row>
    <row r="74" spans="1:11">
      <c r="A74" s="1527" t="s">
        <v>2739</v>
      </c>
      <c r="B74" s="1528">
        <v>62</v>
      </c>
      <c r="C74" s="1528">
        <v>1.1100000000000001</v>
      </c>
      <c r="D74" s="1529">
        <v>0.32290000000000002</v>
      </c>
      <c r="E74" s="1529">
        <v>0.15759999999999999</v>
      </c>
      <c r="F74" s="1528">
        <v>0.89</v>
      </c>
      <c r="G74" s="1529">
        <v>2.0799999999999999E-2</v>
      </c>
      <c r="H74" s="1528">
        <v>0.91</v>
      </c>
      <c r="I74" s="1528">
        <v>0.43780000000000002</v>
      </c>
      <c r="J74" s="1529">
        <v>0.37740000000000001</v>
      </c>
      <c r="K74" s="1529">
        <v>0.36359999999999998</v>
      </c>
    </row>
    <row r="75" spans="1:11">
      <c r="A75" s="1524" t="s">
        <v>2740</v>
      </c>
      <c r="B75" s="1525">
        <v>26</v>
      </c>
      <c r="C75" s="1525">
        <v>1.25</v>
      </c>
      <c r="D75" s="1526">
        <v>0.13420000000000001</v>
      </c>
      <c r="E75" s="1526">
        <v>0.14580000000000001</v>
      </c>
      <c r="F75" s="1525">
        <v>1.1299999999999999</v>
      </c>
      <c r="G75" s="1526">
        <v>3.2800000000000003E-2</v>
      </c>
      <c r="H75" s="1525">
        <v>1.17</v>
      </c>
      <c r="I75" s="1525">
        <v>0.41849999999999998</v>
      </c>
      <c r="J75" s="1526">
        <v>0.38279999999999997</v>
      </c>
      <c r="K75" s="1526">
        <v>0.21759999999999999</v>
      </c>
    </row>
    <row r="76" spans="1:11">
      <c r="A76" s="1527" t="s">
        <v>2741</v>
      </c>
      <c r="B76" s="1528">
        <v>14</v>
      </c>
      <c r="C76" s="1528">
        <v>0.49</v>
      </c>
      <c r="D76" s="1529">
        <v>0.55840000000000001</v>
      </c>
      <c r="E76" s="1529">
        <v>0.16880000000000001</v>
      </c>
      <c r="F76" s="1528">
        <v>0.35</v>
      </c>
      <c r="G76" s="1529">
        <v>4.6199999999999998E-2</v>
      </c>
      <c r="H76" s="1528">
        <v>0.36</v>
      </c>
      <c r="I76" s="1528">
        <v>0.37859999999999999</v>
      </c>
      <c r="J76" s="1529">
        <v>0.25650000000000001</v>
      </c>
      <c r="K76" s="1529">
        <v>0.3508</v>
      </c>
    </row>
    <row r="77" spans="1:11">
      <c r="A77" s="1524" t="s">
        <v>2742</v>
      </c>
      <c r="B77" s="1525">
        <v>28</v>
      </c>
      <c r="C77" s="1525">
        <v>1.1200000000000001</v>
      </c>
      <c r="D77" s="1526">
        <v>0.58840000000000003</v>
      </c>
      <c r="E77" s="1526">
        <v>2.53E-2</v>
      </c>
      <c r="F77" s="1525">
        <v>0.78</v>
      </c>
      <c r="G77" s="1526">
        <v>1.14E-2</v>
      </c>
      <c r="H77" s="1525">
        <v>0.79</v>
      </c>
      <c r="I77" s="1525">
        <v>0.23400000000000001</v>
      </c>
      <c r="J77" s="1526">
        <v>0.2072</v>
      </c>
      <c r="K77" s="1526">
        <v>0.1163</v>
      </c>
    </row>
    <row r="78" spans="1:11">
      <c r="A78" s="1527" t="s">
        <v>2743</v>
      </c>
      <c r="B78" s="1528">
        <v>105</v>
      </c>
      <c r="C78" s="1528">
        <v>1.18</v>
      </c>
      <c r="D78" s="1529">
        <v>0.36149999999999999</v>
      </c>
      <c r="E78" s="1529">
        <v>9.5299999999999996E-2</v>
      </c>
      <c r="F78" s="1528">
        <v>0.93</v>
      </c>
      <c r="G78" s="1529">
        <v>4.4900000000000002E-2</v>
      </c>
      <c r="H78" s="1528">
        <v>0.97</v>
      </c>
      <c r="I78" s="1528">
        <v>0.50980000000000003</v>
      </c>
      <c r="J78" s="1529">
        <v>0.44009999999999999</v>
      </c>
      <c r="K78" s="1529">
        <v>0.21609999999999999</v>
      </c>
    </row>
    <row r="79" spans="1:11">
      <c r="A79" s="1524" t="s">
        <v>2744</v>
      </c>
      <c r="B79" s="1525">
        <v>3</v>
      </c>
      <c r="C79" s="1525">
        <v>0.67</v>
      </c>
      <c r="D79" s="1526">
        <v>2.3527999999999998</v>
      </c>
      <c r="E79" s="1526">
        <v>0</v>
      </c>
      <c r="F79" s="1525">
        <v>0.24</v>
      </c>
      <c r="G79" s="1526">
        <v>7.2900000000000006E-2</v>
      </c>
      <c r="H79" s="1525">
        <v>0.26</v>
      </c>
      <c r="I79" s="1525">
        <v>0.34489999999999998</v>
      </c>
      <c r="J79" s="1526">
        <v>0.40770000000000001</v>
      </c>
      <c r="K79" s="1526">
        <v>0.5282</v>
      </c>
    </row>
    <row r="80" spans="1:11">
      <c r="A80" s="1527" t="s">
        <v>2745</v>
      </c>
      <c r="B80" s="1528">
        <v>63</v>
      </c>
      <c r="C80" s="1528">
        <v>1.5</v>
      </c>
      <c r="D80" s="1529">
        <v>6.0499999999999998E-2</v>
      </c>
      <c r="E80" s="1529">
        <v>4.8899999999999999E-2</v>
      </c>
      <c r="F80" s="1528">
        <v>1.43</v>
      </c>
      <c r="G80" s="1529">
        <v>2.0400000000000001E-2</v>
      </c>
      <c r="H80" s="1528">
        <v>1.46</v>
      </c>
      <c r="I80" s="1528">
        <v>0.45350000000000001</v>
      </c>
      <c r="J80" s="1529">
        <v>0.41470000000000001</v>
      </c>
      <c r="K80" s="1529">
        <v>0.3493</v>
      </c>
    </row>
    <row r="81" spans="1:11">
      <c r="A81" s="1524" t="s">
        <v>2746</v>
      </c>
      <c r="B81" s="1525">
        <v>30</v>
      </c>
      <c r="C81" s="1525">
        <v>1.53</v>
      </c>
      <c r="D81" s="1526">
        <v>7.7799999999999994E-2</v>
      </c>
      <c r="E81" s="1526">
        <v>0.12139999999999999</v>
      </c>
      <c r="F81" s="1525">
        <v>1.44</v>
      </c>
      <c r="G81" s="1526">
        <v>4.24E-2</v>
      </c>
      <c r="H81" s="1525">
        <v>1.51</v>
      </c>
      <c r="I81" s="1525">
        <v>0.37659999999999999</v>
      </c>
      <c r="J81" s="1526">
        <v>0.37040000000000001</v>
      </c>
      <c r="K81" s="1526">
        <v>0.67069999999999996</v>
      </c>
    </row>
    <row r="82" spans="1:11">
      <c r="A82" s="1527" t="s">
        <v>2747</v>
      </c>
      <c r="B82" s="1528">
        <v>8</v>
      </c>
      <c r="C82" s="1528">
        <v>0.81</v>
      </c>
      <c r="D82" s="1529">
        <v>0.29770000000000002</v>
      </c>
      <c r="E82" s="1529">
        <v>6.7400000000000002E-2</v>
      </c>
      <c r="F82" s="1528">
        <v>0.66</v>
      </c>
      <c r="G82" s="1529">
        <v>3.4599999999999999E-2</v>
      </c>
      <c r="H82" s="1528">
        <v>0.69</v>
      </c>
      <c r="I82" s="1528">
        <v>0.3448</v>
      </c>
      <c r="J82" s="1529">
        <v>0.45069999999999999</v>
      </c>
      <c r="K82" s="1529">
        <v>0.91439999999999999</v>
      </c>
    </row>
    <row r="83" spans="1:11">
      <c r="A83" s="1524" t="s">
        <v>2748</v>
      </c>
      <c r="B83" s="1525">
        <v>13</v>
      </c>
      <c r="C83" s="1525">
        <v>1.29</v>
      </c>
      <c r="D83" s="1526">
        <v>8.7099999999999997E-2</v>
      </c>
      <c r="E83" s="1526">
        <v>0.11310000000000001</v>
      </c>
      <c r="F83" s="1525">
        <v>1.21</v>
      </c>
      <c r="G83" s="1526">
        <v>4.7699999999999999E-2</v>
      </c>
      <c r="H83" s="1525">
        <v>1.27</v>
      </c>
      <c r="I83" s="1525">
        <v>0.46729999999999999</v>
      </c>
      <c r="J83" s="1526">
        <v>0.36280000000000001</v>
      </c>
      <c r="K83" s="1526">
        <v>0.28179999999999999</v>
      </c>
    </row>
    <row r="84" spans="1:11">
      <c r="A84" s="1527" t="s">
        <v>2749</v>
      </c>
      <c r="B84" s="1528">
        <v>84</v>
      </c>
      <c r="C84" s="1528">
        <v>1.1100000000000001</v>
      </c>
      <c r="D84" s="1529">
        <v>3.15E-2</v>
      </c>
      <c r="E84" s="1529">
        <v>5.11E-2</v>
      </c>
      <c r="F84" s="1528">
        <v>1.08</v>
      </c>
      <c r="G84" s="1529">
        <v>2.7799999999999998E-2</v>
      </c>
      <c r="H84" s="1528">
        <v>1.1100000000000001</v>
      </c>
      <c r="I84" s="1528">
        <v>0.61019999999999996</v>
      </c>
      <c r="J84" s="1529">
        <v>0.52790000000000004</v>
      </c>
      <c r="K84" s="1529">
        <v>0.62139999999999995</v>
      </c>
    </row>
    <row r="85" spans="1:11">
      <c r="A85" s="1524" t="s">
        <v>2750</v>
      </c>
      <c r="B85" s="1525">
        <v>35</v>
      </c>
      <c r="C85" s="1525">
        <v>1.62</v>
      </c>
      <c r="D85" s="1526">
        <v>0.1198</v>
      </c>
      <c r="E85" s="1526">
        <v>2.6100000000000002E-2</v>
      </c>
      <c r="F85" s="1525">
        <v>1.48</v>
      </c>
      <c r="G85" s="1526">
        <v>1.9099999999999999E-2</v>
      </c>
      <c r="H85" s="1525">
        <v>1.51</v>
      </c>
      <c r="I85" s="1525">
        <v>0.53939999999999999</v>
      </c>
      <c r="J85" s="1526">
        <v>0.6522</v>
      </c>
      <c r="K85" s="1526">
        <v>3.7408999999999999</v>
      </c>
    </row>
    <row r="86" spans="1:11">
      <c r="A86" s="1527" t="s">
        <v>2751</v>
      </c>
      <c r="B86" s="1528">
        <v>351</v>
      </c>
      <c r="C86" s="1528">
        <v>1.29</v>
      </c>
      <c r="D86" s="1529">
        <v>6.2E-2</v>
      </c>
      <c r="E86" s="1529">
        <v>4.19E-2</v>
      </c>
      <c r="F86" s="1528">
        <v>1.24</v>
      </c>
      <c r="G86" s="1529">
        <v>2.8299999999999999E-2</v>
      </c>
      <c r="H86" s="1528">
        <v>1.27</v>
      </c>
      <c r="I86" s="1528">
        <v>0.58479999999999999</v>
      </c>
      <c r="J86" s="1529">
        <v>0.52090000000000003</v>
      </c>
      <c r="K86" s="1529">
        <v>0.35930000000000001</v>
      </c>
    </row>
    <row r="87" spans="1:11">
      <c r="A87" s="1524" t="s">
        <v>2752</v>
      </c>
      <c r="B87" s="1525">
        <v>29</v>
      </c>
      <c r="C87" s="1525">
        <v>1.1299999999999999</v>
      </c>
      <c r="D87" s="1526">
        <v>0.20180000000000001</v>
      </c>
      <c r="E87" s="1526">
        <v>0.15720000000000001</v>
      </c>
      <c r="F87" s="1525">
        <v>0.98</v>
      </c>
      <c r="G87" s="1526">
        <v>9.2100000000000001E-2</v>
      </c>
      <c r="H87" s="1525">
        <v>1.08</v>
      </c>
      <c r="I87" s="1525">
        <v>0.36199999999999999</v>
      </c>
      <c r="J87" s="1526">
        <v>0.38100000000000001</v>
      </c>
      <c r="K87" s="1526">
        <v>1.1545000000000001</v>
      </c>
    </row>
    <row r="88" spans="1:11">
      <c r="A88" s="1527" t="s">
        <v>2753</v>
      </c>
      <c r="B88" s="1528">
        <v>13</v>
      </c>
      <c r="C88" s="1528">
        <v>1.0900000000000001</v>
      </c>
      <c r="D88" s="1529">
        <v>0.64159999999999995</v>
      </c>
      <c r="E88" s="1529">
        <v>9.5600000000000004E-2</v>
      </c>
      <c r="F88" s="1528">
        <v>0.73</v>
      </c>
      <c r="G88" s="1529">
        <v>1.77E-2</v>
      </c>
      <c r="H88" s="1528">
        <v>0.75</v>
      </c>
      <c r="I88" s="1528">
        <v>0.63129999999999997</v>
      </c>
      <c r="J88" s="1529">
        <v>0.60309999999999997</v>
      </c>
      <c r="K88" s="1529">
        <v>0.70799999999999996</v>
      </c>
    </row>
    <row r="89" spans="1:11">
      <c r="A89" s="1524" t="s">
        <v>2754</v>
      </c>
      <c r="B89" s="1525">
        <v>66</v>
      </c>
      <c r="C89" s="1525">
        <v>1.08</v>
      </c>
      <c r="D89" s="1526">
        <v>0.11409999999999999</v>
      </c>
      <c r="E89" s="1526">
        <v>6.2E-2</v>
      </c>
      <c r="F89" s="1525">
        <v>1</v>
      </c>
      <c r="G89" s="1526">
        <v>4.8099999999999997E-2</v>
      </c>
      <c r="H89" s="1525">
        <v>1.05</v>
      </c>
      <c r="I89" s="1525">
        <v>0.56469999999999998</v>
      </c>
      <c r="J89" s="1526">
        <v>0.4662</v>
      </c>
      <c r="K89" s="1526">
        <v>0.11849999999999999</v>
      </c>
    </row>
    <row r="90" spans="1:11">
      <c r="A90" s="1527" t="s">
        <v>2755</v>
      </c>
      <c r="B90" s="1528">
        <v>42</v>
      </c>
      <c r="C90" s="1528">
        <v>0.78</v>
      </c>
      <c r="D90" s="1529">
        <v>1.2491000000000001</v>
      </c>
      <c r="E90" s="1529">
        <v>6.6199999999999995E-2</v>
      </c>
      <c r="F90" s="1528">
        <v>0.41</v>
      </c>
      <c r="G90" s="1529">
        <v>2.1899999999999999E-2</v>
      </c>
      <c r="H90" s="1528">
        <v>0.41</v>
      </c>
      <c r="I90" s="1528">
        <v>0.56620000000000004</v>
      </c>
      <c r="J90" s="1529">
        <v>0.50419999999999998</v>
      </c>
      <c r="K90" s="1529">
        <v>0.14960000000000001</v>
      </c>
    </row>
    <row r="91" spans="1:11">
      <c r="A91" s="1524" t="s">
        <v>2756</v>
      </c>
      <c r="B91" s="1525">
        <v>16</v>
      </c>
      <c r="C91" s="1525">
        <v>1.22</v>
      </c>
      <c r="D91" s="1526">
        <v>0.34899999999999998</v>
      </c>
      <c r="E91" s="1526">
        <v>9.9500000000000005E-2</v>
      </c>
      <c r="F91" s="1525">
        <v>0.97</v>
      </c>
      <c r="G91" s="1526">
        <v>1.78E-2</v>
      </c>
      <c r="H91" s="1525">
        <v>0.99</v>
      </c>
      <c r="I91" s="1525">
        <v>0.57920000000000005</v>
      </c>
      <c r="J91" s="1526">
        <v>0.48</v>
      </c>
      <c r="K91" s="1526">
        <v>8.7300000000000003E-2</v>
      </c>
    </row>
    <row r="92" spans="1:11">
      <c r="A92" s="1527" t="s">
        <v>2757</v>
      </c>
      <c r="B92" s="1528">
        <v>36</v>
      </c>
      <c r="C92" s="1528">
        <v>1.26</v>
      </c>
      <c r="D92" s="1529">
        <v>0.33579999999999999</v>
      </c>
      <c r="E92" s="1529">
        <v>6.5299999999999997E-2</v>
      </c>
      <c r="F92" s="1528">
        <v>1.01</v>
      </c>
      <c r="G92" s="1529">
        <v>3.9399999999999998E-2</v>
      </c>
      <c r="H92" s="1528">
        <v>1.05</v>
      </c>
      <c r="I92" s="1528">
        <v>0.62039999999999995</v>
      </c>
      <c r="J92" s="1529">
        <v>0.53120000000000001</v>
      </c>
      <c r="K92" s="1529">
        <v>0.55089999999999995</v>
      </c>
    </row>
    <row r="93" spans="1:11">
      <c r="A93" s="1524" t="s">
        <v>2758</v>
      </c>
      <c r="B93" s="1525">
        <v>4</v>
      </c>
      <c r="C93" s="1525">
        <v>1.02</v>
      </c>
      <c r="D93" s="1526">
        <v>0.2681</v>
      </c>
      <c r="E93" s="1526">
        <v>0.17280000000000001</v>
      </c>
      <c r="F93" s="1525">
        <v>0.85</v>
      </c>
      <c r="G93" s="1526">
        <v>1.06E-2</v>
      </c>
      <c r="H93" s="1525">
        <v>0.86</v>
      </c>
      <c r="I93" s="1525">
        <v>0.18679999999999999</v>
      </c>
      <c r="J93" s="1526">
        <v>0.2228</v>
      </c>
      <c r="K93" s="1526">
        <v>0.13489999999999999</v>
      </c>
    </row>
    <row r="94" spans="1:11">
      <c r="A94" s="1527" t="s">
        <v>2759</v>
      </c>
      <c r="B94" s="1528">
        <v>22</v>
      </c>
      <c r="C94" s="1528">
        <v>1.1499999999999999</v>
      </c>
      <c r="D94" s="1529">
        <v>0.19950000000000001</v>
      </c>
      <c r="E94" s="1529">
        <v>0.2021</v>
      </c>
      <c r="F94" s="1528">
        <v>1</v>
      </c>
      <c r="G94" s="1529">
        <v>2.9399999999999999E-2</v>
      </c>
      <c r="H94" s="1528">
        <v>1.03</v>
      </c>
      <c r="I94" s="1528">
        <v>0.34300000000000003</v>
      </c>
      <c r="J94" s="1529">
        <v>0.2833</v>
      </c>
      <c r="K94" s="1529">
        <v>0.42220000000000002</v>
      </c>
    </row>
    <row r="95" spans="1:11">
      <c r="A95" s="1524" t="s">
        <v>2760</v>
      </c>
      <c r="B95" s="1525">
        <v>14</v>
      </c>
      <c r="C95" s="1525">
        <v>0.57999999999999996</v>
      </c>
      <c r="D95" s="1526">
        <v>0.84840000000000004</v>
      </c>
      <c r="E95" s="1526">
        <v>0.14050000000000001</v>
      </c>
      <c r="F95" s="1525">
        <v>0.35</v>
      </c>
      <c r="G95" s="1526">
        <v>5.7999999999999996E-3</v>
      </c>
      <c r="H95" s="1525">
        <v>0.36</v>
      </c>
      <c r="I95" s="1525">
        <v>0.15049999999999999</v>
      </c>
      <c r="J95" s="1526">
        <v>0.14929999999999999</v>
      </c>
      <c r="K95" s="1526">
        <v>9.8299999999999998E-2</v>
      </c>
    </row>
    <row r="96" spans="1:11">
      <c r="A96" s="1527" t="s">
        <v>2761</v>
      </c>
      <c r="B96" s="1528">
        <v>13</v>
      </c>
      <c r="C96" s="1528">
        <v>0.71</v>
      </c>
      <c r="D96" s="1529">
        <v>0.50890000000000002</v>
      </c>
      <c r="E96" s="1529">
        <v>0.1109</v>
      </c>
      <c r="F96" s="1528">
        <v>0.52</v>
      </c>
      <c r="G96" s="1529">
        <v>1.0699999999999999E-2</v>
      </c>
      <c r="H96" s="1528">
        <v>0.52</v>
      </c>
      <c r="I96" s="1528">
        <v>0.29509999999999997</v>
      </c>
      <c r="J96" s="1529">
        <v>0.42030000000000001</v>
      </c>
      <c r="K96" s="1529">
        <v>0.15079999999999999</v>
      </c>
    </row>
    <row r="97" spans="1:11">
      <c r="A97" s="1524" t="s">
        <v>2762</v>
      </c>
      <c r="B97" s="1525">
        <v>6481</v>
      </c>
      <c r="C97" s="1525">
        <v>1</v>
      </c>
      <c r="D97" s="1526">
        <v>0.4642</v>
      </c>
      <c r="E97" s="1526">
        <v>8.3500000000000005E-2</v>
      </c>
      <c r="F97" s="1525">
        <v>0.74</v>
      </c>
      <c r="G97" s="1526">
        <v>6.13E-2</v>
      </c>
      <c r="H97" s="1525">
        <v>0.79</v>
      </c>
      <c r="I97" s="1525">
        <v>0.47220000000000001</v>
      </c>
      <c r="J97" s="1526">
        <v>0.42030000000000001</v>
      </c>
      <c r="K97" s="1526">
        <v>0.23069999999999999</v>
      </c>
    </row>
    <row r="98" spans="1:11">
      <c r="A98" s="1527" t="s">
        <v>2763</v>
      </c>
      <c r="B98" s="1528">
        <v>5214</v>
      </c>
      <c r="C98" s="1528">
        <v>1.1000000000000001</v>
      </c>
      <c r="D98" s="1529">
        <v>0.22600000000000001</v>
      </c>
      <c r="E98" s="1529">
        <v>6.8000000000000005E-2</v>
      </c>
      <c r="F98" s="1528">
        <v>0.94</v>
      </c>
      <c r="G98" s="1529">
        <v>3.4799999999999998E-2</v>
      </c>
      <c r="H98" s="1528">
        <v>0.97</v>
      </c>
      <c r="I98" s="1528">
        <v>0.52110000000000001</v>
      </c>
      <c r="J98" s="1529">
        <v>0.47</v>
      </c>
      <c r="K98" s="1529">
        <v>0.2316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3">
    <tabColor theme="7"/>
    <pageSetUpPr fitToPage="1"/>
  </sheetPr>
  <dimension ref="B1:CC51"/>
  <sheetViews>
    <sheetView showGridLines="0" view="pageBreakPreview" zoomScale="79" zoomScaleNormal="100" zoomScaleSheetLayoutView="79" workbookViewId="0">
      <pane xSplit="5" ySplit="5" topLeftCell="BS6" activePane="bottomRight" state="frozen"/>
      <selection pane="topRight" activeCell="K187" sqref="K187"/>
      <selection pane="bottomLeft" activeCell="K187" sqref="K187"/>
      <selection pane="bottomRight" activeCell="E5" sqref="E5"/>
    </sheetView>
  </sheetViews>
  <sheetFormatPr defaultColWidth="8.84375" defaultRowHeight="13" outlineLevelCol="1"/>
  <cols>
    <col min="1" max="2" width="3.15234375" style="1313" customWidth="1"/>
    <col min="3" max="3" width="2.84375" style="1313" customWidth="1"/>
    <col min="4" max="4" width="31.84375" style="1313" customWidth="1"/>
    <col min="5" max="5" width="16.921875" style="1313" customWidth="1"/>
    <col min="6" max="7" width="15.84375" style="1313" hidden="1" customWidth="1" outlineLevel="1"/>
    <col min="8" max="8" width="14.84375" style="1313" hidden="1" customWidth="1" outlineLevel="1" collapsed="1"/>
    <col min="9" max="9" width="0.84375" style="1313" hidden="1" customWidth="1" outlineLevel="1"/>
    <col min="10" max="11" width="15.84375" style="1313" hidden="1" customWidth="1" outlineLevel="1"/>
    <col min="12" max="12" width="15.84375" style="1313" hidden="1" customWidth="1" outlineLevel="1" collapsed="1"/>
    <col min="13" max="13" width="0.84375" style="1313" hidden="1" customWidth="1" outlineLevel="1"/>
    <col min="14" max="15" width="15.84375" style="1313" hidden="1" customWidth="1" outlineLevel="1"/>
    <col min="16" max="16" width="15.84375" style="1313" hidden="1" customWidth="1" outlineLevel="1" collapsed="1"/>
    <col min="17" max="17" width="0.84375" style="1313" hidden="1" customWidth="1" outlineLevel="1"/>
    <col min="18" max="19" width="15.84375" style="1313" hidden="1" customWidth="1" outlineLevel="1"/>
    <col min="20" max="20" width="15.84375" style="1313" hidden="1" customWidth="1" outlineLevel="1" collapsed="1"/>
    <col min="21" max="21" width="0.84375" style="1313" hidden="1" customWidth="1" outlineLevel="1"/>
    <col min="22" max="23" width="15.84375" style="1313" hidden="1" customWidth="1" outlineLevel="1"/>
    <col min="24" max="24" width="15.84375" style="1313" hidden="1" customWidth="1" outlineLevel="1" collapsed="1"/>
    <col min="25" max="25" width="0.84375" style="1313" hidden="1" customWidth="1" outlineLevel="1"/>
    <col min="26" max="27" width="15.84375" style="1313" hidden="1" customWidth="1" outlineLevel="1"/>
    <col min="28" max="28" width="15.84375" style="1313" hidden="1" customWidth="1" outlineLevel="1" collapsed="1"/>
    <col min="29" max="29" width="0.84375" style="1313" hidden="1" customWidth="1" outlineLevel="1"/>
    <col min="30" max="31" width="15.84375" style="1313" hidden="1" customWidth="1" outlineLevel="1"/>
    <col min="32" max="32" width="15.84375" style="1313" hidden="1" customWidth="1" outlineLevel="1" collapsed="1"/>
    <col min="33" max="33" width="0.84375" style="1313" hidden="1" customWidth="1" outlineLevel="1"/>
    <col min="34" max="35" width="15.84375" style="1313" hidden="1" customWidth="1" outlineLevel="1"/>
    <col min="36" max="36" width="15.84375" style="1313" hidden="1" customWidth="1" outlineLevel="1" collapsed="1"/>
    <col min="37" max="37" width="0.84375" style="1313" hidden="1" customWidth="1" outlineLevel="1"/>
    <col min="38" max="39" width="15.84375" style="1313" hidden="1" customWidth="1" outlineLevel="1"/>
    <col min="40" max="40" width="15.84375" style="1313" hidden="1" customWidth="1" outlineLevel="1" collapsed="1"/>
    <col min="41" max="41" width="0.84375" style="1313" hidden="1" customWidth="1" outlineLevel="1"/>
    <col min="42" max="43" width="15.84375" style="1313" hidden="1" customWidth="1" outlineLevel="1"/>
    <col min="44" max="44" width="15.84375" style="1313" hidden="1" customWidth="1" outlineLevel="1" collapsed="1"/>
    <col min="45" max="45" width="0.84375" style="1313" hidden="1" customWidth="1" outlineLevel="1"/>
    <col min="46" max="47" width="15.84375" style="1313" hidden="1" customWidth="1" outlineLevel="1"/>
    <col min="48" max="48" width="15.84375" style="1313" hidden="1" customWidth="1" outlineLevel="1" collapsed="1"/>
    <col min="49" max="49" width="0.84375" style="1313" hidden="1" customWidth="1" outlineLevel="1"/>
    <col min="50" max="51" width="15.84375" style="1313" hidden="1" customWidth="1" outlineLevel="1"/>
    <col min="52" max="52" width="15.84375" style="1313" hidden="1" customWidth="1" outlineLevel="1" collapsed="1"/>
    <col min="53" max="53" width="0.84375" style="1313" hidden="1" customWidth="1" outlineLevel="1"/>
    <col min="54" max="55" width="15.84375" style="1313" hidden="1" customWidth="1" outlineLevel="1"/>
    <col min="56" max="56" width="15.84375" style="1313" hidden="1" customWidth="1" outlineLevel="1" collapsed="1"/>
    <col min="57" max="57" width="0.84375" style="1313" hidden="1" customWidth="1" outlineLevel="1"/>
    <col min="58" max="59" width="15.84375" style="1313" hidden="1" customWidth="1" outlineLevel="1"/>
    <col min="60" max="60" width="15.84375" style="1313" hidden="1" customWidth="1" outlineLevel="1" collapsed="1"/>
    <col min="61" max="61" width="3.53515625" style="1313" hidden="1" customWidth="1" outlineLevel="1"/>
    <col min="62" max="63" width="15.84375" style="1313" hidden="1" customWidth="1" outlineLevel="1"/>
    <col min="64" max="64" width="15.84375" style="1313" hidden="1" customWidth="1" outlineLevel="1" collapsed="1"/>
    <col min="65" max="65" width="3.4609375" style="1313" hidden="1" customWidth="1" outlineLevel="1"/>
    <col min="66" max="67" width="12.3828125" style="1313" hidden="1" customWidth="1" outlineLevel="1"/>
    <col min="68" max="68" width="12.921875" style="1313" hidden="1" customWidth="1" outlineLevel="1"/>
    <col min="69" max="71" width="12.4609375" style="1313" hidden="1" customWidth="1" outlineLevel="1"/>
    <col min="72" max="72" width="12.3828125" style="1313" customWidth="1" collapsed="1"/>
    <col min="73" max="73" width="12.3828125" style="1313" customWidth="1"/>
    <col min="74" max="74" width="12.921875" style="1313" customWidth="1"/>
    <col min="75" max="81" width="12.4609375" style="1313" customWidth="1"/>
    <col min="82" max="16384" width="8.84375" style="1313"/>
  </cols>
  <sheetData>
    <row r="1" spans="2:81" s="1310" customFormat="1" ht="18">
      <c r="B1" s="1306"/>
      <c r="C1" s="1306"/>
      <c r="D1" s="1306"/>
      <c r="E1" s="1307"/>
      <c r="F1" s="1308"/>
      <c r="G1" s="1308"/>
      <c r="H1" s="1308">
        <v>2004</v>
      </c>
      <c r="I1" s="1308"/>
      <c r="J1" s="1308"/>
      <c r="K1" s="1308"/>
      <c r="L1" s="1308">
        <f>H1+1</f>
        <v>2005</v>
      </c>
      <c r="M1" s="1308"/>
      <c r="N1" s="1308"/>
      <c r="O1" s="1308"/>
      <c r="P1" s="1308">
        <f>L1+1</f>
        <v>2006</v>
      </c>
      <c r="Q1" s="1308"/>
      <c r="R1" s="1308"/>
      <c r="S1" s="1308"/>
      <c r="T1" s="1308">
        <f>P1+1</f>
        <v>2007</v>
      </c>
      <c r="U1" s="1308"/>
      <c r="V1" s="1308"/>
      <c r="W1" s="1308"/>
      <c r="X1" s="1308">
        <f>T1+1</f>
        <v>2008</v>
      </c>
      <c r="Y1" s="1308"/>
      <c r="Z1" s="1308"/>
      <c r="AA1" s="1308"/>
      <c r="AB1" s="1308">
        <f>X1+1</f>
        <v>2009</v>
      </c>
      <c r="AC1" s="1308"/>
      <c r="AD1" s="1308"/>
      <c r="AE1" s="1308"/>
      <c r="AF1" s="1308">
        <f>AB1+1</f>
        <v>2010</v>
      </c>
      <c r="AG1" s="1308"/>
      <c r="AH1" s="1308"/>
      <c r="AI1" s="1308"/>
      <c r="AJ1" s="1308">
        <f>AF1+1</f>
        <v>2011</v>
      </c>
      <c r="AK1" s="1308"/>
      <c r="AL1" s="1308"/>
      <c r="AM1" s="1308"/>
      <c r="AN1" s="1308">
        <f>AJ1+1</f>
        <v>2012</v>
      </c>
      <c r="AO1" s="1308"/>
      <c r="AP1" s="1308"/>
      <c r="AQ1" s="1308"/>
      <c r="AR1" s="1308">
        <f>AN1+1</f>
        <v>2013</v>
      </c>
      <c r="AS1" s="1308"/>
      <c r="AT1" s="1308"/>
      <c r="AU1" s="1308"/>
      <c r="AV1" s="1308">
        <f>AR1+1</f>
        <v>2014</v>
      </c>
      <c r="AW1" s="1308"/>
      <c r="AX1" s="1308"/>
      <c r="AY1" s="1308"/>
      <c r="AZ1" s="1308">
        <f>AV1+1</f>
        <v>2015</v>
      </c>
      <c r="BA1" s="1308"/>
      <c r="BB1" s="1308"/>
      <c r="BC1" s="1308"/>
      <c r="BD1" s="1308">
        <f>AZ1+1</f>
        <v>2016</v>
      </c>
      <c r="BE1" s="1308"/>
      <c r="BF1" s="1308"/>
      <c r="BG1" s="1308"/>
      <c r="BH1" s="1308">
        <f>BD1+1</f>
        <v>2017</v>
      </c>
      <c r="BI1" s="1309"/>
      <c r="BJ1" s="1308"/>
      <c r="BK1" s="1308"/>
      <c r="BL1" s="1308">
        <f>BH1+1</f>
        <v>2018</v>
      </c>
      <c r="BM1" s="1309"/>
      <c r="BN1" s="1307"/>
      <c r="BO1" s="1307"/>
      <c r="BP1" s="1309">
        <v>2019</v>
      </c>
      <c r="BS1" s="1309">
        <v>2020</v>
      </c>
      <c r="BT1" s="1307"/>
      <c r="BU1" s="1307"/>
      <c r="BV1" s="1309">
        <v>2019</v>
      </c>
      <c r="BW1" s="1309"/>
      <c r="BX1" s="1309"/>
      <c r="BY1" s="1309"/>
      <c r="BZ1" s="1309"/>
      <c r="CA1" s="1309"/>
      <c r="CB1" s="1309"/>
      <c r="CC1" s="1309"/>
    </row>
    <row r="2" spans="2:81" s="1312" customFormat="1" ht="15.65" customHeight="1">
      <c r="B2" s="1311"/>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c r="AM2" s="1311"/>
      <c r="AN2" s="1311"/>
      <c r="AO2" s="1311"/>
      <c r="AP2" s="1311"/>
      <c r="AQ2" s="1311"/>
      <c r="AR2" s="1311"/>
      <c r="AS2" s="1311"/>
      <c r="AT2" s="1311"/>
      <c r="AU2" s="1311"/>
      <c r="AV2" s="1311"/>
      <c r="AW2" s="1311"/>
      <c r="AX2" s="1311"/>
      <c r="AY2" s="1311"/>
      <c r="AZ2" s="1311"/>
      <c r="BA2" s="1311"/>
      <c r="BB2" s="1311"/>
      <c r="BC2" s="1311"/>
      <c r="BD2" s="1311"/>
      <c r="BE2" s="1311"/>
      <c r="BF2" s="1311"/>
      <c r="BG2" s="1311"/>
      <c r="BH2" s="1311"/>
      <c r="BJ2" s="1311"/>
      <c r="BK2" s="1311"/>
      <c r="BL2" s="1311"/>
    </row>
    <row r="3" spans="2:81" ht="14.5">
      <c r="C3" s="1368"/>
      <c r="D3" s="1368"/>
      <c r="E3" s="1368"/>
      <c r="F3" s="1369" t="s">
        <v>1666</v>
      </c>
      <c r="G3" s="1370"/>
      <c r="H3" s="1370"/>
      <c r="I3" s="1371"/>
      <c r="J3" s="1369" t="s">
        <v>1667</v>
      </c>
      <c r="K3" s="1370"/>
      <c r="L3" s="1370"/>
      <c r="M3" s="1371"/>
      <c r="N3" s="1369" t="s">
        <v>1668</v>
      </c>
      <c r="O3" s="1370"/>
      <c r="P3" s="1370"/>
      <c r="Q3" s="1371"/>
      <c r="R3" s="1369" t="s">
        <v>1669</v>
      </c>
      <c r="S3" s="1370"/>
      <c r="T3" s="1370"/>
      <c r="U3" s="1371"/>
      <c r="V3" s="1369" t="s">
        <v>1670</v>
      </c>
      <c r="W3" s="1370"/>
      <c r="X3" s="1370"/>
      <c r="Y3" s="1371"/>
      <c r="Z3" s="1369" t="s">
        <v>1671</v>
      </c>
      <c r="AA3" s="1370"/>
      <c r="AB3" s="1370"/>
      <c r="AC3" s="1371"/>
      <c r="AD3" s="1369" t="s">
        <v>1672</v>
      </c>
      <c r="AE3" s="1370"/>
      <c r="AF3" s="1370"/>
      <c r="AG3" s="1371"/>
      <c r="AH3" s="1369" t="s">
        <v>1673</v>
      </c>
      <c r="AI3" s="1370"/>
      <c r="AJ3" s="1370"/>
      <c r="AK3" s="1370"/>
      <c r="AL3" s="1369" t="s">
        <v>1674</v>
      </c>
      <c r="AM3" s="1370"/>
      <c r="AN3" s="1370"/>
      <c r="AO3" s="1371"/>
      <c r="AP3" s="1369" t="s">
        <v>1675</v>
      </c>
      <c r="AQ3" s="1370"/>
      <c r="AR3" s="1370"/>
      <c r="AS3" s="1372"/>
      <c r="AT3" s="1369" t="s">
        <v>1676</v>
      </c>
      <c r="AU3" s="1370"/>
      <c r="AV3" s="1370"/>
      <c r="AW3" s="1372"/>
      <c r="AX3" s="1369" t="s">
        <v>1677</v>
      </c>
      <c r="AY3" s="1370"/>
      <c r="AZ3" s="1370"/>
      <c r="BA3" s="1371"/>
      <c r="BB3" s="1369" t="s">
        <v>1678</v>
      </c>
      <c r="BC3" s="1370"/>
      <c r="BD3" s="1370"/>
      <c r="BE3" s="1371"/>
      <c r="BF3" s="1369" t="s">
        <v>1679</v>
      </c>
      <c r="BG3" s="1370"/>
      <c r="BH3" s="1370"/>
      <c r="BI3" s="1371"/>
      <c r="BJ3" s="1369" t="s">
        <v>1680</v>
      </c>
      <c r="BK3" s="1370"/>
      <c r="BL3" s="1370"/>
      <c r="BM3" s="1368"/>
      <c r="BN3" s="1369" t="s">
        <v>1681</v>
      </c>
      <c r="BO3" s="1370"/>
      <c r="BP3" s="1370"/>
      <c r="BQ3" s="1809" t="s">
        <v>2088</v>
      </c>
      <c r="BR3" s="1809"/>
      <c r="BS3" s="1809"/>
      <c r="BT3" s="1809" t="s">
        <v>2300</v>
      </c>
      <c r="BU3" s="1809"/>
      <c r="BV3" s="1809"/>
      <c r="BW3" s="1370"/>
      <c r="BX3" s="1370"/>
      <c r="BY3" s="1370"/>
      <c r="BZ3" s="1370"/>
      <c r="CA3" s="1370"/>
      <c r="CB3" s="1370"/>
      <c r="CC3" s="1370"/>
    </row>
    <row r="4" spans="2:81" ht="14.5">
      <c r="C4" s="1368"/>
      <c r="D4" s="1368"/>
      <c r="E4" s="1368"/>
      <c r="F4" s="1370" t="s">
        <v>1682</v>
      </c>
      <c r="G4" s="1370"/>
      <c r="H4" s="1373" t="s">
        <v>1683</v>
      </c>
      <c r="I4" s="1371"/>
      <c r="J4" s="1370" t="s">
        <v>1682</v>
      </c>
      <c r="K4" s="1370"/>
      <c r="L4" s="1373" t="s">
        <v>1683</v>
      </c>
      <c r="M4" s="1371"/>
      <c r="N4" s="1370" t="s">
        <v>1682</v>
      </c>
      <c r="O4" s="1370"/>
      <c r="P4" s="1373" t="s">
        <v>1683</v>
      </c>
      <c r="Q4" s="1371"/>
      <c r="R4" s="1370" t="s">
        <v>1682</v>
      </c>
      <c r="S4" s="1370"/>
      <c r="T4" s="1373" t="s">
        <v>1683</v>
      </c>
      <c r="U4" s="1371"/>
      <c r="V4" s="1370" t="s">
        <v>1682</v>
      </c>
      <c r="W4" s="1370"/>
      <c r="X4" s="1373" t="s">
        <v>1683</v>
      </c>
      <c r="Y4" s="1371"/>
      <c r="Z4" s="1370" t="s">
        <v>1682</v>
      </c>
      <c r="AA4" s="1370"/>
      <c r="AB4" s="1373" t="s">
        <v>1683</v>
      </c>
      <c r="AC4" s="1371"/>
      <c r="AD4" s="1370" t="s">
        <v>1682</v>
      </c>
      <c r="AE4" s="1370"/>
      <c r="AF4" s="1373" t="s">
        <v>1683</v>
      </c>
      <c r="AG4" s="1371"/>
      <c r="AH4" s="1370" t="s">
        <v>1682</v>
      </c>
      <c r="AI4" s="1370"/>
      <c r="AJ4" s="1373" t="s">
        <v>1683</v>
      </c>
      <c r="AK4" s="1373"/>
      <c r="AL4" s="1370" t="s">
        <v>1682</v>
      </c>
      <c r="AM4" s="1370"/>
      <c r="AN4" s="1373" t="s">
        <v>1683</v>
      </c>
      <c r="AO4" s="1371"/>
      <c r="AP4" s="1370" t="s">
        <v>1682</v>
      </c>
      <c r="AQ4" s="1370"/>
      <c r="AR4" s="1373" t="s">
        <v>1683</v>
      </c>
      <c r="AS4" s="1373"/>
      <c r="AT4" s="1370" t="s">
        <v>1682</v>
      </c>
      <c r="AU4" s="1370"/>
      <c r="AV4" s="1373" t="s">
        <v>1683</v>
      </c>
      <c r="AW4" s="1373"/>
      <c r="AX4" s="1370" t="s">
        <v>1682</v>
      </c>
      <c r="AY4" s="1370"/>
      <c r="AZ4" s="1373" t="s">
        <v>1683</v>
      </c>
      <c r="BA4" s="1371"/>
      <c r="BB4" s="1370" t="s">
        <v>1682</v>
      </c>
      <c r="BC4" s="1370"/>
      <c r="BD4" s="1373" t="s">
        <v>1683</v>
      </c>
      <c r="BE4" s="1371"/>
      <c r="BF4" s="1370" t="s">
        <v>1682</v>
      </c>
      <c r="BG4" s="1370"/>
      <c r="BH4" s="1373" t="s">
        <v>1683</v>
      </c>
      <c r="BI4" s="1371"/>
      <c r="BJ4" s="1370" t="s">
        <v>1682</v>
      </c>
      <c r="BK4" s="1370"/>
      <c r="BL4" s="1373" t="s">
        <v>1683</v>
      </c>
      <c r="BM4" s="1368"/>
      <c r="BN4" s="1370" t="s">
        <v>1682</v>
      </c>
      <c r="BO4" s="1370"/>
      <c r="BP4" s="1373" t="s">
        <v>1683</v>
      </c>
      <c r="BQ4" s="1370" t="s">
        <v>1682</v>
      </c>
      <c r="BR4" s="1370"/>
      <c r="BS4" s="1374" t="s">
        <v>1683</v>
      </c>
      <c r="BT4" s="1370" t="s">
        <v>1682</v>
      </c>
      <c r="BU4" s="1370"/>
      <c r="BV4" s="1373" t="s">
        <v>1683</v>
      </c>
      <c r="BW4" s="1374"/>
      <c r="BX4" s="1374"/>
      <c r="BY4" s="1374"/>
      <c r="BZ4" s="1374"/>
      <c r="CA4" s="1374"/>
      <c r="CB4" s="1374"/>
      <c r="CC4" s="1374"/>
    </row>
    <row r="5" spans="2:81" ht="14.5">
      <c r="C5" s="1368" t="s">
        <v>2087</v>
      </c>
      <c r="D5" s="1368"/>
      <c r="E5" s="1368"/>
      <c r="F5" s="1370" t="s">
        <v>1684</v>
      </c>
      <c r="G5" s="1370" t="s">
        <v>1685</v>
      </c>
      <c r="H5" s="1370" t="s">
        <v>1686</v>
      </c>
      <c r="I5" s="1371"/>
      <c r="J5" s="1370" t="s">
        <v>1684</v>
      </c>
      <c r="K5" s="1370" t="s">
        <v>1685</v>
      </c>
      <c r="L5" s="1370" t="s">
        <v>1686</v>
      </c>
      <c r="M5" s="1371"/>
      <c r="N5" s="1370" t="s">
        <v>1684</v>
      </c>
      <c r="O5" s="1370" t="s">
        <v>1685</v>
      </c>
      <c r="P5" s="1370" t="s">
        <v>1686</v>
      </c>
      <c r="Q5" s="1371"/>
      <c r="R5" s="1370" t="s">
        <v>1684</v>
      </c>
      <c r="S5" s="1370" t="s">
        <v>1685</v>
      </c>
      <c r="T5" s="1370" t="s">
        <v>1686</v>
      </c>
      <c r="U5" s="1371"/>
      <c r="V5" s="1370" t="s">
        <v>1684</v>
      </c>
      <c r="W5" s="1370" t="s">
        <v>1685</v>
      </c>
      <c r="X5" s="1370" t="s">
        <v>1686</v>
      </c>
      <c r="Y5" s="1371"/>
      <c r="Z5" s="1370" t="s">
        <v>1684</v>
      </c>
      <c r="AA5" s="1370" t="s">
        <v>1685</v>
      </c>
      <c r="AB5" s="1370" t="s">
        <v>1686</v>
      </c>
      <c r="AC5" s="1371"/>
      <c r="AD5" s="1370" t="s">
        <v>1684</v>
      </c>
      <c r="AE5" s="1370" t="s">
        <v>1685</v>
      </c>
      <c r="AF5" s="1370" t="s">
        <v>1686</v>
      </c>
      <c r="AG5" s="1371"/>
      <c r="AH5" s="1370" t="s">
        <v>1684</v>
      </c>
      <c r="AI5" s="1370" t="s">
        <v>1685</v>
      </c>
      <c r="AJ5" s="1370" t="s">
        <v>1686</v>
      </c>
      <c r="AK5" s="1370"/>
      <c r="AL5" s="1370" t="s">
        <v>1684</v>
      </c>
      <c r="AM5" s="1370" t="s">
        <v>1685</v>
      </c>
      <c r="AN5" s="1370" t="s">
        <v>1686</v>
      </c>
      <c r="AO5" s="1371"/>
      <c r="AP5" s="1370" t="s">
        <v>1684</v>
      </c>
      <c r="AQ5" s="1370" t="s">
        <v>1685</v>
      </c>
      <c r="AR5" s="1375" t="s">
        <v>1686</v>
      </c>
      <c r="AS5" s="1372"/>
      <c r="AT5" s="1370" t="s">
        <v>1684</v>
      </c>
      <c r="AU5" s="1370" t="s">
        <v>1685</v>
      </c>
      <c r="AV5" s="1375" t="s">
        <v>1686</v>
      </c>
      <c r="AW5" s="1372"/>
      <c r="AX5" s="1370" t="s">
        <v>1684</v>
      </c>
      <c r="AY5" s="1370" t="s">
        <v>1685</v>
      </c>
      <c r="AZ5" s="1375" t="s">
        <v>1686</v>
      </c>
      <c r="BA5" s="1371"/>
      <c r="BB5" s="1370" t="s">
        <v>1684</v>
      </c>
      <c r="BC5" s="1370" t="s">
        <v>1685</v>
      </c>
      <c r="BD5" s="1375" t="s">
        <v>1686</v>
      </c>
      <c r="BE5" s="1371"/>
      <c r="BF5" s="1370" t="s">
        <v>1684</v>
      </c>
      <c r="BG5" s="1370" t="s">
        <v>1685</v>
      </c>
      <c r="BH5" s="1375" t="s">
        <v>1686</v>
      </c>
      <c r="BI5" s="1371"/>
      <c r="BJ5" s="1370" t="s">
        <v>1684</v>
      </c>
      <c r="BK5" s="1370" t="s">
        <v>1685</v>
      </c>
      <c r="BL5" s="1375" t="s">
        <v>1686</v>
      </c>
      <c r="BM5" s="1368"/>
      <c r="BN5" s="1370" t="s">
        <v>1684</v>
      </c>
      <c r="BO5" s="1370" t="s">
        <v>1685</v>
      </c>
      <c r="BP5" s="1375" t="s">
        <v>1686</v>
      </c>
      <c r="BQ5" s="1370" t="s">
        <v>1684</v>
      </c>
      <c r="BR5" s="1370" t="s">
        <v>1685</v>
      </c>
      <c r="BS5" s="1375" t="s">
        <v>1686</v>
      </c>
      <c r="BT5" s="1370" t="s">
        <v>1684</v>
      </c>
      <c r="BU5" s="1370" t="s">
        <v>1685</v>
      </c>
      <c r="BV5" s="1375" t="s">
        <v>1686</v>
      </c>
      <c r="BW5" s="1375"/>
      <c r="BX5" s="1375"/>
      <c r="BY5" s="1375"/>
      <c r="BZ5" s="1375"/>
      <c r="CA5" s="1375"/>
      <c r="CB5" s="1375"/>
      <c r="CC5" s="1375"/>
    </row>
    <row r="6" spans="2:81">
      <c r="C6" s="1315" t="s">
        <v>1687</v>
      </c>
      <c r="D6" s="1316"/>
      <c r="E6" s="1316"/>
      <c r="F6" s="1314"/>
      <c r="G6" s="1314"/>
      <c r="H6" s="1314"/>
      <c r="I6" s="1314"/>
      <c r="J6" s="1314"/>
      <c r="K6" s="1314"/>
      <c r="L6" s="1314"/>
      <c r="M6" s="1314"/>
      <c r="N6" s="1314"/>
      <c r="O6" s="1314"/>
      <c r="P6" s="1314"/>
      <c r="Q6" s="1314"/>
      <c r="R6" s="1314"/>
      <c r="S6" s="1314"/>
      <c r="T6" s="1314"/>
      <c r="U6" s="1314"/>
      <c r="V6" s="1314"/>
      <c r="W6" s="1314"/>
      <c r="X6" s="1314"/>
      <c r="Y6" s="1314"/>
      <c r="Z6" s="1314"/>
      <c r="AA6" s="1314"/>
      <c r="AB6" s="1314"/>
      <c r="AC6" s="1314"/>
      <c r="AD6" s="1314"/>
      <c r="AE6" s="1314"/>
      <c r="AF6" s="1314"/>
      <c r="AG6" s="1314"/>
      <c r="AH6" s="1314"/>
      <c r="AI6" s="1314"/>
      <c r="AJ6" s="1314"/>
      <c r="AK6" s="1314"/>
      <c r="AL6" s="1314"/>
      <c r="AM6" s="1314"/>
      <c r="AN6" s="1314"/>
      <c r="AO6" s="1314"/>
      <c r="AP6" s="1314"/>
      <c r="AQ6" s="1314"/>
      <c r="AR6" s="1314"/>
      <c r="AS6" s="1314"/>
      <c r="AT6" s="1314"/>
      <c r="AU6" s="1314"/>
      <c r="AV6" s="1314"/>
      <c r="AW6" s="1314"/>
      <c r="AX6" s="1314"/>
      <c r="AY6" s="1314"/>
      <c r="AZ6" s="1314"/>
      <c r="BA6" s="1314"/>
      <c r="BB6" s="1314"/>
      <c r="BC6" s="1314"/>
      <c r="BD6" s="1314"/>
      <c r="BE6" s="1314"/>
      <c r="BF6" s="1314"/>
      <c r="BG6" s="1314"/>
      <c r="BH6" s="1314"/>
      <c r="BI6" s="1314"/>
      <c r="BJ6" s="1314"/>
      <c r="BK6" s="1314"/>
      <c r="BL6" s="1314"/>
      <c r="BM6" s="1316"/>
      <c r="BN6" s="1316"/>
      <c r="BO6" s="1316"/>
      <c r="BP6" s="1316"/>
      <c r="BQ6" s="1316"/>
      <c r="BR6" s="1316"/>
      <c r="BS6" s="1316"/>
      <c r="BT6" s="1316"/>
      <c r="BU6" s="1316"/>
      <c r="BV6" s="1316"/>
      <c r="BW6" s="1314"/>
      <c r="BX6" s="1314"/>
      <c r="BY6" s="1314"/>
      <c r="BZ6" s="1314"/>
      <c r="CA6" s="1314"/>
      <c r="CB6" s="1314"/>
      <c r="CC6" s="1314"/>
    </row>
    <row r="7" spans="2:81">
      <c r="C7" s="1314"/>
      <c r="D7" s="1317" t="s">
        <v>1688</v>
      </c>
      <c r="E7" s="1317"/>
      <c r="F7" s="1318">
        <v>1167.04</v>
      </c>
      <c r="G7" s="1318">
        <v>4794.027</v>
      </c>
      <c r="H7" s="1319">
        <v>9.1000000000000004E-3</v>
      </c>
      <c r="I7" s="1314"/>
      <c r="J7" s="1318">
        <v>1607.931</v>
      </c>
      <c r="K7" s="1318">
        <v>6241.9530000000004</v>
      </c>
      <c r="L7" s="1319">
        <v>9.4999999999999998E-3</v>
      </c>
      <c r="M7" s="1314"/>
      <c r="N7" s="1318">
        <v>1729.364</v>
      </c>
      <c r="O7" s="1318">
        <v>7187.2439999999997</v>
      </c>
      <c r="P7" s="1319">
        <v>1.0200000000000001E-2</v>
      </c>
      <c r="Q7" s="1314"/>
      <c r="R7" s="1318">
        <v>1947.24</v>
      </c>
      <c r="S7" s="1318">
        <v>7777.183</v>
      </c>
      <c r="T7" s="1319">
        <v>9.7000000000000003E-3</v>
      </c>
      <c r="U7" s="1314"/>
      <c r="V7" s="1318">
        <v>2413.5830000000001</v>
      </c>
      <c r="W7" s="1318">
        <v>9206.7129999999997</v>
      </c>
      <c r="X7" s="1319">
        <v>9.1999999999999998E-3</v>
      </c>
      <c r="Y7" s="1314"/>
      <c r="Z7" s="1318">
        <v>1849.95</v>
      </c>
      <c r="AA7" s="1318">
        <v>7360.2709999999997</v>
      </c>
      <c r="AB7" s="1319">
        <v>9.4000000000000004E-3</v>
      </c>
      <c r="AC7" s="1314"/>
      <c r="AD7" s="1318">
        <v>1602.4290000000001</v>
      </c>
      <c r="AE7" s="1318">
        <v>5936.1469999999999</v>
      </c>
      <c r="AF7" s="1319">
        <v>1.0800000000000001E-2</v>
      </c>
      <c r="AG7" s="1314"/>
      <c r="AH7" s="1318">
        <v>1778.7560000000001</v>
      </c>
      <c r="AI7" s="1318">
        <v>6793.8760000000002</v>
      </c>
      <c r="AJ7" s="1319">
        <v>1.2E-2</v>
      </c>
      <c r="AK7" s="1320"/>
      <c r="AL7" s="1318">
        <v>1621.096</v>
      </c>
      <c r="AM7" s="1318">
        <v>6896.3890000000001</v>
      </c>
      <c r="AN7" s="1319">
        <v>1.14E-2</v>
      </c>
      <c r="AO7" s="1314"/>
      <c r="AP7" s="1318">
        <v>1912.24</v>
      </c>
      <c r="AQ7" s="1318">
        <v>7686.6109999999999</v>
      </c>
      <c r="AR7" s="1319">
        <v>1.12E-2</v>
      </c>
      <c r="AS7" s="1320"/>
      <c r="AT7" s="1321">
        <v>2432888</v>
      </c>
      <c r="AU7" s="1321">
        <v>9196480</v>
      </c>
      <c r="AV7" s="1320">
        <v>1.14E-2</v>
      </c>
      <c r="AW7" s="1320"/>
      <c r="AX7" s="1321">
        <f>AX16</f>
        <v>2552441</v>
      </c>
      <c r="AY7" s="1321">
        <f>AY14</f>
        <v>10105622</v>
      </c>
      <c r="AZ7" s="1320">
        <v>1.0999999999999999E-2</v>
      </c>
      <c r="BA7" s="1314"/>
      <c r="BB7" s="1321">
        <v>2090.5659999999998</v>
      </c>
      <c r="BC7" s="1321">
        <v>9611.1869999999999</v>
      </c>
      <c r="BD7" s="1320">
        <v>0.01</v>
      </c>
      <c r="BE7" s="1314"/>
      <c r="BF7" s="1321">
        <v>2392.6889999999999</v>
      </c>
      <c r="BG7" s="1321">
        <v>10711.194</v>
      </c>
      <c r="BH7" s="1320">
        <v>1.0200000000000001E-2</v>
      </c>
      <c r="BI7" s="1314"/>
      <c r="BJ7" s="1321">
        <v>2763.7190000000001</v>
      </c>
      <c r="BK7" s="1321">
        <v>11978.971</v>
      </c>
      <c r="BL7" s="1320">
        <v>9.5999999999999992E-3</v>
      </c>
      <c r="BM7" s="1314"/>
      <c r="BN7" s="1318">
        <v>2996.0030000000002</v>
      </c>
      <c r="BO7" s="1318">
        <v>13455.805</v>
      </c>
      <c r="BP7" s="1319">
        <v>8.8999999999999999E-3</v>
      </c>
      <c r="BQ7" s="1318">
        <v>2365.4250000000002</v>
      </c>
      <c r="BR7" s="1318">
        <v>12323.853999999999</v>
      </c>
      <c r="BS7" s="1319">
        <v>6.1999999999999998E-3</v>
      </c>
      <c r="BT7" s="1318">
        <v>3011.2240000000002</v>
      </c>
      <c r="BU7" s="1318">
        <v>14820.048000000001</v>
      </c>
      <c r="BV7" s="1319">
        <v>6.6E-3</v>
      </c>
      <c r="BW7" s="1319"/>
      <c r="BX7" s="1319"/>
      <c r="BY7" s="1319"/>
      <c r="BZ7" s="1319"/>
      <c r="CA7" s="1319"/>
      <c r="CB7" s="1319"/>
      <c r="CC7" s="1319"/>
    </row>
    <row r="8" spans="2:81">
      <c r="C8" s="1314"/>
      <c r="D8" s="1317" t="s">
        <v>1689</v>
      </c>
      <c r="E8" s="1317"/>
      <c r="F8" s="1322">
        <v>330.79700000000003</v>
      </c>
      <c r="G8" s="1322">
        <v>1166.799</v>
      </c>
      <c r="H8" s="1319">
        <v>1.7000000000000001E-2</v>
      </c>
      <c r="I8" s="1314"/>
      <c r="J8" s="1322">
        <v>506.41</v>
      </c>
      <c r="K8" s="1322">
        <v>1607.854</v>
      </c>
      <c r="L8" s="1319">
        <v>1.8100000000000002E-2</v>
      </c>
      <c r="M8" s="1314"/>
      <c r="N8" s="1322">
        <v>587.24300000000005</v>
      </c>
      <c r="O8" s="1322">
        <v>1728.8879999999999</v>
      </c>
      <c r="P8" s="1319">
        <v>1.8100000000000002E-2</v>
      </c>
      <c r="Q8" s="1314"/>
      <c r="R8" s="1322">
        <v>627.01700000000005</v>
      </c>
      <c r="S8" s="1322">
        <v>1946.588</v>
      </c>
      <c r="T8" s="1319">
        <v>1.7600000000000001E-2</v>
      </c>
      <c r="U8" s="1314"/>
      <c r="V8" s="1322">
        <v>725.26700000000005</v>
      </c>
      <c r="W8" s="1322">
        <v>2411.7939999999999</v>
      </c>
      <c r="X8" s="1319">
        <v>1.6500000000000001E-2</v>
      </c>
      <c r="Y8" s="1314"/>
      <c r="Z8" s="1322">
        <v>453.39800000000002</v>
      </c>
      <c r="AA8" s="1322">
        <v>1848.961</v>
      </c>
      <c r="AB8" s="1319">
        <v>1.7399999999999999E-2</v>
      </c>
      <c r="AC8" s="1314"/>
      <c r="AD8" s="1322">
        <v>432.17500000000001</v>
      </c>
      <c r="AE8" s="1322">
        <v>1600.1690000000001</v>
      </c>
      <c r="AF8" s="1319">
        <v>1.8499999999999999E-2</v>
      </c>
      <c r="AG8" s="1314"/>
      <c r="AH8" s="1322">
        <v>478.10199999999998</v>
      </c>
      <c r="AI8" s="1322">
        <v>1775.9659999999999</v>
      </c>
      <c r="AJ8" s="1319">
        <v>1.9800000000000002E-2</v>
      </c>
      <c r="AK8" s="1320"/>
      <c r="AL8" s="1322">
        <v>422.99900000000002</v>
      </c>
      <c r="AM8" s="1322">
        <v>1620.86</v>
      </c>
      <c r="AN8" s="1319">
        <v>1.8800000000000001E-2</v>
      </c>
      <c r="AO8" s="1314"/>
      <c r="AP8" s="1322">
        <v>514.45899999999995</v>
      </c>
      <c r="AQ8" s="1322">
        <v>1909.0509999999999</v>
      </c>
      <c r="AR8" s="1319">
        <v>1.8499999999999999E-2</v>
      </c>
      <c r="AS8" s="1320"/>
      <c r="AT8" s="1323">
        <v>636747</v>
      </c>
      <c r="AU8" s="1323">
        <v>2431229</v>
      </c>
      <c r="AV8" s="1320">
        <v>1.8700000000000001E-2</v>
      </c>
      <c r="AW8" s="1320"/>
      <c r="AX8" s="1323">
        <f>AX19</f>
        <v>549056</v>
      </c>
      <c r="AY8" s="1323">
        <f>AY17</f>
        <v>2542913</v>
      </c>
      <c r="AZ8" s="1320">
        <v>1.77E-2</v>
      </c>
      <c r="BA8" s="1314"/>
      <c r="BB8" s="1323">
        <v>448.50200000000001</v>
      </c>
      <c r="BC8" s="1323">
        <v>2083.6419999999998</v>
      </c>
      <c r="BD8" s="1320">
        <v>1.7000000000000001E-2</v>
      </c>
      <c r="BE8" s="1314"/>
      <c r="BF8" s="1323">
        <v>569.279</v>
      </c>
      <c r="BG8" s="1323">
        <v>2390.8989999999999</v>
      </c>
      <c r="BH8" s="1320">
        <v>1.7500000000000002E-2</v>
      </c>
      <c r="BI8" s="1314"/>
      <c r="BJ8" s="1323">
        <v>657.70500000000004</v>
      </c>
      <c r="BK8" s="1323">
        <v>2759.9389999999999</v>
      </c>
      <c r="BL8" s="1320">
        <v>1.6399999999999998E-2</v>
      </c>
      <c r="BM8" s="1314"/>
      <c r="BN8" s="1322">
        <v>730.04700000000003</v>
      </c>
      <c r="BO8" s="1322">
        <v>2992.2510000000002</v>
      </c>
      <c r="BP8" s="1319">
        <v>1.5800000000000002E-2</v>
      </c>
      <c r="BQ8" s="1322">
        <v>377.07600000000002</v>
      </c>
      <c r="BR8" s="1322">
        <v>2365.076</v>
      </c>
      <c r="BS8" s="1319">
        <v>1.21E-2</v>
      </c>
      <c r="BT8" s="1322">
        <v>555.88</v>
      </c>
      <c r="BU8" s="1322">
        <v>3010.806</v>
      </c>
      <c r="BV8" s="1319">
        <v>1.24E-2</v>
      </c>
      <c r="BW8" s="1319"/>
      <c r="BX8" s="1319"/>
      <c r="BY8" s="1319"/>
      <c r="BZ8" s="1319"/>
      <c r="CA8" s="1319"/>
      <c r="CB8" s="1319"/>
      <c r="CC8" s="1319"/>
    </row>
    <row r="9" spans="2:81">
      <c r="C9" s="1314"/>
      <c r="D9" s="1317" t="s">
        <v>1690</v>
      </c>
      <c r="E9" s="1317"/>
      <c r="F9" s="1322">
        <v>0.33200000000000002</v>
      </c>
      <c r="G9" s="1322">
        <v>330.608</v>
      </c>
      <c r="H9" s="1319">
        <v>4.0099999999999997E-2</v>
      </c>
      <c r="I9" s="1314"/>
      <c r="J9" s="1322">
        <v>1.393</v>
      </c>
      <c r="K9" s="1322">
        <v>505.43700000000001</v>
      </c>
      <c r="L9" s="1319">
        <v>4.02E-2</v>
      </c>
      <c r="M9" s="1314"/>
      <c r="N9" s="1322">
        <v>1.079</v>
      </c>
      <c r="O9" s="1322">
        <v>586.39300000000003</v>
      </c>
      <c r="P9" s="1319">
        <v>3.95E-2</v>
      </c>
      <c r="Q9" s="1314"/>
      <c r="R9" s="1322">
        <v>2.2469999999999999</v>
      </c>
      <c r="S9" s="1322">
        <v>626.95500000000004</v>
      </c>
      <c r="T9" s="1319">
        <v>3.8800000000000001E-2</v>
      </c>
      <c r="U9" s="1314"/>
      <c r="V9" s="1322">
        <v>1.9219999999999999</v>
      </c>
      <c r="W9" s="1322">
        <v>723.25800000000004</v>
      </c>
      <c r="X9" s="1319">
        <v>3.6499999999999998E-2</v>
      </c>
      <c r="Y9" s="1314"/>
      <c r="Z9" s="1322">
        <v>1.575</v>
      </c>
      <c r="AA9" s="1322">
        <v>453.25400000000002</v>
      </c>
      <c r="AB9" s="1319">
        <v>3.7400000000000003E-2</v>
      </c>
      <c r="AC9" s="1314"/>
      <c r="AD9" s="1322">
        <v>1.0069999999999999</v>
      </c>
      <c r="AE9" s="1322">
        <v>431.25599999999997</v>
      </c>
      <c r="AF9" s="1319">
        <v>3.9899999999999998E-2</v>
      </c>
      <c r="AG9" s="1314"/>
      <c r="AH9" s="1322">
        <v>1.222</v>
      </c>
      <c r="AI9" s="1322">
        <v>477.53899999999999</v>
      </c>
      <c r="AJ9" s="1319">
        <v>4.07E-2</v>
      </c>
      <c r="AK9" s="1320"/>
      <c r="AL9" s="1322">
        <v>1.028</v>
      </c>
      <c r="AM9" s="1322">
        <v>422.81099999999998</v>
      </c>
      <c r="AN9" s="1319">
        <v>3.8899999999999997E-2</v>
      </c>
      <c r="AO9" s="1314"/>
      <c r="AP9" s="1322">
        <v>1.139</v>
      </c>
      <c r="AQ9" s="1322">
        <v>514.20899999999995</v>
      </c>
      <c r="AR9" s="1319">
        <v>3.8100000000000002E-2</v>
      </c>
      <c r="AS9" s="1320"/>
      <c r="AT9" s="1323">
        <v>2395</v>
      </c>
      <c r="AU9" s="1323">
        <v>632770</v>
      </c>
      <c r="AV9" s="1320">
        <v>3.8399999999999997E-2</v>
      </c>
      <c r="AW9" s="1320"/>
      <c r="AX9" s="1323">
        <f>AX21</f>
        <v>3037</v>
      </c>
      <c r="AY9" s="1323">
        <f>AY20</f>
        <v>548839</v>
      </c>
      <c r="AZ9" s="1320">
        <v>3.6900000000000002E-2</v>
      </c>
      <c r="BA9" s="1314"/>
      <c r="BB9" s="1323">
        <v>1.9630000000000001</v>
      </c>
      <c r="BC9" s="1323">
        <v>448.07900000000001</v>
      </c>
      <c r="BD9" s="1320">
        <v>3.5799999999999998E-2</v>
      </c>
      <c r="BE9" s="1314"/>
      <c r="BF9" s="1323">
        <v>2.516</v>
      </c>
      <c r="BG9" s="1323">
        <v>567.84299999999996</v>
      </c>
      <c r="BH9" s="1320">
        <v>3.6700000000000003E-2</v>
      </c>
      <c r="BI9" s="1314"/>
      <c r="BJ9" s="1323">
        <v>2.5310000000000001</v>
      </c>
      <c r="BK9" s="1323">
        <v>656.84500000000003</v>
      </c>
      <c r="BL9" s="1320">
        <v>3.4799999999999998E-2</v>
      </c>
      <c r="BM9" s="1314"/>
      <c r="BN9" s="1322">
        <v>2.4550000000000001</v>
      </c>
      <c r="BO9" s="1322">
        <v>727.84299999999996</v>
      </c>
      <c r="BP9" s="1319">
        <v>3.39E-2</v>
      </c>
      <c r="BQ9" s="1322">
        <v>2.0150000000000001</v>
      </c>
      <c r="BR9" s="1322">
        <v>373.87900000000002</v>
      </c>
      <c r="BS9" s="1319">
        <v>3.0499999999999999E-2</v>
      </c>
      <c r="BT9" s="1322">
        <v>1.5760000000000001</v>
      </c>
      <c r="BU9" s="1322">
        <v>554.52300000000002</v>
      </c>
      <c r="BV9" s="1319">
        <v>2.9100000000000001E-2</v>
      </c>
      <c r="BW9" s="1319"/>
      <c r="BX9" s="1319"/>
      <c r="BY9" s="1319"/>
      <c r="BZ9" s="1319"/>
      <c r="CA9" s="1319"/>
      <c r="CB9" s="1319"/>
      <c r="CC9" s="1319"/>
    </row>
    <row r="10" spans="2:81">
      <c r="C10" s="1314"/>
      <c r="D10" s="1314"/>
      <c r="E10" s="1314"/>
      <c r="F10" s="1321"/>
      <c r="G10" s="1321"/>
      <c r="H10" s="1320"/>
      <c r="I10" s="1314"/>
      <c r="J10" s="1321"/>
      <c r="K10" s="1321"/>
      <c r="L10" s="1320"/>
      <c r="M10" s="1314"/>
      <c r="N10" s="1321"/>
      <c r="O10" s="1321"/>
      <c r="P10" s="1320"/>
      <c r="Q10" s="1314"/>
      <c r="R10" s="1321"/>
      <c r="S10" s="1321"/>
      <c r="T10" s="1320"/>
      <c r="U10" s="1314"/>
      <c r="V10" s="1321"/>
      <c r="W10" s="1321"/>
      <c r="X10" s="1320"/>
      <c r="Y10" s="1314"/>
      <c r="Z10" s="1321"/>
      <c r="AA10" s="1321"/>
      <c r="AB10" s="1320"/>
      <c r="AC10" s="1314"/>
      <c r="AD10" s="1321"/>
      <c r="AE10" s="1321"/>
      <c r="AF10" s="1320"/>
      <c r="AG10" s="1314"/>
      <c r="AH10" s="1321"/>
      <c r="AI10" s="1321"/>
      <c r="AJ10" s="1320"/>
      <c r="AK10" s="1320"/>
      <c r="AL10" s="1321"/>
      <c r="AM10" s="1321"/>
      <c r="AN10" s="1320"/>
      <c r="AO10" s="1314"/>
      <c r="AP10" s="1321"/>
      <c r="AQ10" s="1321"/>
      <c r="AR10" s="1320"/>
      <c r="AS10" s="1320"/>
      <c r="AT10" s="1321"/>
      <c r="AU10" s="1321"/>
      <c r="AV10" s="1320"/>
      <c r="AW10" s="1320"/>
      <c r="AX10" s="1321"/>
      <c r="AY10" s="1321"/>
      <c r="AZ10" s="1320"/>
      <c r="BA10" s="1314"/>
      <c r="BB10" s="1321"/>
      <c r="BC10" s="1321"/>
      <c r="BD10" s="1320"/>
      <c r="BE10" s="1314"/>
      <c r="BF10" s="1321"/>
      <c r="BG10" s="1321"/>
      <c r="BH10" s="1320"/>
      <c r="BI10" s="1314"/>
      <c r="BJ10" s="1321"/>
      <c r="BK10" s="1321"/>
      <c r="BL10" s="1320"/>
      <c r="BM10" s="1314"/>
      <c r="BN10" s="1321"/>
      <c r="BO10" s="1321"/>
      <c r="BP10" s="1320"/>
      <c r="BQ10" s="1321"/>
      <c r="BR10" s="1321"/>
      <c r="BS10" s="1320"/>
      <c r="BT10" s="1321"/>
      <c r="BU10" s="1321"/>
      <c r="BV10" s="1320"/>
      <c r="BW10" s="1320"/>
      <c r="BX10" s="1320"/>
      <c r="BY10" s="1320"/>
      <c r="BZ10" s="1320"/>
      <c r="CA10" s="1320"/>
      <c r="CB10" s="1320"/>
      <c r="CC10" s="1320"/>
    </row>
    <row r="11" spans="2:81">
      <c r="C11" s="1324" t="s">
        <v>1691</v>
      </c>
      <c r="D11" s="1314"/>
      <c r="E11" s="1314"/>
      <c r="F11" s="1321"/>
      <c r="G11" s="1321"/>
      <c r="H11" s="1320"/>
      <c r="I11" s="1314"/>
      <c r="J11" s="1321"/>
      <c r="K11" s="1321"/>
      <c r="L11" s="1320"/>
      <c r="M11" s="1314"/>
      <c r="N11" s="1321"/>
      <c r="O11" s="1321"/>
      <c r="P11" s="1320"/>
      <c r="Q11" s="1314"/>
      <c r="R11" s="1321"/>
      <c r="S11" s="1321"/>
      <c r="T11" s="1320"/>
      <c r="U11" s="1314"/>
      <c r="V11" s="1321"/>
      <c r="W11" s="1321"/>
      <c r="X11" s="1320"/>
      <c r="Y11" s="1314"/>
      <c r="Z11" s="1321"/>
      <c r="AA11" s="1321"/>
      <c r="AB11" s="1320"/>
      <c r="AC11" s="1314"/>
      <c r="AD11" s="1321"/>
      <c r="AE11" s="1321"/>
      <c r="AF11" s="1320"/>
      <c r="AG11" s="1314"/>
      <c r="AH11" s="1321"/>
      <c r="AI11" s="1321"/>
      <c r="AJ11" s="1320"/>
      <c r="AK11" s="1320"/>
      <c r="AL11" s="1321"/>
      <c r="AM11" s="1321"/>
      <c r="AN11" s="1320"/>
      <c r="AO11" s="1314"/>
      <c r="AP11" s="1321"/>
      <c r="AQ11" s="1321"/>
      <c r="AR11" s="1320"/>
      <c r="AS11" s="1320"/>
      <c r="AT11" s="1321"/>
      <c r="AU11" s="1321"/>
      <c r="AV11" s="1320"/>
      <c r="AW11" s="1320"/>
      <c r="AX11" s="1321"/>
      <c r="AY11" s="1321"/>
      <c r="AZ11" s="1320"/>
      <c r="BA11" s="1314"/>
      <c r="BB11" s="1321"/>
      <c r="BC11" s="1321"/>
      <c r="BD11" s="1320"/>
      <c r="BE11" s="1314"/>
      <c r="BF11" s="1321"/>
      <c r="BG11" s="1321"/>
      <c r="BH11" s="1320"/>
      <c r="BI11" s="1314"/>
      <c r="BJ11" s="1321"/>
      <c r="BK11" s="1321"/>
      <c r="BL11" s="1320"/>
      <c r="BM11" s="1314"/>
      <c r="BN11" s="1321"/>
      <c r="BO11" s="1321"/>
      <c r="BP11" s="1320"/>
      <c r="BQ11" s="1321"/>
      <c r="BR11" s="1321"/>
      <c r="BS11" s="1320"/>
      <c r="BT11" s="1321"/>
      <c r="BU11" s="1321"/>
      <c r="BV11" s="1320"/>
      <c r="BW11" s="1320"/>
      <c r="BX11" s="1320"/>
      <c r="BY11" s="1320"/>
      <c r="BZ11" s="1320"/>
      <c r="CA11" s="1320"/>
      <c r="CB11" s="1320"/>
      <c r="CC11" s="1320"/>
    </row>
    <row r="12" spans="2:81">
      <c r="C12" s="1314"/>
      <c r="D12" s="1317" t="s">
        <v>1692</v>
      </c>
      <c r="E12" s="1317"/>
      <c r="F12" s="1318">
        <v>11444.103999999999</v>
      </c>
      <c r="G12" s="1318">
        <v>286638.30499999999</v>
      </c>
      <c r="H12" s="1325">
        <v>-3.3999999999999998E-3</v>
      </c>
      <c r="I12" s="1314"/>
      <c r="J12" s="1318">
        <v>14099.878000000001</v>
      </c>
      <c r="K12" s="1318">
        <v>342087.21899999998</v>
      </c>
      <c r="L12" s="1325">
        <v>-3.7000000000000002E-3</v>
      </c>
      <c r="M12" s="1314"/>
      <c r="N12" s="1318">
        <v>16091.014999999999</v>
      </c>
      <c r="O12" s="1318">
        <v>367495.14399999997</v>
      </c>
      <c r="P12" s="1325">
        <v>-3.7000000000000002E-3</v>
      </c>
      <c r="Q12" s="1314"/>
      <c r="R12" s="1318">
        <v>168480.63</v>
      </c>
      <c r="S12" s="1318">
        <v>371187.36800000002</v>
      </c>
      <c r="T12" s="1325">
        <v>-3.5999999999999999E-3</v>
      </c>
      <c r="U12" s="1314"/>
      <c r="V12" s="1318">
        <v>20386.368999999999</v>
      </c>
      <c r="W12" s="1318">
        <v>472518.67200000002</v>
      </c>
      <c r="X12" s="1325">
        <v>-3.3999999999999998E-3</v>
      </c>
      <c r="Y12" s="1314"/>
      <c r="Z12" s="1318">
        <v>18627.54</v>
      </c>
      <c r="AA12" s="1318">
        <v>465651.93800000002</v>
      </c>
      <c r="AB12" s="1325">
        <v>-3.5999999999999999E-3</v>
      </c>
      <c r="AC12" s="1314"/>
      <c r="AD12" s="1318">
        <v>14692.016</v>
      </c>
      <c r="AE12" s="1318">
        <v>329725.255</v>
      </c>
      <c r="AF12" s="1325">
        <v>-3.7000000000000002E-3</v>
      </c>
      <c r="AG12" s="1314"/>
      <c r="AH12" s="1318">
        <v>15273.942999999999</v>
      </c>
      <c r="AI12" s="1318">
        <v>314622.57400000002</v>
      </c>
      <c r="AJ12" s="1325">
        <v>-3.8E-3</v>
      </c>
      <c r="AK12" s="1320"/>
      <c r="AL12" s="1318">
        <v>15484.94</v>
      </c>
      <c r="AM12" s="1318">
        <v>354351.91200000001</v>
      </c>
      <c r="AN12" s="1325">
        <v>-3.8E-3</v>
      </c>
      <c r="AO12" s="1314"/>
      <c r="AP12" s="1318">
        <v>17557.705999999998</v>
      </c>
      <c r="AQ12" s="1318">
        <v>626550.33400000003</v>
      </c>
      <c r="AR12" s="1325">
        <v>-3.7000000000000002E-3</v>
      </c>
      <c r="AS12" s="1320"/>
      <c r="AT12" s="1321">
        <v>21753411</v>
      </c>
      <c r="AU12" s="1321">
        <v>428699798</v>
      </c>
      <c r="AV12" s="1320">
        <v>-3.3E-3</v>
      </c>
      <c r="AW12" s="1320"/>
      <c r="AX12" s="1321">
        <v>24428848</v>
      </c>
      <c r="AY12" s="1321">
        <v>591015721</v>
      </c>
      <c r="AZ12" s="1320">
        <v>-3.2000000000000002E-3</v>
      </c>
      <c r="BA12" s="1314"/>
      <c r="BB12" s="1321">
        <v>22035.312999999998</v>
      </c>
      <c r="BC12" s="1321">
        <v>629010.25399999996</v>
      </c>
      <c r="BD12" s="1320">
        <v>-3.5999999999999999E-3</v>
      </c>
      <c r="BE12" s="1314"/>
      <c r="BF12" s="1321">
        <v>24361.659</v>
      </c>
      <c r="BG12" s="1321">
        <v>609163.49800000002</v>
      </c>
      <c r="BH12" s="1320">
        <v>-3.5000000000000001E-3</v>
      </c>
      <c r="BI12" s="1314"/>
      <c r="BJ12" s="1321">
        <v>25142.833999999999</v>
      </c>
      <c r="BK12" s="1321">
        <v>790050.07299999997</v>
      </c>
      <c r="BL12" s="1320">
        <v>0</v>
      </c>
      <c r="BM12" s="1314"/>
      <c r="BN12" s="1318">
        <v>29428.909</v>
      </c>
      <c r="BO12" s="1318">
        <v>1073390.5660000001</v>
      </c>
      <c r="BP12" s="1325">
        <v>-3.0000000000000001E-3</v>
      </c>
      <c r="BQ12" s="1326">
        <v>31549.077000000001</v>
      </c>
      <c r="BR12" s="1318">
        <v>2203381.2859999998</v>
      </c>
      <c r="BS12" s="1325">
        <v>-2.5999999999999999E-3</v>
      </c>
      <c r="BT12" s="1318">
        <v>36942.976000000002</v>
      </c>
      <c r="BU12" s="1318">
        <v>2662326.048</v>
      </c>
      <c r="BV12" s="1325">
        <v>-5.9999999999999995E-4</v>
      </c>
      <c r="BW12" s="1325"/>
      <c r="BX12" s="1325"/>
      <c r="BY12" s="1325"/>
      <c r="BZ12" s="1325"/>
      <c r="CA12" s="1325"/>
      <c r="CB12" s="1325"/>
      <c r="CC12" s="1325"/>
    </row>
    <row r="13" spans="2:81">
      <c r="C13" s="1314"/>
      <c r="D13" s="1317" t="s">
        <v>1693</v>
      </c>
      <c r="E13" s="1317"/>
      <c r="F13" s="1322">
        <v>4809.4219999999996</v>
      </c>
      <c r="G13" s="1322">
        <v>11366.767</v>
      </c>
      <c r="H13" s="1325">
        <v>5.0000000000000001E-3</v>
      </c>
      <c r="I13" s="1314"/>
      <c r="J13" s="1322">
        <v>6258.53</v>
      </c>
      <c r="K13" s="1322">
        <v>14096.886</v>
      </c>
      <c r="L13" s="1325">
        <v>6.0000000000000001E-3</v>
      </c>
      <c r="M13" s="1314"/>
      <c r="N13" s="1322">
        <v>7189.8869999999997</v>
      </c>
      <c r="O13" s="1322">
        <v>16016.45</v>
      </c>
      <c r="P13" s="1325">
        <v>6.7000000000000002E-3</v>
      </c>
      <c r="Q13" s="1314"/>
      <c r="R13" s="1322">
        <v>7847.424</v>
      </c>
      <c r="S13" s="1322">
        <v>16820.565999999999</v>
      </c>
      <c r="T13" s="1325">
        <v>6.4999999999999997E-3</v>
      </c>
      <c r="U13" s="1314"/>
      <c r="V13" s="1322">
        <v>9274.0490000000009</v>
      </c>
      <c r="W13" s="1322">
        <v>20234.526000000002</v>
      </c>
      <c r="X13" s="1325">
        <v>6.7999999999999996E-3</v>
      </c>
      <c r="Y13" s="1314"/>
      <c r="Z13" s="1322">
        <v>7434.8059999999996</v>
      </c>
      <c r="AA13" s="1322">
        <v>18503.467000000001</v>
      </c>
      <c r="AB13" s="1325">
        <v>6.1999999999999998E-3</v>
      </c>
      <c r="AC13" s="1314"/>
      <c r="AD13" s="1322">
        <v>5975.8360000000002</v>
      </c>
      <c r="AE13" s="1322">
        <v>14691.668</v>
      </c>
      <c r="AF13" s="1325">
        <v>7.4000000000000003E-3</v>
      </c>
      <c r="AG13" s="1314"/>
      <c r="AH13" s="1322">
        <v>6895.2579999999998</v>
      </c>
      <c r="AI13" s="1322">
        <v>15079.529</v>
      </c>
      <c r="AJ13" s="1325">
        <v>8.0999999999999996E-3</v>
      </c>
      <c r="AK13" s="1320"/>
      <c r="AL13" s="1322">
        <v>6927.5569999999998</v>
      </c>
      <c r="AM13" s="1322">
        <v>15408.314</v>
      </c>
      <c r="AN13" s="1325">
        <v>7.7999999999999996E-3</v>
      </c>
      <c r="AO13" s="1314"/>
      <c r="AP13" s="1322">
        <v>7747.951</v>
      </c>
      <c r="AQ13" s="1322">
        <v>17541.302</v>
      </c>
      <c r="AR13" s="1325">
        <v>7.6E-3</v>
      </c>
      <c r="AS13" s="1320"/>
      <c r="AT13" s="1323">
        <v>9196656</v>
      </c>
      <c r="AU13" s="1323">
        <v>21739006</v>
      </c>
      <c r="AV13" s="1320">
        <v>8.0000000000000002E-3</v>
      </c>
      <c r="AW13" s="1320"/>
      <c r="AX13" s="1323">
        <v>10170746</v>
      </c>
      <c r="AY13" s="1323">
        <v>24272837</v>
      </c>
      <c r="AZ13" s="1320">
        <v>6.4999999999999997E-3</v>
      </c>
      <c r="BA13" s="1314"/>
      <c r="BB13" s="1323">
        <v>9.6180529999999997</v>
      </c>
      <c r="BC13" s="1323">
        <v>21809.433000000001</v>
      </c>
      <c r="BD13" s="1320">
        <v>5.7000000000000002E-3</v>
      </c>
      <c r="BE13" s="1314"/>
      <c r="BF13" s="1323">
        <v>10784.101000000001</v>
      </c>
      <c r="BG13" s="1323">
        <v>24233.746999999999</v>
      </c>
      <c r="BH13" s="1320">
        <v>6.1000000000000004E-3</v>
      </c>
      <c r="BI13" s="1314"/>
      <c r="BJ13" s="1323">
        <v>12067.589</v>
      </c>
      <c r="BK13" s="1323">
        <v>25096.258000000002</v>
      </c>
      <c r="BL13" s="1320">
        <v>5.6000000000000008E-3</v>
      </c>
      <c r="BM13" s="1314"/>
      <c r="BN13" s="1322">
        <v>13512.96</v>
      </c>
      <c r="BO13" s="1322">
        <v>29022.866999999998</v>
      </c>
      <c r="BP13" s="1325">
        <v>5.1999999999999998E-3</v>
      </c>
      <c r="BQ13" s="1326">
        <v>12372.885</v>
      </c>
      <c r="BR13" s="1322">
        <v>31316.512999999999</v>
      </c>
      <c r="BS13" s="1325">
        <v>4.4999999999999997E-3</v>
      </c>
      <c r="BT13" s="1322">
        <v>14910.718999999999</v>
      </c>
      <c r="BU13" s="1322">
        <v>36391.112999999998</v>
      </c>
      <c r="BV13" s="1325">
        <v>4.5999999999999999E-3</v>
      </c>
      <c r="BW13" s="1325"/>
      <c r="BX13" s="1325"/>
      <c r="BY13" s="1325"/>
      <c r="BZ13" s="1325"/>
      <c r="CA13" s="1325"/>
      <c r="CB13" s="1325"/>
      <c r="CC13" s="1325"/>
    </row>
    <row r="14" spans="2:81">
      <c r="C14" s="1314"/>
      <c r="D14" s="1317" t="s">
        <v>1694</v>
      </c>
      <c r="E14" s="1317"/>
      <c r="F14" s="1322">
        <v>2592.9780000000001</v>
      </c>
      <c r="G14" s="1322">
        <v>4794.027</v>
      </c>
      <c r="H14" s="1325">
        <v>6.7000000000000002E-3</v>
      </c>
      <c r="I14" s="1314"/>
      <c r="J14" s="1322">
        <v>3473.335</v>
      </c>
      <c r="K14" s="1322">
        <v>6241.9530000000004</v>
      </c>
      <c r="L14" s="1325">
        <v>7.4999999999999997E-3</v>
      </c>
      <c r="M14" s="1314"/>
      <c r="N14" s="1322">
        <v>3968.998</v>
      </c>
      <c r="O14" s="1322">
        <v>7187.2439999999997</v>
      </c>
      <c r="P14" s="1325">
        <v>8.5000000000000006E-3</v>
      </c>
      <c r="Q14" s="1314"/>
      <c r="R14" s="1322">
        <v>4098.2539999999999</v>
      </c>
      <c r="S14" s="1322">
        <v>7777.183</v>
      </c>
      <c r="T14" s="1325">
        <v>8.0999999999999996E-3</v>
      </c>
      <c r="U14" s="1314"/>
      <c r="V14" s="1322">
        <v>5025.8069999999998</v>
      </c>
      <c r="W14" s="1322">
        <v>9206.7129999999997</v>
      </c>
      <c r="X14" s="1325">
        <v>7.6E-3</v>
      </c>
      <c r="Y14" s="1314"/>
      <c r="Z14" s="1322">
        <v>4229.3230000000003</v>
      </c>
      <c r="AA14" s="1322">
        <v>7360.2709999999997</v>
      </c>
      <c r="AB14" s="1325">
        <v>7.4000000000000003E-3</v>
      </c>
      <c r="AC14" s="1314"/>
      <c r="AD14" s="1322">
        <v>3428.57</v>
      </c>
      <c r="AE14" s="1322">
        <v>5936.1469999999999</v>
      </c>
      <c r="AF14" s="1325">
        <v>8.5000000000000006E-3</v>
      </c>
      <c r="AG14" s="1314"/>
      <c r="AH14" s="1322">
        <v>3714.4450000000002</v>
      </c>
      <c r="AI14" s="1322">
        <v>6793.8760000000002</v>
      </c>
      <c r="AJ14" s="1325">
        <v>1.01E-2</v>
      </c>
      <c r="AK14" s="1320"/>
      <c r="AL14" s="1322">
        <v>3596.5349999999999</v>
      </c>
      <c r="AM14" s="1322">
        <v>6896.3890000000001</v>
      </c>
      <c r="AN14" s="1325">
        <v>9.4000000000000004E-3</v>
      </c>
      <c r="AO14" s="1314"/>
      <c r="AP14" s="1322">
        <v>4250.3599999999997</v>
      </c>
      <c r="AQ14" s="1322">
        <v>7686.6109999999999</v>
      </c>
      <c r="AR14" s="1325">
        <v>9.1999999999999998E-3</v>
      </c>
      <c r="AS14" s="1320"/>
      <c r="AT14" s="1323">
        <v>5572648</v>
      </c>
      <c r="AU14" s="1323">
        <v>9196480</v>
      </c>
      <c r="AV14" s="1320">
        <v>9.300000000000001E-3</v>
      </c>
      <c r="AW14" s="1320"/>
      <c r="AX14" s="1323">
        <v>5864266</v>
      </c>
      <c r="AY14" s="1323">
        <v>10105622</v>
      </c>
      <c r="AZ14" s="1320">
        <v>9.4000000000000004E-3</v>
      </c>
      <c r="BA14" s="1314"/>
      <c r="BB14" s="1323">
        <v>5205.8410000000003</v>
      </c>
      <c r="BC14" s="1323">
        <v>9611.1869999999999</v>
      </c>
      <c r="BD14" s="1320">
        <v>8.6E-3</v>
      </c>
      <c r="BE14" s="1314"/>
      <c r="BF14" s="1323">
        <v>5683.991</v>
      </c>
      <c r="BG14" s="1323">
        <v>10711.194</v>
      </c>
      <c r="BH14" s="1320">
        <v>8.8999999999999999E-3</v>
      </c>
      <c r="BI14" s="1314"/>
      <c r="BJ14" s="1323">
        <v>6557.5190000000002</v>
      </c>
      <c r="BK14" s="1323">
        <v>11978.971</v>
      </c>
      <c r="BL14" s="1319">
        <v>8.6999999999999994E-3</v>
      </c>
      <c r="BM14" s="1314"/>
      <c r="BN14" s="1322">
        <v>7275.9669999999996</v>
      </c>
      <c r="BO14" s="1322">
        <v>13455.802</v>
      </c>
      <c r="BP14" s="1325">
        <v>8.0999999999999996E-3</v>
      </c>
      <c r="BQ14" s="1326">
        <v>5918981</v>
      </c>
      <c r="BR14" s="1322">
        <v>12323.853999999999</v>
      </c>
      <c r="BS14" s="1325">
        <v>5.7000000000000002E-3</v>
      </c>
      <c r="BT14" s="1322">
        <v>7493.607</v>
      </c>
      <c r="BU14" s="1322">
        <v>14820.048000000001</v>
      </c>
      <c r="BV14" s="1325">
        <v>6.1000000000000004E-3</v>
      </c>
      <c r="BW14" s="1325"/>
      <c r="BX14" s="1325"/>
      <c r="BY14" s="1325"/>
      <c r="BZ14" s="1325"/>
      <c r="CA14" s="1325"/>
      <c r="CB14" s="1325"/>
      <c r="CC14" s="1325"/>
    </row>
    <row r="15" spans="2:81">
      <c r="C15" s="1314"/>
      <c r="D15" s="1317" t="s">
        <v>1695</v>
      </c>
      <c r="E15" s="1317"/>
      <c r="F15" s="1322">
        <v>1723.9069999999999</v>
      </c>
      <c r="G15" s="1322">
        <v>2585.9839999999999</v>
      </c>
      <c r="H15" s="1325">
        <v>1.11E-2</v>
      </c>
      <c r="I15" s="1314"/>
      <c r="J15" s="1322">
        <v>2234.1460000000002</v>
      </c>
      <c r="K15" s="1322">
        <v>3464.1039999999998</v>
      </c>
      <c r="L15" s="1325">
        <v>1.0699999999999999E-2</v>
      </c>
      <c r="M15" s="1314"/>
      <c r="N15" s="1322">
        <v>2525.4720000000002</v>
      </c>
      <c r="O15" s="1322">
        <v>3961.4250000000002</v>
      </c>
      <c r="P15" s="1325">
        <v>1.0999999999999999E-2</v>
      </c>
      <c r="Q15" s="1314"/>
      <c r="R15" s="1322">
        <v>2861.6550000000002</v>
      </c>
      <c r="S15" s="1322">
        <v>4085.1840000000002</v>
      </c>
      <c r="T15" s="1325">
        <v>1.03E-2</v>
      </c>
      <c r="U15" s="1314"/>
      <c r="V15" s="1322">
        <v>3426.5859999999998</v>
      </c>
      <c r="W15" s="1322">
        <v>5012.5770000000002</v>
      </c>
      <c r="X15" s="1325">
        <v>9.2999999999999992E-3</v>
      </c>
      <c r="Y15" s="1314"/>
      <c r="Z15" s="1322">
        <v>2785.6979999999999</v>
      </c>
      <c r="AA15" s="1322">
        <v>4225.152</v>
      </c>
      <c r="AB15" s="1325">
        <v>9.7000000000000003E-3</v>
      </c>
      <c r="AC15" s="1314"/>
      <c r="AD15" s="1322">
        <v>2386.9850000000001</v>
      </c>
      <c r="AE15" s="1322">
        <v>3414.634</v>
      </c>
      <c r="AF15" s="1325">
        <v>1.15E-2</v>
      </c>
      <c r="AG15" s="1314"/>
      <c r="AH15" s="1322">
        <v>2512.1370000000002</v>
      </c>
      <c r="AI15" s="1322">
        <v>3710.9850000000001</v>
      </c>
      <c r="AJ15" s="1325">
        <v>1.2E-2</v>
      </c>
      <c r="AK15" s="1320"/>
      <c r="AL15" s="1322">
        <v>2366.4639999999999</v>
      </c>
      <c r="AM15" s="1322">
        <v>3577.7739999999999</v>
      </c>
      <c r="AN15" s="1325">
        <v>1.17E-2</v>
      </c>
      <c r="AO15" s="1314"/>
      <c r="AP15" s="1322">
        <v>2772.8310000000001</v>
      </c>
      <c r="AQ15" s="1322">
        <v>4227.6679999999997</v>
      </c>
      <c r="AR15" s="1325">
        <v>1.14E-2</v>
      </c>
      <c r="AS15" s="1320"/>
      <c r="AT15" s="1323">
        <v>3581547</v>
      </c>
      <c r="AU15" s="1323">
        <v>5569840</v>
      </c>
      <c r="AV15" s="1320">
        <v>1.1899999999999999E-2</v>
      </c>
      <c r="AW15" s="1320"/>
      <c r="AX15" s="1323">
        <v>3724624</v>
      </c>
      <c r="AY15" s="1323">
        <v>5844592</v>
      </c>
      <c r="AZ15" s="1320">
        <v>1.0500000000000001E-2</v>
      </c>
      <c r="BA15" s="1314"/>
      <c r="BB15" s="1323">
        <v>3195.8980000000001</v>
      </c>
      <c r="BC15" s="1323">
        <v>5199.9520000000002</v>
      </c>
      <c r="BD15" s="1320">
        <v>9.9000000000000008E-3</v>
      </c>
      <c r="BE15" s="1314"/>
      <c r="BF15" s="1323">
        <v>3520.5659999999998</v>
      </c>
      <c r="BG15" s="1323">
        <v>5676.7160000000003</v>
      </c>
      <c r="BH15" s="1320">
        <v>9.7999999999999997E-3</v>
      </c>
      <c r="BI15" s="1314"/>
      <c r="BJ15" s="1323">
        <v>4097.96</v>
      </c>
      <c r="BK15" s="1323">
        <v>6545.5479999999998</v>
      </c>
      <c r="BL15" s="1319">
        <v>9.0000000000000011E-3</v>
      </c>
      <c r="BM15" s="1314"/>
      <c r="BN15" s="1322">
        <v>4504.0659999999998</v>
      </c>
      <c r="BO15" s="1322">
        <v>7254.23</v>
      </c>
      <c r="BP15" s="1325">
        <v>8.5000000000000006E-3</v>
      </c>
      <c r="BQ15" s="1326">
        <v>3770176</v>
      </c>
      <c r="BR15" s="1322">
        <v>5916.0169999999998</v>
      </c>
      <c r="BS15" s="1325">
        <v>5.7999999999999996E-3</v>
      </c>
      <c r="BT15" s="1322">
        <v>4622.2610000000004</v>
      </c>
      <c r="BU15" s="1322">
        <v>7461.2839999999997</v>
      </c>
      <c r="BV15" s="1325">
        <v>6.4000000000000003E-3</v>
      </c>
      <c r="BW15" s="1325"/>
      <c r="BX15" s="1325"/>
      <c r="BY15" s="1325"/>
      <c r="BZ15" s="1325"/>
      <c r="CA15" s="1325"/>
      <c r="CB15" s="1325"/>
      <c r="CC15" s="1325"/>
    </row>
    <row r="16" spans="2:81">
      <c r="C16" s="1314"/>
      <c r="D16" s="1317" t="s">
        <v>1696</v>
      </c>
      <c r="E16" s="1317"/>
      <c r="F16" s="1322">
        <v>1167.04</v>
      </c>
      <c r="G16" s="1322">
        <v>1720.9590000000001</v>
      </c>
      <c r="H16" s="1325">
        <v>1.3599999999999999E-2</v>
      </c>
      <c r="I16" s="1314"/>
      <c r="J16" s="1322">
        <v>1607.931</v>
      </c>
      <c r="K16" s="1322">
        <v>2231.7069999999999</v>
      </c>
      <c r="L16" s="1325">
        <v>1.44E-2</v>
      </c>
      <c r="M16" s="1314"/>
      <c r="N16" s="1322">
        <v>1729.364</v>
      </c>
      <c r="O16" s="1322">
        <v>2519.2800000000002</v>
      </c>
      <c r="P16" s="1325">
        <v>1.49E-2</v>
      </c>
      <c r="Q16" s="1314"/>
      <c r="R16" s="1322">
        <v>1947.24</v>
      </c>
      <c r="S16" s="1322">
        <v>2848.7710000000002</v>
      </c>
      <c r="T16" s="1325">
        <v>1.4500000000000001E-2</v>
      </c>
      <c r="U16" s="1314"/>
      <c r="V16" s="1322">
        <v>2413.5830000000001</v>
      </c>
      <c r="W16" s="1322">
        <v>3422.7429999999999</v>
      </c>
      <c r="X16" s="1325">
        <v>1.47E-2</v>
      </c>
      <c r="Y16" s="1314"/>
      <c r="Z16" s="1322">
        <v>1849.95</v>
      </c>
      <c r="AA16" s="1322">
        <v>2785.538</v>
      </c>
      <c r="AB16" s="1325">
        <v>1.54E-2</v>
      </c>
      <c r="AC16" s="1314"/>
      <c r="AD16" s="1322">
        <v>1602.4290000000001</v>
      </c>
      <c r="AE16" s="1322">
        <v>2384.0259999999998</v>
      </c>
      <c r="AF16" s="1325">
        <v>1.6899999999999998E-2</v>
      </c>
      <c r="AG16" s="1314"/>
      <c r="AH16" s="1322">
        <v>1778.7560000000001</v>
      </c>
      <c r="AI16" s="1322">
        <v>2509.152</v>
      </c>
      <c r="AJ16" s="1325">
        <v>1.8100000000000002E-2</v>
      </c>
      <c r="AK16" s="1320"/>
      <c r="AL16" s="1322">
        <v>1621.096</v>
      </c>
      <c r="AM16" s="1322">
        <v>2362.5320000000002</v>
      </c>
      <c r="AN16" s="1325">
        <v>1.7399999999999999E-2</v>
      </c>
      <c r="AO16" s="1314"/>
      <c r="AP16" s="1322">
        <v>1912.24</v>
      </c>
      <c r="AQ16" s="1322">
        <v>2759.3910000000001</v>
      </c>
      <c r="AR16" s="1325">
        <v>1.7000000000000001E-2</v>
      </c>
      <c r="AS16" s="1320"/>
      <c r="AT16" s="1323">
        <v>2432888</v>
      </c>
      <c r="AU16" s="1323">
        <v>3573079</v>
      </c>
      <c r="AV16" s="1320">
        <v>1.72E-2</v>
      </c>
      <c r="AW16" s="1320"/>
      <c r="AX16" s="1323">
        <v>2552441</v>
      </c>
      <c r="AY16" s="1323">
        <v>3724186</v>
      </c>
      <c r="AZ16" s="1320">
        <v>1.6500000000000001E-2</v>
      </c>
      <c r="BA16" s="1314"/>
      <c r="BB16" s="1323">
        <v>2090.5659999999998</v>
      </c>
      <c r="BC16" s="1323">
        <v>3187.48</v>
      </c>
      <c r="BD16" s="1320">
        <v>1.49E-2</v>
      </c>
      <c r="BE16" s="1314"/>
      <c r="BF16" s="1323">
        <v>2392.6889999999999</v>
      </c>
      <c r="BG16" s="1323">
        <v>3512.913</v>
      </c>
      <c r="BH16" s="1320">
        <v>1.5100000000000001E-2</v>
      </c>
      <c r="BI16" s="1314"/>
      <c r="BJ16" s="1323">
        <v>2763.7190000000001</v>
      </c>
      <c r="BK16" s="1323">
        <v>4091.971</v>
      </c>
      <c r="BL16" s="1319">
        <v>1.38E-2</v>
      </c>
      <c r="BM16" s="1314"/>
      <c r="BN16" s="1322">
        <v>2996.0030000000002</v>
      </c>
      <c r="BO16" s="1322">
        <v>4503.549</v>
      </c>
      <c r="BP16" s="1325">
        <v>1.2800000000000001E-2</v>
      </c>
      <c r="BQ16" s="1326">
        <v>2365.4250000000002</v>
      </c>
      <c r="BR16" s="1322">
        <v>3769.877</v>
      </c>
      <c r="BS16" s="1325">
        <v>9.2999999999999992E-3</v>
      </c>
      <c r="BT16" s="1322">
        <v>3011.2240000000002</v>
      </c>
      <c r="BU16" s="1322">
        <v>4621.7849999999999</v>
      </c>
      <c r="BV16" s="1325">
        <v>9.4999999999999998E-3</v>
      </c>
      <c r="BW16" s="1325"/>
      <c r="BX16" s="1325"/>
      <c r="BY16" s="1325"/>
      <c r="BZ16" s="1325"/>
      <c r="CA16" s="1325"/>
      <c r="CB16" s="1325"/>
      <c r="CC16" s="1325"/>
    </row>
    <row r="17" spans="3:81">
      <c r="C17" s="1314"/>
      <c r="D17" s="1317" t="s">
        <v>1697</v>
      </c>
      <c r="E17" s="1317"/>
      <c r="F17" s="1322">
        <v>797.30200000000002</v>
      </c>
      <c r="G17" s="1322">
        <v>1166.799</v>
      </c>
      <c r="H17" s="1325">
        <v>1.5900000000000001E-2</v>
      </c>
      <c r="I17" s="1314"/>
      <c r="J17" s="1322">
        <v>1098.2840000000001</v>
      </c>
      <c r="K17" s="1322">
        <v>1607.854</v>
      </c>
      <c r="L17" s="1325">
        <v>1.7500000000000002E-2</v>
      </c>
      <c r="M17" s="1314"/>
      <c r="N17" s="1322">
        <v>1282.2760000000001</v>
      </c>
      <c r="O17" s="1322">
        <v>1728.8879999999999</v>
      </c>
      <c r="P17" s="1325">
        <v>1.7299999999999999E-2</v>
      </c>
      <c r="Q17" s="1314"/>
      <c r="R17" s="1322">
        <v>1379.2670000000001</v>
      </c>
      <c r="S17" s="1322">
        <v>1946.588</v>
      </c>
      <c r="T17" s="1325">
        <v>1.67E-2</v>
      </c>
      <c r="U17" s="1314"/>
      <c r="V17" s="1322">
        <v>1633.6679999999999</v>
      </c>
      <c r="W17" s="1322">
        <v>2411.7939999999999</v>
      </c>
      <c r="X17" s="1325">
        <v>1.6E-2</v>
      </c>
      <c r="Y17" s="1314"/>
      <c r="Z17" s="1322">
        <v>1198.0129999999999</v>
      </c>
      <c r="AA17" s="1322">
        <v>1848.961</v>
      </c>
      <c r="AB17" s="1325">
        <v>1.6299999999999999E-2</v>
      </c>
      <c r="AC17" s="1314"/>
      <c r="AD17" s="1322">
        <v>1063.3330000000001</v>
      </c>
      <c r="AE17" s="1322">
        <v>1600.1690000000001</v>
      </c>
      <c r="AF17" s="1325">
        <v>1.7299999999999999E-2</v>
      </c>
      <c r="AG17" s="1314"/>
      <c r="AH17" s="1322">
        <v>1214.6790000000001</v>
      </c>
      <c r="AI17" s="1322">
        <v>1775.9659999999999</v>
      </c>
      <c r="AJ17" s="1325">
        <v>1.8200000000000001E-2</v>
      </c>
      <c r="AK17" s="1320"/>
      <c r="AL17" s="1322">
        <v>1090.652</v>
      </c>
      <c r="AM17" s="1322">
        <v>1620.86</v>
      </c>
      <c r="AN17" s="1325">
        <v>1.7500000000000002E-2</v>
      </c>
      <c r="AO17" s="1314"/>
      <c r="AP17" s="1322">
        <v>1346.6189999999999</v>
      </c>
      <c r="AQ17" s="1322">
        <v>1909.0509999999999</v>
      </c>
      <c r="AR17" s="1325">
        <v>1.72E-2</v>
      </c>
      <c r="AS17" s="1320"/>
      <c r="AT17" s="1323">
        <v>1622997</v>
      </c>
      <c r="AU17" s="1323">
        <v>2431229</v>
      </c>
      <c r="AV17" s="1320">
        <v>1.7500000000000002E-2</v>
      </c>
      <c r="AW17" s="1320"/>
      <c r="AX17" s="1323">
        <v>1688895</v>
      </c>
      <c r="AY17" s="1323">
        <v>2542913</v>
      </c>
      <c r="AZ17" s="1320">
        <v>1.6299999999999999E-2</v>
      </c>
      <c r="BA17" s="1314"/>
      <c r="BB17" s="1323">
        <v>1400.931</v>
      </c>
      <c r="BC17" s="1323">
        <v>2083.6419999999998</v>
      </c>
      <c r="BD17" s="1320">
        <v>1.6299999999999999E-2</v>
      </c>
      <c r="BE17" s="1314"/>
      <c r="BF17" s="1323">
        <v>1571.193</v>
      </c>
      <c r="BG17" s="1323">
        <v>2390.8989999999999</v>
      </c>
      <c r="BH17" s="1320">
        <v>1.66E-2</v>
      </c>
      <c r="BI17" s="1314"/>
      <c r="BJ17" s="1323">
        <v>1815.68</v>
      </c>
      <c r="BK17" s="1323">
        <v>2759.9389999999999</v>
      </c>
      <c r="BL17" s="1319">
        <v>1.6E-2</v>
      </c>
      <c r="BM17" s="1314"/>
      <c r="BN17" s="1322">
        <v>1961.8309999999999</v>
      </c>
      <c r="BO17" s="1322">
        <v>2992.2510000000002</v>
      </c>
      <c r="BP17" s="1325">
        <v>1.4999999999999999E-2</v>
      </c>
      <c r="BQ17" s="1326">
        <v>1389.8510000000001</v>
      </c>
      <c r="BR17" s="1322">
        <v>2365.076</v>
      </c>
      <c r="BS17" s="1325">
        <v>1.1599999999999999E-2</v>
      </c>
      <c r="BT17" s="1322">
        <v>1864.2929999999999</v>
      </c>
      <c r="BU17" s="1322">
        <v>3010.806</v>
      </c>
      <c r="BV17" s="1325">
        <v>1.21E-2</v>
      </c>
      <c r="BW17" s="1325"/>
      <c r="BX17" s="1325"/>
      <c r="BY17" s="1325"/>
      <c r="BZ17" s="1325"/>
      <c r="CA17" s="1325"/>
      <c r="CB17" s="1325"/>
      <c r="CC17" s="1325"/>
    </row>
    <row r="18" spans="3:81">
      <c r="C18" s="1314"/>
      <c r="D18" s="1317" t="s">
        <v>1698</v>
      </c>
      <c r="E18" s="1317"/>
      <c r="F18" s="1322">
        <v>508.21</v>
      </c>
      <c r="G18" s="1322">
        <v>795.98299999999995</v>
      </c>
      <c r="H18" s="1325">
        <v>1.5699999999999999E-2</v>
      </c>
      <c r="I18" s="1314"/>
      <c r="J18" s="1322">
        <v>746.24900000000002</v>
      </c>
      <c r="K18" s="1322">
        <v>1097.6030000000001</v>
      </c>
      <c r="L18" s="1325">
        <v>1.61E-2</v>
      </c>
      <c r="M18" s="1314"/>
      <c r="N18" s="1322">
        <v>872.44299999999998</v>
      </c>
      <c r="O18" s="1322">
        <v>1280.9659999999999</v>
      </c>
      <c r="P18" s="1325">
        <v>1.67E-2</v>
      </c>
      <c r="Q18" s="1314"/>
      <c r="R18" s="1322">
        <v>977.91200000000003</v>
      </c>
      <c r="S18" s="1322">
        <v>1378.4760000000001</v>
      </c>
      <c r="T18" s="1325">
        <v>1.6199999999999999E-2</v>
      </c>
      <c r="U18" s="1314"/>
      <c r="V18" s="1322">
        <v>1129.192</v>
      </c>
      <c r="W18" s="1322">
        <v>1633.32</v>
      </c>
      <c r="X18" s="1325">
        <v>1.4999999999999999E-2</v>
      </c>
      <c r="Y18" s="1314"/>
      <c r="Z18" s="1322">
        <v>753.67600000000004</v>
      </c>
      <c r="AA18" s="1322">
        <v>1197.133</v>
      </c>
      <c r="AB18" s="1325">
        <v>1.6199999999999999E-2</v>
      </c>
      <c r="AC18" s="1314"/>
      <c r="AD18" s="1322">
        <v>685.12900000000002</v>
      </c>
      <c r="AE18" s="1322">
        <v>1063.308</v>
      </c>
      <c r="AF18" s="1325">
        <v>1.7299999999999999E-2</v>
      </c>
      <c r="AG18" s="1314"/>
      <c r="AH18" s="1322">
        <v>772.79499999999996</v>
      </c>
      <c r="AI18" s="1322">
        <v>1212.29</v>
      </c>
      <c r="AJ18" s="1325">
        <v>1.8800000000000001E-2</v>
      </c>
      <c r="AK18" s="1320"/>
      <c r="AL18" s="1322">
        <v>683.05899999999997</v>
      </c>
      <c r="AM18" s="1322">
        <v>1090.5150000000001</v>
      </c>
      <c r="AN18" s="1325">
        <v>1.77E-2</v>
      </c>
      <c r="AO18" s="1314"/>
      <c r="AP18" s="1322">
        <v>822.077</v>
      </c>
      <c r="AQ18" s="1322">
        <v>1346.528</v>
      </c>
      <c r="AR18" s="1325">
        <v>1.7299999999999999E-2</v>
      </c>
      <c r="AS18" s="1320"/>
      <c r="AT18" s="1323">
        <v>1056204</v>
      </c>
      <c r="AU18" s="1323">
        <v>1621792</v>
      </c>
      <c r="AV18" s="1320">
        <v>1.7500000000000002E-2</v>
      </c>
      <c r="AW18" s="1320"/>
      <c r="AX18" s="1323">
        <v>1011278</v>
      </c>
      <c r="AY18" s="1323">
        <v>1686860</v>
      </c>
      <c r="AZ18" s="1320">
        <v>1.77E-2</v>
      </c>
      <c r="BA18" s="1314"/>
      <c r="BB18" s="1323">
        <v>845.50900000000001</v>
      </c>
      <c r="BC18" s="1323">
        <v>1400.2080000000001</v>
      </c>
      <c r="BD18" s="1320">
        <v>1.6199999999999999E-2</v>
      </c>
      <c r="BE18" s="1314"/>
      <c r="BF18" s="1323">
        <v>1033.3409999999999</v>
      </c>
      <c r="BG18" s="1323">
        <v>1569.9839999999999</v>
      </c>
      <c r="BH18" s="1320">
        <v>1.72E-2</v>
      </c>
      <c r="BI18" s="1314"/>
      <c r="BJ18" s="1323">
        <v>1175.3689999999999</v>
      </c>
      <c r="BK18" s="1323">
        <v>1814.568</v>
      </c>
      <c r="BL18" s="1319">
        <v>1.5800000000000002E-2</v>
      </c>
      <c r="BM18" s="1314"/>
      <c r="BN18" s="1322">
        <v>1292.7909999999999</v>
      </c>
      <c r="BO18" s="1322">
        <v>1960.201</v>
      </c>
      <c r="BP18" s="1325">
        <v>1.5800000000000002E-2</v>
      </c>
      <c r="BQ18" s="1326">
        <v>789.01900000000001</v>
      </c>
      <c r="BR18" s="1322">
        <v>1389.1179999999999</v>
      </c>
      <c r="BS18" s="1325">
        <v>1.37E-2</v>
      </c>
      <c r="BT18" s="1322">
        <v>1050.0830000000001</v>
      </c>
      <c r="BU18" s="1322">
        <v>1862.491</v>
      </c>
      <c r="BV18" s="1325">
        <v>1.3899999999999999E-2</v>
      </c>
      <c r="BW18" s="1325"/>
      <c r="BX18" s="1325"/>
      <c r="BY18" s="1325"/>
      <c r="BZ18" s="1325"/>
      <c r="CA18" s="1325"/>
      <c r="CB18" s="1325"/>
      <c r="CC18" s="1325"/>
    </row>
    <row r="19" spans="3:81">
      <c r="C19" s="1314"/>
      <c r="D19" s="1317" t="s">
        <v>1699</v>
      </c>
      <c r="E19" s="1317"/>
      <c r="F19" s="1322">
        <v>330.79700000000003</v>
      </c>
      <c r="G19" s="1322">
        <v>507.82</v>
      </c>
      <c r="H19" s="1325">
        <v>2.2499999999999999E-2</v>
      </c>
      <c r="I19" s="1314"/>
      <c r="J19" s="1322">
        <v>506.41</v>
      </c>
      <c r="K19" s="1322">
        <v>746.21900000000005</v>
      </c>
      <c r="L19" s="1325">
        <v>2.3599999999999999E-2</v>
      </c>
      <c r="M19" s="1314"/>
      <c r="N19" s="1322">
        <v>587.24300000000005</v>
      </c>
      <c r="O19" s="1322">
        <v>872.10299999999995</v>
      </c>
      <c r="P19" s="1325">
        <v>2.3300000000000001E-2</v>
      </c>
      <c r="Q19" s="1314"/>
      <c r="R19" s="1322">
        <v>627.01700000000005</v>
      </c>
      <c r="S19" s="1322">
        <v>976.62400000000002</v>
      </c>
      <c r="T19" s="1325">
        <v>2.2800000000000001E-2</v>
      </c>
      <c r="U19" s="1314"/>
      <c r="V19" s="1322">
        <v>725.26700000000005</v>
      </c>
      <c r="W19" s="1322">
        <v>1128.7650000000001</v>
      </c>
      <c r="X19" s="1325">
        <v>2.1999999999999999E-2</v>
      </c>
      <c r="Y19" s="1314"/>
      <c r="Z19" s="1322">
        <v>453.39800000000002</v>
      </c>
      <c r="AA19" s="1322">
        <v>753.44799999999998</v>
      </c>
      <c r="AB19" s="1325">
        <v>2.35E-2</v>
      </c>
      <c r="AC19" s="1314"/>
      <c r="AD19" s="1322">
        <v>432.17500000000001</v>
      </c>
      <c r="AE19" s="1322">
        <v>684.79</v>
      </c>
      <c r="AF19" s="1325">
        <v>2.4899999999999999E-2</v>
      </c>
      <c r="AG19" s="1314"/>
      <c r="AH19" s="1322">
        <v>478.10199999999998</v>
      </c>
      <c r="AI19" s="1322">
        <v>771.78899999999999</v>
      </c>
      <c r="AJ19" s="1325">
        <v>2.6499999999999999E-2</v>
      </c>
      <c r="AK19" s="1320"/>
      <c r="AL19" s="1322">
        <v>422.99900000000002</v>
      </c>
      <c r="AM19" s="1322">
        <v>682.75</v>
      </c>
      <c r="AN19" s="1325">
        <v>2.5100000000000001E-2</v>
      </c>
      <c r="AO19" s="1314"/>
      <c r="AP19" s="1322">
        <v>514.45899999999995</v>
      </c>
      <c r="AQ19" s="1322">
        <v>818.06500000000005</v>
      </c>
      <c r="AR19" s="1325">
        <v>2.46E-2</v>
      </c>
      <c r="AS19" s="1320"/>
      <c r="AT19" s="1323">
        <v>636747</v>
      </c>
      <c r="AU19" s="1323">
        <v>1055320</v>
      </c>
      <c r="AV19" s="1320">
        <v>2.4799999999999999E-2</v>
      </c>
      <c r="AW19" s="1320"/>
      <c r="AX19" s="1323">
        <v>549056</v>
      </c>
      <c r="AY19" s="1323">
        <v>1010634</v>
      </c>
      <c r="AZ19" s="1320">
        <v>2.18E-2</v>
      </c>
      <c r="BA19" s="1314"/>
      <c r="BB19" s="1323">
        <v>448.50200000000001</v>
      </c>
      <c r="BC19" s="1323">
        <v>844.47500000000002</v>
      </c>
      <c r="BD19" s="1320">
        <v>2.0400000000000001E-2</v>
      </c>
      <c r="BE19" s="1314"/>
      <c r="BF19" s="1323">
        <v>569.279</v>
      </c>
      <c r="BG19" s="1323">
        <v>1030.4259999999999</v>
      </c>
      <c r="BH19" s="1320">
        <v>2.0799999999999999E-2</v>
      </c>
      <c r="BI19" s="1314"/>
      <c r="BJ19" s="1323">
        <v>657.70500000000004</v>
      </c>
      <c r="BK19" s="1323">
        <v>1170.0630000000001</v>
      </c>
      <c r="BL19" s="1319">
        <v>1.8799999999999997E-2</v>
      </c>
      <c r="BM19" s="1314"/>
      <c r="BN19" s="1322">
        <v>730.04700000000003</v>
      </c>
      <c r="BO19" s="1322">
        <v>1292.2239999999999</v>
      </c>
      <c r="BP19" s="1325">
        <v>1.7999999999999999E-2</v>
      </c>
      <c r="BQ19" s="1326">
        <v>377.07600000000002</v>
      </c>
      <c r="BR19" s="1322">
        <v>782.38300000000004</v>
      </c>
      <c r="BS19" s="1325">
        <v>1.18E-2</v>
      </c>
      <c r="BT19" s="1322">
        <v>555.88</v>
      </c>
      <c r="BU19" s="1322">
        <v>1046.037</v>
      </c>
      <c r="BV19" s="1325">
        <v>1.14E-2</v>
      </c>
      <c r="BW19" s="1325"/>
      <c r="BX19" s="1325"/>
      <c r="BY19" s="1325"/>
      <c r="BZ19" s="1325"/>
      <c r="CA19" s="1325"/>
      <c r="CB19" s="1325"/>
      <c r="CC19" s="1325"/>
    </row>
    <row r="20" spans="3:81">
      <c r="C20" s="1314"/>
      <c r="D20" s="1317" t="s">
        <v>1700</v>
      </c>
      <c r="E20" s="1317"/>
      <c r="F20" s="1322">
        <v>166.44499999999999</v>
      </c>
      <c r="G20" s="1322">
        <v>330.608</v>
      </c>
      <c r="H20" s="1325">
        <v>2.9000000000000001E-2</v>
      </c>
      <c r="I20" s="1314"/>
      <c r="J20" s="1322">
        <v>262.97399999999999</v>
      </c>
      <c r="K20" s="1322">
        <v>505.43700000000001</v>
      </c>
      <c r="L20" s="1325">
        <v>2.86E-2</v>
      </c>
      <c r="M20" s="1314"/>
      <c r="N20" s="1322">
        <v>265.05599999999998</v>
      </c>
      <c r="O20" s="1322">
        <v>586.39300000000003</v>
      </c>
      <c r="P20" s="1325">
        <v>2.76E-2</v>
      </c>
      <c r="Q20" s="1314"/>
      <c r="R20" s="1322">
        <v>314.91199999999998</v>
      </c>
      <c r="S20" s="1322">
        <v>626.95500000000004</v>
      </c>
      <c r="T20" s="1325">
        <v>2.7E-2</v>
      </c>
      <c r="U20" s="1314"/>
      <c r="V20" s="1322">
        <v>363.54899999999998</v>
      </c>
      <c r="W20" s="1322">
        <v>723.25800000000004</v>
      </c>
      <c r="X20" s="1325">
        <v>2.5600000000000001E-2</v>
      </c>
      <c r="Y20" s="1314"/>
      <c r="Z20" s="1322">
        <v>218.74299999999999</v>
      </c>
      <c r="AA20" s="1322">
        <v>453.25400000000002</v>
      </c>
      <c r="AB20" s="1325">
        <v>2.7099999999999999E-2</v>
      </c>
      <c r="AC20" s="1314"/>
      <c r="AD20" s="1322">
        <v>214.19399999999999</v>
      </c>
      <c r="AE20" s="1322">
        <v>431.25599999999997</v>
      </c>
      <c r="AF20" s="1325">
        <v>2.8500000000000001E-2</v>
      </c>
      <c r="AG20" s="1314"/>
      <c r="AH20" s="1322">
        <v>235.72499999999999</v>
      </c>
      <c r="AI20" s="1322">
        <v>477.53899999999999</v>
      </c>
      <c r="AJ20" s="1325">
        <v>2.9399999999999999E-2</v>
      </c>
      <c r="AK20" s="1320"/>
      <c r="AL20" s="1322">
        <v>206.80199999999999</v>
      </c>
      <c r="AM20" s="1322">
        <v>422.81099999999998</v>
      </c>
      <c r="AN20" s="1325">
        <v>2.8000000000000001E-2</v>
      </c>
      <c r="AO20" s="1314"/>
      <c r="AP20" s="1322">
        <v>254.60400000000001</v>
      </c>
      <c r="AQ20" s="1322">
        <v>514.20899999999995</v>
      </c>
      <c r="AR20" s="1325">
        <v>2.7E-2</v>
      </c>
      <c r="AS20" s="1320"/>
      <c r="AT20" s="1323">
        <v>339522</v>
      </c>
      <c r="AU20" s="1323">
        <v>632770</v>
      </c>
      <c r="AV20" s="1320">
        <v>2.76E-2</v>
      </c>
      <c r="AW20" s="1320"/>
      <c r="AX20" s="1323">
        <v>300752</v>
      </c>
      <c r="AY20" s="1323">
        <v>548839</v>
      </c>
      <c r="AZ20" s="1320">
        <v>2.64E-2</v>
      </c>
      <c r="BA20" s="1314"/>
      <c r="BB20" s="1323">
        <v>209.88</v>
      </c>
      <c r="BC20" s="1323">
        <v>448.07900000000001</v>
      </c>
      <c r="BD20" s="1320">
        <v>2.5399999999999999E-2</v>
      </c>
      <c r="BE20" s="1314"/>
      <c r="BF20" s="1323">
        <v>263.71499999999997</v>
      </c>
      <c r="BG20" s="1323">
        <v>567.84299999999996</v>
      </c>
      <c r="BH20" s="1320">
        <v>2.6800000000000001E-2</v>
      </c>
      <c r="BI20" s="1314"/>
      <c r="BJ20" s="1323">
        <v>299.39999999999998</v>
      </c>
      <c r="BK20" s="1323">
        <v>656.84500000000003</v>
      </c>
      <c r="BL20" s="1319">
        <v>2.5000000000000001E-2</v>
      </c>
      <c r="BM20" s="1314"/>
      <c r="BN20" s="1322">
        <v>325.36</v>
      </c>
      <c r="BO20" s="1322">
        <v>727.84299999999996</v>
      </c>
      <c r="BP20" s="1325">
        <v>2.46E-2</v>
      </c>
      <c r="BQ20" s="1326">
        <v>218.38900000000001</v>
      </c>
      <c r="BR20" s="1322">
        <v>373.87900000000002</v>
      </c>
      <c r="BS20" s="1325">
        <v>2.1499999999999998E-2</v>
      </c>
      <c r="BT20" s="1322">
        <v>213.03899999999999</v>
      </c>
      <c r="BU20" s="1322">
        <v>554.52300000000002</v>
      </c>
      <c r="BV20" s="1325">
        <v>1.9900000000000001E-2</v>
      </c>
      <c r="BW20" s="1325"/>
      <c r="BX20" s="1325"/>
      <c r="BY20" s="1325"/>
      <c r="BZ20" s="1325"/>
      <c r="CA20" s="1325"/>
      <c r="CB20" s="1325"/>
      <c r="CC20" s="1325"/>
    </row>
    <row r="21" spans="3:81">
      <c r="C21" s="1324"/>
      <c r="D21" s="1327" t="s">
        <v>1701</v>
      </c>
      <c r="E21" s="1328"/>
      <c r="F21" s="1329">
        <v>0.33200000000000002</v>
      </c>
      <c r="G21" s="1329">
        <v>166.41399999999999</v>
      </c>
      <c r="H21" s="1330">
        <v>6.3399999999999998E-2</v>
      </c>
      <c r="I21" s="1324"/>
      <c r="J21" s="1329">
        <v>1.393</v>
      </c>
      <c r="K21" s="1329">
        <v>262.72500000000002</v>
      </c>
      <c r="L21" s="1330">
        <v>6.4100000000000004E-2</v>
      </c>
      <c r="M21" s="1324"/>
      <c r="N21" s="1329">
        <v>1.079</v>
      </c>
      <c r="O21" s="1329">
        <v>264.98099999999999</v>
      </c>
      <c r="P21" s="1330">
        <v>6.3600000000000004E-2</v>
      </c>
      <c r="Q21" s="1324"/>
      <c r="R21" s="1329">
        <v>2.2469999999999999</v>
      </c>
      <c r="S21" s="1329">
        <v>314.43299999999999</v>
      </c>
      <c r="T21" s="1330">
        <v>6.2700000000000006E-2</v>
      </c>
      <c r="U21" s="1324"/>
      <c r="V21" s="1329">
        <v>1.9219999999999999</v>
      </c>
      <c r="W21" s="1329">
        <v>363.47899999999998</v>
      </c>
      <c r="X21" s="1330">
        <v>5.8200000000000002E-2</v>
      </c>
      <c r="Y21" s="1324"/>
      <c r="Z21" s="1329">
        <v>1.575</v>
      </c>
      <c r="AA21" s="1329">
        <v>218.53299999999999</v>
      </c>
      <c r="AB21" s="1330">
        <v>5.8099999999999999E-2</v>
      </c>
      <c r="AC21" s="1324"/>
      <c r="AD21" s="1329">
        <v>1.0069999999999999</v>
      </c>
      <c r="AE21" s="1329">
        <v>214.11099999999999</v>
      </c>
      <c r="AF21" s="1330">
        <v>6.2799999999999995E-2</v>
      </c>
      <c r="AG21" s="1324"/>
      <c r="AH21" s="1329">
        <v>1.222</v>
      </c>
      <c r="AI21" s="1329">
        <v>235.64699999999999</v>
      </c>
      <c r="AJ21" s="1330">
        <v>6.3600000000000004E-2</v>
      </c>
      <c r="AK21" s="1331"/>
      <c r="AL21" s="1329">
        <v>1.028</v>
      </c>
      <c r="AM21" s="1329">
        <v>206.79499999999999</v>
      </c>
      <c r="AN21" s="1330">
        <v>6.0999999999999999E-2</v>
      </c>
      <c r="AO21" s="1324"/>
      <c r="AP21" s="1329">
        <v>1.139</v>
      </c>
      <c r="AQ21" s="1329">
        <v>253.761</v>
      </c>
      <c r="AR21" s="1330">
        <v>6.0299999999999999E-2</v>
      </c>
      <c r="AS21" s="1331"/>
      <c r="AT21" s="1332">
        <v>2395</v>
      </c>
      <c r="AU21" s="1332">
        <v>338829</v>
      </c>
      <c r="AV21" s="1331">
        <v>6.0100000000000001E-2</v>
      </c>
      <c r="AW21" s="1331"/>
      <c r="AX21" s="1332">
        <v>3037</v>
      </c>
      <c r="AY21" s="1332">
        <v>300725</v>
      </c>
      <c r="AZ21" s="1331">
        <v>5.7200000000000001E-2</v>
      </c>
      <c r="BA21" s="1324"/>
      <c r="BB21" s="1332">
        <v>1.9630000000000001</v>
      </c>
      <c r="BC21" s="1332">
        <v>209.40600000000001</v>
      </c>
      <c r="BD21" s="1331">
        <v>5.6000000000000001E-2</v>
      </c>
      <c r="BE21" s="1324"/>
      <c r="BF21" s="1332">
        <v>2.516</v>
      </c>
      <c r="BG21" s="1332">
        <v>262.89100000000002</v>
      </c>
      <c r="BH21" s="1331">
        <v>5.5899999999999998E-2</v>
      </c>
      <c r="BI21" s="1324"/>
      <c r="BJ21" s="1332">
        <v>2.5310000000000001</v>
      </c>
      <c r="BK21" s="1332">
        <v>299.29000000000002</v>
      </c>
      <c r="BL21" s="1333">
        <v>5.3699999999999998E-2</v>
      </c>
      <c r="BM21" s="1324"/>
      <c r="BN21" s="1329">
        <v>2.4550000000000001</v>
      </c>
      <c r="BO21" s="1329">
        <v>321.57799999999997</v>
      </c>
      <c r="BP21" s="1330">
        <v>5.2200000000000003E-2</v>
      </c>
      <c r="BQ21" s="1334">
        <v>2.0150000000000001</v>
      </c>
      <c r="BR21" s="1329">
        <v>218.227</v>
      </c>
      <c r="BS21" s="1330">
        <v>4.8300000000000003E-2</v>
      </c>
      <c r="BT21" s="1329">
        <v>1.5760000000000001</v>
      </c>
      <c r="BU21" s="1329">
        <v>212.64400000000001</v>
      </c>
      <c r="BV21" s="1330">
        <v>4.7E-2</v>
      </c>
      <c r="BW21" s="1330"/>
      <c r="BX21" s="1330"/>
      <c r="BY21" s="1330"/>
      <c r="BZ21" s="1330"/>
      <c r="CA21" s="1330"/>
      <c r="CB21" s="1330"/>
      <c r="CC21" s="1330"/>
    </row>
    <row r="22" spans="3:81">
      <c r="C22" s="1316"/>
      <c r="D22" s="1316"/>
      <c r="E22" s="1316"/>
      <c r="F22" s="1316"/>
      <c r="G22" s="1316"/>
      <c r="H22" s="1335"/>
      <c r="I22" s="1316"/>
      <c r="J22" s="1316"/>
      <c r="K22" s="1316"/>
      <c r="L22" s="1335"/>
      <c r="M22" s="1316"/>
      <c r="N22" s="1316"/>
      <c r="O22" s="1316"/>
      <c r="P22" s="1335"/>
      <c r="Q22" s="1316"/>
      <c r="R22" s="1316"/>
      <c r="S22" s="1316"/>
      <c r="T22" s="1335"/>
      <c r="U22" s="1316"/>
      <c r="V22" s="1316"/>
      <c r="W22" s="1316"/>
      <c r="X22" s="1335"/>
      <c r="Y22" s="1316"/>
      <c r="Z22" s="1316"/>
      <c r="AA22" s="1316"/>
      <c r="AB22" s="1335"/>
      <c r="AC22" s="1316"/>
      <c r="AD22" s="1316"/>
      <c r="AE22" s="1316"/>
      <c r="AF22" s="1335"/>
      <c r="AG22" s="1316"/>
      <c r="AH22" s="1316"/>
      <c r="AI22" s="1316"/>
      <c r="AJ22" s="1335"/>
      <c r="AK22" s="1336"/>
      <c r="AL22" s="1316"/>
      <c r="AM22" s="1316"/>
      <c r="AN22" s="1335"/>
      <c r="AO22" s="1316"/>
      <c r="AP22" s="1316"/>
      <c r="AQ22" s="1316"/>
      <c r="AR22" s="1335"/>
      <c r="AS22" s="1336"/>
      <c r="AT22" s="1337"/>
      <c r="AU22" s="1337"/>
      <c r="AV22" s="1336"/>
      <c r="AW22" s="1336"/>
      <c r="AX22" s="1337"/>
      <c r="AY22" s="1337"/>
      <c r="AZ22" s="1336"/>
      <c r="BA22" s="1316"/>
      <c r="BB22" s="1337"/>
      <c r="BC22" s="1337"/>
      <c r="BD22" s="1336"/>
      <c r="BE22" s="1316"/>
      <c r="BF22" s="1337"/>
      <c r="BG22" s="1337"/>
      <c r="BH22" s="1336"/>
      <c r="BI22" s="1316"/>
      <c r="BJ22" s="1337"/>
      <c r="BK22" s="1337"/>
      <c r="BL22" s="1338"/>
      <c r="BM22" s="1316"/>
      <c r="BN22" s="1316"/>
      <c r="BO22" s="1316"/>
      <c r="BP22" s="1335"/>
      <c r="BQ22" s="1316"/>
      <c r="BR22" s="1316"/>
      <c r="BS22" s="1335"/>
      <c r="BT22" s="1316"/>
      <c r="BU22" s="1316"/>
      <c r="BV22" s="1335"/>
      <c r="BW22" s="1339"/>
      <c r="BX22" s="1339"/>
      <c r="BY22" s="1339"/>
      <c r="BZ22" s="1339"/>
      <c r="CA22" s="1339"/>
      <c r="CB22" s="1339"/>
      <c r="CC22" s="1339"/>
    </row>
    <row r="23" spans="3:81">
      <c r="C23" s="1324" t="s">
        <v>1702</v>
      </c>
      <c r="D23" s="1314"/>
      <c r="E23" s="1314"/>
      <c r="F23" s="1314"/>
      <c r="G23" s="1314"/>
      <c r="H23" s="1339"/>
      <c r="I23" s="1314"/>
      <c r="J23" s="1314"/>
      <c r="K23" s="1314"/>
      <c r="L23" s="1339"/>
      <c r="M23" s="1314"/>
      <c r="N23" s="1314"/>
      <c r="O23" s="1314"/>
      <c r="P23" s="1339"/>
      <c r="Q23" s="1314"/>
      <c r="R23" s="1314"/>
      <c r="S23" s="1314"/>
      <c r="T23" s="1339"/>
      <c r="U23" s="1314"/>
      <c r="V23" s="1314"/>
      <c r="W23" s="1314"/>
      <c r="X23" s="1339"/>
      <c r="Y23" s="1314"/>
      <c r="Z23" s="1314"/>
      <c r="AA23" s="1314"/>
      <c r="AB23" s="1339"/>
      <c r="AC23" s="1314"/>
      <c r="AD23" s="1314"/>
      <c r="AE23" s="1314"/>
      <c r="AF23" s="1339"/>
      <c r="AG23" s="1314"/>
      <c r="AH23" s="1314"/>
      <c r="AI23" s="1314"/>
      <c r="AJ23" s="1339"/>
      <c r="AK23" s="1320"/>
      <c r="AL23" s="1314"/>
      <c r="AM23" s="1314"/>
      <c r="AN23" s="1339"/>
      <c r="AO23" s="1314"/>
      <c r="AP23" s="1314"/>
      <c r="AQ23" s="1314"/>
      <c r="AR23" s="1339"/>
      <c r="AS23" s="1320"/>
      <c r="AT23" s="1321"/>
      <c r="AU23" s="1321"/>
      <c r="AV23" s="1320"/>
      <c r="AW23" s="1320"/>
      <c r="AX23" s="1321"/>
      <c r="AY23" s="1321"/>
      <c r="AZ23" s="1320"/>
      <c r="BA23" s="1314"/>
      <c r="BB23" s="1321"/>
      <c r="BC23" s="1321"/>
      <c r="BD23" s="1320"/>
      <c r="BE23" s="1314"/>
      <c r="BF23" s="1321"/>
      <c r="BG23" s="1321"/>
      <c r="BH23" s="1320"/>
      <c r="BI23" s="1314"/>
      <c r="BJ23" s="1321"/>
      <c r="BK23" s="1321"/>
      <c r="BL23" s="1319"/>
      <c r="BM23" s="1314"/>
      <c r="BN23" s="1314"/>
      <c r="BO23" s="1314"/>
      <c r="BP23" s="1339"/>
      <c r="BQ23" s="1314"/>
      <c r="BR23" s="1314"/>
      <c r="BS23" s="1339"/>
      <c r="BT23" s="1314"/>
      <c r="BU23" s="1314"/>
      <c r="BV23" s="1339"/>
      <c r="BW23" s="1339"/>
      <c r="BX23" s="1339"/>
      <c r="BY23" s="1339"/>
      <c r="BZ23" s="1339"/>
      <c r="CA23" s="1339"/>
      <c r="CB23" s="1339"/>
      <c r="CC23" s="1339"/>
    </row>
    <row r="24" spans="3:81">
      <c r="C24" s="1314"/>
      <c r="D24" s="1340" t="s">
        <v>1703</v>
      </c>
      <c r="E24" s="1340"/>
      <c r="F24" s="1341">
        <v>96.960999999999999</v>
      </c>
      <c r="G24" s="1341">
        <v>166.41399999999999</v>
      </c>
      <c r="H24" s="1342">
        <v>4.4999999999999998E-2</v>
      </c>
      <c r="I24" s="1343"/>
      <c r="J24" s="1341">
        <v>144.12200000000001</v>
      </c>
      <c r="K24" s="1341">
        <v>262.72500000000002</v>
      </c>
      <c r="L24" s="1342">
        <v>4.5400000000000003E-2</v>
      </c>
      <c r="M24" s="1343"/>
      <c r="N24" s="1341">
        <v>169.245</v>
      </c>
      <c r="O24" s="1341">
        <v>264.98099999999999</v>
      </c>
      <c r="P24" s="1342">
        <v>4.3900000000000002E-2</v>
      </c>
      <c r="Q24" s="1343"/>
      <c r="R24" s="1341">
        <v>173.66399999999999</v>
      </c>
      <c r="S24" s="1341">
        <v>314.43299999999999</v>
      </c>
      <c r="T24" s="1342">
        <v>4.3499999999999997E-2</v>
      </c>
      <c r="U24" s="1343"/>
      <c r="V24" s="1341">
        <v>211.62799999999999</v>
      </c>
      <c r="W24" s="1341">
        <v>363.47899999999998</v>
      </c>
      <c r="X24" s="1342">
        <v>3.9899999999999998E-2</v>
      </c>
      <c r="Y24" s="1343"/>
      <c r="Z24" s="1341">
        <v>136.59899999999999</v>
      </c>
      <c r="AA24" s="1341">
        <v>218.53299999999999</v>
      </c>
      <c r="AB24" s="1342">
        <v>4.1099999999999998E-2</v>
      </c>
      <c r="AC24" s="1343"/>
      <c r="AD24" s="1341">
        <v>123.536</v>
      </c>
      <c r="AE24" s="1341">
        <v>214.11099999999999</v>
      </c>
      <c r="AF24" s="1342">
        <v>4.4499999999999998E-2</v>
      </c>
      <c r="AG24" s="1343"/>
      <c r="AH24" s="1341">
        <v>143.887</v>
      </c>
      <c r="AI24" s="1341">
        <v>235.64699999999999</v>
      </c>
      <c r="AJ24" s="1342">
        <v>4.5499999999999999E-2</v>
      </c>
      <c r="AK24" s="1344"/>
      <c r="AL24" s="1341">
        <v>128.714</v>
      </c>
      <c r="AM24" s="1341">
        <v>206.79499999999999</v>
      </c>
      <c r="AN24" s="1342">
        <v>4.3400000000000001E-2</v>
      </c>
      <c r="AO24" s="1343"/>
      <c r="AP24" s="1341">
        <v>166.154</v>
      </c>
      <c r="AQ24" s="1341">
        <v>253.761</v>
      </c>
      <c r="AR24" s="1342">
        <v>4.2299999999999997E-2</v>
      </c>
      <c r="AS24" s="1344"/>
      <c r="AT24" s="1345"/>
      <c r="AU24" s="1345"/>
      <c r="AV24" s="1344"/>
      <c r="AW24" s="1344"/>
      <c r="AX24" s="1345"/>
      <c r="AY24" s="1345"/>
      <c r="AZ24" s="1344"/>
      <c r="BA24" s="1343"/>
      <c r="BB24" s="1345">
        <v>108.69199999999999</v>
      </c>
      <c r="BC24" s="1345">
        <v>209.40600000000001</v>
      </c>
      <c r="BD24" s="1344">
        <v>4.0399999999999998E-2</v>
      </c>
      <c r="BE24" s="1343"/>
      <c r="BF24" s="1345">
        <v>127.29600000000001</v>
      </c>
      <c r="BG24" s="1345">
        <v>262.89100000000002</v>
      </c>
      <c r="BH24" s="1344">
        <v>4.0899999999999999E-2</v>
      </c>
      <c r="BI24" s="1343"/>
      <c r="BJ24" s="1345">
        <v>166.505</v>
      </c>
      <c r="BK24" s="1345">
        <v>299.29000000000002</v>
      </c>
      <c r="BL24" s="1342">
        <v>3.8600000000000002E-2</v>
      </c>
      <c r="BM24" s="1343"/>
      <c r="BN24" s="1341">
        <v>185.41800000000001</v>
      </c>
      <c r="BO24" s="1341">
        <v>321.57799999999997</v>
      </c>
      <c r="BP24" s="1342">
        <v>3.7100000000000001E-2</v>
      </c>
      <c r="BQ24" s="1341">
        <v>123.803</v>
      </c>
      <c r="BR24" s="1341">
        <v>218.227</v>
      </c>
      <c r="BS24" s="1342">
        <v>3.4000000000000002E-2</v>
      </c>
      <c r="BT24" s="1341">
        <v>97.463999999999999</v>
      </c>
      <c r="BU24" s="1341">
        <v>212.64400000000001</v>
      </c>
      <c r="BV24" s="1342">
        <v>3.2899999999999999E-2</v>
      </c>
      <c r="BW24" s="1333"/>
      <c r="BX24" s="1333"/>
      <c r="BY24" s="1333"/>
      <c r="BZ24" s="1333"/>
      <c r="CA24" s="1333"/>
      <c r="CB24" s="1333"/>
      <c r="CC24" s="1333"/>
    </row>
    <row r="25" spans="3:81">
      <c r="C25" s="1314"/>
      <c r="D25" s="1346" t="s">
        <v>1704</v>
      </c>
      <c r="E25" s="1347"/>
      <c r="F25" s="1348"/>
      <c r="G25" s="1348"/>
      <c r="H25" s="1325"/>
      <c r="I25" s="1349"/>
      <c r="J25" s="1348"/>
      <c r="K25" s="1348"/>
      <c r="L25" s="1325"/>
      <c r="M25" s="1349"/>
      <c r="N25" s="1348"/>
      <c r="O25" s="1348"/>
      <c r="P25" s="1325"/>
      <c r="Q25" s="1349"/>
      <c r="R25" s="1348"/>
      <c r="S25" s="1348"/>
      <c r="T25" s="1325"/>
      <c r="U25" s="1349"/>
      <c r="V25" s="1348"/>
      <c r="W25" s="1348"/>
      <c r="X25" s="1325"/>
      <c r="Y25" s="1349"/>
      <c r="Z25" s="1348"/>
      <c r="AA25" s="1348"/>
      <c r="AB25" s="1325"/>
      <c r="AC25" s="1349"/>
      <c r="AD25" s="1348">
        <v>169.66399999999999</v>
      </c>
      <c r="AE25" s="1348">
        <v>214.11099999999999</v>
      </c>
      <c r="AF25" s="1325">
        <v>3.85E-2</v>
      </c>
      <c r="AG25" s="1349"/>
      <c r="AH25" s="1348">
        <v>179.554</v>
      </c>
      <c r="AI25" s="1348">
        <v>235.64699999999999</v>
      </c>
      <c r="AJ25" s="1325">
        <v>3.9899999999999998E-2</v>
      </c>
      <c r="AK25" s="1320"/>
      <c r="AL25" s="1348">
        <v>170.60499999999999</v>
      </c>
      <c r="AM25" s="1348">
        <v>206.79499999999999</v>
      </c>
      <c r="AN25" s="1325">
        <v>3.7999999999999999E-2</v>
      </c>
      <c r="AO25" s="1349"/>
      <c r="AP25" s="1348">
        <v>212.292</v>
      </c>
      <c r="AQ25" s="1348">
        <v>253.761</v>
      </c>
      <c r="AR25" s="1325">
        <v>3.6600000000000001E-2</v>
      </c>
      <c r="AS25" s="1320"/>
      <c r="AT25" s="1350"/>
      <c r="AU25" s="1350"/>
      <c r="AV25" s="1320"/>
      <c r="AW25" s="1320"/>
      <c r="AX25" s="1350"/>
      <c r="AY25" s="1350"/>
      <c r="AZ25" s="1320"/>
      <c r="BA25" s="1349"/>
      <c r="BB25" s="1350">
        <v>148.934</v>
      </c>
      <c r="BC25" s="1350">
        <v>209.40600000000001</v>
      </c>
      <c r="BD25" s="1320">
        <v>3.04E-2</v>
      </c>
      <c r="BE25" s="1349"/>
      <c r="BF25" s="1350">
        <v>190.53299999999999</v>
      </c>
      <c r="BG25" s="1350">
        <v>262.89100000000002</v>
      </c>
      <c r="BH25" s="1320">
        <v>3.1E-2</v>
      </c>
      <c r="BI25" s="1314"/>
      <c r="BJ25" s="1350">
        <v>228.01400000000001</v>
      </c>
      <c r="BK25" s="1350">
        <v>299.29000000000002</v>
      </c>
      <c r="BL25" s="1319">
        <v>2.9100000000000001E-2</v>
      </c>
      <c r="BM25" s="1314"/>
      <c r="BN25" s="1348">
        <v>250.27</v>
      </c>
      <c r="BO25" s="1348">
        <v>321.57799999999997</v>
      </c>
      <c r="BP25" s="1325">
        <v>2.8899999999999999E-2</v>
      </c>
      <c r="BQ25" s="1348">
        <v>175.06899999999999</v>
      </c>
      <c r="BR25" s="1348">
        <v>218.227</v>
      </c>
      <c r="BS25" s="1325">
        <v>2.4400000000000002E-2</v>
      </c>
      <c r="BT25" s="1348">
        <v>153.79599999999999</v>
      </c>
      <c r="BU25" s="1348">
        <v>212.64400000000001</v>
      </c>
      <c r="BV25" s="1325">
        <v>2.3800000000000002E-2</v>
      </c>
      <c r="BW25" s="1325"/>
      <c r="BX25" s="1325"/>
      <c r="BY25" s="1325"/>
      <c r="BZ25" s="1325"/>
      <c r="CA25" s="1325"/>
      <c r="CB25" s="1325"/>
      <c r="CC25" s="1325"/>
    </row>
    <row r="26" spans="3:81">
      <c r="C26" s="1314"/>
      <c r="D26" s="1346" t="s">
        <v>1705</v>
      </c>
      <c r="E26" s="1347"/>
      <c r="F26" s="1348"/>
      <c r="G26" s="1348"/>
      <c r="H26" s="1325"/>
      <c r="I26" s="1349"/>
      <c r="J26" s="1348"/>
      <c r="K26" s="1348"/>
      <c r="L26" s="1325"/>
      <c r="M26" s="1349"/>
      <c r="N26" s="1348"/>
      <c r="O26" s="1348"/>
      <c r="P26" s="1325"/>
      <c r="Q26" s="1349"/>
      <c r="R26" s="1348"/>
      <c r="S26" s="1348"/>
      <c r="T26" s="1325"/>
      <c r="U26" s="1349"/>
      <c r="V26" s="1348"/>
      <c r="W26" s="1348"/>
      <c r="X26" s="1325"/>
      <c r="Y26" s="1349"/>
      <c r="Z26" s="1348"/>
      <c r="AA26" s="1348"/>
      <c r="AB26" s="1325"/>
      <c r="AC26" s="1349"/>
      <c r="AD26" s="1348">
        <v>123.536</v>
      </c>
      <c r="AE26" s="1348">
        <v>169.49700000000001</v>
      </c>
      <c r="AF26" s="1325">
        <v>4.9099999999999998E-2</v>
      </c>
      <c r="AG26" s="1349"/>
      <c r="AH26" s="1348">
        <v>143.887</v>
      </c>
      <c r="AI26" s="1348">
        <v>179.316</v>
      </c>
      <c r="AJ26" s="1325">
        <v>4.9599999999999998E-2</v>
      </c>
      <c r="AK26" s="1320"/>
      <c r="AL26" s="1348">
        <v>128.714</v>
      </c>
      <c r="AM26" s="1348">
        <v>170.59399999999999</v>
      </c>
      <c r="AN26" s="1325">
        <v>4.7500000000000001E-2</v>
      </c>
      <c r="AO26" s="1349"/>
      <c r="AP26" s="1348">
        <v>166.154</v>
      </c>
      <c r="AQ26" s="1348">
        <v>212.03100000000001</v>
      </c>
      <c r="AR26" s="1325">
        <v>4.6600000000000003E-2</v>
      </c>
      <c r="AS26" s="1320"/>
      <c r="AT26" s="1350"/>
      <c r="AU26" s="1350"/>
      <c r="AV26" s="1320"/>
      <c r="AW26" s="1320"/>
      <c r="AX26" s="1350"/>
      <c r="AY26" s="1350"/>
      <c r="AZ26" s="1320"/>
      <c r="BA26" s="1349"/>
      <c r="BB26" s="1350">
        <v>108.69199999999999</v>
      </c>
      <c r="BC26" s="1350">
        <v>148.81299999999999</v>
      </c>
      <c r="BD26" s="1320">
        <v>5.2999999999999999E-2</v>
      </c>
      <c r="BE26" s="1349"/>
      <c r="BF26" s="1350">
        <v>127.29300000000001</v>
      </c>
      <c r="BG26" s="1350">
        <v>190.38300000000001</v>
      </c>
      <c r="BH26" s="1320">
        <v>5.33E-2</v>
      </c>
      <c r="BI26" s="1314"/>
      <c r="BJ26" s="1350">
        <v>166.505</v>
      </c>
      <c r="BK26" s="1350">
        <v>227.81899999999999</v>
      </c>
      <c r="BL26" s="1319">
        <v>5.04E-2</v>
      </c>
      <c r="BM26" s="1314"/>
      <c r="BN26" s="1348">
        <v>185.41800000000001</v>
      </c>
      <c r="BO26" s="1348">
        <v>250.24799999999999</v>
      </c>
      <c r="BP26" s="1325">
        <v>4.6800000000000001E-2</v>
      </c>
      <c r="BQ26" s="1348">
        <v>123.803</v>
      </c>
      <c r="BR26" s="1348">
        <v>174.82499999999999</v>
      </c>
      <c r="BS26" s="1325">
        <v>4.65E-2</v>
      </c>
      <c r="BT26" s="1348">
        <v>97.463999999999999</v>
      </c>
      <c r="BU26" s="1348">
        <v>153.66999999999999</v>
      </c>
      <c r="BV26" s="1325">
        <v>4.4299999999999999E-2</v>
      </c>
      <c r="BW26" s="1325"/>
      <c r="BX26" s="1325"/>
      <c r="BY26" s="1325"/>
      <c r="BZ26" s="1325"/>
      <c r="CA26" s="1325"/>
      <c r="CB26" s="1325"/>
      <c r="CC26" s="1325"/>
    </row>
    <row r="27" spans="3:81">
      <c r="C27" s="1314"/>
      <c r="D27" s="1340" t="s">
        <v>1706</v>
      </c>
      <c r="E27" s="1340"/>
      <c r="F27" s="1341">
        <v>0.33200000000000002</v>
      </c>
      <c r="G27" s="1341">
        <v>96.927999999999997</v>
      </c>
      <c r="H27" s="1351">
        <v>9.8199999999999996E-2</v>
      </c>
      <c r="I27" s="1343"/>
      <c r="J27" s="1341">
        <v>1.393</v>
      </c>
      <c r="K27" s="1341">
        <v>143.916</v>
      </c>
      <c r="L27" s="1351">
        <v>9.9000000000000005E-2</v>
      </c>
      <c r="M27" s="1343"/>
      <c r="N27" s="1341">
        <v>1.079</v>
      </c>
      <c r="O27" s="1341">
        <v>169.19499999999999</v>
      </c>
      <c r="P27" s="1351">
        <v>9.8299999999999998E-2</v>
      </c>
      <c r="Q27" s="1343"/>
      <c r="R27" s="1341">
        <v>2.2469999999999999</v>
      </c>
      <c r="S27" s="1341">
        <v>173.43899999999999</v>
      </c>
      <c r="T27" s="1351">
        <v>9.6799999999999997E-2</v>
      </c>
      <c r="U27" s="1343"/>
      <c r="V27" s="1341">
        <v>1.9219999999999999</v>
      </c>
      <c r="W27" s="1341">
        <v>211.59</v>
      </c>
      <c r="X27" s="1351">
        <v>9.7299999999999998E-2</v>
      </c>
      <c r="Y27" s="1343"/>
      <c r="Z27" s="1341">
        <v>1.575</v>
      </c>
      <c r="AA27" s="1341">
        <v>136.5</v>
      </c>
      <c r="AB27" s="1351">
        <v>9.5299999999999996E-2</v>
      </c>
      <c r="AC27" s="1343"/>
      <c r="AD27" s="1341">
        <v>1.0069999999999999</v>
      </c>
      <c r="AE27" s="1341">
        <v>123.51600000000001</v>
      </c>
      <c r="AF27" s="1351">
        <v>0.10009999999999999</v>
      </c>
      <c r="AG27" s="1343"/>
      <c r="AH27" s="1341">
        <v>1.222</v>
      </c>
      <c r="AI27" s="1341">
        <v>143.37899999999999</v>
      </c>
      <c r="AJ27" s="1351">
        <v>0.10059999999999999</v>
      </c>
      <c r="AK27" s="1344"/>
      <c r="AL27" s="1341">
        <v>1.028</v>
      </c>
      <c r="AM27" s="1341">
        <v>128.672</v>
      </c>
      <c r="AN27" s="1351">
        <v>9.8100000000000007E-2</v>
      </c>
      <c r="AO27" s="1343"/>
      <c r="AP27" s="1341">
        <v>1.139</v>
      </c>
      <c r="AQ27" s="1341">
        <v>165.6</v>
      </c>
      <c r="AR27" s="1351">
        <v>9.74E-2</v>
      </c>
      <c r="AS27" s="1344"/>
      <c r="AT27" s="1345"/>
      <c r="AU27" s="1345"/>
      <c r="AV27" s="1344"/>
      <c r="AW27" s="1344"/>
      <c r="AX27" s="1345"/>
      <c r="AY27" s="1345"/>
      <c r="AZ27" s="1344"/>
      <c r="BA27" s="1343"/>
      <c r="BB27" s="1345">
        <v>1.9630000000000001</v>
      </c>
      <c r="BC27" s="1345">
        <v>108.598</v>
      </c>
      <c r="BD27" s="1344">
        <v>8.7599999999999997E-2</v>
      </c>
      <c r="BE27" s="1343"/>
      <c r="BF27" s="1345">
        <v>2.516</v>
      </c>
      <c r="BG27" s="1345">
        <v>127.279</v>
      </c>
      <c r="BH27" s="1344">
        <v>8.6400000000000005E-2</v>
      </c>
      <c r="BI27" s="1343"/>
      <c r="BJ27" s="1345">
        <v>2.5310000000000001</v>
      </c>
      <c r="BK27" s="1345">
        <v>166.34899999999999</v>
      </c>
      <c r="BL27" s="1342">
        <v>8.4099999999999994E-2</v>
      </c>
      <c r="BM27" s="1343"/>
      <c r="BN27" s="1341">
        <v>2.4550000000000001</v>
      </c>
      <c r="BO27" s="1341">
        <v>184.785</v>
      </c>
      <c r="BP27" s="1351">
        <v>8.2500000000000004E-2</v>
      </c>
      <c r="BQ27" s="1341">
        <v>2.0150000000000001</v>
      </c>
      <c r="BR27" s="1341">
        <v>123.803</v>
      </c>
      <c r="BS27" s="1351">
        <v>7.8299999999999995E-2</v>
      </c>
      <c r="BT27" s="1341">
        <v>1.5760000000000001</v>
      </c>
      <c r="BU27" s="1341">
        <v>97.397999999999996</v>
      </c>
      <c r="BV27" s="1351">
        <v>7.6399999999999996E-2</v>
      </c>
      <c r="BW27" s="1330"/>
      <c r="BX27" s="1330"/>
      <c r="BY27" s="1330"/>
      <c r="BZ27" s="1330"/>
      <c r="CA27" s="1330"/>
      <c r="CB27" s="1330"/>
      <c r="CC27" s="1330"/>
    </row>
    <row r="28" spans="3:81">
      <c r="C28" s="1314"/>
      <c r="D28" s="1346" t="s">
        <v>1707</v>
      </c>
      <c r="E28" s="1347"/>
      <c r="F28" s="1348"/>
      <c r="G28" s="1348"/>
      <c r="H28" s="1325"/>
      <c r="I28" s="1349"/>
      <c r="J28" s="1348"/>
      <c r="K28" s="1348"/>
      <c r="L28" s="1325"/>
      <c r="M28" s="1349"/>
      <c r="N28" s="1348"/>
      <c r="O28" s="1348"/>
      <c r="P28" s="1325"/>
      <c r="Q28" s="1349"/>
      <c r="R28" s="1348"/>
      <c r="S28" s="1348"/>
      <c r="T28" s="1325"/>
      <c r="U28" s="1349"/>
      <c r="V28" s="1348"/>
      <c r="W28" s="1348"/>
      <c r="X28" s="1325"/>
      <c r="Y28" s="1349"/>
      <c r="Z28" s="1348"/>
      <c r="AA28" s="1348"/>
      <c r="AB28" s="1325"/>
      <c r="AC28" s="1349"/>
      <c r="AD28" s="1348">
        <v>76.075000000000003</v>
      </c>
      <c r="AE28" s="1348">
        <v>123.51600000000001</v>
      </c>
      <c r="AF28" s="1325">
        <v>9.0499999999999997E-2</v>
      </c>
      <c r="AG28" s="1349"/>
      <c r="AH28" s="1348">
        <v>85.706000000000003</v>
      </c>
      <c r="AI28" s="1348">
        <v>143.37899999999999</v>
      </c>
      <c r="AJ28" s="1325">
        <v>9.1499999999999998E-2</v>
      </c>
      <c r="AK28" s="1320"/>
      <c r="AL28" s="1348">
        <v>86.875</v>
      </c>
      <c r="AM28" s="1348">
        <v>128.672</v>
      </c>
      <c r="AN28" s="1325">
        <v>8.9300000000000004E-2</v>
      </c>
      <c r="AO28" s="1349"/>
      <c r="AP28" s="1348">
        <v>96.483000000000004</v>
      </c>
      <c r="AQ28" s="1348">
        <v>165.6</v>
      </c>
      <c r="AR28" s="1325">
        <v>8.8999999999999996E-2</v>
      </c>
      <c r="AS28" s="1320"/>
      <c r="AT28" s="1350"/>
      <c r="AU28" s="1350"/>
      <c r="AV28" s="1320"/>
      <c r="AW28" s="1320"/>
      <c r="AX28" s="1350"/>
      <c r="AY28" s="1350"/>
      <c r="AZ28" s="1320"/>
      <c r="BA28" s="1349"/>
      <c r="BB28" s="1350">
        <v>64.846000000000004</v>
      </c>
      <c r="BC28" s="1350">
        <v>108.598</v>
      </c>
      <c r="BD28" s="1320">
        <v>7.3200000000000001E-2</v>
      </c>
      <c r="BE28" s="1349"/>
      <c r="BF28" s="1350">
        <v>73.561000000000007</v>
      </c>
      <c r="BG28" s="1350">
        <v>127.279</v>
      </c>
      <c r="BH28" s="1320">
        <v>7.2099999999999997E-2</v>
      </c>
      <c r="BI28" s="1314"/>
      <c r="BJ28" s="1350">
        <v>87.646000000000001</v>
      </c>
      <c r="BK28" s="1350">
        <v>166.34899999999999</v>
      </c>
      <c r="BL28" s="1319">
        <v>6.9800000000000001E-2</v>
      </c>
      <c r="BM28" s="1314"/>
      <c r="BN28" s="1348">
        <v>109.462</v>
      </c>
      <c r="BO28" s="1348">
        <v>184.785</v>
      </c>
      <c r="BP28" s="1325">
        <v>6.8500000000000005E-2</v>
      </c>
      <c r="BQ28" s="1348">
        <v>79.47</v>
      </c>
      <c r="BR28" s="1348">
        <v>123.803</v>
      </c>
      <c r="BS28" s="1325">
        <v>6.3700000000000007E-2</v>
      </c>
      <c r="BT28" s="1348">
        <v>57.814999999999998</v>
      </c>
      <c r="BU28" s="1348">
        <v>97.397999999999996</v>
      </c>
      <c r="BV28" s="1325">
        <v>6.2199999999999998E-2</v>
      </c>
      <c r="BW28" s="1325"/>
      <c r="BX28" s="1325"/>
      <c r="BY28" s="1325"/>
      <c r="BZ28" s="1325"/>
      <c r="CA28" s="1325"/>
      <c r="CB28" s="1325"/>
      <c r="CC28" s="1325"/>
    </row>
    <row r="29" spans="3:81">
      <c r="C29" s="1314"/>
      <c r="D29" s="1346" t="s">
        <v>1708</v>
      </c>
      <c r="E29" s="1347"/>
      <c r="F29" s="1348"/>
      <c r="G29" s="1348"/>
      <c r="H29" s="1325"/>
      <c r="I29" s="1349"/>
      <c r="J29" s="1348"/>
      <c r="K29" s="1348"/>
      <c r="L29" s="1325"/>
      <c r="M29" s="1349"/>
      <c r="N29" s="1348"/>
      <c r="O29" s="1348"/>
      <c r="P29" s="1325"/>
      <c r="Q29" s="1349"/>
      <c r="R29" s="1348"/>
      <c r="S29" s="1348"/>
      <c r="T29" s="1325"/>
      <c r="U29" s="1349"/>
      <c r="V29" s="1348"/>
      <c r="W29" s="1348"/>
      <c r="X29" s="1325"/>
      <c r="Y29" s="1349"/>
      <c r="Z29" s="1348"/>
      <c r="AA29" s="1348"/>
      <c r="AB29" s="1325"/>
      <c r="AC29" s="1349"/>
      <c r="AD29" s="1348">
        <v>1.0069999999999999</v>
      </c>
      <c r="AE29" s="1348">
        <v>76.052000000000007</v>
      </c>
      <c r="AF29" s="1325">
        <v>0.1206</v>
      </c>
      <c r="AG29" s="1349"/>
      <c r="AH29" s="1348">
        <v>1.222</v>
      </c>
      <c r="AI29" s="1348">
        <v>85.67</v>
      </c>
      <c r="AJ29" s="1325">
        <v>0.1206</v>
      </c>
      <c r="AK29" s="1320"/>
      <c r="AL29" s="1348">
        <v>1.028</v>
      </c>
      <c r="AM29" s="1348">
        <v>86.757000000000005</v>
      </c>
      <c r="AN29" s="1325">
        <v>0.1177</v>
      </c>
      <c r="AO29" s="1349"/>
      <c r="AP29" s="1348">
        <v>1.139</v>
      </c>
      <c r="AQ29" s="1348">
        <v>96.164000000000001</v>
      </c>
      <c r="AR29" s="1325">
        <v>0.11650000000000001</v>
      </c>
      <c r="AS29" s="1320"/>
      <c r="AT29" s="1352"/>
      <c r="AU29" s="1352"/>
      <c r="AV29" s="1320"/>
      <c r="AW29" s="1320"/>
      <c r="AX29" s="1352"/>
      <c r="AY29" s="1352"/>
      <c r="AZ29" s="1320"/>
      <c r="BA29" s="1349"/>
      <c r="BB29" s="1352">
        <v>1.9630000000000001</v>
      </c>
      <c r="BC29" s="1352">
        <v>64.747</v>
      </c>
      <c r="BD29" s="1320">
        <v>0.1179</v>
      </c>
      <c r="BE29" s="1349"/>
      <c r="BF29" s="1352">
        <v>2.516</v>
      </c>
      <c r="BG29" s="1352">
        <v>73.504000000000005</v>
      </c>
      <c r="BH29" s="1320">
        <v>0.1163</v>
      </c>
      <c r="BI29" s="1314"/>
      <c r="BJ29" s="1352">
        <v>2.5310000000000001</v>
      </c>
      <c r="BK29" s="1352">
        <v>87.6</v>
      </c>
      <c r="BL29" s="1319">
        <v>0.11380000000000001</v>
      </c>
      <c r="BM29" s="1314"/>
      <c r="BN29" s="1348">
        <v>2.4550000000000001</v>
      </c>
      <c r="BO29" s="1348">
        <v>109.40600000000001</v>
      </c>
      <c r="BP29" s="1325">
        <v>0.1114</v>
      </c>
      <c r="BQ29" s="1348">
        <v>2.0150000000000001</v>
      </c>
      <c r="BR29" s="1348">
        <v>78.783000000000001</v>
      </c>
      <c r="BS29" s="1325">
        <v>0.1099</v>
      </c>
      <c r="BT29" s="1348">
        <v>1.5760000000000001</v>
      </c>
      <c r="BU29" s="1348">
        <v>57.448</v>
      </c>
      <c r="BV29" s="1325">
        <v>0.10730000000000001</v>
      </c>
      <c r="BW29" s="1325"/>
      <c r="BX29" s="1325"/>
      <c r="BY29" s="1325"/>
      <c r="BZ29" s="1325"/>
      <c r="CA29" s="1325"/>
      <c r="CB29" s="1325"/>
      <c r="CC29" s="1325"/>
    </row>
    <row r="30" spans="3:81">
      <c r="BL30" s="1353"/>
      <c r="BO30" s="1314"/>
      <c r="BP30" s="1314"/>
      <c r="BU30" s="1314"/>
      <c r="BV30" s="1314"/>
    </row>
    <row r="31" spans="3:81">
      <c r="D31" s="1315" t="s">
        <v>1709</v>
      </c>
      <c r="E31" s="1354">
        <v>2022</v>
      </c>
      <c r="F31" s="1316"/>
      <c r="G31" s="1316"/>
      <c r="H31" s="1316"/>
      <c r="I31" s="1316"/>
      <c r="J31" s="1316"/>
      <c r="K31" s="1316"/>
      <c r="L31" s="1316"/>
      <c r="M31" s="1316"/>
      <c r="BO31" s="1314"/>
      <c r="BP31" s="1314"/>
      <c r="BU31" s="1314"/>
      <c r="BV31" s="1314"/>
    </row>
    <row r="32" spans="3:81">
      <c r="D32" s="1324" t="s">
        <v>1710</v>
      </c>
      <c r="E32" s="1355"/>
      <c r="F32" s="1314"/>
      <c r="G32" s="1314"/>
      <c r="H32" s="1314"/>
      <c r="I32" s="1314"/>
      <c r="J32" s="1314"/>
      <c r="K32" s="1314"/>
      <c r="L32" s="1314"/>
      <c r="M32" s="1314"/>
      <c r="BO32" s="1314"/>
      <c r="BP32" s="1314"/>
      <c r="BU32" s="1314"/>
      <c r="BV32" s="1314"/>
    </row>
    <row r="33" spans="2:74">
      <c r="D33" s="1324" t="s">
        <v>1711</v>
      </c>
      <c r="E33" s="1356" t="s">
        <v>1701</v>
      </c>
      <c r="F33" s="1314"/>
      <c r="G33" s="1314"/>
      <c r="H33" s="1314"/>
      <c r="I33" s="1314"/>
      <c r="J33" s="1314"/>
      <c r="K33" s="1314"/>
      <c r="L33" s="1314"/>
      <c r="M33" s="1314"/>
    </row>
    <row r="34" spans="2:74">
      <c r="D34" s="1357" t="s">
        <v>1712</v>
      </c>
      <c r="E34" s="1358">
        <f>BS21</f>
        <v>4.8300000000000003E-2</v>
      </c>
      <c r="F34" s="1359"/>
      <c r="G34" s="1360"/>
      <c r="H34" s="1360"/>
      <c r="I34" s="1360"/>
      <c r="J34" s="1359"/>
      <c r="K34" s="1360"/>
      <c r="L34" s="1360"/>
      <c r="M34" s="1360"/>
      <c r="N34" s="1361"/>
      <c r="R34" s="1361"/>
    </row>
    <row r="36" spans="2:74">
      <c r="B36" s="1314"/>
      <c r="C36" s="1314"/>
      <c r="D36" s="1314"/>
      <c r="E36" s="1314"/>
      <c r="F36" s="1314"/>
      <c r="G36" s="1314"/>
      <c r="H36" s="1314"/>
      <c r="I36" s="1314"/>
      <c r="J36" s="1314"/>
      <c r="K36" s="1314"/>
      <c r="L36" s="1314"/>
      <c r="M36" s="1314"/>
      <c r="N36" s="1314"/>
      <c r="O36" s="1314"/>
      <c r="P36" s="1314"/>
      <c r="Q36" s="1314"/>
      <c r="R36" s="1314"/>
      <c r="S36" s="1314"/>
      <c r="T36" s="1314"/>
      <c r="U36" s="1314"/>
      <c r="V36" s="1314"/>
      <c r="W36" s="1314"/>
      <c r="X36" s="1314"/>
      <c r="Y36" s="1314"/>
      <c r="Z36" s="1314"/>
      <c r="AA36" s="1314"/>
      <c r="AB36" s="1314"/>
      <c r="AC36" s="1314"/>
      <c r="AD36" s="1314"/>
      <c r="AE36" s="1314"/>
      <c r="AF36" s="1314"/>
      <c r="AG36" s="1314"/>
      <c r="AH36" s="1314"/>
      <c r="AI36" s="1314"/>
      <c r="AJ36" s="1314"/>
      <c r="AK36" s="1314"/>
      <c r="AL36" s="1314"/>
      <c r="AM36" s="1314"/>
      <c r="AN36" s="1314"/>
      <c r="AO36" s="1314"/>
      <c r="AP36" s="1314"/>
      <c r="AQ36" s="1314"/>
      <c r="AR36" s="1314"/>
      <c r="AS36" s="1314"/>
      <c r="AT36" s="1314"/>
      <c r="AU36" s="1314"/>
      <c r="AV36" s="1314"/>
      <c r="AW36" s="1314"/>
      <c r="AX36" s="1314"/>
      <c r="AY36" s="1314"/>
      <c r="AZ36" s="1314"/>
      <c r="BA36" s="1314"/>
      <c r="BB36" s="1314"/>
      <c r="BC36" s="1314"/>
      <c r="BD36" s="1314"/>
      <c r="BE36" s="1314"/>
      <c r="BF36" s="1314"/>
      <c r="BG36" s="1314"/>
      <c r="BH36" s="1314"/>
      <c r="BI36" s="1314"/>
      <c r="BJ36" s="1314"/>
      <c r="BK36" s="1314"/>
      <c r="BL36" s="1314"/>
      <c r="BM36" s="1314"/>
    </row>
    <row r="37" spans="2:74">
      <c r="B37" s="1314"/>
      <c r="C37" s="1314"/>
      <c r="D37" s="1314"/>
      <c r="E37" s="1314"/>
      <c r="F37" s="1314"/>
      <c r="G37" s="1314"/>
      <c r="H37" s="1314"/>
      <c r="I37" s="1314"/>
      <c r="J37" s="1314"/>
      <c r="K37" s="1314"/>
      <c r="L37" s="1314"/>
      <c r="M37" s="1314"/>
      <c r="N37" s="1314"/>
      <c r="O37" s="1314"/>
      <c r="P37" s="1314"/>
      <c r="Q37" s="1314"/>
      <c r="R37" s="1314"/>
      <c r="S37" s="1314"/>
      <c r="T37" s="1314"/>
      <c r="U37" s="1314"/>
      <c r="V37" s="1314"/>
      <c r="W37" s="1314"/>
      <c r="X37" s="1314"/>
      <c r="Y37" s="1314"/>
      <c r="Z37" s="1314"/>
      <c r="AA37" s="1314"/>
      <c r="AB37" s="1314"/>
      <c r="AC37" s="1314"/>
      <c r="AD37" s="1314"/>
      <c r="AE37" s="1314"/>
      <c r="AF37" s="1314"/>
      <c r="AG37" s="1314"/>
      <c r="AH37" s="1314"/>
      <c r="AI37" s="1314"/>
      <c r="AJ37" s="1314"/>
      <c r="AK37" s="1314"/>
      <c r="AL37" s="1314"/>
      <c r="AM37" s="1314"/>
      <c r="AN37" s="1314"/>
      <c r="AO37" s="1314"/>
      <c r="AP37" s="1314"/>
      <c r="AQ37" s="1314"/>
      <c r="AR37" s="1314"/>
      <c r="AS37" s="1314"/>
      <c r="AT37" s="1314"/>
      <c r="AU37" s="1314"/>
      <c r="AV37" s="1314"/>
      <c r="AW37" s="1314"/>
      <c r="AX37" s="1314"/>
      <c r="AY37" s="1314"/>
      <c r="AZ37" s="1314"/>
      <c r="BA37" s="1314"/>
      <c r="BB37" s="1314"/>
      <c r="BC37" s="1314"/>
      <c r="BD37" s="1314"/>
      <c r="BE37" s="1314"/>
      <c r="BF37" s="1314"/>
      <c r="BG37" s="1314"/>
      <c r="BH37" s="1314"/>
      <c r="BI37" s="1314"/>
      <c r="BJ37" s="1314"/>
      <c r="BK37" s="1314"/>
      <c r="BL37" s="1314"/>
      <c r="BM37" s="1314"/>
      <c r="BN37" s="1314"/>
      <c r="BO37" s="1314"/>
      <c r="BP37" s="1314"/>
      <c r="BT37" s="1314"/>
      <c r="BU37" s="1314"/>
      <c r="BV37" s="1314"/>
    </row>
    <row r="38" spans="2:74" ht="15.5">
      <c r="C38" s="1362" t="s">
        <v>1713</v>
      </c>
      <c r="D38" s="1363"/>
      <c r="E38" s="1363"/>
    </row>
    <row r="39" spans="2:74" ht="25.25" customHeight="1">
      <c r="C39" s="1364">
        <v>1</v>
      </c>
      <c r="D39" s="1365" t="s">
        <v>1714</v>
      </c>
      <c r="E39" s="1366"/>
    </row>
    <row r="41" spans="2:74">
      <c r="AR41" s="1361"/>
      <c r="AV41" s="1361"/>
      <c r="AZ41" s="1361"/>
      <c r="BD41" s="1361"/>
      <c r="BH41" s="1361"/>
      <c r="BL41" s="1361"/>
    </row>
    <row r="42" spans="2:74">
      <c r="AR42" s="1361"/>
      <c r="AV42" s="1361"/>
      <c r="AZ42" s="1361"/>
      <c r="BD42" s="1361"/>
      <c r="BH42" s="1361"/>
      <c r="BL42" s="1361"/>
    </row>
    <row r="43" spans="2:74">
      <c r="AR43" s="1361"/>
      <c r="AV43" s="1361"/>
      <c r="AZ43" s="1361"/>
      <c r="BD43" s="1361"/>
      <c r="BH43" s="1361"/>
      <c r="BL43" s="1361"/>
    </row>
    <row r="44" spans="2:74">
      <c r="D44" s="1367"/>
    </row>
    <row r="45" spans="2:74">
      <c r="H45" s="1361">
        <v>5.0999999999999997E-2</v>
      </c>
      <c r="L45" s="1361">
        <v>4.8000000000000001E-2</v>
      </c>
      <c r="P45" s="1361">
        <v>4.5999999999999999E-2</v>
      </c>
      <c r="T45" s="1361">
        <v>4.9000000000000002E-2</v>
      </c>
      <c r="X45" s="1361">
        <v>4.4999999999999998E-2</v>
      </c>
      <c r="AB45" s="1361">
        <v>0.03</v>
      </c>
      <c r="AF45" s="1361">
        <v>4.5999999999999999E-2</v>
      </c>
      <c r="AJ45" s="1361">
        <v>4.1000000000000002E-2</v>
      </c>
      <c r="AN45" s="1361">
        <v>2.4799999999999999E-2</v>
      </c>
      <c r="AR45" s="1361">
        <v>2.41E-2</v>
      </c>
      <c r="BH45" s="1313">
        <v>2.7199999999999998E-2</v>
      </c>
    </row>
    <row r="48" spans="2:74">
      <c r="H48" s="1361">
        <v>7.1999999999999995E-2</v>
      </c>
      <c r="L48" s="1361">
        <v>7.1999999999999995E-2</v>
      </c>
      <c r="P48" s="1361">
        <v>7.0999999999999994E-2</v>
      </c>
      <c r="T48" s="1361">
        <v>7.0999999999999994E-2</v>
      </c>
      <c r="X48" s="1361">
        <v>7.0999999999999994E-2</v>
      </c>
      <c r="AB48" s="1361">
        <v>6.5000000000000002E-2</v>
      </c>
      <c r="AF48" s="1361">
        <v>6.7000000000000004E-2</v>
      </c>
      <c r="AJ48" s="1361">
        <v>6.7000000000000004E-2</v>
      </c>
      <c r="AN48" s="1361">
        <v>6.6199999999999995E-2</v>
      </c>
      <c r="AR48" s="1361">
        <v>6.7000000000000004E-2</v>
      </c>
      <c r="BD48" s="1313">
        <v>6.9000000000000006E-2</v>
      </c>
      <c r="BH48" s="1313">
        <v>6.9400000000000003E-2</v>
      </c>
    </row>
    <row r="51" spans="8:64">
      <c r="H51" s="1361">
        <v>5.9299999999999999E-2</v>
      </c>
      <c r="L51" s="1361">
        <v>6.1400000000000003E-2</v>
      </c>
      <c r="P51" s="1361">
        <v>6.2799999999999995E-2</v>
      </c>
      <c r="T51" s="1361">
        <v>6.3500000000000001E-2</v>
      </c>
      <c r="X51" s="1361">
        <v>6.2300000000000001E-2</v>
      </c>
      <c r="AB51" s="1361">
        <v>5.7299999999999997E-2</v>
      </c>
      <c r="AF51" s="1361">
        <v>5.1799999999999999E-2</v>
      </c>
      <c r="AJ51" s="1361">
        <v>5.9900000000000002E-2</v>
      </c>
      <c r="AN51" s="1361">
        <v>6.1400000000000003E-2</v>
      </c>
      <c r="AR51" s="1361">
        <v>6.1100000000000002E-2</v>
      </c>
      <c r="AV51" s="1361">
        <v>6.1800000000000001E-2</v>
      </c>
      <c r="AZ51" s="1361">
        <v>6.2100000000000002E-2</v>
      </c>
      <c r="BD51" s="1361">
        <v>6.0299999999999999E-2</v>
      </c>
      <c r="BH51" s="1361">
        <v>5.9700000000000003E-2</v>
      </c>
      <c r="BL51" s="1361"/>
    </row>
  </sheetData>
  <mergeCells count="2">
    <mergeCell ref="BQ3:BS3"/>
    <mergeCell ref="BT3:BV3"/>
  </mergeCells>
  <dataValidations count="1">
    <dataValidation type="list" allowBlank="1" showInputMessage="1" showErrorMessage="1" sqref="E33" xr:uid="{00000000-0002-0000-1700-000001000000}">
      <formula1>"'3-5,'6-8,'9-10,1st,2nd,3rd,4th,5th,6th,7th,8th,9th,10th,10a,10b,10w,10x,10y,10z"</formula1>
    </dataValidation>
  </dataValidations>
  <printOptions horizontalCentered="1"/>
  <pageMargins left="0.5" right="0.5" top="0.75" bottom="0.5" header="0.25" footer="0.25"/>
  <pageSetup scale="56" orientation="landscape" r:id="rId1"/>
  <headerFooter alignWithMargins="0">
    <oddHeader>&amp;R&amp;"Arial"&amp;8&amp;K000000Confidential&amp;1#</oddHeader>
  </headerFooter>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1">
    <tabColor theme="7"/>
    <pageSetUpPr fitToPage="1"/>
  </sheetPr>
  <dimension ref="A1:J41"/>
  <sheetViews>
    <sheetView showGridLines="0" zoomScale="95" zoomScaleNormal="95" zoomScaleSheetLayoutView="74" workbookViewId="0">
      <selection activeCell="E10" sqref="E10"/>
    </sheetView>
  </sheetViews>
  <sheetFormatPr defaultColWidth="8.84375" defaultRowHeight="10.5"/>
  <cols>
    <col min="1" max="1" width="3.15234375" style="433" customWidth="1"/>
    <col min="2" max="2" width="18.53515625" style="433" bestFit="1" customWidth="1"/>
    <col min="3" max="6" width="11.4609375" style="433" customWidth="1"/>
    <col min="7" max="7" width="13.4609375" style="433" customWidth="1"/>
    <col min="8" max="8" width="2.84375" style="433" customWidth="1"/>
    <col min="9" max="16384" width="8.84375" style="433"/>
  </cols>
  <sheetData>
    <row r="1" spans="1:10" s="603" customFormat="1"/>
    <row r="3" spans="1:10" s="1376" customFormat="1" ht="61.25" customHeight="1">
      <c r="B3" s="1382" t="s">
        <v>94</v>
      </c>
      <c r="C3" s="1383" t="s">
        <v>1487</v>
      </c>
      <c r="D3" s="1384" t="s">
        <v>1854</v>
      </c>
      <c r="E3" s="1385" t="s">
        <v>1855</v>
      </c>
      <c r="F3" s="1385" t="s">
        <v>1856</v>
      </c>
      <c r="G3" s="1385" t="s">
        <v>1857</v>
      </c>
      <c r="I3" s="433"/>
      <c r="J3" s="433"/>
    </row>
    <row r="4" spans="1:10">
      <c r="A4" s="669">
        <v>1</v>
      </c>
      <c r="B4" s="1377" t="str">
        <f>'GPC Data'!E22</f>
        <v>Comp 1</v>
      </c>
      <c r="C4" s="1377">
        <f>'GPC Data'!D22</f>
        <v>0</v>
      </c>
      <c r="D4" s="1378">
        <f>'GPC Data'!F56</f>
        <v>0</v>
      </c>
      <c r="E4" s="1379">
        <f>'GPC Data'!G56</f>
        <v>0</v>
      </c>
      <c r="F4" s="1379">
        <f>'GPC Data'!H56</f>
        <v>0</v>
      </c>
      <c r="G4" s="1380" t="str">
        <f>IFERROR(F4/E4,"-")</f>
        <v>-</v>
      </c>
    </row>
    <row r="5" spans="1:10">
      <c r="A5" s="669">
        <v>2</v>
      </c>
      <c r="B5" s="1014" t="str">
        <f>'GPC Data'!E23</f>
        <v>Comp 2</v>
      </c>
      <c r="C5" s="1014">
        <f>'GPC Data'!D23</f>
        <v>0</v>
      </c>
      <c r="D5" s="1381">
        <f>'GPC Data'!F57</f>
        <v>0</v>
      </c>
      <c r="E5" s="340">
        <f>'GPC Data'!G57</f>
        <v>0</v>
      </c>
      <c r="F5" s="340">
        <f>'GPC Data'!H57</f>
        <v>0</v>
      </c>
      <c r="G5" s="629" t="str">
        <f t="shared" ref="G5:G13" si="0">IFERROR(F5/E5,"-")</f>
        <v>-</v>
      </c>
    </row>
    <row r="6" spans="1:10" s="436" customFormat="1">
      <c r="A6" s="669">
        <v>3</v>
      </c>
      <c r="B6" s="1014" t="str">
        <f>'GPC Data'!E24</f>
        <v>Comp 3</v>
      </c>
      <c r="C6" s="1014">
        <f>'GPC Data'!D24</f>
        <v>0</v>
      </c>
      <c r="D6" s="1381">
        <f>'GPC Data'!F58</f>
        <v>0</v>
      </c>
      <c r="E6" s="340">
        <f>'GPC Data'!G58</f>
        <v>0</v>
      </c>
      <c r="F6" s="340">
        <f>'GPC Data'!H58</f>
        <v>0</v>
      </c>
      <c r="G6" s="629" t="str">
        <f t="shared" si="0"/>
        <v>-</v>
      </c>
      <c r="I6" s="433"/>
      <c r="J6" s="433"/>
    </row>
    <row r="7" spans="1:10" s="436" customFormat="1">
      <c r="A7" s="669">
        <v>4</v>
      </c>
      <c r="B7" s="1014" t="str">
        <f>'GPC Data'!E25</f>
        <v>Comp 4</v>
      </c>
      <c r="C7" s="1014">
        <f>'GPC Data'!D25</f>
        <v>0</v>
      </c>
      <c r="D7" s="1381">
        <f>'GPC Data'!F59</f>
        <v>0</v>
      </c>
      <c r="E7" s="340">
        <f>'GPC Data'!G59</f>
        <v>0</v>
      </c>
      <c r="F7" s="340">
        <f>'GPC Data'!H59</f>
        <v>0</v>
      </c>
      <c r="G7" s="629" t="str">
        <f t="shared" si="0"/>
        <v>-</v>
      </c>
      <c r="I7" s="433"/>
      <c r="J7" s="433"/>
    </row>
    <row r="8" spans="1:10" s="436" customFormat="1">
      <c r="A8" s="669">
        <v>5</v>
      </c>
      <c r="B8" s="1014" t="str">
        <f>'GPC Data'!E26</f>
        <v>Comp 5</v>
      </c>
      <c r="C8" s="1014">
        <f>'GPC Data'!D26</f>
        <v>0</v>
      </c>
      <c r="D8" s="1381">
        <f>'GPC Data'!F60</f>
        <v>0</v>
      </c>
      <c r="E8" s="340">
        <f>'GPC Data'!G60</f>
        <v>0</v>
      </c>
      <c r="F8" s="340">
        <f>'GPC Data'!H60</f>
        <v>0</v>
      </c>
      <c r="G8" s="629" t="str">
        <f t="shared" si="0"/>
        <v>-</v>
      </c>
      <c r="I8" s="433"/>
      <c r="J8" s="433"/>
    </row>
    <row r="9" spans="1:10" s="436" customFormat="1">
      <c r="A9" s="669">
        <v>6</v>
      </c>
      <c r="B9" s="1014" t="str">
        <f>'GPC Data'!E27</f>
        <v>Comp 6</v>
      </c>
      <c r="C9" s="1014">
        <f>'GPC Data'!D27</f>
        <v>0</v>
      </c>
      <c r="D9" s="1381">
        <f>'GPC Data'!F61</f>
        <v>0</v>
      </c>
      <c r="E9" s="340">
        <f>'GPC Data'!G61</f>
        <v>0</v>
      </c>
      <c r="F9" s="340">
        <f>'GPC Data'!H61</f>
        <v>0</v>
      </c>
      <c r="G9" s="629" t="str">
        <f t="shared" si="0"/>
        <v>-</v>
      </c>
      <c r="I9" s="433"/>
      <c r="J9" s="433"/>
    </row>
    <row r="10" spans="1:10">
      <c r="A10" s="669">
        <v>7</v>
      </c>
      <c r="B10" s="1014" t="str">
        <f>'GPC Data'!E28</f>
        <v>Comp 7</v>
      </c>
      <c r="C10" s="1014">
        <f>'GPC Data'!D28</f>
        <v>0</v>
      </c>
      <c r="D10" s="1381">
        <f>'GPC Data'!F62</f>
        <v>0</v>
      </c>
      <c r="E10" s="340">
        <f>'GPC Data'!G62</f>
        <v>0</v>
      </c>
      <c r="F10" s="340">
        <f>'GPC Data'!H62</f>
        <v>0</v>
      </c>
      <c r="G10" s="629" t="str">
        <f t="shared" si="0"/>
        <v>-</v>
      </c>
    </row>
    <row r="11" spans="1:10">
      <c r="A11" s="669">
        <v>8</v>
      </c>
      <c r="B11" s="1014" t="str">
        <f>'GPC Data'!E29</f>
        <v>Comp 8</v>
      </c>
      <c r="C11" s="1014">
        <f>'GPC Data'!D29</f>
        <v>0</v>
      </c>
      <c r="D11" s="1381">
        <f>'GPC Data'!F63</f>
        <v>0</v>
      </c>
      <c r="E11" s="340">
        <f>'GPC Data'!G63</f>
        <v>0</v>
      </c>
      <c r="F11" s="340">
        <f>'GPC Data'!H63</f>
        <v>0</v>
      </c>
      <c r="G11" s="629" t="str">
        <f t="shared" si="0"/>
        <v>-</v>
      </c>
    </row>
    <row r="12" spans="1:10">
      <c r="A12" s="669">
        <v>9</v>
      </c>
      <c r="B12" s="1014" t="str">
        <f>'GPC Data'!E30</f>
        <v>Comp 9</v>
      </c>
      <c r="C12" s="1014">
        <f>'GPC Data'!D30</f>
        <v>0</v>
      </c>
      <c r="D12" s="1381">
        <f>'GPC Data'!F64</f>
        <v>0</v>
      </c>
      <c r="E12" s="340">
        <f>'GPC Data'!G64</f>
        <v>0</v>
      </c>
      <c r="F12" s="340">
        <f>'GPC Data'!H64</f>
        <v>0</v>
      </c>
      <c r="G12" s="629" t="str">
        <f t="shared" si="0"/>
        <v>-</v>
      </c>
    </row>
    <row r="13" spans="1:10">
      <c r="A13" s="669">
        <v>10</v>
      </c>
      <c r="B13" s="1014" t="str">
        <f>'GPC Data'!E31</f>
        <v>Comp 10</v>
      </c>
      <c r="C13" s="1014">
        <f>'GPC Data'!D31</f>
        <v>0</v>
      </c>
      <c r="D13" s="1381">
        <f>'GPC Data'!F65</f>
        <v>0</v>
      </c>
      <c r="E13" s="340">
        <f>'GPC Data'!G65</f>
        <v>0</v>
      </c>
      <c r="F13" s="340">
        <f>'GPC Data'!H65</f>
        <v>0</v>
      </c>
      <c r="G13" s="629" t="str">
        <f t="shared" si="0"/>
        <v>-</v>
      </c>
    </row>
    <row r="14" spans="1:10">
      <c r="A14" s="669"/>
      <c r="B14" s="1014" t="str">
        <f>'GPC Data'!E32</f>
        <v>Comp 11</v>
      </c>
      <c r="C14" s="1014">
        <f>'GPC Data'!D32</f>
        <v>0</v>
      </c>
      <c r="D14" s="1381">
        <f>'GPC Data'!F66</f>
        <v>0</v>
      </c>
      <c r="E14" s="340">
        <f>'GPC Data'!G66</f>
        <v>0</v>
      </c>
      <c r="F14" s="340">
        <f>'GPC Data'!H66</f>
        <v>0</v>
      </c>
      <c r="G14" s="629" t="str">
        <f t="shared" ref="G14:G33" si="1">IFERROR(F14/E14,"-")</f>
        <v>-</v>
      </c>
    </row>
    <row r="15" spans="1:10">
      <c r="A15" s="669"/>
      <c r="B15" s="1014" t="str">
        <f>'GPC Data'!E33</f>
        <v>Comp 12</v>
      </c>
      <c r="C15" s="1014">
        <f>'GPC Data'!D33</f>
        <v>0</v>
      </c>
      <c r="D15" s="1381">
        <f>'GPC Data'!F67</f>
        <v>0</v>
      </c>
      <c r="E15" s="340">
        <f>'GPC Data'!G67</f>
        <v>0</v>
      </c>
      <c r="F15" s="340">
        <f>'GPC Data'!H67</f>
        <v>0</v>
      </c>
      <c r="G15" s="629" t="str">
        <f t="shared" si="1"/>
        <v>-</v>
      </c>
    </row>
    <row r="16" spans="1:10">
      <c r="A16" s="669"/>
      <c r="B16" s="1014" t="str">
        <f>'GPC Data'!E34</f>
        <v>Comp 13</v>
      </c>
      <c r="C16" s="1014">
        <f>'GPC Data'!D34</f>
        <v>0</v>
      </c>
      <c r="D16" s="1381">
        <f>'GPC Data'!F68</f>
        <v>0</v>
      </c>
      <c r="E16" s="340">
        <f>'GPC Data'!G68</f>
        <v>0</v>
      </c>
      <c r="F16" s="340">
        <f>'GPC Data'!H68</f>
        <v>0</v>
      </c>
      <c r="G16" s="629" t="str">
        <f t="shared" si="1"/>
        <v>-</v>
      </c>
    </row>
    <row r="17" spans="1:7">
      <c r="A17" s="669"/>
      <c r="B17" s="1014" t="str">
        <f>'GPC Data'!E35</f>
        <v>Comp 14</v>
      </c>
      <c r="C17" s="1014">
        <f>'GPC Data'!D35</f>
        <v>0</v>
      </c>
      <c r="D17" s="1381">
        <f>'GPC Data'!F69</f>
        <v>0</v>
      </c>
      <c r="E17" s="340">
        <f>'GPC Data'!G69</f>
        <v>0</v>
      </c>
      <c r="F17" s="340">
        <f>'GPC Data'!H69</f>
        <v>0</v>
      </c>
      <c r="G17" s="629" t="str">
        <f t="shared" si="1"/>
        <v>-</v>
      </c>
    </row>
    <row r="18" spans="1:7">
      <c r="A18" s="669"/>
      <c r="B18" s="1014" t="str">
        <f>'GPC Data'!E36</f>
        <v>Comp 15</v>
      </c>
      <c r="C18" s="1014">
        <f>'GPC Data'!D36</f>
        <v>0</v>
      </c>
      <c r="D18" s="1381">
        <f>'GPC Data'!F70</f>
        <v>0</v>
      </c>
      <c r="E18" s="340">
        <f>'GPC Data'!G70</f>
        <v>0</v>
      </c>
      <c r="F18" s="340">
        <f>'GPC Data'!H70</f>
        <v>0</v>
      </c>
      <c r="G18" s="629" t="str">
        <f t="shared" si="1"/>
        <v>-</v>
      </c>
    </row>
    <row r="19" spans="1:7">
      <c r="A19" s="669"/>
      <c r="B19" s="1014" t="str">
        <f>'GPC Data'!E37</f>
        <v>Comp 16</v>
      </c>
      <c r="C19" s="1014">
        <f>'GPC Data'!D37</f>
        <v>0</v>
      </c>
      <c r="D19" s="1381">
        <f>'GPC Data'!F71</f>
        <v>0</v>
      </c>
      <c r="E19" s="340">
        <f>'GPC Data'!G71</f>
        <v>0</v>
      </c>
      <c r="F19" s="340">
        <f>'GPC Data'!H71</f>
        <v>0</v>
      </c>
      <c r="G19" s="629" t="str">
        <f t="shared" si="1"/>
        <v>-</v>
      </c>
    </row>
    <row r="20" spans="1:7">
      <c r="A20" s="669"/>
      <c r="B20" s="1014" t="str">
        <f>'GPC Data'!E38</f>
        <v>Comp 17</v>
      </c>
      <c r="C20" s="1014">
        <f>'GPC Data'!D38</f>
        <v>0</v>
      </c>
      <c r="D20" s="1381">
        <f>'GPC Data'!F72</f>
        <v>0</v>
      </c>
      <c r="E20" s="340">
        <f>'GPC Data'!G72</f>
        <v>0</v>
      </c>
      <c r="F20" s="340">
        <f>'GPC Data'!H72</f>
        <v>0</v>
      </c>
      <c r="G20" s="629" t="str">
        <f t="shared" si="1"/>
        <v>-</v>
      </c>
    </row>
    <row r="21" spans="1:7">
      <c r="A21" s="669"/>
      <c r="B21" s="1014" t="str">
        <f>'GPC Data'!E39</f>
        <v>Comp 18</v>
      </c>
      <c r="C21" s="1014">
        <f>'GPC Data'!D39</f>
        <v>0</v>
      </c>
      <c r="D21" s="1381">
        <f>'GPC Data'!F73</f>
        <v>0</v>
      </c>
      <c r="E21" s="340">
        <f>'GPC Data'!G73</f>
        <v>0</v>
      </c>
      <c r="F21" s="340">
        <f>'GPC Data'!H73</f>
        <v>0</v>
      </c>
      <c r="G21" s="629" t="str">
        <f t="shared" si="1"/>
        <v>-</v>
      </c>
    </row>
    <row r="22" spans="1:7">
      <c r="A22" s="669"/>
      <c r="B22" s="1014" t="str">
        <f>'GPC Data'!E40</f>
        <v>Comp 19</v>
      </c>
      <c r="C22" s="1014">
        <f>'GPC Data'!D40</f>
        <v>0</v>
      </c>
      <c r="D22" s="1381">
        <f>'GPC Data'!F74</f>
        <v>0</v>
      </c>
      <c r="E22" s="340">
        <f>'GPC Data'!G74</f>
        <v>0</v>
      </c>
      <c r="F22" s="340">
        <f>'GPC Data'!H74</f>
        <v>0</v>
      </c>
      <c r="G22" s="629" t="str">
        <f t="shared" si="1"/>
        <v>-</v>
      </c>
    </row>
    <row r="23" spans="1:7">
      <c r="A23" s="669"/>
      <c r="B23" s="1014" t="str">
        <f>'GPC Data'!E41</f>
        <v>Comp 20</v>
      </c>
      <c r="C23" s="1014">
        <f>'GPC Data'!D41</f>
        <v>0</v>
      </c>
      <c r="D23" s="1381">
        <f>'GPC Data'!F75</f>
        <v>0</v>
      </c>
      <c r="E23" s="340">
        <f>'GPC Data'!G75</f>
        <v>0</v>
      </c>
      <c r="F23" s="340">
        <f>'GPC Data'!H75</f>
        <v>0</v>
      </c>
      <c r="G23" s="629" t="str">
        <f t="shared" si="1"/>
        <v>-</v>
      </c>
    </row>
    <row r="24" spans="1:7">
      <c r="A24" s="669"/>
      <c r="B24" s="1014" t="str">
        <f>'GPC Data'!E42</f>
        <v>Comp 21</v>
      </c>
      <c r="C24" s="1014">
        <f>'GPC Data'!D42</f>
        <v>0</v>
      </c>
      <c r="D24" s="1381">
        <f>'GPC Data'!F76</f>
        <v>0</v>
      </c>
      <c r="E24" s="340">
        <f>'GPC Data'!G76</f>
        <v>0</v>
      </c>
      <c r="F24" s="340">
        <f>'GPC Data'!H76</f>
        <v>0</v>
      </c>
      <c r="G24" s="629" t="str">
        <f t="shared" si="1"/>
        <v>-</v>
      </c>
    </row>
    <row r="25" spans="1:7">
      <c r="A25" s="669"/>
      <c r="B25" s="1014" t="str">
        <f>'GPC Data'!E43</f>
        <v>Comp 22</v>
      </c>
      <c r="C25" s="1014">
        <f>'GPC Data'!D43</f>
        <v>0</v>
      </c>
      <c r="D25" s="1381">
        <f>'GPC Data'!F77</f>
        <v>0</v>
      </c>
      <c r="E25" s="340">
        <f>'GPC Data'!G77</f>
        <v>0</v>
      </c>
      <c r="F25" s="340">
        <f>'GPC Data'!H77</f>
        <v>0</v>
      </c>
      <c r="G25" s="629" t="str">
        <f t="shared" si="1"/>
        <v>-</v>
      </c>
    </row>
    <row r="26" spans="1:7">
      <c r="A26" s="669"/>
      <c r="B26" s="1014" t="str">
        <f>'GPC Data'!E44</f>
        <v>Comp 23</v>
      </c>
      <c r="C26" s="1014">
        <f>'GPC Data'!D44</f>
        <v>0</v>
      </c>
      <c r="D26" s="1381">
        <f>'GPC Data'!F78</f>
        <v>0</v>
      </c>
      <c r="E26" s="340">
        <f>'GPC Data'!G78</f>
        <v>0</v>
      </c>
      <c r="F26" s="340">
        <f>'GPC Data'!H78</f>
        <v>0</v>
      </c>
      <c r="G26" s="629" t="str">
        <f t="shared" si="1"/>
        <v>-</v>
      </c>
    </row>
    <row r="27" spans="1:7">
      <c r="A27" s="669"/>
      <c r="B27" s="1014" t="str">
        <f>'GPC Data'!E45</f>
        <v>Comp 24</v>
      </c>
      <c r="C27" s="1014">
        <f>'GPC Data'!D45</f>
        <v>0</v>
      </c>
      <c r="D27" s="1381">
        <f>'GPC Data'!F79</f>
        <v>0</v>
      </c>
      <c r="E27" s="340">
        <f>'GPC Data'!G79</f>
        <v>0</v>
      </c>
      <c r="F27" s="340">
        <f>'GPC Data'!H79</f>
        <v>0</v>
      </c>
      <c r="G27" s="629" t="str">
        <f t="shared" si="1"/>
        <v>-</v>
      </c>
    </row>
    <row r="28" spans="1:7">
      <c r="A28" s="669"/>
      <c r="B28" s="1014" t="str">
        <f>'GPC Data'!E46</f>
        <v>Comp 25</v>
      </c>
      <c r="C28" s="1014">
        <f>'GPC Data'!D46</f>
        <v>0</v>
      </c>
      <c r="D28" s="1381">
        <f>'GPC Data'!F80</f>
        <v>0</v>
      </c>
      <c r="E28" s="340">
        <f>'GPC Data'!G80</f>
        <v>0</v>
      </c>
      <c r="F28" s="340">
        <f>'GPC Data'!H80</f>
        <v>0</v>
      </c>
      <c r="G28" s="629" t="str">
        <f t="shared" si="1"/>
        <v>-</v>
      </c>
    </row>
    <row r="29" spans="1:7">
      <c r="A29" s="669"/>
      <c r="B29" s="1014" t="str">
        <f>'GPC Data'!E47</f>
        <v>Comp 26</v>
      </c>
      <c r="C29" s="1014">
        <f>'GPC Data'!D47</f>
        <v>0</v>
      </c>
      <c r="D29" s="1381">
        <f>'GPC Data'!F81</f>
        <v>0</v>
      </c>
      <c r="E29" s="340">
        <f>'GPC Data'!G81</f>
        <v>0</v>
      </c>
      <c r="F29" s="340">
        <f>'GPC Data'!H81</f>
        <v>0</v>
      </c>
      <c r="G29" s="629" t="str">
        <f t="shared" si="1"/>
        <v>-</v>
      </c>
    </row>
    <row r="30" spans="1:7">
      <c r="A30" s="669"/>
      <c r="B30" s="1014" t="str">
        <f>'GPC Data'!E48</f>
        <v>Comp 27</v>
      </c>
      <c r="C30" s="1014">
        <f>'GPC Data'!D48</f>
        <v>0</v>
      </c>
      <c r="D30" s="1381">
        <f>'GPC Data'!F82</f>
        <v>0</v>
      </c>
      <c r="E30" s="340">
        <f>'GPC Data'!G82</f>
        <v>0</v>
      </c>
      <c r="F30" s="340">
        <f>'GPC Data'!H82</f>
        <v>0</v>
      </c>
      <c r="G30" s="629" t="str">
        <f t="shared" si="1"/>
        <v>-</v>
      </c>
    </row>
    <row r="31" spans="1:7">
      <c r="A31" s="669"/>
      <c r="B31" s="1014" t="str">
        <f>'GPC Data'!E49</f>
        <v>Comp 28</v>
      </c>
      <c r="C31" s="1014">
        <f>'GPC Data'!D49</f>
        <v>0</v>
      </c>
      <c r="D31" s="1381">
        <f>'GPC Data'!F83</f>
        <v>0</v>
      </c>
      <c r="E31" s="340">
        <f>'GPC Data'!G83</f>
        <v>0</v>
      </c>
      <c r="F31" s="340">
        <f>'GPC Data'!H83</f>
        <v>0</v>
      </c>
      <c r="G31" s="629" t="str">
        <f t="shared" si="1"/>
        <v>-</v>
      </c>
    </row>
    <row r="32" spans="1:7">
      <c r="A32" s="669"/>
      <c r="B32" s="1014" t="str">
        <f>'GPC Data'!E50</f>
        <v>Comp 29</v>
      </c>
      <c r="C32" s="1014">
        <f>'GPC Data'!D50</f>
        <v>0</v>
      </c>
      <c r="D32" s="1381">
        <f>'GPC Data'!F84</f>
        <v>0</v>
      </c>
      <c r="E32" s="340">
        <f>'GPC Data'!G84</f>
        <v>0</v>
      </c>
      <c r="F32" s="340">
        <f>'GPC Data'!H84</f>
        <v>0</v>
      </c>
      <c r="G32" s="629" t="str">
        <f t="shared" si="1"/>
        <v>-</v>
      </c>
    </row>
    <row r="33" spans="1:7">
      <c r="A33" s="669"/>
      <c r="B33" s="1014" t="str">
        <f>'GPC Data'!E51</f>
        <v>Comp 30</v>
      </c>
      <c r="C33" s="1014">
        <f>'GPC Data'!D51</f>
        <v>0</v>
      </c>
      <c r="D33" s="1381">
        <f>'GPC Data'!F85</f>
        <v>0</v>
      </c>
      <c r="E33" s="340">
        <f>'GPC Data'!G85</f>
        <v>0</v>
      </c>
      <c r="F33" s="340">
        <f>'GPC Data'!H85</f>
        <v>0</v>
      </c>
      <c r="G33" s="629" t="str">
        <f t="shared" si="1"/>
        <v>-</v>
      </c>
    </row>
    <row r="34" spans="1:7">
      <c r="B34" s="1153" t="str">
        <f>"As of "&amp;TEXT(valuation.date,"d mmmm yyy")&amp;"."&amp;" Average daily trading volume is based on daily trading volume taken at weekly intervals over the last 52 weeks."</f>
        <v>As of 30 September 2024. Average daily trading volume is based on daily trading volume taken at weekly intervals over the last 52 weeks.</v>
      </c>
      <c r="G34" s="1220"/>
    </row>
    <row r="35" spans="1:7">
      <c r="G35" s="1220"/>
    </row>
    <row r="36" spans="1:7">
      <c r="G36" s="1220"/>
    </row>
    <row r="37" spans="1:7">
      <c r="G37" s="1220"/>
    </row>
    <row r="38" spans="1:7">
      <c r="G38" s="1220"/>
    </row>
    <row r="39" spans="1:7">
      <c r="G39" s="1220"/>
    </row>
    <row r="40" spans="1:7">
      <c r="G40" s="1220"/>
    </row>
    <row r="41" spans="1:7">
      <c r="G41" s="1220"/>
    </row>
  </sheetData>
  <conditionalFormatting sqref="B4:C33">
    <cfRule type="expression" dxfId="0" priority="1">
      <formula>$AY4="Yes"</formula>
    </cfRule>
  </conditionalFormatting>
  <printOptions horizontalCentered="1"/>
  <pageMargins left="0.5" right="0.5" top="0.75" bottom="0.5" header="0.25" footer="0.25"/>
  <pageSetup orientation="landscape" r:id="rId1"/>
  <headerFooter alignWithMargins="0">
    <oddHeader>&amp;R&amp;"Arial"&amp;8&amp;K000000Confidential&amp;1#</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theme="7"/>
  </sheetPr>
  <dimension ref="A1:B168"/>
  <sheetViews>
    <sheetView showGridLines="0" topLeftCell="A140" zoomScale="80" zoomScaleNormal="80" workbookViewId="0">
      <selection activeCell="A2" sqref="A2"/>
    </sheetView>
  </sheetViews>
  <sheetFormatPr defaultColWidth="9.15234375" defaultRowHeight="14"/>
  <cols>
    <col min="1" max="1" width="20.53515625" style="1386" bestFit="1" customWidth="1"/>
    <col min="2" max="2" width="11.53515625" style="1386" customWidth="1"/>
    <col min="3" max="16384" width="9.15234375" style="1386"/>
  </cols>
  <sheetData>
    <row r="1" spans="1:2">
      <c r="A1" s="1386" t="s">
        <v>2655</v>
      </c>
    </row>
    <row r="2" spans="1:2">
      <c r="A2" s="1518" t="s">
        <v>2656</v>
      </c>
      <c r="B2" s="1518">
        <v>2024</v>
      </c>
    </row>
    <row r="4" spans="1:2" ht="31">
      <c r="A4" s="1516" t="s">
        <v>96</v>
      </c>
      <c r="B4" s="1517" t="s">
        <v>2654</v>
      </c>
    </row>
    <row r="5" spans="1:2" ht="15.5">
      <c r="A5" s="1514" t="s">
        <v>1858</v>
      </c>
      <c r="B5" s="1515">
        <v>20</v>
      </c>
    </row>
    <row r="6" spans="1:2" ht="15.5">
      <c r="A6" s="1514" t="s">
        <v>1718</v>
      </c>
      <c r="B6" s="1515">
        <v>15</v>
      </c>
    </row>
    <row r="7" spans="1:2" ht="15.5">
      <c r="A7" s="1514" t="s">
        <v>1835</v>
      </c>
      <c r="B7" s="1515">
        <v>26</v>
      </c>
    </row>
    <row r="8" spans="1:2" ht="15.5">
      <c r="A8" s="1514" t="s">
        <v>1724</v>
      </c>
      <c r="B8" s="1515">
        <v>25</v>
      </c>
    </row>
    <row r="9" spans="1:2" ht="15.5">
      <c r="A9" s="1514" t="s">
        <v>160</v>
      </c>
      <c r="B9" s="1515">
        <v>35</v>
      </c>
    </row>
    <row r="10" spans="1:2" ht="15.5">
      <c r="A10" s="1514" t="s">
        <v>1729</v>
      </c>
      <c r="B10" s="1515">
        <v>18</v>
      </c>
    </row>
    <row r="11" spans="1:2" ht="15.5">
      <c r="A11" s="1514" t="s">
        <v>1731</v>
      </c>
      <c r="B11" s="1515">
        <v>25</v>
      </c>
    </row>
    <row r="12" spans="1:2" ht="15.5">
      <c r="A12" s="1514" t="s">
        <v>161</v>
      </c>
      <c r="B12" s="1515">
        <v>30</v>
      </c>
    </row>
    <row r="13" spans="1:2" ht="15.5">
      <c r="A13" s="1514" t="s">
        <v>162</v>
      </c>
      <c r="B13" s="1515">
        <v>23</v>
      </c>
    </row>
    <row r="14" spans="1:2" ht="15.5">
      <c r="A14" s="1514" t="s">
        <v>1735</v>
      </c>
      <c r="B14" s="1515">
        <v>20</v>
      </c>
    </row>
    <row r="15" spans="1:2" ht="15.5">
      <c r="A15" s="1514" t="s">
        <v>1738</v>
      </c>
      <c r="B15" s="1515">
        <v>0</v>
      </c>
    </row>
    <row r="16" spans="1:2" ht="15.5">
      <c r="A16" s="1514" t="s">
        <v>1739</v>
      </c>
      <c r="B16" s="1515">
        <v>0</v>
      </c>
    </row>
    <row r="17" spans="1:2" ht="15.5">
      <c r="A17" s="1514" t="s">
        <v>1741</v>
      </c>
      <c r="B17" s="1515">
        <v>27.5</v>
      </c>
    </row>
    <row r="18" spans="1:2" ht="15.5">
      <c r="A18" s="1514" t="s">
        <v>1742</v>
      </c>
      <c r="B18" s="1515">
        <v>5.5</v>
      </c>
    </row>
    <row r="19" spans="1:2" ht="15.5">
      <c r="A19" s="1514" t="s">
        <v>1744</v>
      </c>
      <c r="B19" s="1515">
        <v>20</v>
      </c>
    </row>
    <row r="20" spans="1:2" ht="15.5">
      <c r="A20" s="1514" t="s">
        <v>163</v>
      </c>
      <c r="B20" s="1515">
        <v>25</v>
      </c>
    </row>
    <row r="21" spans="1:2" ht="15.5">
      <c r="A21" s="1514" t="s">
        <v>1747</v>
      </c>
      <c r="B21" s="1515">
        <v>30</v>
      </c>
    </row>
    <row r="22" spans="1:2" ht="15.5">
      <c r="A22" s="1514" t="s">
        <v>1748</v>
      </c>
      <c r="B22" s="1515">
        <v>0</v>
      </c>
    </row>
    <row r="23" spans="1:2" ht="15.5">
      <c r="A23" s="1514" t="s">
        <v>1749</v>
      </c>
      <c r="B23" s="1515">
        <v>25</v>
      </c>
    </row>
    <row r="24" spans="1:2" ht="15.5">
      <c r="A24" s="1514" t="s">
        <v>1750</v>
      </c>
      <c r="B24" s="1515">
        <v>10</v>
      </c>
    </row>
    <row r="25" spans="1:2" ht="15.5">
      <c r="A25" s="1514" t="s">
        <v>1751</v>
      </c>
      <c r="B25" s="1515">
        <v>22</v>
      </c>
    </row>
    <row r="26" spans="1:2" ht="15.5">
      <c r="A26" s="1514" t="s">
        <v>164</v>
      </c>
      <c r="B26" s="1515">
        <v>34</v>
      </c>
    </row>
    <row r="27" spans="1:2" ht="15.5">
      <c r="A27" s="1514" t="s">
        <v>1836</v>
      </c>
      <c r="B27" s="1515">
        <v>18.5</v>
      </c>
    </row>
    <row r="28" spans="1:2" ht="15.5">
      <c r="A28" s="1514" t="s">
        <v>165</v>
      </c>
      <c r="B28" s="1515">
        <v>10</v>
      </c>
    </row>
    <row r="29" spans="1:2" ht="15.5">
      <c r="A29" s="1514" t="s">
        <v>1753</v>
      </c>
      <c r="B29" s="1515">
        <v>27.5</v>
      </c>
    </row>
    <row r="30" spans="1:2" ht="15.5">
      <c r="A30" s="1514" t="s">
        <v>1754</v>
      </c>
      <c r="B30" s="1515">
        <v>20</v>
      </c>
    </row>
    <row r="31" spans="1:2" ht="15.5">
      <c r="A31" s="1514" t="s">
        <v>1755</v>
      </c>
      <c r="B31" s="1515">
        <v>33</v>
      </c>
    </row>
    <row r="32" spans="1:2" ht="15.5">
      <c r="A32" s="1514" t="s">
        <v>166</v>
      </c>
      <c r="B32" s="1515">
        <v>26.5</v>
      </c>
    </row>
    <row r="33" spans="1:2" ht="15.5">
      <c r="A33" s="1514" t="s">
        <v>1757</v>
      </c>
      <c r="B33" s="1515">
        <v>0</v>
      </c>
    </row>
    <row r="34" spans="1:2" ht="15.5">
      <c r="A34" s="1514" t="s">
        <v>2639</v>
      </c>
      <c r="B34" s="1515">
        <v>35</v>
      </c>
    </row>
    <row r="35" spans="1:2" ht="15.5">
      <c r="A35" s="1514" t="s">
        <v>167</v>
      </c>
      <c r="B35" s="1515">
        <v>27</v>
      </c>
    </row>
    <row r="36" spans="1:2" ht="15.5">
      <c r="A36" s="1514" t="s">
        <v>168</v>
      </c>
      <c r="B36" s="1515">
        <v>25</v>
      </c>
    </row>
    <row r="37" spans="1:2" ht="15.5">
      <c r="A37" s="1514" t="s">
        <v>1758</v>
      </c>
      <c r="B37" s="1515">
        <v>35</v>
      </c>
    </row>
    <row r="38" spans="1:2" ht="15.5">
      <c r="A38" s="1514" t="s">
        <v>2640</v>
      </c>
      <c r="B38" s="1515">
        <v>30</v>
      </c>
    </row>
    <row r="39" spans="1:2" ht="15.5">
      <c r="A39" s="1514" t="s">
        <v>1762</v>
      </c>
      <c r="B39" s="1515">
        <v>30</v>
      </c>
    </row>
    <row r="40" spans="1:2" ht="15.5">
      <c r="A40" s="1514" t="s">
        <v>169</v>
      </c>
      <c r="B40" s="1515">
        <v>18</v>
      </c>
    </row>
    <row r="41" spans="1:2" ht="15.5">
      <c r="A41" s="1514" t="s">
        <v>1764</v>
      </c>
      <c r="B41" s="1515">
        <v>12.5</v>
      </c>
    </row>
    <row r="42" spans="1:2" ht="15.5">
      <c r="A42" s="1514" t="s">
        <v>170</v>
      </c>
      <c r="B42" s="1515">
        <v>21</v>
      </c>
    </row>
    <row r="43" spans="1:2" ht="15.5">
      <c r="A43" s="1514" t="s">
        <v>171</v>
      </c>
      <c r="B43" s="1515">
        <v>22</v>
      </c>
    </row>
    <row r="44" spans="1:2" ht="15.5">
      <c r="A44" s="1514" t="s">
        <v>1765</v>
      </c>
      <c r="B44" s="1515">
        <v>27</v>
      </c>
    </row>
    <row r="45" spans="1:2" ht="15.5">
      <c r="A45" s="1514" t="s">
        <v>1766</v>
      </c>
      <c r="B45" s="1515">
        <v>25</v>
      </c>
    </row>
    <row r="46" spans="1:2" ht="15.5">
      <c r="A46" s="1514" t="s">
        <v>172</v>
      </c>
      <c r="B46" s="1515">
        <v>22.5</v>
      </c>
    </row>
    <row r="47" spans="1:2" ht="15.5">
      <c r="A47" s="1514" t="s">
        <v>1768</v>
      </c>
      <c r="B47" s="1515">
        <v>30</v>
      </c>
    </row>
    <row r="48" spans="1:2" ht="15.5">
      <c r="A48" s="1514" t="s">
        <v>2641</v>
      </c>
      <c r="B48" s="1515">
        <v>35</v>
      </c>
    </row>
    <row r="49" spans="1:2" ht="15.5">
      <c r="A49" s="1514" t="s">
        <v>1769</v>
      </c>
      <c r="B49" s="1515">
        <v>20</v>
      </c>
    </row>
    <row r="50" spans="1:2" ht="15.5">
      <c r="A50" s="1514" t="s">
        <v>1770</v>
      </c>
      <c r="B50" s="1515">
        <v>30</v>
      </c>
    </row>
    <row r="51" spans="1:2" ht="15.5">
      <c r="A51" s="1514" t="s">
        <v>2642</v>
      </c>
      <c r="B51" s="1515">
        <v>23</v>
      </c>
    </row>
    <row r="52" spans="1:2" ht="15.5">
      <c r="A52" s="1514" t="s">
        <v>2643</v>
      </c>
      <c r="B52" s="1515">
        <v>21.2</v>
      </c>
    </row>
    <row r="53" spans="1:2" ht="15.5">
      <c r="A53" s="1514" t="s">
        <v>1771</v>
      </c>
      <c r="B53" s="1515">
        <v>20</v>
      </c>
    </row>
    <row r="54" spans="1:2" ht="15.5">
      <c r="A54" s="1514" t="s">
        <v>1772</v>
      </c>
      <c r="B54" s="1515">
        <v>20</v>
      </c>
    </row>
    <row r="55" spans="1:2" ht="15.5">
      <c r="A55" s="1514" t="s">
        <v>173</v>
      </c>
      <c r="B55" s="1515">
        <v>25</v>
      </c>
    </row>
    <row r="56" spans="1:2" ht="15.5">
      <c r="A56" s="1514" t="s">
        <v>1773</v>
      </c>
      <c r="B56" s="1515">
        <v>30</v>
      </c>
    </row>
    <row r="57" spans="1:2" ht="15.5">
      <c r="A57" s="1514" t="s">
        <v>1837</v>
      </c>
      <c r="B57" s="1515">
        <v>27</v>
      </c>
    </row>
    <row r="58" spans="1:2" ht="15.5">
      <c r="A58" s="1514" t="s">
        <v>1774</v>
      </c>
      <c r="B58" s="1515">
        <v>15</v>
      </c>
    </row>
    <row r="59" spans="1:2" ht="15.5">
      <c r="A59" s="1514" t="s">
        <v>174</v>
      </c>
      <c r="B59" s="1515">
        <v>30</v>
      </c>
    </row>
    <row r="60" spans="1:2" ht="15.5">
      <c r="A60" s="1514" t="s">
        <v>1775</v>
      </c>
      <c r="B60" s="1515">
        <v>25</v>
      </c>
    </row>
    <row r="61" spans="1:2" ht="15.5">
      <c r="A61" s="1514" t="s">
        <v>1776</v>
      </c>
      <c r="B61" s="1515">
        <v>22</v>
      </c>
    </row>
    <row r="62" spans="1:2" ht="15.5">
      <c r="A62" s="1514" t="s">
        <v>2644</v>
      </c>
      <c r="B62" s="1515">
        <v>21</v>
      </c>
    </row>
    <row r="63" spans="1:2" ht="15.5">
      <c r="A63" s="1514" t="s">
        <v>1777</v>
      </c>
      <c r="B63" s="1515">
        <v>25</v>
      </c>
    </row>
    <row r="64" spans="1:2" ht="15.5">
      <c r="A64" s="1514" t="s">
        <v>1838</v>
      </c>
      <c r="B64" s="1515">
        <v>35</v>
      </c>
    </row>
    <row r="65" spans="1:2" ht="15.5">
      <c r="A65" s="1514" t="s">
        <v>1779</v>
      </c>
      <c r="B65" s="1515">
        <v>25</v>
      </c>
    </row>
    <row r="66" spans="1:2" ht="15.5">
      <c r="A66" s="1514" t="s">
        <v>175</v>
      </c>
      <c r="B66" s="1515">
        <v>16.5</v>
      </c>
    </row>
    <row r="67" spans="1:2" ht="15.5">
      <c r="A67" s="1514" t="s">
        <v>176</v>
      </c>
      <c r="B67" s="1515">
        <v>9</v>
      </c>
    </row>
    <row r="68" spans="1:2" ht="15.5">
      <c r="A68" s="1514" t="s">
        <v>177</v>
      </c>
      <c r="B68" s="1515">
        <v>21</v>
      </c>
    </row>
    <row r="69" spans="1:2" ht="15.5">
      <c r="A69" s="1514" t="s">
        <v>178</v>
      </c>
      <c r="B69" s="1515">
        <v>34.94</v>
      </c>
    </row>
    <row r="70" spans="1:2" ht="15.5">
      <c r="A70" s="1514" t="s">
        <v>179</v>
      </c>
      <c r="B70" s="1515">
        <v>22</v>
      </c>
    </row>
    <row r="71" spans="1:2" ht="15.5">
      <c r="A71" s="1514" t="s">
        <v>1780</v>
      </c>
      <c r="B71" s="1515">
        <v>15</v>
      </c>
    </row>
    <row r="72" spans="1:2" ht="15.5">
      <c r="A72" s="1514" t="s">
        <v>180</v>
      </c>
      <c r="B72" s="1515">
        <v>12.5</v>
      </c>
    </row>
    <row r="73" spans="1:2" ht="15.5">
      <c r="A73" s="1514" t="s">
        <v>1781</v>
      </c>
      <c r="B73" s="1515">
        <v>0</v>
      </c>
    </row>
    <row r="74" spans="1:2" ht="15.5">
      <c r="A74" s="1514" t="s">
        <v>181</v>
      </c>
      <c r="B74" s="1515">
        <v>23</v>
      </c>
    </row>
    <row r="75" spans="1:2" ht="15.5">
      <c r="A75" s="1514" t="s">
        <v>182</v>
      </c>
      <c r="B75" s="1515">
        <v>24</v>
      </c>
    </row>
    <row r="76" spans="1:2" ht="15.5">
      <c r="A76" s="1514" t="s">
        <v>1864</v>
      </c>
      <c r="B76" s="1515">
        <v>25</v>
      </c>
    </row>
    <row r="77" spans="1:2" ht="15.5">
      <c r="A77" s="1514" t="s">
        <v>1782</v>
      </c>
      <c r="B77" s="1515">
        <v>25</v>
      </c>
    </row>
    <row r="78" spans="1:2" ht="15.5">
      <c r="A78" s="1514" t="s">
        <v>183</v>
      </c>
      <c r="B78" s="1515">
        <v>30.62</v>
      </c>
    </row>
    <row r="79" spans="1:2" ht="15.5">
      <c r="A79" s="1514" t="s">
        <v>1784</v>
      </c>
      <c r="B79" s="1515">
        <v>20</v>
      </c>
    </row>
    <row r="80" spans="1:2" ht="15.5">
      <c r="A80" s="1514" t="s">
        <v>1785</v>
      </c>
      <c r="B80" s="1515">
        <v>20</v>
      </c>
    </row>
    <row r="81" spans="1:2" ht="15.5">
      <c r="A81" s="1514" t="s">
        <v>184</v>
      </c>
      <c r="B81" s="1515">
        <v>30</v>
      </c>
    </row>
    <row r="82" spans="1:2" ht="15.5">
      <c r="A82" s="1514" t="s">
        <v>2645</v>
      </c>
      <c r="B82" s="1515">
        <v>10</v>
      </c>
    </row>
    <row r="83" spans="1:2" ht="15.5">
      <c r="A83" s="1514" t="s">
        <v>1786</v>
      </c>
      <c r="B83" s="1515">
        <v>15</v>
      </c>
    </row>
    <row r="84" spans="1:2" ht="15.5">
      <c r="A84" s="1514" t="s">
        <v>1788</v>
      </c>
      <c r="B84" s="1515">
        <v>20</v>
      </c>
    </row>
    <row r="85" spans="1:2" ht="15.5">
      <c r="A85" s="1514" t="s">
        <v>1789</v>
      </c>
      <c r="B85" s="1515">
        <v>20</v>
      </c>
    </row>
    <row r="86" spans="1:2" ht="15.5">
      <c r="A86" s="1514" t="s">
        <v>1790</v>
      </c>
      <c r="B86" s="1515">
        <v>17</v>
      </c>
    </row>
    <row r="87" spans="1:2" ht="15.5">
      <c r="A87" s="1514" t="s">
        <v>2646</v>
      </c>
      <c r="B87" s="1515">
        <v>25</v>
      </c>
    </row>
    <row r="88" spans="1:2" ht="15.5">
      <c r="A88" s="1514" t="s">
        <v>1845</v>
      </c>
      <c r="B88" s="1515">
        <v>20</v>
      </c>
    </row>
    <row r="89" spans="1:2" ht="15.5">
      <c r="A89" s="1514" t="s">
        <v>1791</v>
      </c>
      <c r="B89" s="1515">
        <v>12.5</v>
      </c>
    </row>
    <row r="90" spans="1:2" ht="15.5">
      <c r="A90" s="1514" t="s">
        <v>1792</v>
      </c>
      <c r="B90" s="1515">
        <v>15</v>
      </c>
    </row>
    <row r="91" spans="1:2" ht="15.5">
      <c r="A91" s="1514" t="s">
        <v>185</v>
      </c>
      <c r="B91" s="1515">
        <v>24.94</v>
      </c>
    </row>
    <row r="92" spans="1:2" ht="15.5">
      <c r="A92" s="1514" t="s">
        <v>1865</v>
      </c>
      <c r="B92" s="1515">
        <v>12</v>
      </c>
    </row>
    <row r="93" spans="1:2" ht="15.5">
      <c r="A93" s="1514" t="s">
        <v>1793</v>
      </c>
      <c r="B93" s="1515">
        <v>10</v>
      </c>
    </row>
    <row r="94" spans="1:2" ht="15.5">
      <c r="A94" s="1514" t="s">
        <v>1846</v>
      </c>
      <c r="B94" s="1515">
        <v>20</v>
      </c>
    </row>
    <row r="95" spans="1:2" ht="15.5">
      <c r="A95" s="1514" t="s">
        <v>1847</v>
      </c>
      <c r="B95" s="1515">
        <v>30</v>
      </c>
    </row>
    <row r="96" spans="1:2" ht="15.5">
      <c r="A96" s="1514" t="s">
        <v>186</v>
      </c>
      <c r="B96" s="1515">
        <v>24</v>
      </c>
    </row>
    <row r="97" spans="1:2" ht="15.5">
      <c r="A97" s="1514" t="s">
        <v>1794</v>
      </c>
      <c r="B97" s="1515">
        <v>15</v>
      </c>
    </row>
    <row r="98" spans="1:2" ht="15.5">
      <c r="A98" s="1514" t="s">
        <v>1796</v>
      </c>
      <c r="B98" s="1515">
        <v>35</v>
      </c>
    </row>
    <row r="99" spans="1:2" ht="15.5">
      <c r="A99" s="1514" t="s">
        <v>2647</v>
      </c>
      <c r="B99" s="1515">
        <v>25</v>
      </c>
    </row>
    <row r="100" spans="1:2" ht="15.5">
      <c r="A100" s="1514" t="s">
        <v>1797</v>
      </c>
      <c r="B100" s="1515">
        <v>15</v>
      </c>
    </row>
    <row r="101" spans="1:2" ht="15.5">
      <c r="A101" s="1514" t="s">
        <v>187</v>
      </c>
      <c r="B101" s="1515">
        <v>30</v>
      </c>
    </row>
    <row r="102" spans="1:2" ht="15.5">
      <c r="A102" s="1514" t="s">
        <v>2648</v>
      </c>
      <c r="B102" s="1515">
        <v>21</v>
      </c>
    </row>
    <row r="103" spans="1:2" ht="15.5">
      <c r="A103" s="1514" t="s">
        <v>1798</v>
      </c>
      <c r="B103" s="1515">
        <v>12</v>
      </c>
    </row>
    <row r="104" spans="1:2" ht="15.5">
      <c r="A104" s="1514" t="s">
        <v>1799</v>
      </c>
      <c r="B104" s="1515">
        <v>25</v>
      </c>
    </row>
    <row r="105" spans="1:2" ht="15.5">
      <c r="A105" s="1514" t="s">
        <v>1800</v>
      </c>
      <c r="B105" s="1515">
        <v>9</v>
      </c>
    </row>
    <row r="106" spans="1:2" ht="15.5">
      <c r="A106" s="1514" t="s">
        <v>188</v>
      </c>
      <c r="B106" s="1515">
        <v>32</v>
      </c>
    </row>
    <row r="107" spans="1:2" ht="15.5">
      <c r="A107" s="1514" t="s">
        <v>1802</v>
      </c>
      <c r="B107" s="1515">
        <v>32</v>
      </c>
    </row>
    <row r="108" spans="1:2" ht="15.5">
      <c r="A108" s="1514" t="s">
        <v>1848</v>
      </c>
      <c r="B108" s="1515">
        <v>22</v>
      </c>
    </row>
    <row r="109" spans="1:2" ht="15.5">
      <c r="A109" s="1514" t="s">
        <v>1803</v>
      </c>
      <c r="B109" s="1515">
        <v>32</v>
      </c>
    </row>
    <row r="110" spans="1:2" ht="15.5">
      <c r="A110" s="1514" t="s">
        <v>189</v>
      </c>
      <c r="B110" s="1515">
        <v>25.8</v>
      </c>
    </row>
    <row r="111" spans="1:2" ht="15.5">
      <c r="A111" s="1514" t="s">
        <v>190</v>
      </c>
      <c r="B111" s="1515">
        <v>28</v>
      </c>
    </row>
    <row r="112" spans="1:2" ht="15.5">
      <c r="A112" s="1514" t="s">
        <v>1804</v>
      </c>
      <c r="B112" s="1515">
        <v>30</v>
      </c>
    </row>
    <row r="113" spans="1:2" ht="15.5">
      <c r="A113" s="1514" t="s">
        <v>191</v>
      </c>
      <c r="B113" s="1515">
        <v>30</v>
      </c>
    </row>
    <row r="114" spans="1:2" ht="15.5">
      <c r="A114" s="1514" t="s">
        <v>192</v>
      </c>
      <c r="B114" s="1515">
        <v>22</v>
      </c>
    </row>
    <row r="115" spans="1:2" ht="15.5">
      <c r="A115" s="1514" t="s">
        <v>1806</v>
      </c>
      <c r="B115" s="1515">
        <v>15</v>
      </c>
    </row>
    <row r="116" spans="1:2" ht="15.5">
      <c r="A116" s="1514" t="s">
        <v>1807</v>
      </c>
      <c r="B116" s="1515">
        <v>29</v>
      </c>
    </row>
    <row r="117" spans="1:2" ht="15.5">
      <c r="A117" s="1514" t="s">
        <v>1808</v>
      </c>
      <c r="B117" s="1515">
        <v>25</v>
      </c>
    </row>
    <row r="118" spans="1:2" ht="15.5">
      <c r="A118" s="1514" t="s">
        <v>1809</v>
      </c>
      <c r="B118" s="1515">
        <v>30</v>
      </c>
    </row>
    <row r="119" spans="1:2" ht="15.5">
      <c r="A119" s="1514" t="s">
        <v>1810</v>
      </c>
      <c r="B119" s="1515">
        <v>10</v>
      </c>
    </row>
    <row r="120" spans="1:2" ht="15.5">
      <c r="A120" s="1514" t="s">
        <v>1811</v>
      </c>
      <c r="B120" s="1515">
        <v>29.5</v>
      </c>
    </row>
    <row r="121" spans="1:2" ht="15.5">
      <c r="A121" s="1514" t="s">
        <v>193</v>
      </c>
      <c r="B121" s="1515">
        <v>25</v>
      </c>
    </row>
    <row r="122" spans="1:2" ht="15.5">
      <c r="A122" s="1514" t="s">
        <v>194</v>
      </c>
      <c r="B122" s="1515">
        <v>19</v>
      </c>
    </row>
    <row r="123" spans="1:2" ht="15.5">
      <c r="A123" s="1514" t="s">
        <v>1812</v>
      </c>
      <c r="B123" s="1515">
        <v>21</v>
      </c>
    </row>
    <row r="124" spans="1:2" ht="15.5">
      <c r="A124" s="1514" t="s">
        <v>2649</v>
      </c>
      <c r="B124" s="1515">
        <v>37.5</v>
      </c>
    </row>
    <row r="125" spans="1:2" ht="15.5">
      <c r="A125" s="1514" t="s">
        <v>195</v>
      </c>
      <c r="B125" s="1515">
        <v>10</v>
      </c>
    </row>
    <row r="126" spans="1:2" ht="15.5">
      <c r="A126" s="1514" t="s">
        <v>2650</v>
      </c>
      <c r="B126" s="1515">
        <v>28</v>
      </c>
    </row>
    <row r="127" spans="1:2" ht="15.5">
      <c r="A127" s="1514" t="s">
        <v>196</v>
      </c>
      <c r="B127" s="1515">
        <v>16</v>
      </c>
    </row>
    <row r="128" spans="1:2" ht="15.5">
      <c r="A128" s="1514" t="s">
        <v>197</v>
      </c>
      <c r="B128" s="1515">
        <v>20</v>
      </c>
    </row>
    <row r="129" spans="1:2" ht="15.5">
      <c r="A129" s="1514" t="s">
        <v>1814</v>
      </c>
      <c r="B129" s="1515">
        <v>28</v>
      </c>
    </row>
    <row r="130" spans="1:2" ht="15.5">
      <c r="A130" s="1514" t="s">
        <v>1868</v>
      </c>
      <c r="B130" s="1515">
        <v>27</v>
      </c>
    </row>
    <row r="131" spans="1:2" ht="15.5">
      <c r="A131" s="1514" t="s">
        <v>198</v>
      </c>
      <c r="B131" s="1515">
        <v>20</v>
      </c>
    </row>
    <row r="132" spans="1:2" ht="15.5">
      <c r="A132" s="1514" t="s">
        <v>1815</v>
      </c>
      <c r="B132" s="1515">
        <v>30</v>
      </c>
    </row>
    <row r="133" spans="1:2" ht="15.5">
      <c r="A133" s="1514" t="s">
        <v>1816</v>
      </c>
      <c r="B133" s="1515">
        <v>15</v>
      </c>
    </row>
    <row r="134" spans="1:2" ht="15.5">
      <c r="A134" s="1514" t="s">
        <v>2651</v>
      </c>
      <c r="B134" s="1515">
        <v>33</v>
      </c>
    </row>
    <row r="135" spans="1:2" ht="15.5">
      <c r="A135" s="1514" t="s">
        <v>1849</v>
      </c>
      <c r="B135" s="1515">
        <v>25</v>
      </c>
    </row>
    <row r="136" spans="1:2" ht="15.5">
      <c r="A136" s="1514" t="s">
        <v>199</v>
      </c>
      <c r="B136" s="1515">
        <v>17</v>
      </c>
    </row>
    <row r="137" spans="1:2" ht="15.5">
      <c r="A137" s="1514" t="s">
        <v>1818</v>
      </c>
      <c r="B137" s="1515">
        <v>21</v>
      </c>
    </row>
    <row r="138" spans="1:2" ht="15.5">
      <c r="A138" s="1514" t="s">
        <v>1819</v>
      </c>
      <c r="B138" s="1515">
        <v>22</v>
      </c>
    </row>
    <row r="139" spans="1:2" ht="15.5">
      <c r="A139" s="1514" t="s">
        <v>1820</v>
      </c>
      <c r="B139" s="1515">
        <v>30</v>
      </c>
    </row>
    <row r="140" spans="1:2" ht="15.5">
      <c r="A140" s="1514" t="s">
        <v>200</v>
      </c>
      <c r="B140" s="1515">
        <v>27</v>
      </c>
    </row>
    <row r="141" spans="1:2" ht="15.5">
      <c r="A141" s="1514" t="s">
        <v>2317</v>
      </c>
      <c r="B141" s="1515">
        <v>24</v>
      </c>
    </row>
    <row r="142" spans="1:2" ht="15.5">
      <c r="A142" s="1514" t="s">
        <v>201</v>
      </c>
      <c r="B142" s="1515">
        <v>25</v>
      </c>
    </row>
    <row r="143" spans="1:2" ht="15.5">
      <c r="A143" s="1514" t="s">
        <v>202</v>
      </c>
      <c r="B143" s="1515">
        <v>30</v>
      </c>
    </row>
    <row r="144" spans="1:2" ht="15.5">
      <c r="A144" s="1514" t="s">
        <v>1851</v>
      </c>
      <c r="B144" s="1515">
        <v>35</v>
      </c>
    </row>
    <row r="145" spans="1:2" ht="15.5">
      <c r="A145" s="1514" t="s">
        <v>1823</v>
      </c>
      <c r="B145" s="1515">
        <v>36</v>
      </c>
    </row>
    <row r="146" spans="1:2" ht="15.5">
      <c r="A146" s="1514" t="s">
        <v>1824</v>
      </c>
      <c r="B146" s="1515">
        <v>27.5</v>
      </c>
    </row>
    <row r="147" spans="1:2" ht="15.5">
      <c r="A147" s="1514" t="s">
        <v>203</v>
      </c>
      <c r="B147" s="1515">
        <v>20.6</v>
      </c>
    </row>
    <row r="148" spans="1:2" ht="15.5">
      <c r="A148" s="1514" t="s">
        <v>204</v>
      </c>
      <c r="B148" s="1515">
        <v>14.6</v>
      </c>
    </row>
    <row r="149" spans="1:2" ht="15.5">
      <c r="A149" s="1514" t="s">
        <v>1852</v>
      </c>
      <c r="B149" s="1515">
        <v>28</v>
      </c>
    </row>
    <row r="150" spans="1:2" ht="15.5">
      <c r="A150" s="1514" t="s">
        <v>205</v>
      </c>
      <c r="B150" s="1515">
        <v>20</v>
      </c>
    </row>
    <row r="151" spans="1:2" ht="15.5">
      <c r="A151" s="1514" t="s">
        <v>1826</v>
      </c>
      <c r="B151" s="1515">
        <v>30</v>
      </c>
    </row>
    <row r="152" spans="1:2" ht="15.5">
      <c r="A152" s="1514" t="s">
        <v>206</v>
      </c>
      <c r="B152" s="1515">
        <v>20</v>
      </c>
    </row>
    <row r="153" spans="1:2" ht="15.5">
      <c r="A153" s="1514" t="s">
        <v>2652</v>
      </c>
      <c r="B153" s="1515">
        <v>25</v>
      </c>
    </row>
    <row r="154" spans="1:2" ht="15.5">
      <c r="A154" s="1514" t="s">
        <v>2653</v>
      </c>
      <c r="B154" s="1515">
        <v>30</v>
      </c>
    </row>
    <row r="155" spans="1:2" ht="15.5">
      <c r="A155" s="1514" t="s">
        <v>1828</v>
      </c>
      <c r="B155" s="1515">
        <v>15</v>
      </c>
    </row>
    <row r="156" spans="1:2" ht="15.5">
      <c r="A156" s="1514" t="s">
        <v>207</v>
      </c>
      <c r="B156" s="1515">
        <v>25</v>
      </c>
    </row>
    <row r="157" spans="1:2" ht="15.5">
      <c r="A157" s="1514" t="s">
        <v>1829</v>
      </c>
      <c r="B157" s="1515">
        <v>30</v>
      </c>
    </row>
    <row r="158" spans="1:2" ht="15.5">
      <c r="A158" s="1514" t="s">
        <v>1830</v>
      </c>
      <c r="B158" s="1515">
        <v>18</v>
      </c>
    </row>
    <row r="159" spans="1:2" ht="15.5">
      <c r="A159" s="1514" t="s">
        <v>1831</v>
      </c>
      <c r="B159" s="1515">
        <v>9</v>
      </c>
    </row>
    <row r="160" spans="1:2" ht="15.5">
      <c r="A160" s="1514" t="s">
        <v>208</v>
      </c>
      <c r="B160" s="1515">
        <v>25</v>
      </c>
    </row>
    <row r="161" spans="1:2" ht="15.5">
      <c r="A161" s="1514" t="s">
        <v>209</v>
      </c>
      <c r="B161" s="1515">
        <v>21</v>
      </c>
    </row>
    <row r="162" spans="1:2" ht="15.5">
      <c r="A162" s="1514" t="s">
        <v>1832</v>
      </c>
      <c r="B162" s="1515">
        <v>25</v>
      </c>
    </row>
    <row r="163" spans="1:2" ht="15.5">
      <c r="A163" s="1514" t="s">
        <v>1833</v>
      </c>
      <c r="B163" s="1515">
        <v>15</v>
      </c>
    </row>
    <row r="164" spans="1:2" ht="15.5">
      <c r="A164" s="1514" t="s">
        <v>1869</v>
      </c>
      <c r="B164" s="1515">
        <v>0</v>
      </c>
    </row>
    <row r="165" spans="1:2" ht="15.5">
      <c r="A165" s="1514" t="s">
        <v>1834</v>
      </c>
      <c r="B165" s="1515">
        <v>34</v>
      </c>
    </row>
    <row r="166" spans="1:2" ht="15.5">
      <c r="A166" s="1514" t="s">
        <v>210</v>
      </c>
      <c r="B166" s="1515">
        <v>20</v>
      </c>
    </row>
    <row r="167" spans="1:2" ht="15.5">
      <c r="A167" s="1514" t="s">
        <v>211</v>
      </c>
      <c r="B167" s="1515">
        <v>30</v>
      </c>
    </row>
    <row r="168" spans="1:2" ht="15.5">
      <c r="A168" s="1514" t="s">
        <v>1853</v>
      </c>
      <c r="B168" s="1515">
        <v>24.72</v>
      </c>
    </row>
  </sheetData>
  <hyperlinks>
    <hyperlink ref="A5" r:id="rId1" display="https://tradingeconomics.com/afghanistan/corporate-tax-rate" xr:uid="{684933CE-BCBB-4FC4-AB16-721A93E42701}"/>
    <hyperlink ref="A6" r:id="rId2" display="https://tradingeconomics.com/albania/corporate-tax-rate" xr:uid="{C9DAD922-34EC-414B-9C35-49F2DA72BB42}"/>
    <hyperlink ref="A7" r:id="rId3" display="https://tradingeconomics.com/algeria/corporate-tax-rate" xr:uid="{FC6065EE-22B5-4DAF-9DB4-0217424AA40D}"/>
    <hyperlink ref="A8" r:id="rId4" display="https://tradingeconomics.com/angola/corporate-tax-rate" xr:uid="{8501E4FF-8921-4C74-9EAE-EE4F998A3B31}"/>
    <hyperlink ref="A9" r:id="rId5" display="https://tradingeconomics.com/argentina/corporate-tax-rate" xr:uid="{51B1B716-E0CE-44CF-AF7B-A694DB4F6817}"/>
    <hyperlink ref="A10" r:id="rId6" display="https://tradingeconomics.com/armenia/corporate-tax-rate" xr:uid="{70BE3132-2F53-4421-BAE5-C4D8B89700D3}"/>
    <hyperlink ref="A11" r:id="rId7" display="https://tradingeconomics.com/aruba/corporate-tax-rate" xr:uid="{E0CF98E4-5D52-42E1-8621-E34A1C28A533}"/>
    <hyperlink ref="A12" r:id="rId8" display="https://tradingeconomics.com/australia/corporate-tax-rate" xr:uid="{13D750F2-A03C-4B77-A741-0CC2D2828AA5}"/>
    <hyperlink ref="A13" r:id="rId9" display="https://tradingeconomics.com/austria/corporate-tax-rate" xr:uid="{B17483DD-DCD2-4F27-81AE-612CC433FE06}"/>
    <hyperlink ref="A14" r:id="rId10" display="https://tradingeconomics.com/azerbaijan/corporate-tax-rate" xr:uid="{FD48BBDC-3073-4613-8C20-FFB0878BD78B}"/>
    <hyperlink ref="A15" r:id="rId11" display="https://tradingeconomics.com/bahamas/corporate-tax-rate" xr:uid="{7395E6D6-AD0E-4DD1-8CE2-F5C157F5B84C}"/>
    <hyperlink ref="A16" r:id="rId12" display="https://tradingeconomics.com/bahrain/corporate-tax-rate" xr:uid="{5222E384-1C76-42E8-B95C-26AD3C39A9FB}"/>
    <hyperlink ref="A17" r:id="rId13" display="https://tradingeconomics.com/bangladesh/corporate-tax-rate" xr:uid="{09B7A1CE-D96A-4F8D-B788-FB0CE675376E}"/>
    <hyperlink ref="A18" r:id="rId14" display="https://tradingeconomics.com/barbados/corporate-tax-rate" xr:uid="{6254BFEA-AE00-4E9E-A965-A09EEB687AFB}"/>
    <hyperlink ref="A19" r:id="rId15" display="https://tradingeconomics.com/belarus/corporate-tax-rate" xr:uid="{1B8009B4-2A24-4D02-8C5F-CF30460A1D79}"/>
    <hyperlink ref="A20" r:id="rId16" display="https://tradingeconomics.com/belgium/corporate-tax-rate" xr:uid="{CFDA52FD-DD45-4A7E-A3D3-4C47A0AEBBCE}"/>
    <hyperlink ref="A21" r:id="rId17" display="https://tradingeconomics.com/benin/corporate-tax-rate" xr:uid="{D7513B0B-0348-4530-AD9C-B447C769D367}"/>
    <hyperlink ref="A22" r:id="rId18" display="https://tradingeconomics.com/bermuda/corporate-tax-rate" xr:uid="{157C118D-2959-4EB8-90FF-1FA8FAE31F66}"/>
    <hyperlink ref="A23" r:id="rId19" display="https://tradingeconomics.com/bolivia/corporate-tax-rate" xr:uid="{E54E0D76-D6C3-455E-9330-62E9C46257D8}"/>
    <hyperlink ref="A24" r:id="rId20" display="https://tradingeconomics.com/bosnia-and-herzegovina/corporate-tax-rate" xr:uid="{3735FFF8-D2AB-40F0-94FF-B6FFB2483A02}"/>
    <hyperlink ref="A25" r:id="rId21" display="https://tradingeconomics.com/botswana/corporate-tax-rate" xr:uid="{76172D37-29DB-4069-9B2B-0EBC8D919EE1}"/>
    <hyperlink ref="A26" r:id="rId22" display="https://tradingeconomics.com/brazil/corporate-tax-rate" xr:uid="{F4C93E42-B1AE-4784-BC42-6ADDF891D0BD}"/>
    <hyperlink ref="A27" r:id="rId23" display="https://tradingeconomics.com/brunei/corporate-tax-rate" xr:uid="{41ABEB24-9709-4976-8B0A-7AEBD1F9091B}"/>
    <hyperlink ref="A28" r:id="rId24" display="https://tradingeconomics.com/bulgaria/corporate-tax-rate" xr:uid="{5DE4EB64-FBAD-4E85-B7B3-A07A1728DDFC}"/>
    <hyperlink ref="A29" r:id="rId25" display="https://tradingeconomics.com/burkina-faso/corporate-tax-rate" xr:uid="{381783A6-8225-4CCF-BBC2-E0E74470D70F}"/>
    <hyperlink ref="A30" r:id="rId26" display="https://tradingeconomics.com/cambodia/corporate-tax-rate" xr:uid="{564F3A13-1E83-4D2E-805D-AB2119B1C242}"/>
    <hyperlink ref="A31" r:id="rId27" display="https://tradingeconomics.com/cameroon/corporate-tax-rate" xr:uid="{88295E1A-2F44-492C-836C-98A8B676A1EC}"/>
    <hyperlink ref="A32" r:id="rId28" display="https://tradingeconomics.com/canada/corporate-tax-rate" xr:uid="{E968C6E4-87ED-477C-B6B1-5D71347D2E32}"/>
    <hyperlink ref="A33" r:id="rId29" display="https://tradingeconomics.com/cayman-islands/corporate-tax-rate" xr:uid="{5782A640-9341-40EA-8814-67AFD34DA3B1}"/>
    <hyperlink ref="A34" r:id="rId30" display="https://tradingeconomics.com/chad/corporate-tax-rate" xr:uid="{72C0E508-BFFD-4A18-85AF-825B536A9022}"/>
    <hyperlink ref="A35" r:id="rId31" display="https://tradingeconomics.com/chile/corporate-tax-rate" xr:uid="{156EF4BB-BB18-4F49-8742-12A1F2D4F171}"/>
    <hyperlink ref="A36" r:id="rId32" display="https://tradingeconomics.com/china/corporate-tax-rate" xr:uid="{571C84F3-20EA-4CF2-8F30-E0B6DCB9916A}"/>
    <hyperlink ref="A37" r:id="rId33" display="https://tradingeconomics.com/colombia/corporate-tax-rate" xr:uid="{A4014CDE-4FFF-4D99-9A8C-107A47F3BFB5}"/>
    <hyperlink ref="A38" r:id="rId34" display="https://tradingeconomics.com/congo/corporate-tax-rate" xr:uid="{6417B1EA-2308-4BC9-AE09-8BF769F7E15D}"/>
    <hyperlink ref="A39" r:id="rId35" display="https://tradingeconomics.com/costa-rica/corporate-tax-rate" xr:uid="{88F2D2E8-B2A2-4767-ABD1-A7A31ED85510}"/>
    <hyperlink ref="A40" r:id="rId36" display="https://tradingeconomics.com/croatia/corporate-tax-rate" xr:uid="{986AB557-FDF3-49E0-AB8C-F2E5904CCFCA}"/>
    <hyperlink ref="A41" r:id="rId37" display="https://tradingeconomics.com/cyprus/corporate-tax-rate" xr:uid="{A4A2B493-5C3E-48A0-9B8D-59FF64242684}"/>
    <hyperlink ref="A42" r:id="rId38" display="https://tradingeconomics.com/czech-republic/corporate-tax-rate" xr:uid="{A0D8B7DD-A18C-407F-8851-4DD9FEED59A5}"/>
    <hyperlink ref="A43" r:id="rId39" display="https://tradingeconomics.com/denmark/corporate-tax-rate" xr:uid="{84A8DA0F-C454-493F-916E-2394FC6FCD0B}"/>
    <hyperlink ref="A44" r:id="rId40" display="https://tradingeconomics.com/dominican-republic/corporate-tax-rate" xr:uid="{6D6920E3-AED8-473B-861C-92CE54BBA53A}"/>
    <hyperlink ref="A45" r:id="rId41" display="https://tradingeconomics.com/ecuador/corporate-tax-rate" xr:uid="{C3900F28-46CE-4806-8DE9-D0FFFCC7AC13}"/>
    <hyperlink ref="A46" r:id="rId42" display="https://tradingeconomics.com/egypt/corporate-tax-rate" xr:uid="{07CF71AE-1221-47CF-8EDD-EAC0D1472A40}"/>
    <hyperlink ref="A47" r:id="rId43" display="https://tradingeconomics.com/el-salvador/corporate-tax-rate" xr:uid="{EA7F5AF0-8804-4662-A28B-40AFF5DD20C7}"/>
    <hyperlink ref="A48" r:id="rId44" display="https://tradingeconomics.com/equatorial-guinea/corporate-tax-rate" xr:uid="{D558C705-46C4-47A2-B0C9-28B6C6C48C03}"/>
    <hyperlink ref="A49" r:id="rId45" display="https://tradingeconomics.com/estonia/corporate-tax-rate" xr:uid="{FD7D3671-66FD-4F72-B1D8-6C0140C81096}"/>
    <hyperlink ref="A50" r:id="rId46" display="https://tradingeconomics.com/ethiopia/corporate-tax-rate" xr:uid="{EEA61DA6-EB85-4C8F-AE1C-FB21A70C570D}"/>
    <hyperlink ref="A51" r:id="rId47" display="https://tradingeconomics.com/euro-area/corporate-tax-rate" xr:uid="{4220B72E-19B5-4AD2-9ECB-D453BC689180}"/>
    <hyperlink ref="A52" r:id="rId48" display="https://tradingeconomics.com/european-union/corporate-tax-rate" xr:uid="{BBA54A97-FF3F-42F2-BE48-4AAC42E9CE0D}"/>
    <hyperlink ref="A53" r:id="rId49" display="https://tradingeconomics.com/fiji/corporate-tax-rate" xr:uid="{D3ECB105-11DD-419B-A8BC-3E6B5D97416E}"/>
    <hyperlink ref="A54" r:id="rId50" display="https://tradingeconomics.com/finland/corporate-tax-rate" xr:uid="{B4DCE689-EA8D-40DE-9DDA-5EE9D8AC770E}"/>
    <hyperlink ref="A55" r:id="rId51" display="https://tradingeconomics.com/france/corporate-tax-rate" xr:uid="{FDFC4DEB-FE4C-4F2F-A171-FC5C8DEA06C8}"/>
    <hyperlink ref="A56" r:id="rId52" display="https://tradingeconomics.com/gabon/corporate-tax-rate" xr:uid="{FFE42C8C-E3F0-4A23-B6CE-70361D7C58D9}"/>
    <hyperlink ref="A57" r:id="rId53" display="https://tradingeconomics.com/gambia/corporate-tax-rate" xr:uid="{7E686768-7CA1-4556-BB1D-01614EF00207}"/>
    <hyperlink ref="A58" r:id="rId54" display="https://tradingeconomics.com/georgia/corporate-tax-rate" xr:uid="{078E26F0-1B27-4F6F-BA99-8D2EC52E62B8}"/>
    <hyperlink ref="A59" r:id="rId55" display="https://tradingeconomics.com/germany/corporate-tax-rate" xr:uid="{8DF11619-E8D3-4BB6-9728-B14E676C7D2D}"/>
    <hyperlink ref="A60" r:id="rId56" display="https://tradingeconomics.com/ghana/corporate-tax-rate" xr:uid="{CF0C560F-551B-4DF1-8715-DE4D9F50E6BD}"/>
    <hyperlink ref="A61" r:id="rId57" display="https://tradingeconomics.com/greece/corporate-tax-rate" xr:uid="{5293CF3B-AD59-4509-A61B-5B7A8032F994}"/>
    <hyperlink ref="A62" r:id="rId58" display="https://tradingeconomics.com/guam/corporate-tax-rate" xr:uid="{786B6552-6504-4B3E-9E98-60BF5116B1A0}"/>
    <hyperlink ref="A63" r:id="rId59" display="https://tradingeconomics.com/guatemala/corporate-tax-rate" xr:uid="{A1635C57-0935-4B7A-BEBA-CC69A5A25B45}"/>
    <hyperlink ref="A64" r:id="rId60" display="https://tradingeconomics.com/guinea/corporate-tax-rate" xr:uid="{4042569C-862B-43C4-B338-522AC36BBF2F}"/>
    <hyperlink ref="A65" r:id="rId61" display="https://tradingeconomics.com/honduras/corporate-tax-rate" xr:uid="{ABD46C73-035B-4FB2-A809-C3CD74AFBF9C}"/>
    <hyperlink ref="A66" r:id="rId62" display="https://tradingeconomics.com/hong-kong/corporate-tax-rate" xr:uid="{9A741335-86D3-4068-BC73-77CCEB17F95D}"/>
    <hyperlink ref="A67" r:id="rId63" display="https://tradingeconomics.com/hungary/corporate-tax-rate" xr:uid="{517AF755-8A2F-49BE-8F5D-917BCF1EE28E}"/>
    <hyperlink ref="A68" r:id="rId64" display="https://tradingeconomics.com/iceland/corporate-tax-rate" xr:uid="{71857E35-0129-4FD5-BD24-83635E4F4FB9}"/>
    <hyperlink ref="A69" r:id="rId65" display="https://tradingeconomics.com/india/corporate-tax-rate" xr:uid="{C601A52E-EEAD-47B5-8D71-964EE313C454}"/>
    <hyperlink ref="A70" r:id="rId66" display="https://tradingeconomics.com/indonesia/corporate-tax-rate" xr:uid="{00E0DDC7-90A5-4B1A-BBA5-108616676F3C}"/>
    <hyperlink ref="A71" r:id="rId67" display="https://tradingeconomics.com/iraq/corporate-tax-rate" xr:uid="{D0D3F66D-6ABA-4396-B88E-A187BFEB61A2}"/>
    <hyperlink ref="A72" r:id="rId68" display="https://tradingeconomics.com/ireland/corporate-tax-rate" xr:uid="{FB397E84-F5CA-4860-B0E4-0AD34913AB36}"/>
    <hyperlink ref="A73" r:id="rId69" display="https://tradingeconomics.com/isle-of-man/corporate-tax-rate" xr:uid="{F82E29A9-1C1B-4973-A939-B082CF346CAA}"/>
    <hyperlink ref="A74" r:id="rId70" display="https://tradingeconomics.com/israel/corporate-tax-rate" xr:uid="{2A48C6FB-F28C-4E0D-86C3-1295E70A74DA}"/>
    <hyperlink ref="A75" r:id="rId71" display="https://tradingeconomics.com/italy/corporate-tax-rate" xr:uid="{2A1F5B05-3D49-4BA9-9D25-DB795CD32331}"/>
    <hyperlink ref="A76" r:id="rId72" display="https://tradingeconomics.com/ivory-coast/corporate-tax-rate" xr:uid="{62889EBB-DBC1-4E97-A90C-B7363FED9194}"/>
    <hyperlink ref="A77" r:id="rId73" display="https://tradingeconomics.com/jamaica/corporate-tax-rate" xr:uid="{99641B74-517D-4067-9415-C11EDB6F1936}"/>
    <hyperlink ref="A78" r:id="rId74" display="https://tradingeconomics.com/japan/corporate-tax-rate" xr:uid="{589AB70C-45B7-40FA-ACFC-F41476226BBA}"/>
    <hyperlink ref="A79" r:id="rId75" display="https://tradingeconomics.com/jordan/corporate-tax-rate" xr:uid="{BBD706BF-DE23-4D51-B406-B590B735E440}"/>
    <hyperlink ref="A80" r:id="rId76" display="https://tradingeconomics.com/kazakhstan/corporate-tax-rate" xr:uid="{4CA147EA-A5FA-4941-B182-0CFDD24D47C4}"/>
    <hyperlink ref="A81" r:id="rId77" display="https://tradingeconomics.com/kenya/corporate-tax-rate" xr:uid="{3DBA06DD-949F-44BE-A60A-27879295F661}"/>
    <hyperlink ref="A82" r:id="rId78" display="https://tradingeconomics.com/kosovo/corporate-tax-rate" xr:uid="{9CD106DD-256C-448A-930B-258D31439967}"/>
    <hyperlink ref="A83" r:id="rId79" display="https://tradingeconomics.com/kuwait/corporate-tax-rate" xr:uid="{DA8BB275-7362-4F05-AD3E-A93BE45FB453}"/>
    <hyperlink ref="A84" r:id="rId80" display="https://tradingeconomics.com/laos/corporate-tax-rate" xr:uid="{8A2409DB-04CA-4657-AECD-1DCA724CE46F}"/>
    <hyperlink ref="A85" r:id="rId81" display="https://tradingeconomics.com/latvia/corporate-tax-rate" xr:uid="{77066E5D-BED4-4A47-8339-3B6C0CC72357}"/>
    <hyperlink ref="A86" r:id="rId82" display="https://tradingeconomics.com/lebanon/corporate-tax-rate" xr:uid="{B113F91A-0B9D-4BA2-A7E5-56CA8B53E901}"/>
    <hyperlink ref="A87" r:id="rId83" display="https://tradingeconomics.com/lesotho/corporate-tax-rate" xr:uid="{9D7D6451-3B55-410C-9D22-6AD6402B4705}"/>
    <hyperlink ref="A88" r:id="rId84" display="https://tradingeconomics.com/libya/corporate-tax-rate" xr:uid="{880E707C-4CB2-4DE5-9317-0B162DC1B7B4}"/>
    <hyperlink ref="A89" r:id="rId85" display="https://tradingeconomics.com/liechtenstein/corporate-tax-rate" xr:uid="{B53784CA-586A-4385-8903-00599B31A814}"/>
    <hyperlink ref="A90" r:id="rId86" display="https://tradingeconomics.com/lithuania/corporate-tax-rate" xr:uid="{1D96E83C-C075-4976-98E6-38C116D64AB1}"/>
    <hyperlink ref="A91" r:id="rId87" display="https://tradingeconomics.com/luxembourg/corporate-tax-rate" xr:uid="{E078B6DE-D5BF-44DA-9312-E2534337D131}"/>
    <hyperlink ref="A92" r:id="rId88" display="https://tradingeconomics.com/macau/corporate-tax-rate" xr:uid="{32F40151-F07B-43D0-9DA6-5F3F4A2A573A}"/>
    <hyperlink ref="A93" r:id="rId89" display="https://tradingeconomics.com/macedonia/corporate-tax-rate" xr:uid="{9FB3BE0F-750A-4795-BD2D-34172C50DFFA}"/>
    <hyperlink ref="A94" r:id="rId90" display="https://tradingeconomics.com/madagascar/corporate-tax-rate" xr:uid="{45F93D6F-A50C-44F9-988C-62008DE1F04C}"/>
    <hyperlink ref="A95" r:id="rId91" display="https://tradingeconomics.com/malawi/corporate-tax-rate" xr:uid="{F34B699A-4670-49A2-8BAB-9DD8DDB0B759}"/>
    <hyperlink ref="A96" r:id="rId92" display="https://tradingeconomics.com/malaysia/corporate-tax-rate" xr:uid="{6209BA90-59E2-42C3-B212-AC5FBC430A5C}"/>
    <hyperlink ref="A97" r:id="rId93" display="https://tradingeconomics.com/maldives/corporate-tax-rate" xr:uid="{405551BB-E44C-4449-85B1-7E9C895B0D0E}"/>
    <hyperlink ref="A98" r:id="rId94" display="https://tradingeconomics.com/malta/corporate-tax-rate" xr:uid="{DEDCB4C0-C5ED-4C48-B356-2FACF3F3FB72}"/>
    <hyperlink ref="A99" r:id="rId95" display="https://tradingeconomics.com/mauritania/corporate-tax-rate" xr:uid="{4C8AFFE8-F19F-4109-AAF1-C4639A51C9DB}"/>
    <hyperlink ref="A100" r:id="rId96" display="https://tradingeconomics.com/mauritius/corporate-tax-rate" xr:uid="{05E68C3C-B2ED-496E-BDC5-EF72ED823E4D}"/>
    <hyperlink ref="A101" r:id="rId97" display="https://tradingeconomics.com/mexico/corporate-tax-rate" xr:uid="{CF282EBD-E251-494E-9D54-38272A7FF7C1}"/>
    <hyperlink ref="A102" r:id="rId98" display="https://tradingeconomics.com/micronesia/corporate-tax-rate" xr:uid="{863D5ED2-C0D7-4980-B5B4-77A5373D36D8}"/>
    <hyperlink ref="A103" r:id="rId99" display="https://tradingeconomics.com/moldova/corporate-tax-rate" xr:uid="{C7329587-CDE8-4193-A434-3CD5B9721263}"/>
    <hyperlink ref="A104" r:id="rId100" display="https://tradingeconomics.com/mongolia/corporate-tax-rate" xr:uid="{91B3519F-A3A0-4571-B189-CA08609DD151}"/>
    <hyperlink ref="A105" r:id="rId101" display="https://tradingeconomics.com/montenegro/corporate-tax-rate" xr:uid="{A08B5F41-B979-4E68-8A73-9EF905E3E79C}"/>
    <hyperlink ref="A106" r:id="rId102" display="https://tradingeconomics.com/morocco/corporate-tax-rate" xr:uid="{F02E8DEB-7942-4020-8936-686543D2FA4A}"/>
    <hyperlink ref="A107" r:id="rId103" display="https://tradingeconomics.com/mozambique/corporate-tax-rate" xr:uid="{A673FAB1-7515-4A92-B94A-0C608D4CBB1C}"/>
    <hyperlink ref="A108" r:id="rId104" display="https://tradingeconomics.com/myanmar/corporate-tax-rate" xr:uid="{82BCDCC7-05DC-475F-A59E-023BA9993AB1}"/>
    <hyperlink ref="A109" r:id="rId105" display="https://tradingeconomics.com/namibia/corporate-tax-rate" xr:uid="{541E9DF9-076C-4F4A-B2D8-B2A3FD8E92D0}"/>
    <hyperlink ref="A110" r:id="rId106" display="https://tradingeconomics.com/netherlands/corporate-tax-rate" xr:uid="{D1FC0516-CAFD-4899-BDC8-20897A80DB18}"/>
    <hyperlink ref="A111" r:id="rId107" display="https://tradingeconomics.com/new-zealand/corporate-tax-rate" xr:uid="{F9771902-C0F7-4937-BFEF-7EE01595826F}"/>
    <hyperlink ref="A112" r:id="rId108" display="https://tradingeconomics.com/nicaragua/corporate-tax-rate" xr:uid="{A6734A48-C007-465E-813F-20B0CA293860}"/>
    <hyperlink ref="A113" r:id="rId109" display="https://tradingeconomics.com/nigeria/corporate-tax-rate" xr:uid="{59F2FDD6-7087-4FB5-B2AC-9A9437B39D02}"/>
    <hyperlink ref="A114" r:id="rId110" display="https://tradingeconomics.com/norway/corporate-tax-rate" xr:uid="{FEE440AD-DC37-4CAB-A84F-BBB0F88F6940}"/>
    <hyperlink ref="A115" r:id="rId111" display="https://tradingeconomics.com/oman/corporate-tax-rate" xr:uid="{965E7BD7-1E51-4041-877B-67CF4D08436B}"/>
    <hyperlink ref="A116" r:id="rId112" display="https://tradingeconomics.com/pakistan/corporate-tax-rate" xr:uid="{BC6355B4-8F1E-4025-81B6-BA32ACB0979F}"/>
    <hyperlink ref="A117" r:id="rId113" display="https://tradingeconomics.com/panama/corporate-tax-rate" xr:uid="{ACFB1198-01CE-47F6-AA79-599085758CA6}"/>
    <hyperlink ref="A118" r:id="rId114" display="https://tradingeconomics.com/papua-new-guinea/corporate-tax-rate" xr:uid="{290DB19A-5D12-438D-B8F6-68C1A1AAFA62}"/>
    <hyperlink ref="A119" r:id="rId115" display="https://tradingeconomics.com/paraguay/corporate-tax-rate" xr:uid="{86A13AAA-67CC-4BE5-840D-D8DD0A91DCD2}"/>
    <hyperlink ref="A120" r:id="rId116" display="https://tradingeconomics.com/peru/corporate-tax-rate" xr:uid="{8F590DA7-CB6E-4654-BBF5-7DF59D0D9892}"/>
    <hyperlink ref="A121" r:id="rId117" display="https://tradingeconomics.com/philippines/corporate-tax-rate" xr:uid="{0ABFB4DD-16E1-45E2-B834-C6B9876FF533}"/>
    <hyperlink ref="A122" r:id="rId118" display="https://tradingeconomics.com/poland/corporate-tax-rate" xr:uid="{FB4BF37A-4547-4191-A2BF-117CFF00554E}"/>
    <hyperlink ref="A123" r:id="rId119" display="https://tradingeconomics.com/portugal/corporate-tax-rate" xr:uid="{49E2DD78-A865-4F4E-8B48-73C46ED4218D}"/>
    <hyperlink ref="A124" r:id="rId120" display="https://tradingeconomics.com/puerto-rico/corporate-tax-rate" xr:uid="{E1DD7F49-7527-497D-8D01-F1853115AA4A}"/>
    <hyperlink ref="A125" r:id="rId121" display="https://tradingeconomics.com/qatar/corporate-tax-rate" xr:uid="{DA899C37-2BFA-4D5C-998E-BC1A1480AB21}"/>
    <hyperlink ref="A126" r:id="rId122" display="https://tradingeconomics.com/republic-of-the-congo/corporate-tax-rate" xr:uid="{46163758-1F69-4FC4-93BA-C0126102F77C}"/>
    <hyperlink ref="A127" r:id="rId123" display="https://tradingeconomics.com/romania/corporate-tax-rate" xr:uid="{464DAE7B-9098-40A8-BE4D-B86195065FBA}"/>
    <hyperlink ref="A128" r:id="rId124" display="https://tradingeconomics.com/russia/corporate-tax-rate" xr:uid="{D26B0DA0-330F-4C29-8235-ACDF9D7E2411}"/>
    <hyperlink ref="A129" r:id="rId125" display="https://tradingeconomics.com/rwanda/corporate-tax-rate" xr:uid="{C0277B67-4254-42C8-8FBF-709EAA0A3318}"/>
    <hyperlink ref="A130" r:id="rId126" display="https://tradingeconomics.com/samoa/corporate-tax-rate" xr:uid="{D57CE6FD-29D7-4708-ABFB-14B746216B28}"/>
    <hyperlink ref="A131" r:id="rId127" display="https://tradingeconomics.com/saudi-arabia/corporate-tax-rate" xr:uid="{A007F066-9D12-4D0E-B6A0-A8249180C7CB}"/>
    <hyperlink ref="A132" r:id="rId128" display="https://tradingeconomics.com/senegal/corporate-tax-rate" xr:uid="{E7EF202A-AACB-4571-A7A2-F611C3914BB0}"/>
    <hyperlink ref="A133" r:id="rId129" display="https://tradingeconomics.com/serbia/corporate-tax-rate" xr:uid="{F75C1662-81D1-402C-9966-A855B95D5EBA}"/>
    <hyperlink ref="A134" r:id="rId130" display="https://tradingeconomics.com/seychelles/corporate-tax-rate" xr:uid="{08AA56D9-8147-47B3-AE58-E01172FB29BA}"/>
    <hyperlink ref="A135" r:id="rId131" display="https://tradingeconomics.com/sierra-leone/corporate-tax-rate" xr:uid="{3A3817CA-BEE5-4F9B-AC00-6D95AB42FCB4}"/>
    <hyperlink ref="A136" r:id="rId132" display="https://tradingeconomics.com/singapore/corporate-tax-rate" xr:uid="{2CCAFB11-A240-4F67-945E-0FFEE90F286B}"/>
    <hyperlink ref="A137" r:id="rId133" display="https://tradingeconomics.com/slovakia/corporate-tax-rate" xr:uid="{89C5E0BC-AA62-4076-A543-B2AE78CF9DE6}"/>
    <hyperlink ref="A138" r:id="rId134" display="https://tradingeconomics.com/slovenia/corporate-tax-rate" xr:uid="{640A8437-5F89-4535-94E5-912019123B4F}"/>
    <hyperlink ref="A139" r:id="rId135" display="https://tradingeconomics.com/solomon-islands/corporate-tax-rate" xr:uid="{12877F50-BEAF-4D1A-A7E9-96361B0C0155}"/>
    <hyperlink ref="A140" r:id="rId136" display="https://tradingeconomics.com/south-africa/corporate-tax-rate" xr:uid="{D8CE4D2C-3571-4D56-BC3C-420758D5F059}"/>
    <hyperlink ref="A141" r:id="rId137" display="https://tradingeconomics.com/south-korea/corporate-tax-rate" xr:uid="{96C53FEF-1FB8-4C30-B6CF-3A38069088C8}"/>
    <hyperlink ref="A142" r:id="rId138" display="https://tradingeconomics.com/spain/corporate-tax-rate" xr:uid="{2B264D96-061B-43AB-88B3-09C14D15A185}"/>
    <hyperlink ref="A143" r:id="rId139" display="https://tradingeconomics.com/sri-lanka/corporate-tax-rate" xr:uid="{CE28188A-3AA9-4C91-BC88-CECB5BC79016}"/>
    <hyperlink ref="A144" r:id="rId140" display="https://tradingeconomics.com/sudan/corporate-tax-rate" xr:uid="{8A9D07D4-BF6B-47B3-90BC-3EF0CD86BC2B}"/>
    <hyperlink ref="A145" r:id="rId141" display="https://tradingeconomics.com/suriname/corporate-tax-rate" xr:uid="{3C1DA032-0D75-4565-ABBA-0E22CB4832C3}"/>
    <hyperlink ref="A146" r:id="rId142" display="https://tradingeconomics.com/swaziland/corporate-tax-rate" xr:uid="{17B4B24A-B9E9-4F8F-98EE-2A46179D8642}"/>
    <hyperlink ref="A147" r:id="rId143" display="https://tradingeconomics.com/sweden/corporate-tax-rate" xr:uid="{93191960-6218-427A-8C4B-29B0B636021A}"/>
    <hyperlink ref="A148" r:id="rId144" display="https://tradingeconomics.com/switzerland/corporate-tax-rate" xr:uid="{0C4FD467-EF8F-409E-BF59-96094BE25685}"/>
    <hyperlink ref="A149" r:id="rId145" display="https://tradingeconomics.com/syria/corporate-tax-rate" xr:uid="{8E44A700-61E2-41CB-A971-D91CA5A6E650}"/>
    <hyperlink ref="A150" r:id="rId146" display="https://tradingeconomics.com/taiwan/corporate-tax-rate" xr:uid="{21E5F245-FD63-418B-A15D-656444A1D405}"/>
    <hyperlink ref="A151" r:id="rId147" display="https://tradingeconomics.com/tanzania/corporate-tax-rate" xr:uid="{9ACFE13E-E4DD-46E7-8561-DE0854F9DE50}"/>
    <hyperlink ref="A152" r:id="rId148" display="https://tradingeconomics.com/thailand/corporate-tax-rate" xr:uid="{58DE0FED-A7C9-458D-9F5B-EC7AD16FA1B2}"/>
    <hyperlink ref="A153" r:id="rId149" display="https://tradingeconomics.com/tonga/corporate-tax-rate" xr:uid="{32F6A353-D599-4CFA-B43E-2C207E188924}"/>
    <hyperlink ref="A154" r:id="rId150" display="https://tradingeconomics.com/trinidad-and-tobago/corporate-tax-rate" xr:uid="{EAB722AD-510F-4668-94CE-A572EE6F6039}"/>
    <hyperlink ref="A155" r:id="rId151" display="https://tradingeconomics.com/tunisia/corporate-tax-rate" xr:uid="{6E20F96F-00E8-40B3-B931-0C9F2AF502B3}"/>
    <hyperlink ref="A156" r:id="rId152" display="https://tradingeconomics.com/turkey/corporate-tax-rate" xr:uid="{5AE301BB-A3F5-4FDA-8B34-B764DAAD2CE1}"/>
    <hyperlink ref="A157" r:id="rId153" display="https://tradingeconomics.com/uganda/corporate-tax-rate" xr:uid="{6023EE53-3F36-4920-9045-0BBBF453E551}"/>
    <hyperlink ref="A158" r:id="rId154" display="https://tradingeconomics.com/ukraine/corporate-tax-rate" xr:uid="{2AAABEC6-C45C-4B01-9AD3-6ADED0F1B5D4}"/>
    <hyperlink ref="A159" r:id="rId155" display="https://tradingeconomics.com/united-arab-emirates/corporate-tax-rate" xr:uid="{21847DEE-FC57-4E47-9ECD-96D6E3B54E99}"/>
    <hyperlink ref="A160" r:id="rId156" display="https://tradingeconomics.com/united-kingdom/corporate-tax-rate" xr:uid="{29727B80-DFED-4474-9313-22050F46FEBE}"/>
    <hyperlink ref="A161" r:id="rId157" display="https://tradingeconomics.com/united-states/corporate-tax-rate" xr:uid="{8AA9287D-73E0-4D0C-B52C-ADFC749B84F3}"/>
    <hyperlink ref="A162" r:id="rId158" display="https://tradingeconomics.com/uruguay/corporate-tax-rate" xr:uid="{413D511B-C35A-4591-B610-BD1DBEA024A7}"/>
    <hyperlink ref="A163" r:id="rId159" display="https://tradingeconomics.com/uzbekistan/corporate-tax-rate" xr:uid="{E6023628-48EC-4B00-9778-2FB5FAACFF67}"/>
    <hyperlink ref="A164" r:id="rId160" display="https://tradingeconomics.com/vanuatu/corporate-tax-rate" xr:uid="{2E57A689-5A19-4986-BD22-C5B540F9E2F3}"/>
    <hyperlink ref="A165" r:id="rId161" display="https://tradingeconomics.com/venezuela/corporate-tax-rate" xr:uid="{C1DC695B-F675-4392-971D-C4359B1CFC43}"/>
    <hyperlink ref="A166" r:id="rId162" display="https://tradingeconomics.com/vietnam/corporate-tax-rate" xr:uid="{EA8850E7-7E91-4D80-8533-347DF9648E85}"/>
    <hyperlink ref="A167" r:id="rId163" display="https://tradingeconomics.com/zambia/corporate-tax-rate" xr:uid="{B2DC2A20-03B8-4447-B430-C0F046242AE1}"/>
    <hyperlink ref="A168" r:id="rId164" display="https://tradingeconomics.com/zimbabwe/corporate-tax-rate" xr:uid="{2EA91062-0108-4BE7-AE4C-6AC8327DEEB3}"/>
  </hyperlinks>
  <pageMargins left="0.7" right="0.7" top="0.75" bottom="0.75" header="0.3" footer="0.3"/>
  <pageSetup paperSize="9" orientation="portrait" r:id="rId165"/>
  <headerFooter>
    <oddHeader>&amp;R&amp;"Arial"&amp;8&amp;K000000Confidential&amp;1#</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7BCC8-0E87-4F3D-B3A5-D52D6CA9430D}">
  <sheetPr>
    <tabColor rgb="FF0000FF"/>
  </sheetPr>
  <dimension ref="A2:AT357"/>
  <sheetViews>
    <sheetView showGridLines="0" zoomScale="57" zoomScaleNormal="76" workbookViewId="0">
      <selection activeCell="B5" sqref="B5"/>
    </sheetView>
  </sheetViews>
  <sheetFormatPr defaultColWidth="0" defaultRowHeight="14"/>
  <cols>
    <col min="1" max="1" width="1.61328125" style="1388" customWidth="1"/>
    <col min="2" max="2" width="2.84375" style="1388" customWidth="1"/>
    <col min="3" max="3" width="6.07421875" style="1388" customWidth="1"/>
    <col min="4" max="4" width="12.07421875" style="1388" customWidth="1"/>
    <col min="5" max="5" width="9.69140625" style="1388" customWidth="1"/>
    <col min="6" max="7" width="12.4609375" style="1388" bestFit="1" customWidth="1"/>
    <col min="8" max="9" width="14.4609375" style="1388" bestFit="1" customWidth="1"/>
    <col min="10" max="10" width="12.4609375" style="1388" bestFit="1" customWidth="1"/>
    <col min="11" max="11" width="11.4609375" style="1388" bestFit="1" customWidth="1"/>
    <col min="12" max="12" width="13.61328125" style="1388" customWidth="1"/>
    <col min="13" max="13" width="10.53515625" style="1388" bestFit="1" customWidth="1"/>
    <col min="14" max="14" width="14.23046875" style="1388" bestFit="1" customWidth="1"/>
    <col min="15" max="15" width="9.53515625" style="1388" bestFit="1" customWidth="1"/>
    <col min="16" max="16" width="11.84375" style="1388" bestFit="1" customWidth="1"/>
    <col min="17" max="23" width="9.23046875" style="1388" customWidth="1"/>
    <col min="24" max="46" width="8.84375" style="1388" customWidth="1"/>
    <col min="47" max="16384" width="8.84375" style="1388" hidden="1"/>
  </cols>
  <sheetData>
    <row r="2" spans="2:42">
      <c r="B2" s="1387" t="str">
        <f>Inputs!B2</f>
        <v>Valify - UAE Valuation Services</v>
      </c>
    </row>
    <row r="3" spans="2:42">
      <c r="B3" s="1389" t="str">
        <f>client.name.long&amp;" - Valuation Model as at "&amp;TEXT(valuation.date,"mmmm d, yyy")</f>
        <v>Aerial Arts India XXXXXXXXXXXXXXXXX - Valuation Model as at September 30, 2024</v>
      </c>
    </row>
    <row r="4" spans="2:42" s="1392" customFormat="1">
      <c r="B4" s="1390" t="s">
        <v>2638</v>
      </c>
      <c r="C4" s="1388"/>
      <c r="D4" s="1388"/>
      <c r="E4" s="1388"/>
      <c r="F4" s="1388"/>
      <c r="G4" s="1388"/>
      <c r="H4" s="1388"/>
      <c r="I4" s="1388"/>
      <c r="J4" s="1391"/>
      <c r="K4" s="1391"/>
      <c r="L4" s="1391"/>
      <c r="M4" s="1391"/>
      <c r="N4" s="1391"/>
      <c r="O4" s="1391"/>
      <c r="P4" s="1391"/>
      <c r="Q4" s="1388"/>
      <c r="AP4" s="1393"/>
    </row>
    <row r="5" spans="2:42" s="1392" customFormat="1" ht="5" customHeight="1" thickBot="1">
      <c r="B5" s="1430"/>
      <c r="C5" s="1430"/>
      <c r="D5" s="1430"/>
      <c r="E5" s="1430"/>
      <c r="F5" s="1430"/>
      <c r="G5" s="1430"/>
      <c r="H5" s="1430"/>
      <c r="I5" s="1430"/>
      <c r="J5" s="1430"/>
      <c r="K5" s="1430"/>
      <c r="L5" s="1430"/>
      <c r="M5" s="1430"/>
      <c r="N5" s="1430"/>
      <c r="O5" s="1430"/>
      <c r="P5" s="1430"/>
      <c r="Q5" s="1430"/>
      <c r="R5" s="1430"/>
      <c r="S5" s="1430"/>
      <c r="T5" s="1430"/>
      <c r="U5" s="1430"/>
      <c r="V5" s="1430"/>
      <c r="W5" s="1430"/>
      <c r="X5" s="1431"/>
      <c r="Y5" s="1431"/>
      <c r="Z5" s="1431"/>
      <c r="AA5" s="1431"/>
      <c r="AB5" s="1431"/>
      <c r="AC5" s="1431"/>
      <c r="AD5" s="1431"/>
      <c r="AE5" s="1431"/>
      <c r="AF5" s="1431"/>
      <c r="AG5" s="1431"/>
      <c r="AH5" s="1431"/>
      <c r="AI5" s="1431"/>
      <c r="AJ5" s="1431"/>
      <c r="AK5" s="1431"/>
      <c r="AL5" s="1431"/>
      <c r="AP5" s="1393"/>
    </row>
    <row r="6" spans="2:42" s="1392" customFormat="1">
      <c r="AP6" s="1393"/>
    </row>
    <row r="7" spans="2:42">
      <c r="C7" s="1394"/>
      <c r="D7" s="1394"/>
      <c r="E7" s="1394"/>
      <c r="F7" s="1395" t="s">
        <v>133</v>
      </c>
      <c r="G7" s="1394"/>
      <c r="J7" s="1396" t="s">
        <v>2637</v>
      </c>
      <c r="K7" s="1396"/>
      <c r="L7" s="1396"/>
    </row>
    <row r="8" spans="2:42">
      <c r="C8" s="1394" t="s">
        <v>134</v>
      </c>
      <c r="D8" s="1394"/>
      <c r="E8" s="1394"/>
      <c r="F8" s="1394" t="s">
        <v>135</v>
      </c>
      <c r="G8" s="1394"/>
      <c r="J8" s="1397" t="s">
        <v>1943</v>
      </c>
      <c r="K8" s="1397"/>
      <c r="L8" s="1397"/>
      <c r="M8" s="1398" t="s">
        <v>2143</v>
      </c>
    </row>
    <row r="9" spans="2:42">
      <c r="C9" s="1399" t="s">
        <v>1897</v>
      </c>
      <c r="D9" s="1399" t="s">
        <v>1956</v>
      </c>
      <c r="F9" s="1400" t="s">
        <v>137</v>
      </c>
      <c r="G9" s="1401"/>
      <c r="J9" s="1397" t="s">
        <v>1944</v>
      </c>
      <c r="K9" s="1397"/>
      <c r="L9" s="1397"/>
      <c r="M9" s="1398" t="s">
        <v>2144</v>
      </c>
    </row>
    <row r="10" spans="2:42">
      <c r="C10" s="1399" t="s">
        <v>138</v>
      </c>
      <c r="D10" s="1399" t="s">
        <v>139</v>
      </c>
      <c r="F10" s="1400" t="s">
        <v>140</v>
      </c>
      <c r="G10" s="1401"/>
    </row>
    <row r="11" spans="2:42">
      <c r="C11" s="1399" t="s">
        <v>141</v>
      </c>
      <c r="D11" s="1399" t="s">
        <v>142</v>
      </c>
      <c r="F11" s="1400" t="s">
        <v>143</v>
      </c>
      <c r="G11" s="1401"/>
    </row>
    <row r="12" spans="2:42">
      <c r="C12" s="1399" t="s">
        <v>144</v>
      </c>
      <c r="D12" s="1399" t="s">
        <v>142</v>
      </c>
      <c r="F12" s="1400" t="s">
        <v>145</v>
      </c>
      <c r="G12" s="1401"/>
      <c r="J12" s="1402" t="s">
        <v>2142</v>
      </c>
    </row>
    <row r="13" spans="2:42">
      <c r="C13" s="1399" t="s">
        <v>146</v>
      </c>
      <c r="D13" s="1399" t="s">
        <v>142</v>
      </c>
      <c r="F13" s="1400" t="s">
        <v>147</v>
      </c>
      <c r="G13" s="1401"/>
    </row>
    <row r="14" spans="2:42">
      <c r="C14" s="1399" t="s">
        <v>148</v>
      </c>
      <c r="D14" s="1399" t="s">
        <v>142</v>
      </c>
      <c r="F14" s="1400" t="s">
        <v>149</v>
      </c>
      <c r="G14" s="1401"/>
    </row>
    <row r="15" spans="2:42" hidden="1">
      <c r="C15" s="1399" t="s">
        <v>150</v>
      </c>
      <c r="D15" s="1399" t="s">
        <v>151</v>
      </c>
      <c r="F15" s="1400" t="s">
        <v>152</v>
      </c>
      <c r="G15" s="1401"/>
      <c r="L15" s="1399"/>
      <c r="M15" s="1399"/>
      <c r="N15" s="1400"/>
      <c r="O15" s="1401"/>
      <c r="P15" s="1401"/>
    </row>
    <row r="16" spans="2:42" hidden="1">
      <c r="C16" s="1399" t="s">
        <v>153</v>
      </c>
      <c r="D16" s="1399" t="s">
        <v>154</v>
      </c>
      <c r="F16" s="1400" t="s">
        <v>155</v>
      </c>
      <c r="G16" s="1401"/>
      <c r="L16" s="1399"/>
      <c r="M16" s="1399"/>
      <c r="N16" s="1400"/>
      <c r="O16" s="1401"/>
      <c r="P16" s="1401"/>
    </row>
    <row r="17" spans="3:38" hidden="1">
      <c r="C17" s="1399" t="s">
        <v>156</v>
      </c>
      <c r="D17" s="1399" t="s">
        <v>142</v>
      </c>
      <c r="F17" s="1400" t="s">
        <v>157</v>
      </c>
      <c r="G17" s="1401"/>
      <c r="L17" s="1399"/>
      <c r="M17" s="1399"/>
      <c r="N17" s="1400"/>
      <c r="O17" s="1401"/>
      <c r="P17" s="1401"/>
    </row>
    <row r="18" spans="3:38">
      <c r="C18" s="1399" t="s">
        <v>158</v>
      </c>
      <c r="D18" s="1399" t="s">
        <v>142</v>
      </c>
      <c r="F18" s="1400" t="s">
        <v>159</v>
      </c>
      <c r="G18" s="1401"/>
      <c r="L18" s="1399"/>
      <c r="M18" s="1399"/>
      <c r="N18" s="1400"/>
      <c r="O18" s="1401"/>
      <c r="P18" s="1401"/>
    </row>
    <row r="19" spans="3:38">
      <c r="L19" s="1399"/>
      <c r="M19" s="1399"/>
      <c r="N19" s="1400"/>
      <c r="O19" s="1401"/>
      <c r="P19" s="1401"/>
    </row>
    <row r="20" spans="3:38">
      <c r="C20" s="1432" t="s">
        <v>1953</v>
      </c>
      <c r="D20" s="1432"/>
      <c r="E20" s="1432"/>
      <c r="F20" s="1432"/>
      <c r="G20" s="1432"/>
      <c r="H20" s="1432"/>
      <c r="I20" s="1432"/>
      <c r="J20" s="1432"/>
      <c r="K20" s="1432"/>
      <c r="L20" s="1432"/>
      <c r="M20" s="1432"/>
      <c r="N20" s="1432"/>
      <c r="O20" s="1432"/>
      <c r="P20" s="1432"/>
      <c r="Q20" s="1432"/>
      <c r="R20" s="1432"/>
      <c r="S20" s="1432"/>
      <c r="T20" s="1432"/>
      <c r="U20" s="1432"/>
      <c r="V20" s="1432"/>
      <c r="W20" s="1432"/>
      <c r="X20" s="1403"/>
      <c r="Z20" s="1403"/>
      <c r="AA20" s="1403"/>
      <c r="AB20" s="1403"/>
      <c r="AC20" s="1403"/>
      <c r="AD20" s="1403"/>
      <c r="AE20" s="1403"/>
      <c r="AF20" s="1403"/>
      <c r="AG20" s="1403"/>
      <c r="AH20" s="1403"/>
      <c r="AI20" s="1403"/>
      <c r="AJ20" s="1403"/>
      <c r="AK20" s="1403"/>
      <c r="AL20" s="1403"/>
    </row>
    <row r="21" spans="3:38" s="1405" customFormat="1" ht="35">
      <c r="C21" s="1433" t="s">
        <v>1951</v>
      </c>
      <c r="D21" s="1434" t="s">
        <v>93</v>
      </c>
      <c r="E21" s="1434" t="s">
        <v>94</v>
      </c>
      <c r="F21" s="1434" t="s">
        <v>95</v>
      </c>
      <c r="G21" s="1434" t="s">
        <v>1945</v>
      </c>
      <c r="H21" s="1434" t="s">
        <v>1946</v>
      </c>
      <c r="I21" s="1435" t="s">
        <v>1952</v>
      </c>
      <c r="J21" s="1435" t="s">
        <v>1947</v>
      </c>
      <c r="K21" s="1435" t="s">
        <v>1896</v>
      </c>
      <c r="L21" s="1435" t="s">
        <v>1948</v>
      </c>
      <c r="M21" s="1435" t="s">
        <v>1949</v>
      </c>
      <c r="N21" s="1435" t="s">
        <v>1950</v>
      </c>
      <c r="O21" s="1435" t="s">
        <v>1958</v>
      </c>
      <c r="P21" s="1435" t="s">
        <v>1475</v>
      </c>
      <c r="Q21" s="1435" t="s">
        <v>2002</v>
      </c>
      <c r="R21" s="1435" t="s">
        <v>1954</v>
      </c>
      <c r="S21" s="1435" t="s">
        <v>2011</v>
      </c>
      <c r="T21" s="1435"/>
      <c r="U21" s="1435"/>
      <c r="V21" s="1435"/>
      <c r="W21" s="1436"/>
      <c r="X21" s="1404"/>
      <c r="Z21" s="1404"/>
      <c r="AA21" s="1404"/>
      <c r="AB21" s="1404"/>
      <c r="AC21" s="1404"/>
      <c r="AD21" s="1404"/>
      <c r="AE21" s="1404"/>
      <c r="AF21" s="1404"/>
      <c r="AG21" s="1404"/>
      <c r="AH21" s="1404"/>
      <c r="AI21" s="1404"/>
      <c r="AJ21" s="1404"/>
      <c r="AK21" s="1404"/>
      <c r="AL21" s="1404"/>
    </row>
    <row r="22" spans="3:38">
      <c r="C22" s="1406">
        <v>1</v>
      </c>
      <c r="D22" s="1407"/>
      <c r="E22" s="1407" t="s">
        <v>1980</v>
      </c>
      <c r="F22" s="1407"/>
      <c r="G22" s="1407"/>
      <c r="H22" s="1407"/>
      <c r="I22" s="1407"/>
      <c r="J22" s="1407"/>
      <c r="K22" s="1407"/>
      <c r="L22" s="1407"/>
      <c r="M22" s="1407"/>
      <c r="N22" s="1407"/>
      <c r="O22" s="1407"/>
      <c r="P22" s="1407"/>
      <c r="Q22" s="1407"/>
      <c r="R22" s="1407"/>
      <c r="S22" s="1407"/>
      <c r="T22" s="1407"/>
      <c r="U22" s="1407"/>
      <c r="V22" s="1407"/>
      <c r="W22" s="1408"/>
      <c r="X22" s="1403"/>
      <c r="Z22" s="1403"/>
      <c r="AA22" s="1403"/>
      <c r="AB22" s="1403"/>
      <c r="AC22" s="1403"/>
      <c r="AD22" s="1403"/>
      <c r="AE22" s="1403"/>
      <c r="AF22" s="1403"/>
      <c r="AG22" s="1403"/>
      <c r="AH22" s="1403"/>
      <c r="AI22" s="1403"/>
      <c r="AJ22" s="1403"/>
      <c r="AK22" s="1403"/>
      <c r="AL22" s="1403"/>
    </row>
    <row r="23" spans="3:38">
      <c r="C23" s="1406">
        <f>C22+1</f>
        <v>2</v>
      </c>
      <c r="D23" s="1407"/>
      <c r="E23" s="1407" t="s">
        <v>1981</v>
      </c>
      <c r="F23" s="1407"/>
      <c r="G23" s="1407"/>
      <c r="H23" s="1407"/>
      <c r="I23" s="1407"/>
      <c r="J23" s="1407"/>
      <c r="K23" s="1407"/>
      <c r="L23" s="1407"/>
      <c r="M23" s="1407"/>
      <c r="N23" s="1407"/>
      <c r="O23" s="1407"/>
      <c r="P23" s="1407"/>
      <c r="Q23" s="1407"/>
      <c r="R23" s="1407"/>
      <c r="S23" s="1407"/>
      <c r="T23" s="1407"/>
      <c r="U23" s="1407"/>
      <c r="V23" s="1407"/>
      <c r="W23" s="1408"/>
      <c r="X23" s="1403"/>
      <c r="Z23" s="1403"/>
      <c r="AA23" s="1403"/>
      <c r="AB23" s="1403"/>
      <c r="AC23" s="1403"/>
      <c r="AD23" s="1403"/>
      <c r="AE23" s="1403"/>
      <c r="AF23" s="1403"/>
      <c r="AG23" s="1403"/>
      <c r="AH23" s="1403"/>
      <c r="AI23" s="1403"/>
      <c r="AJ23" s="1403"/>
      <c r="AK23" s="1403"/>
      <c r="AL23" s="1403"/>
    </row>
    <row r="24" spans="3:38">
      <c r="C24" s="1406">
        <f t="shared" ref="C24:C51" si="0">C23+1</f>
        <v>3</v>
      </c>
      <c r="D24" s="1407"/>
      <c r="E24" s="1407" t="s">
        <v>1982</v>
      </c>
      <c r="F24" s="1407"/>
      <c r="G24" s="1407"/>
      <c r="H24" s="1407"/>
      <c r="I24" s="1407"/>
      <c r="J24" s="1407"/>
      <c r="K24" s="1407"/>
      <c r="L24" s="1407"/>
      <c r="M24" s="1407"/>
      <c r="N24" s="1407"/>
      <c r="O24" s="1407"/>
      <c r="P24" s="1407"/>
      <c r="Q24" s="1407"/>
      <c r="R24" s="1407"/>
      <c r="S24" s="1407"/>
      <c r="T24" s="1407"/>
      <c r="U24" s="1407"/>
      <c r="V24" s="1407"/>
      <c r="W24" s="1408"/>
      <c r="X24" s="1403"/>
      <c r="Z24" s="1403"/>
      <c r="AA24" s="1403"/>
      <c r="AB24" s="1403"/>
      <c r="AC24" s="1403"/>
      <c r="AD24" s="1403"/>
      <c r="AE24" s="1403"/>
      <c r="AF24" s="1403"/>
      <c r="AG24" s="1403"/>
      <c r="AH24" s="1403"/>
      <c r="AI24" s="1403"/>
      <c r="AJ24" s="1403"/>
      <c r="AK24" s="1403"/>
      <c r="AL24" s="1403"/>
    </row>
    <row r="25" spans="3:38">
      <c r="C25" s="1406">
        <f t="shared" si="0"/>
        <v>4</v>
      </c>
      <c r="D25" s="1407"/>
      <c r="E25" s="1407" t="s">
        <v>1983</v>
      </c>
      <c r="F25" s="1407"/>
      <c r="G25" s="1407"/>
      <c r="H25" s="1407"/>
      <c r="I25" s="1407"/>
      <c r="J25" s="1407"/>
      <c r="K25" s="1407"/>
      <c r="L25" s="1407"/>
      <c r="M25" s="1407"/>
      <c r="N25" s="1407"/>
      <c r="O25" s="1407"/>
      <c r="P25" s="1407"/>
      <c r="Q25" s="1407"/>
      <c r="R25" s="1407"/>
      <c r="S25" s="1407"/>
      <c r="T25" s="1407"/>
      <c r="U25" s="1407"/>
      <c r="V25" s="1407"/>
      <c r="W25" s="1408"/>
      <c r="X25" s="1403"/>
      <c r="Z25" s="1403"/>
      <c r="AA25" s="1403"/>
      <c r="AB25" s="1403"/>
      <c r="AC25" s="1403"/>
      <c r="AD25" s="1403"/>
      <c r="AE25" s="1403"/>
      <c r="AF25" s="1403"/>
      <c r="AG25" s="1403"/>
      <c r="AH25" s="1403"/>
      <c r="AI25" s="1403"/>
      <c r="AJ25" s="1403"/>
      <c r="AK25" s="1403"/>
      <c r="AL25" s="1403"/>
    </row>
    <row r="26" spans="3:38">
      <c r="C26" s="1406">
        <f t="shared" si="0"/>
        <v>5</v>
      </c>
      <c r="D26" s="1407"/>
      <c r="E26" s="1407" t="s">
        <v>1984</v>
      </c>
      <c r="F26" s="1407"/>
      <c r="G26" s="1407"/>
      <c r="H26" s="1407"/>
      <c r="I26" s="1407"/>
      <c r="J26" s="1407"/>
      <c r="K26" s="1407"/>
      <c r="L26" s="1407"/>
      <c r="M26" s="1407"/>
      <c r="N26" s="1407"/>
      <c r="O26" s="1407"/>
      <c r="P26" s="1407"/>
      <c r="Q26" s="1407"/>
      <c r="R26" s="1407"/>
      <c r="S26" s="1407"/>
      <c r="T26" s="1407"/>
      <c r="U26" s="1407"/>
      <c r="V26" s="1407"/>
      <c r="W26" s="1408"/>
      <c r="X26" s="1403"/>
      <c r="Z26" s="1403"/>
      <c r="AA26" s="1403"/>
      <c r="AB26" s="1403"/>
      <c r="AC26" s="1403"/>
      <c r="AD26" s="1403"/>
      <c r="AE26" s="1403"/>
      <c r="AF26" s="1403"/>
      <c r="AG26" s="1403"/>
      <c r="AH26" s="1403"/>
      <c r="AI26" s="1403"/>
      <c r="AJ26" s="1403"/>
      <c r="AK26" s="1403"/>
      <c r="AL26" s="1403"/>
    </row>
    <row r="27" spans="3:38">
      <c r="C27" s="1406">
        <f t="shared" si="0"/>
        <v>6</v>
      </c>
      <c r="D27" s="1407"/>
      <c r="E27" s="1407" t="s">
        <v>1985</v>
      </c>
      <c r="F27" s="1407"/>
      <c r="G27" s="1407"/>
      <c r="H27" s="1407"/>
      <c r="I27" s="1407"/>
      <c r="J27" s="1407"/>
      <c r="K27" s="1407"/>
      <c r="L27" s="1407"/>
      <c r="M27" s="1407"/>
      <c r="N27" s="1407"/>
      <c r="O27" s="1407"/>
      <c r="P27" s="1407"/>
      <c r="Q27" s="1407"/>
      <c r="R27" s="1407"/>
      <c r="S27" s="1407"/>
      <c r="T27" s="1407"/>
      <c r="U27" s="1407"/>
      <c r="V27" s="1407"/>
      <c r="W27" s="1408"/>
      <c r="X27" s="1403"/>
      <c r="Z27" s="1403"/>
      <c r="AA27" s="1403"/>
      <c r="AB27" s="1403"/>
      <c r="AC27" s="1403"/>
      <c r="AD27" s="1403"/>
      <c r="AE27" s="1403"/>
      <c r="AF27" s="1403"/>
      <c r="AG27" s="1403"/>
      <c r="AH27" s="1403"/>
      <c r="AI27" s="1403"/>
      <c r="AJ27" s="1403"/>
      <c r="AK27" s="1403"/>
      <c r="AL27" s="1403"/>
    </row>
    <row r="28" spans="3:38">
      <c r="C28" s="1406">
        <f t="shared" si="0"/>
        <v>7</v>
      </c>
      <c r="D28" s="1407"/>
      <c r="E28" s="1407" t="s">
        <v>1986</v>
      </c>
      <c r="F28" s="1407"/>
      <c r="G28" s="1407"/>
      <c r="H28" s="1407"/>
      <c r="I28" s="1407"/>
      <c r="J28" s="1407"/>
      <c r="K28" s="1407"/>
      <c r="L28" s="1407"/>
      <c r="M28" s="1407"/>
      <c r="N28" s="1407"/>
      <c r="O28" s="1407"/>
      <c r="P28" s="1407"/>
      <c r="Q28" s="1407"/>
      <c r="R28" s="1407"/>
      <c r="S28" s="1407"/>
      <c r="T28" s="1407"/>
      <c r="U28" s="1407"/>
      <c r="V28" s="1407"/>
      <c r="W28" s="1408"/>
      <c r="X28" s="1403"/>
      <c r="Z28" s="1403"/>
      <c r="AA28" s="1403"/>
      <c r="AB28" s="1403"/>
      <c r="AC28" s="1403"/>
      <c r="AD28" s="1403"/>
      <c r="AE28" s="1403"/>
      <c r="AF28" s="1403"/>
      <c r="AG28" s="1403"/>
      <c r="AH28" s="1403"/>
      <c r="AI28" s="1403"/>
      <c r="AJ28" s="1403"/>
      <c r="AK28" s="1403"/>
      <c r="AL28" s="1403"/>
    </row>
    <row r="29" spans="3:38">
      <c r="C29" s="1406">
        <f t="shared" si="0"/>
        <v>8</v>
      </c>
      <c r="D29" s="1407"/>
      <c r="E29" s="1407" t="s">
        <v>1987</v>
      </c>
      <c r="F29" s="1407"/>
      <c r="G29" s="1407"/>
      <c r="H29" s="1407"/>
      <c r="I29" s="1407"/>
      <c r="J29" s="1407"/>
      <c r="K29" s="1407"/>
      <c r="L29" s="1407"/>
      <c r="M29" s="1407"/>
      <c r="N29" s="1407"/>
      <c r="O29" s="1407"/>
      <c r="P29" s="1407"/>
      <c r="Q29" s="1407"/>
      <c r="R29" s="1407"/>
      <c r="S29" s="1407"/>
      <c r="T29" s="1407"/>
      <c r="U29" s="1407"/>
      <c r="V29" s="1407"/>
      <c r="W29" s="1408"/>
      <c r="X29" s="1403"/>
      <c r="Z29" s="1403"/>
      <c r="AA29" s="1403"/>
      <c r="AB29" s="1403"/>
      <c r="AC29" s="1403"/>
      <c r="AD29" s="1403"/>
      <c r="AE29" s="1403"/>
      <c r="AF29" s="1403"/>
      <c r="AG29" s="1403"/>
      <c r="AH29" s="1403"/>
      <c r="AI29" s="1403"/>
      <c r="AJ29" s="1403"/>
      <c r="AK29" s="1403"/>
      <c r="AL29" s="1403"/>
    </row>
    <row r="30" spans="3:38">
      <c r="C30" s="1406">
        <f t="shared" si="0"/>
        <v>9</v>
      </c>
      <c r="D30" s="1407"/>
      <c r="E30" s="1407" t="s">
        <v>1988</v>
      </c>
      <c r="F30" s="1407"/>
      <c r="G30" s="1407"/>
      <c r="H30" s="1407"/>
      <c r="I30" s="1407"/>
      <c r="J30" s="1407"/>
      <c r="K30" s="1407"/>
      <c r="L30" s="1407"/>
      <c r="M30" s="1407"/>
      <c r="N30" s="1407"/>
      <c r="O30" s="1407"/>
      <c r="P30" s="1407"/>
      <c r="Q30" s="1407"/>
      <c r="R30" s="1407"/>
      <c r="S30" s="1407"/>
      <c r="T30" s="1407"/>
      <c r="U30" s="1407"/>
      <c r="V30" s="1407"/>
      <c r="W30" s="1408"/>
      <c r="X30" s="1403"/>
      <c r="Z30" s="1403"/>
      <c r="AA30" s="1403"/>
      <c r="AB30" s="1403"/>
      <c r="AC30" s="1403"/>
      <c r="AD30" s="1403"/>
      <c r="AE30" s="1403"/>
      <c r="AF30" s="1403"/>
      <c r="AG30" s="1403"/>
      <c r="AH30" s="1403"/>
      <c r="AI30" s="1403"/>
      <c r="AJ30" s="1403"/>
      <c r="AK30" s="1403"/>
      <c r="AL30" s="1403"/>
    </row>
    <row r="31" spans="3:38">
      <c r="C31" s="1406">
        <f t="shared" si="0"/>
        <v>10</v>
      </c>
      <c r="D31" s="1407"/>
      <c r="E31" s="1407" t="s">
        <v>1989</v>
      </c>
      <c r="F31" s="1407"/>
      <c r="G31" s="1407"/>
      <c r="H31" s="1407"/>
      <c r="I31" s="1407"/>
      <c r="J31" s="1407"/>
      <c r="K31" s="1407"/>
      <c r="L31" s="1407"/>
      <c r="M31" s="1407"/>
      <c r="N31" s="1407"/>
      <c r="O31" s="1407"/>
      <c r="P31" s="1407"/>
      <c r="Q31" s="1407"/>
      <c r="R31" s="1407"/>
      <c r="S31" s="1407"/>
      <c r="T31" s="1407"/>
      <c r="U31" s="1407"/>
      <c r="V31" s="1407"/>
      <c r="W31" s="1408"/>
      <c r="X31" s="1403"/>
      <c r="Z31" s="1403"/>
      <c r="AA31" s="1403"/>
      <c r="AB31" s="1403"/>
      <c r="AC31" s="1403"/>
      <c r="AD31" s="1403"/>
      <c r="AE31" s="1403"/>
      <c r="AF31" s="1403"/>
      <c r="AG31" s="1403"/>
      <c r="AH31" s="1403"/>
      <c r="AI31" s="1403"/>
      <c r="AJ31" s="1403"/>
      <c r="AK31" s="1403"/>
      <c r="AL31" s="1403"/>
    </row>
    <row r="32" spans="3:38">
      <c r="C32" s="1406">
        <f t="shared" si="0"/>
        <v>11</v>
      </c>
      <c r="D32" s="1407"/>
      <c r="E32" s="1407" t="s">
        <v>2194</v>
      </c>
      <c r="F32" s="1407"/>
      <c r="G32" s="1407"/>
      <c r="H32" s="1407"/>
      <c r="I32" s="1407"/>
      <c r="J32" s="1407"/>
      <c r="K32" s="1407"/>
      <c r="L32" s="1407"/>
      <c r="M32" s="1407"/>
      <c r="N32" s="1407"/>
      <c r="O32" s="1407"/>
      <c r="P32" s="1407"/>
      <c r="Q32" s="1407"/>
      <c r="R32" s="1407"/>
      <c r="S32" s="1407"/>
      <c r="T32" s="1407"/>
      <c r="U32" s="1407"/>
      <c r="V32" s="1407"/>
      <c r="W32" s="1408"/>
      <c r="X32" s="1403"/>
      <c r="Z32" s="1403"/>
      <c r="AA32" s="1403"/>
      <c r="AB32" s="1403"/>
      <c r="AC32" s="1403"/>
      <c r="AD32" s="1403"/>
      <c r="AE32" s="1403"/>
      <c r="AF32" s="1403"/>
      <c r="AG32" s="1403"/>
      <c r="AH32" s="1403"/>
      <c r="AI32" s="1403"/>
      <c r="AJ32" s="1403"/>
      <c r="AK32" s="1403"/>
      <c r="AL32" s="1403"/>
    </row>
    <row r="33" spans="3:38">
      <c r="C33" s="1406">
        <f t="shared" si="0"/>
        <v>12</v>
      </c>
      <c r="D33" s="1407"/>
      <c r="E33" s="1407" t="s">
        <v>2195</v>
      </c>
      <c r="F33" s="1407"/>
      <c r="G33" s="1407"/>
      <c r="H33" s="1407"/>
      <c r="I33" s="1407"/>
      <c r="J33" s="1407"/>
      <c r="K33" s="1407"/>
      <c r="L33" s="1407"/>
      <c r="M33" s="1407"/>
      <c r="N33" s="1407"/>
      <c r="O33" s="1407"/>
      <c r="P33" s="1407"/>
      <c r="Q33" s="1407"/>
      <c r="R33" s="1407"/>
      <c r="S33" s="1407"/>
      <c r="T33" s="1407"/>
      <c r="U33" s="1407"/>
      <c r="V33" s="1407"/>
      <c r="W33" s="1408"/>
      <c r="X33" s="1403"/>
      <c r="Z33" s="1403"/>
      <c r="AA33" s="1403"/>
      <c r="AB33" s="1403"/>
      <c r="AC33" s="1403"/>
      <c r="AD33" s="1403"/>
      <c r="AE33" s="1403"/>
      <c r="AF33" s="1403"/>
      <c r="AG33" s="1403"/>
      <c r="AH33" s="1403"/>
      <c r="AI33" s="1403"/>
      <c r="AJ33" s="1403"/>
      <c r="AK33" s="1403"/>
      <c r="AL33" s="1403"/>
    </row>
    <row r="34" spans="3:38">
      <c r="C34" s="1406">
        <f t="shared" si="0"/>
        <v>13</v>
      </c>
      <c r="D34" s="1407"/>
      <c r="E34" s="1407" t="s">
        <v>2196</v>
      </c>
      <c r="F34" s="1407"/>
      <c r="G34" s="1407"/>
      <c r="H34" s="1407"/>
      <c r="I34" s="1407"/>
      <c r="J34" s="1407"/>
      <c r="K34" s="1407"/>
      <c r="L34" s="1407"/>
      <c r="M34" s="1407"/>
      <c r="N34" s="1407"/>
      <c r="O34" s="1407"/>
      <c r="P34" s="1407"/>
      <c r="Q34" s="1407"/>
      <c r="R34" s="1407"/>
      <c r="S34" s="1407"/>
      <c r="T34" s="1407"/>
      <c r="U34" s="1407"/>
      <c r="V34" s="1407"/>
      <c r="W34" s="1408"/>
      <c r="X34" s="1403"/>
      <c r="Z34" s="1403"/>
      <c r="AA34" s="1403"/>
      <c r="AB34" s="1403"/>
      <c r="AC34" s="1403"/>
      <c r="AD34" s="1403"/>
      <c r="AE34" s="1403"/>
      <c r="AF34" s="1403"/>
      <c r="AG34" s="1403"/>
      <c r="AH34" s="1403"/>
      <c r="AI34" s="1403"/>
      <c r="AJ34" s="1403"/>
      <c r="AK34" s="1403"/>
      <c r="AL34" s="1403"/>
    </row>
    <row r="35" spans="3:38">
      <c r="C35" s="1406">
        <f t="shared" si="0"/>
        <v>14</v>
      </c>
      <c r="D35" s="1407"/>
      <c r="E35" s="1407" t="s">
        <v>2197</v>
      </c>
      <c r="F35" s="1407"/>
      <c r="G35" s="1407"/>
      <c r="H35" s="1407"/>
      <c r="I35" s="1407"/>
      <c r="J35" s="1407"/>
      <c r="K35" s="1407"/>
      <c r="L35" s="1407"/>
      <c r="M35" s="1407"/>
      <c r="N35" s="1407"/>
      <c r="O35" s="1407"/>
      <c r="P35" s="1407"/>
      <c r="Q35" s="1407"/>
      <c r="R35" s="1407"/>
      <c r="S35" s="1407"/>
      <c r="T35" s="1407"/>
      <c r="U35" s="1407"/>
      <c r="V35" s="1407"/>
      <c r="W35" s="1408"/>
      <c r="X35" s="1403"/>
      <c r="Z35" s="1403"/>
      <c r="AA35" s="1403"/>
      <c r="AB35" s="1403"/>
      <c r="AC35" s="1403"/>
      <c r="AD35" s="1403"/>
      <c r="AE35" s="1403"/>
      <c r="AF35" s="1403"/>
      <c r="AG35" s="1403"/>
      <c r="AH35" s="1403"/>
      <c r="AI35" s="1403"/>
      <c r="AJ35" s="1403"/>
      <c r="AK35" s="1403"/>
      <c r="AL35" s="1403"/>
    </row>
    <row r="36" spans="3:38">
      <c r="C36" s="1406">
        <f t="shared" si="0"/>
        <v>15</v>
      </c>
      <c r="D36" s="1407"/>
      <c r="E36" s="1407" t="s">
        <v>2198</v>
      </c>
      <c r="F36" s="1407"/>
      <c r="G36" s="1407"/>
      <c r="H36" s="1407"/>
      <c r="I36" s="1407"/>
      <c r="J36" s="1407"/>
      <c r="K36" s="1407"/>
      <c r="L36" s="1407"/>
      <c r="M36" s="1407"/>
      <c r="N36" s="1407"/>
      <c r="O36" s="1407"/>
      <c r="P36" s="1407"/>
      <c r="Q36" s="1407"/>
      <c r="R36" s="1407"/>
      <c r="S36" s="1407"/>
      <c r="T36" s="1407"/>
      <c r="U36" s="1407"/>
      <c r="V36" s="1407"/>
      <c r="W36" s="1408"/>
      <c r="X36" s="1403"/>
      <c r="Z36" s="1403"/>
      <c r="AA36" s="1403"/>
      <c r="AB36" s="1403"/>
      <c r="AC36" s="1403"/>
      <c r="AD36" s="1403"/>
      <c r="AE36" s="1403"/>
      <c r="AF36" s="1403"/>
      <c r="AG36" s="1403"/>
      <c r="AH36" s="1403"/>
      <c r="AI36" s="1403"/>
      <c r="AJ36" s="1403"/>
      <c r="AK36" s="1403"/>
      <c r="AL36" s="1403"/>
    </row>
    <row r="37" spans="3:38">
      <c r="C37" s="1406">
        <f t="shared" si="0"/>
        <v>16</v>
      </c>
      <c r="D37" s="1407"/>
      <c r="E37" s="1407" t="s">
        <v>2199</v>
      </c>
      <c r="F37" s="1407"/>
      <c r="G37" s="1407"/>
      <c r="H37" s="1407"/>
      <c r="I37" s="1407"/>
      <c r="J37" s="1407"/>
      <c r="K37" s="1407"/>
      <c r="L37" s="1407"/>
      <c r="M37" s="1407"/>
      <c r="N37" s="1407"/>
      <c r="O37" s="1407"/>
      <c r="P37" s="1407"/>
      <c r="Q37" s="1407"/>
      <c r="R37" s="1407"/>
      <c r="S37" s="1407"/>
      <c r="T37" s="1407"/>
      <c r="U37" s="1407"/>
      <c r="V37" s="1407"/>
      <c r="W37" s="1408"/>
      <c r="X37" s="1403"/>
      <c r="Z37" s="1403"/>
      <c r="AA37" s="1403"/>
      <c r="AB37" s="1403"/>
      <c r="AC37" s="1403"/>
      <c r="AD37" s="1403"/>
      <c r="AE37" s="1403"/>
      <c r="AF37" s="1403"/>
      <c r="AG37" s="1403"/>
      <c r="AH37" s="1403"/>
      <c r="AI37" s="1403"/>
      <c r="AJ37" s="1403"/>
      <c r="AK37" s="1403"/>
      <c r="AL37" s="1403"/>
    </row>
    <row r="38" spans="3:38">
      <c r="C38" s="1406">
        <f t="shared" si="0"/>
        <v>17</v>
      </c>
      <c r="D38" s="1407"/>
      <c r="E38" s="1407" t="s">
        <v>2200</v>
      </c>
      <c r="F38" s="1407"/>
      <c r="G38" s="1407"/>
      <c r="H38" s="1407"/>
      <c r="I38" s="1407"/>
      <c r="J38" s="1407"/>
      <c r="K38" s="1407"/>
      <c r="L38" s="1407"/>
      <c r="M38" s="1407"/>
      <c r="N38" s="1407"/>
      <c r="O38" s="1407"/>
      <c r="P38" s="1407"/>
      <c r="Q38" s="1407"/>
      <c r="R38" s="1407"/>
      <c r="S38" s="1407"/>
      <c r="T38" s="1407"/>
      <c r="U38" s="1407"/>
      <c r="V38" s="1407"/>
      <c r="W38" s="1408"/>
      <c r="X38" s="1403"/>
      <c r="Z38" s="1403"/>
      <c r="AA38" s="1403"/>
      <c r="AB38" s="1403"/>
      <c r="AC38" s="1403"/>
      <c r="AD38" s="1403"/>
      <c r="AE38" s="1403"/>
      <c r="AF38" s="1403"/>
      <c r="AG38" s="1403"/>
      <c r="AH38" s="1403"/>
      <c r="AI38" s="1403"/>
      <c r="AJ38" s="1403"/>
      <c r="AK38" s="1403"/>
      <c r="AL38" s="1403"/>
    </row>
    <row r="39" spans="3:38">
      <c r="C39" s="1406">
        <f t="shared" si="0"/>
        <v>18</v>
      </c>
      <c r="D39" s="1407"/>
      <c r="E39" s="1407" t="s">
        <v>2201</v>
      </c>
      <c r="F39" s="1407"/>
      <c r="G39" s="1407"/>
      <c r="H39" s="1407"/>
      <c r="I39" s="1407"/>
      <c r="J39" s="1407"/>
      <c r="K39" s="1407"/>
      <c r="L39" s="1407"/>
      <c r="M39" s="1407"/>
      <c r="N39" s="1407"/>
      <c r="O39" s="1407"/>
      <c r="P39" s="1407"/>
      <c r="Q39" s="1407"/>
      <c r="R39" s="1407"/>
      <c r="S39" s="1407"/>
      <c r="T39" s="1407"/>
      <c r="U39" s="1407"/>
      <c r="V39" s="1407"/>
      <c r="W39" s="1408"/>
      <c r="X39" s="1403"/>
      <c r="Z39" s="1403"/>
      <c r="AA39" s="1403"/>
      <c r="AB39" s="1403"/>
      <c r="AC39" s="1403"/>
      <c r="AD39" s="1403"/>
      <c r="AE39" s="1403"/>
      <c r="AF39" s="1403"/>
      <c r="AG39" s="1403"/>
      <c r="AH39" s="1403"/>
      <c r="AI39" s="1403"/>
      <c r="AJ39" s="1403"/>
      <c r="AK39" s="1403"/>
      <c r="AL39" s="1403"/>
    </row>
    <row r="40" spans="3:38">
      <c r="C40" s="1406">
        <f t="shared" si="0"/>
        <v>19</v>
      </c>
      <c r="D40" s="1407"/>
      <c r="E40" s="1407" t="s">
        <v>2202</v>
      </c>
      <c r="F40" s="1407"/>
      <c r="G40" s="1407"/>
      <c r="H40" s="1407"/>
      <c r="I40" s="1407"/>
      <c r="J40" s="1407"/>
      <c r="K40" s="1407"/>
      <c r="L40" s="1407"/>
      <c r="M40" s="1407"/>
      <c r="N40" s="1407"/>
      <c r="O40" s="1407"/>
      <c r="P40" s="1407"/>
      <c r="Q40" s="1407"/>
      <c r="R40" s="1407"/>
      <c r="S40" s="1407"/>
      <c r="T40" s="1407"/>
      <c r="U40" s="1407"/>
      <c r="V40" s="1407"/>
      <c r="W40" s="1408"/>
      <c r="X40" s="1403"/>
      <c r="Z40" s="1403"/>
      <c r="AA40" s="1403"/>
      <c r="AB40" s="1403"/>
      <c r="AC40" s="1403"/>
      <c r="AD40" s="1403"/>
      <c r="AE40" s="1403"/>
      <c r="AF40" s="1403"/>
      <c r="AG40" s="1403"/>
      <c r="AH40" s="1403"/>
      <c r="AI40" s="1403"/>
      <c r="AJ40" s="1403"/>
      <c r="AK40" s="1403"/>
      <c r="AL40" s="1403"/>
    </row>
    <row r="41" spans="3:38">
      <c r="C41" s="1406">
        <f t="shared" si="0"/>
        <v>20</v>
      </c>
      <c r="D41" s="1407"/>
      <c r="E41" s="1407" t="s">
        <v>2203</v>
      </c>
      <c r="F41" s="1407"/>
      <c r="G41" s="1407"/>
      <c r="H41" s="1407"/>
      <c r="I41" s="1407"/>
      <c r="J41" s="1407"/>
      <c r="K41" s="1407"/>
      <c r="L41" s="1407"/>
      <c r="M41" s="1407"/>
      <c r="N41" s="1407"/>
      <c r="O41" s="1407"/>
      <c r="P41" s="1407"/>
      <c r="Q41" s="1407"/>
      <c r="R41" s="1407"/>
      <c r="S41" s="1407"/>
      <c r="T41" s="1407"/>
      <c r="U41" s="1407"/>
      <c r="V41" s="1407"/>
      <c r="W41" s="1408"/>
      <c r="X41" s="1403"/>
      <c r="Z41" s="1403"/>
      <c r="AA41" s="1403"/>
      <c r="AB41" s="1403"/>
      <c r="AC41" s="1403"/>
      <c r="AD41" s="1403"/>
      <c r="AE41" s="1403"/>
      <c r="AF41" s="1403"/>
      <c r="AG41" s="1403"/>
      <c r="AH41" s="1403"/>
      <c r="AI41" s="1403"/>
      <c r="AJ41" s="1403"/>
      <c r="AK41" s="1403"/>
      <c r="AL41" s="1403"/>
    </row>
    <row r="42" spans="3:38">
      <c r="C42" s="1406">
        <f t="shared" si="0"/>
        <v>21</v>
      </c>
      <c r="D42" s="1407"/>
      <c r="E42" s="1407" t="s">
        <v>2204</v>
      </c>
      <c r="F42" s="1407"/>
      <c r="G42" s="1407"/>
      <c r="H42" s="1407"/>
      <c r="I42" s="1407"/>
      <c r="J42" s="1407"/>
      <c r="K42" s="1407"/>
      <c r="L42" s="1407"/>
      <c r="M42" s="1407"/>
      <c r="N42" s="1407"/>
      <c r="O42" s="1407"/>
      <c r="P42" s="1407"/>
      <c r="Q42" s="1407"/>
      <c r="R42" s="1407"/>
      <c r="S42" s="1407"/>
      <c r="T42" s="1407"/>
      <c r="U42" s="1407"/>
      <c r="V42" s="1407"/>
      <c r="W42" s="1408"/>
      <c r="X42" s="1403"/>
      <c r="Z42" s="1403"/>
      <c r="AA42" s="1403"/>
      <c r="AB42" s="1403"/>
      <c r="AC42" s="1403"/>
      <c r="AD42" s="1403"/>
      <c r="AE42" s="1403"/>
      <c r="AF42" s="1403"/>
      <c r="AG42" s="1403"/>
      <c r="AH42" s="1403"/>
      <c r="AI42" s="1403"/>
      <c r="AJ42" s="1403"/>
      <c r="AK42" s="1403"/>
      <c r="AL42" s="1403"/>
    </row>
    <row r="43" spans="3:38">
      <c r="C43" s="1406">
        <f t="shared" si="0"/>
        <v>22</v>
      </c>
      <c r="D43" s="1407"/>
      <c r="E43" s="1407" t="s">
        <v>2205</v>
      </c>
      <c r="F43" s="1407"/>
      <c r="G43" s="1407"/>
      <c r="H43" s="1407"/>
      <c r="I43" s="1407"/>
      <c r="J43" s="1407"/>
      <c r="K43" s="1407"/>
      <c r="L43" s="1407"/>
      <c r="M43" s="1407"/>
      <c r="N43" s="1407"/>
      <c r="O43" s="1407"/>
      <c r="P43" s="1407"/>
      <c r="Q43" s="1407"/>
      <c r="R43" s="1407"/>
      <c r="S43" s="1407"/>
      <c r="T43" s="1407"/>
      <c r="U43" s="1407"/>
      <c r="V43" s="1407"/>
      <c r="W43" s="1408"/>
      <c r="X43" s="1403"/>
      <c r="Z43" s="1403"/>
      <c r="AA43" s="1403"/>
      <c r="AB43" s="1403"/>
      <c r="AC43" s="1403"/>
      <c r="AD43" s="1403"/>
      <c r="AE43" s="1403"/>
      <c r="AF43" s="1403"/>
      <c r="AG43" s="1403"/>
      <c r="AH43" s="1403"/>
      <c r="AI43" s="1403"/>
      <c r="AJ43" s="1403"/>
      <c r="AK43" s="1403"/>
      <c r="AL43" s="1403"/>
    </row>
    <row r="44" spans="3:38">
      <c r="C44" s="1406">
        <f t="shared" si="0"/>
        <v>23</v>
      </c>
      <c r="D44" s="1407"/>
      <c r="E44" s="1407" t="s">
        <v>2206</v>
      </c>
      <c r="F44" s="1407"/>
      <c r="G44" s="1407"/>
      <c r="H44" s="1407"/>
      <c r="I44" s="1407"/>
      <c r="J44" s="1407"/>
      <c r="K44" s="1407"/>
      <c r="L44" s="1407"/>
      <c r="M44" s="1407"/>
      <c r="N44" s="1407"/>
      <c r="O44" s="1407"/>
      <c r="P44" s="1407"/>
      <c r="Q44" s="1407"/>
      <c r="R44" s="1407"/>
      <c r="S44" s="1407"/>
      <c r="T44" s="1407"/>
      <c r="U44" s="1407"/>
      <c r="V44" s="1407"/>
      <c r="W44" s="1408"/>
      <c r="X44" s="1403"/>
      <c r="Z44" s="1403"/>
      <c r="AA44" s="1403"/>
      <c r="AB44" s="1403"/>
      <c r="AC44" s="1403"/>
      <c r="AD44" s="1403"/>
      <c r="AE44" s="1403"/>
      <c r="AF44" s="1403"/>
      <c r="AG44" s="1403"/>
      <c r="AH44" s="1403"/>
      <c r="AI44" s="1403"/>
      <c r="AJ44" s="1403"/>
      <c r="AK44" s="1403"/>
      <c r="AL44" s="1403"/>
    </row>
    <row r="45" spans="3:38">
      <c r="C45" s="1406">
        <f t="shared" si="0"/>
        <v>24</v>
      </c>
      <c r="D45" s="1407"/>
      <c r="E45" s="1407" t="s">
        <v>2207</v>
      </c>
      <c r="F45" s="1407"/>
      <c r="G45" s="1407"/>
      <c r="H45" s="1407"/>
      <c r="I45" s="1407"/>
      <c r="J45" s="1407"/>
      <c r="K45" s="1407"/>
      <c r="L45" s="1407"/>
      <c r="M45" s="1407"/>
      <c r="N45" s="1407"/>
      <c r="O45" s="1407"/>
      <c r="P45" s="1407"/>
      <c r="Q45" s="1407"/>
      <c r="R45" s="1407"/>
      <c r="S45" s="1407"/>
      <c r="T45" s="1407"/>
      <c r="U45" s="1407"/>
      <c r="V45" s="1407"/>
      <c r="W45" s="1408"/>
      <c r="X45" s="1403"/>
      <c r="Z45" s="1403"/>
      <c r="AA45" s="1403"/>
      <c r="AB45" s="1403"/>
      <c r="AC45" s="1403"/>
      <c r="AD45" s="1403"/>
      <c r="AE45" s="1403"/>
      <c r="AF45" s="1403"/>
      <c r="AG45" s="1403"/>
      <c r="AH45" s="1403"/>
      <c r="AI45" s="1403"/>
      <c r="AJ45" s="1403"/>
      <c r="AK45" s="1403"/>
      <c r="AL45" s="1403"/>
    </row>
    <row r="46" spans="3:38">
      <c r="C46" s="1406">
        <f t="shared" si="0"/>
        <v>25</v>
      </c>
      <c r="D46" s="1407"/>
      <c r="E46" s="1407" t="s">
        <v>2208</v>
      </c>
      <c r="F46" s="1407"/>
      <c r="G46" s="1407"/>
      <c r="H46" s="1407"/>
      <c r="I46" s="1407"/>
      <c r="J46" s="1407"/>
      <c r="K46" s="1407"/>
      <c r="L46" s="1407"/>
      <c r="M46" s="1407"/>
      <c r="N46" s="1407"/>
      <c r="O46" s="1407"/>
      <c r="P46" s="1407"/>
      <c r="Q46" s="1407"/>
      <c r="R46" s="1407"/>
      <c r="S46" s="1407"/>
      <c r="T46" s="1407"/>
      <c r="U46" s="1407"/>
      <c r="V46" s="1407"/>
      <c r="W46" s="1408"/>
      <c r="X46" s="1403"/>
      <c r="Z46" s="1403"/>
      <c r="AA46" s="1403"/>
      <c r="AB46" s="1403"/>
      <c r="AC46" s="1403"/>
      <c r="AD46" s="1403"/>
      <c r="AE46" s="1403"/>
      <c r="AF46" s="1403"/>
      <c r="AG46" s="1403"/>
      <c r="AH46" s="1403"/>
      <c r="AI46" s="1403"/>
      <c r="AJ46" s="1403"/>
      <c r="AK46" s="1403"/>
      <c r="AL46" s="1403"/>
    </row>
    <row r="47" spans="3:38">
      <c r="C47" s="1406">
        <f t="shared" si="0"/>
        <v>26</v>
      </c>
      <c r="D47" s="1407"/>
      <c r="E47" s="1407" t="s">
        <v>2209</v>
      </c>
      <c r="F47" s="1407"/>
      <c r="G47" s="1407"/>
      <c r="H47" s="1407"/>
      <c r="I47" s="1407"/>
      <c r="J47" s="1407"/>
      <c r="K47" s="1407"/>
      <c r="L47" s="1407"/>
      <c r="M47" s="1407"/>
      <c r="N47" s="1407"/>
      <c r="O47" s="1407"/>
      <c r="P47" s="1407"/>
      <c r="Q47" s="1407"/>
      <c r="R47" s="1407"/>
      <c r="S47" s="1407"/>
      <c r="T47" s="1407"/>
      <c r="U47" s="1407"/>
      <c r="V47" s="1407"/>
      <c r="W47" s="1408"/>
      <c r="X47" s="1403"/>
      <c r="Z47" s="1403"/>
      <c r="AA47" s="1403"/>
      <c r="AB47" s="1403"/>
      <c r="AC47" s="1403"/>
      <c r="AD47" s="1403"/>
      <c r="AE47" s="1403"/>
      <c r="AF47" s="1403"/>
      <c r="AG47" s="1403"/>
      <c r="AH47" s="1403"/>
      <c r="AI47" s="1403"/>
      <c r="AJ47" s="1403"/>
      <c r="AK47" s="1403"/>
      <c r="AL47" s="1403"/>
    </row>
    <row r="48" spans="3:38">
      <c r="C48" s="1406">
        <f t="shared" si="0"/>
        <v>27</v>
      </c>
      <c r="D48" s="1407"/>
      <c r="E48" s="1407" t="s">
        <v>2210</v>
      </c>
      <c r="F48" s="1407"/>
      <c r="G48" s="1407"/>
      <c r="H48" s="1407"/>
      <c r="I48" s="1407"/>
      <c r="J48" s="1407"/>
      <c r="K48" s="1407"/>
      <c r="L48" s="1407"/>
      <c r="M48" s="1407"/>
      <c r="N48" s="1407"/>
      <c r="O48" s="1407"/>
      <c r="P48" s="1407"/>
      <c r="Q48" s="1407"/>
      <c r="R48" s="1407"/>
      <c r="S48" s="1407"/>
      <c r="T48" s="1407"/>
      <c r="U48" s="1407"/>
      <c r="V48" s="1407"/>
      <c r="W48" s="1408"/>
      <c r="X48" s="1403"/>
      <c r="Z48" s="1403"/>
      <c r="AA48" s="1403"/>
      <c r="AB48" s="1403"/>
      <c r="AC48" s="1403"/>
      <c r="AD48" s="1403"/>
      <c r="AE48" s="1403"/>
      <c r="AF48" s="1403"/>
      <c r="AG48" s="1403"/>
      <c r="AH48" s="1403"/>
      <c r="AI48" s="1403"/>
      <c r="AJ48" s="1403"/>
      <c r="AK48" s="1403"/>
      <c r="AL48" s="1403"/>
    </row>
    <row r="49" spans="3:38">
      <c r="C49" s="1406">
        <f t="shared" si="0"/>
        <v>28</v>
      </c>
      <c r="D49" s="1407"/>
      <c r="E49" s="1407" t="s">
        <v>2211</v>
      </c>
      <c r="F49" s="1407"/>
      <c r="G49" s="1407"/>
      <c r="H49" s="1407"/>
      <c r="I49" s="1407"/>
      <c r="J49" s="1407"/>
      <c r="K49" s="1407"/>
      <c r="L49" s="1407"/>
      <c r="M49" s="1407"/>
      <c r="N49" s="1407"/>
      <c r="O49" s="1407"/>
      <c r="P49" s="1407"/>
      <c r="Q49" s="1407"/>
      <c r="R49" s="1407"/>
      <c r="S49" s="1407"/>
      <c r="T49" s="1407"/>
      <c r="U49" s="1407"/>
      <c r="V49" s="1407"/>
      <c r="W49" s="1408"/>
      <c r="X49" s="1403"/>
      <c r="Z49" s="1403"/>
      <c r="AA49" s="1403"/>
      <c r="AB49" s="1403"/>
      <c r="AC49" s="1403"/>
      <c r="AD49" s="1403"/>
      <c r="AE49" s="1403"/>
      <c r="AF49" s="1403"/>
      <c r="AG49" s="1403"/>
      <c r="AH49" s="1403"/>
      <c r="AI49" s="1403"/>
      <c r="AJ49" s="1403"/>
      <c r="AK49" s="1403"/>
      <c r="AL49" s="1403"/>
    </row>
    <row r="50" spans="3:38">
      <c r="C50" s="1406">
        <f t="shared" si="0"/>
        <v>29</v>
      </c>
      <c r="D50" s="1407"/>
      <c r="E50" s="1407" t="s">
        <v>2212</v>
      </c>
      <c r="F50" s="1407"/>
      <c r="G50" s="1407"/>
      <c r="H50" s="1407"/>
      <c r="I50" s="1407"/>
      <c r="J50" s="1407"/>
      <c r="K50" s="1407"/>
      <c r="L50" s="1407"/>
      <c r="M50" s="1407"/>
      <c r="N50" s="1407"/>
      <c r="O50" s="1407"/>
      <c r="P50" s="1407"/>
      <c r="Q50" s="1407"/>
      <c r="R50" s="1407"/>
      <c r="S50" s="1407"/>
      <c r="T50" s="1407"/>
      <c r="U50" s="1407"/>
      <c r="V50" s="1407"/>
      <c r="W50" s="1408"/>
      <c r="X50" s="1403"/>
      <c r="Z50" s="1403"/>
      <c r="AA50" s="1403"/>
      <c r="AB50" s="1403"/>
      <c r="AC50" s="1403"/>
      <c r="AD50" s="1403"/>
      <c r="AE50" s="1403"/>
      <c r="AF50" s="1403"/>
      <c r="AG50" s="1403"/>
      <c r="AH50" s="1403"/>
      <c r="AI50" s="1403"/>
      <c r="AJ50" s="1403"/>
      <c r="AK50" s="1403"/>
      <c r="AL50" s="1403"/>
    </row>
    <row r="51" spans="3:38">
      <c r="C51" s="1409">
        <f t="shared" si="0"/>
        <v>30</v>
      </c>
      <c r="D51" s="1410"/>
      <c r="E51" s="1410" t="s">
        <v>2213</v>
      </c>
      <c r="F51" s="1410"/>
      <c r="G51" s="1410"/>
      <c r="H51" s="1410"/>
      <c r="I51" s="1410"/>
      <c r="J51" s="1410"/>
      <c r="K51" s="1410"/>
      <c r="L51" s="1410"/>
      <c r="M51" s="1410"/>
      <c r="N51" s="1410"/>
      <c r="O51" s="1410"/>
      <c r="P51" s="1410"/>
      <c r="Q51" s="1410"/>
      <c r="R51" s="1410"/>
      <c r="S51" s="1410"/>
      <c r="T51" s="1410"/>
      <c r="U51" s="1410"/>
      <c r="V51" s="1410"/>
      <c r="W51" s="1411"/>
      <c r="X51" s="1403"/>
      <c r="Z51" s="1403"/>
      <c r="AA51" s="1403"/>
      <c r="AB51" s="1403"/>
      <c r="AC51" s="1403"/>
      <c r="AD51" s="1403"/>
      <c r="AE51" s="1403"/>
      <c r="AF51" s="1403"/>
      <c r="AG51" s="1403"/>
      <c r="AH51" s="1403"/>
      <c r="AI51" s="1403"/>
      <c r="AJ51" s="1403"/>
      <c r="AK51" s="1403"/>
      <c r="AL51" s="1403"/>
    </row>
    <row r="52" spans="3:38">
      <c r="C52" s="1403"/>
      <c r="D52" s="1403"/>
      <c r="E52" s="1403"/>
      <c r="F52" s="1403"/>
      <c r="G52" s="1403"/>
      <c r="H52" s="1403"/>
      <c r="I52" s="1403"/>
      <c r="J52" s="1403"/>
      <c r="K52" s="1403"/>
      <c r="L52" s="1403"/>
      <c r="M52" s="1403"/>
      <c r="N52" s="1403"/>
      <c r="O52" s="1403"/>
      <c r="P52" s="1403"/>
      <c r="Q52" s="1403"/>
      <c r="R52" s="1403"/>
      <c r="S52" s="1403"/>
      <c r="T52" s="1403"/>
      <c r="U52" s="1403"/>
      <c r="V52" s="1403"/>
      <c r="W52" s="1403"/>
      <c r="X52" s="1403"/>
      <c r="Y52" s="1403"/>
      <c r="Z52" s="1403"/>
      <c r="AA52" s="1403"/>
      <c r="AB52" s="1403"/>
      <c r="AC52" s="1403"/>
      <c r="AD52" s="1403"/>
      <c r="AE52" s="1403"/>
      <c r="AF52" s="1403"/>
      <c r="AG52" s="1403"/>
      <c r="AH52" s="1403"/>
      <c r="AI52" s="1403"/>
      <c r="AJ52" s="1403"/>
      <c r="AK52" s="1403"/>
      <c r="AL52" s="1403"/>
    </row>
    <row r="53" spans="3:38">
      <c r="C53" s="1432" t="s">
        <v>2216</v>
      </c>
      <c r="D53" s="1432"/>
      <c r="E53" s="1432"/>
      <c r="F53" s="1432"/>
      <c r="G53" s="1432"/>
      <c r="H53" s="1432"/>
      <c r="I53" s="1432"/>
      <c r="J53" s="1432"/>
      <c r="K53" s="1432"/>
      <c r="L53" s="1432"/>
      <c r="M53" s="1432"/>
      <c r="N53" s="1432"/>
      <c r="O53" s="1432"/>
      <c r="P53" s="1432"/>
      <c r="Q53" s="1432"/>
      <c r="R53" s="1432"/>
      <c r="S53" s="1432"/>
      <c r="T53" s="1432"/>
      <c r="U53" s="1432"/>
      <c r="V53" s="1432"/>
      <c r="W53" s="1432"/>
      <c r="X53" s="1403"/>
      <c r="Y53" s="1403"/>
      <c r="Z53" s="1403"/>
      <c r="AA53" s="1403"/>
      <c r="AB53" s="1403"/>
      <c r="AC53" s="1403"/>
      <c r="AD53" s="1403"/>
      <c r="AE53" s="1403"/>
      <c r="AF53" s="1403"/>
      <c r="AG53" s="1403"/>
      <c r="AH53" s="1403"/>
      <c r="AI53" s="1403"/>
      <c r="AJ53" s="1403"/>
      <c r="AK53" s="1403"/>
      <c r="AL53" s="1403"/>
    </row>
    <row r="54" spans="3:38" ht="34.5">
      <c r="C54" s="1433" t="s">
        <v>1951</v>
      </c>
      <c r="D54" s="1434" t="s">
        <v>93</v>
      </c>
      <c r="E54" s="1434" t="s">
        <v>94</v>
      </c>
      <c r="F54" s="1434" t="s">
        <v>1854</v>
      </c>
      <c r="G54" s="1434" t="s">
        <v>1855</v>
      </c>
      <c r="H54" s="1434" t="s">
        <v>1856</v>
      </c>
      <c r="I54" s="1813" t="s">
        <v>2214</v>
      </c>
      <c r="J54" s="1813"/>
      <c r="K54" s="1813"/>
      <c r="L54" s="1813"/>
      <c r="M54" s="1813"/>
      <c r="N54" s="1813"/>
      <c r="O54" s="1814"/>
      <c r="P54" s="1815" t="s">
        <v>2215</v>
      </c>
      <c r="Q54" s="1813"/>
      <c r="R54" s="1813"/>
      <c r="S54" s="1813"/>
      <c r="T54" s="1813"/>
      <c r="U54" s="1813"/>
      <c r="V54" s="1813"/>
      <c r="W54" s="1436"/>
      <c r="X54" s="1403"/>
      <c r="Y54" s="1403"/>
      <c r="Z54" s="1403"/>
      <c r="AA54" s="1403"/>
      <c r="AB54" s="1403"/>
      <c r="AC54" s="1403"/>
      <c r="AD54" s="1403"/>
      <c r="AE54" s="1403"/>
      <c r="AF54" s="1403"/>
      <c r="AG54" s="1403"/>
      <c r="AH54" s="1403"/>
      <c r="AI54" s="1403"/>
      <c r="AJ54" s="1403"/>
      <c r="AK54" s="1403"/>
      <c r="AL54" s="1403"/>
    </row>
    <row r="55" spans="3:38">
      <c r="C55" s="1412"/>
      <c r="D55" s="1413"/>
      <c r="E55" s="1413"/>
      <c r="F55" s="1413"/>
      <c r="G55" s="1413"/>
      <c r="H55" s="1413"/>
      <c r="I55" s="1414" t="s">
        <v>148</v>
      </c>
      <c r="J55" s="1414" t="s">
        <v>1875</v>
      </c>
      <c r="K55" s="1414" t="s">
        <v>1510</v>
      </c>
      <c r="L55" s="1414" t="s">
        <v>1477</v>
      </c>
      <c r="M55" s="1414" t="s">
        <v>138</v>
      </c>
      <c r="N55" s="1414" t="s">
        <v>1876</v>
      </c>
      <c r="O55" s="1415" t="s">
        <v>1877</v>
      </c>
      <c r="P55" s="1414" t="s">
        <v>148</v>
      </c>
      <c r="Q55" s="1414" t="s">
        <v>1875</v>
      </c>
      <c r="R55" s="1414" t="s">
        <v>1510</v>
      </c>
      <c r="S55" s="1414" t="s">
        <v>1477</v>
      </c>
      <c r="T55" s="1414" t="s">
        <v>138</v>
      </c>
      <c r="U55" s="1414" t="s">
        <v>1876</v>
      </c>
      <c r="V55" s="1414" t="s">
        <v>1877</v>
      </c>
      <c r="W55" s="1416"/>
      <c r="X55" s="1403"/>
      <c r="Y55" s="1403"/>
      <c r="Z55" s="1403"/>
      <c r="AA55" s="1403"/>
      <c r="AB55" s="1403"/>
      <c r="AC55" s="1403"/>
      <c r="AD55" s="1403"/>
      <c r="AE55" s="1403"/>
      <c r="AF55" s="1403"/>
      <c r="AG55" s="1403"/>
      <c r="AH55" s="1403"/>
      <c r="AI55" s="1403"/>
      <c r="AJ55" s="1403"/>
      <c r="AK55" s="1403"/>
      <c r="AL55" s="1403"/>
    </row>
    <row r="56" spans="3:38">
      <c r="C56" s="1406">
        <v>1</v>
      </c>
      <c r="D56" s="1407"/>
      <c r="E56" s="1407" t="s">
        <v>1980</v>
      </c>
      <c r="F56" s="1407"/>
      <c r="G56" s="1407"/>
      <c r="H56" s="1407"/>
      <c r="I56" s="1407"/>
      <c r="J56" s="1407"/>
      <c r="K56" s="1407"/>
      <c r="L56" s="1407"/>
      <c r="M56" s="1407"/>
      <c r="N56" s="1407"/>
      <c r="O56" s="1408"/>
      <c r="P56" s="1407"/>
      <c r="Q56" s="1407"/>
      <c r="R56" s="1407"/>
      <c r="S56" s="1407"/>
      <c r="T56" s="1407"/>
      <c r="U56" s="1407"/>
      <c r="V56" s="1407"/>
      <c r="W56" s="1408"/>
      <c r="X56" s="1403"/>
      <c r="Y56" s="1403"/>
      <c r="Z56" s="1403"/>
      <c r="AA56" s="1403"/>
      <c r="AB56" s="1403"/>
      <c r="AC56" s="1403"/>
      <c r="AD56" s="1403"/>
      <c r="AE56" s="1403"/>
      <c r="AF56" s="1403"/>
      <c r="AG56" s="1403"/>
      <c r="AH56" s="1403"/>
      <c r="AI56" s="1403"/>
      <c r="AJ56" s="1403"/>
      <c r="AK56" s="1403"/>
      <c r="AL56" s="1403"/>
    </row>
    <row r="57" spans="3:38">
      <c r="C57" s="1406">
        <f>C56+1</f>
        <v>2</v>
      </c>
      <c r="D57" s="1407"/>
      <c r="E57" s="1407" t="s">
        <v>1981</v>
      </c>
      <c r="F57" s="1407"/>
      <c r="G57" s="1407"/>
      <c r="H57" s="1407"/>
      <c r="I57" s="1407"/>
      <c r="J57" s="1407"/>
      <c r="K57" s="1407"/>
      <c r="L57" s="1407"/>
      <c r="M57" s="1407"/>
      <c r="N57" s="1407"/>
      <c r="O57" s="1408"/>
      <c r="P57" s="1407"/>
      <c r="Q57" s="1407"/>
      <c r="R57" s="1407"/>
      <c r="S57" s="1407"/>
      <c r="T57" s="1407"/>
      <c r="U57" s="1407"/>
      <c r="V57" s="1407"/>
      <c r="W57" s="1408"/>
      <c r="X57" s="1403"/>
      <c r="Y57" s="1403"/>
      <c r="Z57" s="1403"/>
      <c r="AA57" s="1403"/>
      <c r="AB57" s="1403"/>
      <c r="AC57" s="1403"/>
      <c r="AD57" s="1403"/>
      <c r="AE57" s="1403"/>
      <c r="AF57" s="1403"/>
      <c r="AG57" s="1403"/>
      <c r="AH57" s="1403"/>
      <c r="AI57" s="1403"/>
      <c r="AJ57" s="1403"/>
      <c r="AK57" s="1403"/>
      <c r="AL57" s="1403"/>
    </row>
    <row r="58" spans="3:38">
      <c r="C58" s="1406">
        <f t="shared" ref="C58:C85" si="1">C57+1</f>
        <v>3</v>
      </c>
      <c r="D58" s="1407"/>
      <c r="E58" s="1407" t="s">
        <v>1982</v>
      </c>
      <c r="F58" s="1407"/>
      <c r="G58" s="1407"/>
      <c r="H58" s="1407"/>
      <c r="I58" s="1407"/>
      <c r="J58" s="1407"/>
      <c r="K58" s="1407"/>
      <c r="L58" s="1407"/>
      <c r="M58" s="1407"/>
      <c r="N58" s="1407"/>
      <c r="O58" s="1408"/>
      <c r="P58" s="1407"/>
      <c r="Q58" s="1407"/>
      <c r="R58" s="1407"/>
      <c r="S58" s="1407"/>
      <c r="T58" s="1407"/>
      <c r="U58" s="1407"/>
      <c r="V58" s="1407"/>
      <c r="W58" s="1408"/>
      <c r="X58" s="1403"/>
      <c r="Y58" s="1403"/>
      <c r="Z58" s="1403"/>
      <c r="AA58" s="1403"/>
      <c r="AB58" s="1403"/>
      <c r="AC58" s="1403"/>
      <c r="AD58" s="1403"/>
      <c r="AE58" s="1403"/>
      <c r="AF58" s="1403"/>
      <c r="AG58" s="1403"/>
      <c r="AH58" s="1403"/>
      <c r="AI58" s="1403"/>
      <c r="AJ58" s="1403"/>
      <c r="AK58" s="1403"/>
      <c r="AL58" s="1403"/>
    </row>
    <row r="59" spans="3:38">
      <c r="C59" s="1406">
        <f t="shared" si="1"/>
        <v>4</v>
      </c>
      <c r="D59" s="1407"/>
      <c r="E59" s="1407" t="s">
        <v>1983</v>
      </c>
      <c r="F59" s="1407"/>
      <c r="G59" s="1407"/>
      <c r="H59" s="1407"/>
      <c r="I59" s="1407"/>
      <c r="J59" s="1407"/>
      <c r="K59" s="1407"/>
      <c r="L59" s="1407"/>
      <c r="M59" s="1407"/>
      <c r="N59" s="1407"/>
      <c r="O59" s="1408"/>
      <c r="P59" s="1407"/>
      <c r="Q59" s="1407"/>
      <c r="R59" s="1407"/>
      <c r="S59" s="1407"/>
      <c r="T59" s="1407"/>
      <c r="U59" s="1407"/>
      <c r="V59" s="1407"/>
      <c r="W59" s="1408"/>
      <c r="X59" s="1403"/>
      <c r="Y59" s="1403"/>
      <c r="Z59" s="1403"/>
      <c r="AA59" s="1403"/>
      <c r="AB59" s="1403"/>
      <c r="AC59" s="1403"/>
      <c r="AD59" s="1403"/>
      <c r="AE59" s="1403"/>
      <c r="AF59" s="1403"/>
      <c r="AG59" s="1403"/>
      <c r="AH59" s="1403"/>
      <c r="AI59" s="1403"/>
      <c r="AJ59" s="1403"/>
      <c r="AK59" s="1403"/>
      <c r="AL59" s="1403"/>
    </row>
    <row r="60" spans="3:38">
      <c r="C60" s="1406">
        <f t="shared" si="1"/>
        <v>5</v>
      </c>
      <c r="D60" s="1407"/>
      <c r="E60" s="1407" t="s">
        <v>1984</v>
      </c>
      <c r="F60" s="1407"/>
      <c r="G60" s="1407"/>
      <c r="H60" s="1407"/>
      <c r="I60" s="1407"/>
      <c r="J60" s="1407"/>
      <c r="K60" s="1407"/>
      <c r="L60" s="1407"/>
      <c r="M60" s="1407"/>
      <c r="N60" s="1407"/>
      <c r="O60" s="1408"/>
      <c r="P60" s="1407"/>
      <c r="Q60" s="1407"/>
      <c r="R60" s="1407"/>
      <c r="S60" s="1407"/>
      <c r="T60" s="1407"/>
      <c r="U60" s="1407"/>
      <c r="V60" s="1407"/>
      <c r="W60" s="1408"/>
      <c r="X60" s="1403"/>
      <c r="Y60" s="1403"/>
      <c r="Z60" s="1403"/>
      <c r="AA60" s="1403"/>
      <c r="AB60" s="1403"/>
      <c r="AC60" s="1403"/>
      <c r="AD60" s="1403"/>
      <c r="AE60" s="1403"/>
      <c r="AF60" s="1403"/>
      <c r="AG60" s="1403"/>
      <c r="AH60" s="1403"/>
      <c r="AI60" s="1403"/>
      <c r="AJ60" s="1403"/>
      <c r="AK60" s="1403"/>
      <c r="AL60" s="1403"/>
    </row>
    <row r="61" spans="3:38">
      <c r="C61" s="1406">
        <f t="shared" si="1"/>
        <v>6</v>
      </c>
      <c r="D61" s="1407"/>
      <c r="E61" s="1407" t="s">
        <v>1985</v>
      </c>
      <c r="F61" s="1407"/>
      <c r="G61" s="1407"/>
      <c r="H61" s="1407"/>
      <c r="I61" s="1407"/>
      <c r="J61" s="1407"/>
      <c r="K61" s="1407"/>
      <c r="L61" s="1407"/>
      <c r="M61" s="1407"/>
      <c r="N61" s="1407"/>
      <c r="O61" s="1408"/>
      <c r="P61" s="1407"/>
      <c r="Q61" s="1407"/>
      <c r="R61" s="1407"/>
      <c r="S61" s="1407"/>
      <c r="T61" s="1407"/>
      <c r="U61" s="1407"/>
      <c r="V61" s="1407"/>
      <c r="W61" s="1408"/>
      <c r="X61" s="1403"/>
      <c r="Y61" s="1403"/>
      <c r="Z61" s="1403"/>
      <c r="AA61" s="1403"/>
      <c r="AB61" s="1403"/>
      <c r="AC61" s="1403"/>
      <c r="AD61" s="1403"/>
      <c r="AE61" s="1403"/>
      <c r="AF61" s="1403"/>
      <c r="AG61" s="1403"/>
      <c r="AH61" s="1403"/>
      <c r="AI61" s="1403"/>
      <c r="AJ61" s="1403"/>
      <c r="AK61" s="1403"/>
      <c r="AL61" s="1403"/>
    </row>
    <row r="62" spans="3:38">
      <c r="C62" s="1406">
        <f t="shared" si="1"/>
        <v>7</v>
      </c>
      <c r="D62" s="1407"/>
      <c r="E62" s="1407" t="s">
        <v>1986</v>
      </c>
      <c r="F62" s="1407"/>
      <c r="G62" s="1407"/>
      <c r="H62" s="1407"/>
      <c r="I62" s="1407"/>
      <c r="J62" s="1407"/>
      <c r="K62" s="1407"/>
      <c r="L62" s="1407"/>
      <c r="M62" s="1407"/>
      <c r="N62" s="1407"/>
      <c r="O62" s="1408"/>
      <c r="P62" s="1407"/>
      <c r="Q62" s="1407"/>
      <c r="R62" s="1407"/>
      <c r="S62" s="1407"/>
      <c r="T62" s="1407"/>
      <c r="U62" s="1407"/>
      <c r="V62" s="1407"/>
      <c r="W62" s="1408"/>
      <c r="X62" s="1403"/>
      <c r="Y62" s="1403"/>
      <c r="Z62" s="1403"/>
      <c r="AA62" s="1403"/>
      <c r="AB62" s="1403"/>
      <c r="AC62" s="1403"/>
      <c r="AD62" s="1403"/>
      <c r="AE62" s="1403"/>
      <c r="AF62" s="1403"/>
      <c r="AG62" s="1403"/>
      <c r="AH62" s="1403"/>
      <c r="AI62" s="1403"/>
      <c r="AJ62" s="1403"/>
      <c r="AK62" s="1403"/>
      <c r="AL62" s="1403"/>
    </row>
    <row r="63" spans="3:38">
      <c r="C63" s="1406">
        <f t="shared" si="1"/>
        <v>8</v>
      </c>
      <c r="D63" s="1407"/>
      <c r="E63" s="1407" t="s">
        <v>1987</v>
      </c>
      <c r="F63" s="1407"/>
      <c r="G63" s="1407"/>
      <c r="H63" s="1407"/>
      <c r="I63" s="1407"/>
      <c r="J63" s="1407"/>
      <c r="K63" s="1407"/>
      <c r="L63" s="1407"/>
      <c r="M63" s="1407"/>
      <c r="N63" s="1407"/>
      <c r="O63" s="1408"/>
      <c r="P63" s="1407"/>
      <c r="Q63" s="1407"/>
      <c r="R63" s="1407"/>
      <c r="S63" s="1407"/>
      <c r="T63" s="1407"/>
      <c r="U63" s="1407"/>
      <c r="V63" s="1407"/>
      <c r="W63" s="1408"/>
      <c r="X63" s="1403"/>
      <c r="Y63" s="1403"/>
      <c r="Z63" s="1403"/>
      <c r="AA63" s="1403"/>
      <c r="AB63" s="1403"/>
      <c r="AC63" s="1403"/>
      <c r="AD63" s="1403"/>
      <c r="AE63" s="1403"/>
      <c r="AF63" s="1403"/>
      <c r="AG63" s="1403"/>
      <c r="AH63" s="1403"/>
      <c r="AI63" s="1403"/>
      <c r="AJ63" s="1403"/>
      <c r="AK63" s="1403"/>
      <c r="AL63" s="1403"/>
    </row>
    <row r="64" spans="3:38">
      <c r="C64" s="1406">
        <f t="shared" si="1"/>
        <v>9</v>
      </c>
      <c r="D64" s="1407"/>
      <c r="E64" s="1407" t="s">
        <v>1988</v>
      </c>
      <c r="F64" s="1407"/>
      <c r="G64" s="1407"/>
      <c r="H64" s="1407"/>
      <c r="I64" s="1407"/>
      <c r="J64" s="1407"/>
      <c r="K64" s="1407"/>
      <c r="L64" s="1407"/>
      <c r="M64" s="1407"/>
      <c r="N64" s="1407"/>
      <c r="O64" s="1408"/>
      <c r="P64" s="1407"/>
      <c r="Q64" s="1407"/>
      <c r="R64" s="1407"/>
      <c r="S64" s="1407"/>
      <c r="T64" s="1407"/>
      <c r="U64" s="1407"/>
      <c r="V64" s="1407"/>
      <c r="W64" s="1408"/>
      <c r="X64" s="1403"/>
      <c r="Y64" s="1403"/>
      <c r="Z64" s="1403"/>
      <c r="AA64" s="1403"/>
      <c r="AB64" s="1403"/>
      <c r="AC64" s="1403"/>
      <c r="AD64" s="1403"/>
      <c r="AE64" s="1403"/>
      <c r="AF64" s="1403"/>
      <c r="AG64" s="1403"/>
      <c r="AH64" s="1403"/>
      <c r="AI64" s="1403"/>
      <c r="AJ64" s="1403"/>
      <c r="AK64" s="1403"/>
      <c r="AL64" s="1403"/>
    </row>
    <row r="65" spans="3:38">
      <c r="C65" s="1406">
        <f t="shared" si="1"/>
        <v>10</v>
      </c>
      <c r="D65" s="1407"/>
      <c r="E65" s="1407" t="s">
        <v>1989</v>
      </c>
      <c r="F65" s="1407"/>
      <c r="G65" s="1407"/>
      <c r="H65" s="1407"/>
      <c r="I65" s="1407"/>
      <c r="J65" s="1407"/>
      <c r="K65" s="1407"/>
      <c r="L65" s="1407"/>
      <c r="M65" s="1407"/>
      <c r="N65" s="1407"/>
      <c r="O65" s="1408"/>
      <c r="P65" s="1407"/>
      <c r="Q65" s="1407"/>
      <c r="R65" s="1407"/>
      <c r="S65" s="1407"/>
      <c r="T65" s="1407"/>
      <c r="U65" s="1407"/>
      <c r="V65" s="1407"/>
      <c r="W65" s="1408"/>
      <c r="X65" s="1403"/>
      <c r="Y65" s="1403"/>
      <c r="Z65" s="1403"/>
      <c r="AA65" s="1403"/>
      <c r="AB65" s="1403"/>
      <c r="AC65" s="1403"/>
      <c r="AD65" s="1403"/>
      <c r="AE65" s="1403"/>
      <c r="AF65" s="1403"/>
      <c r="AG65" s="1403"/>
      <c r="AH65" s="1403"/>
      <c r="AI65" s="1403"/>
      <c r="AJ65" s="1403"/>
      <c r="AK65" s="1403"/>
      <c r="AL65" s="1403"/>
    </row>
    <row r="66" spans="3:38">
      <c r="C66" s="1406">
        <f t="shared" si="1"/>
        <v>11</v>
      </c>
      <c r="D66" s="1407"/>
      <c r="E66" s="1407" t="s">
        <v>2194</v>
      </c>
      <c r="F66" s="1407"/>
      <c r="G66" s="1407"/>
      <c r="H66" s="1407"/>
      <c r="I66" s="1407"/>
      <c r="J66" s="1407"/>
      <c r="K66" s="1407"/>
      <c r="L66" s="1407"/>
      <c r="M66" s="1407"/>
      <c r="N66" s="1407"/>
      <c r="O66" s="1408"/>
      <c r="P66" s="1407"/>
      <c r="Q66" s="1407"/>
      <c r="R66" s="1407"/>
      <c r="S66" s="1407"/>
      <c r="T66" s="1407"/>
      <c r="U66" s="1407"/>
      <c r="V66" s="1407"/>
      <c r="W66" s="1408"/>
      <c r="X66" s="1403"/>
      <c r="Y66" s="1403"/>
      <c r="Z66" s="1403"/>
      <c r="AA66" s="1403"/>
      <c r="AB66" s="1403"/>
      <c r="AC66" s="1403"/>
      <c r="AD66" s="1403"/>
      <c r="AE66" s="1403"/>
      <c r="AF66" s="1403"/>
      <c r="AG66" s="1403"/>
      <c r="AH66" s="1403"/>
      <c r="AI66" s="1403"/>
      <c r="AJ66" s="1403"/>
      <c r="AK66" s="1403"/>
      <c r="AL66" s="1403"/>
    </row>
    <row r="67" spans="3:38">
      <c r="C67" s="1406">
        <f t="shared" si="1"/>
        <v>12</v>
      </c>
      <c r="D67" s="1407"/>
      <c r="E67" s="1407" t="s">
        <v>2195</v>
      </c>
      <c r="F67" s="1407"/>
      <c r="G67" s="1407"/>
      <c r="H67" s="1407"/>
      <c r="I67" s="1407"/>
      <c r="J67" s="1407"/>
      <c r="K67" s="1407"/>
      <c r="L67" s="1407"/>
      <c r="M67" s="1407"/>
      <c r="N67" s="1407"/>
      <c r="O67" s="1408"/>
      <c r="P67" s="1407"/>
      <c r="Q67" s="1407"/>
      <c r="R67" s="1407"/>
      <c r="S67" s="1407"/>
      <c r="T67" s="1407"/>
      <c r="U67" s="1407"/>
      <c r="V67" s="1407"/>
      <c r="W67" s="1408"/>
      <c r="X67" s="1403"/>
      <c r="Y67" s="1403"/>
      <c r="Z67" s="1403"/>
      <c r="AA67" s="1403"/>
      <c r="AB67" s="1403"/>
      <c r="AC67" s="1403"/>
      <c r="AD67" s="1403"/>
      <c r="AE67" s="1403"/>
      <c r="AF67" s="1403"/>
      <c r="AG67" s="1403"/>
      <c r="AH67" s="1403"/>
      <c r="AI67" s="1403"/>
      <c r="AJ67" s="1403"/>
      <c r="AK67" s="1403"/>
      <c r="AL67" s="1403"/>
    </row>
    <row r="68" spans="3:38">
      <c r="C68" s="1406">
        <f t="shared" si="1"/>
        <v>13</v>
      </c>
      <c r="D68" s="1407"/>
      <c r="E68" s="1407" t="s">
        <v>2196</v>
      </c>
      <c r="F68" s="1407"/>
      <c r="G68" s="1407"/>
      <c r="H68" s="1407"/>
      <c r="I68" s="1407"/>
      <c r="J68" s="1407"/>
      <c r="K68" s="1407"/>
      <c r="L68" s="1407"/>
      <c r="M68" s="1407"/>
      <c r="N68" s="1407"/>
      <c r="O68" s="1408"/>
      <c r="P68" s="1407"/>
      <c r="Q68" s="1407"/>
      <c r="R68" s="1407"/>
      <c r="S68" s="1407"/>
      <c r="T68" s="1407"/>
      <c r="U68" s="1407"/>
      <c r="V68" s="1407"/>
      <c r="W68" s="1408"/>
      <c r="X68" s="1403"/>
      <c r="Y68" s="1403"/>
      <c r="Z68" s="1403"/>
      <c r="AA68" s="1403"/>
      <c r="AB68" s="1403"/>
      <c r="AC68" s="1403"/>
      <c r="AD68" s="1403"/>
      <c r="AE68" s="1403"/>
      <c r="AF68" s="1403"/>
      <c r="AG68" s="1403"/>
      <c r="AH68" s="1403"/>
      <c r="AI68" s="1403"/>
      <c r="AJ68" s="1403"/>
      <c r="AK68" s="1403"/>
      <c r="AL68" s="1403"/>
    </row>
    <row r="69" spans="3:38">
      <c r="C69" s="1406">
        <f t="shared" si="1"/>
        <v>14</v>
      </c>
      <c r="D69" s="1407"/>
      <c r="E69" s="1407" t="s">
        <v>2197</v>
      </c>
      <c r="F69" s="1407"/>
      <c r="G69" s="1407"/>
      <c r="H69" s="1407"/>
      <c r="I69" s="1407"/>
      <c r="J69" s="1407"/>
      <c r="K69" s="1407"/>
      <c r="L69" s="1407"/>
      <c r="M69" s="1407"/>
      <c r="N69" s="1407"/>
      <c r="O69" s="1408"/>
      <c r="P69" s="1407"/>
      <c r="Q69" s="1407"/>
      <c r="R69" s="1407"/>
      <c r="S69" s="1407"/>
      <c r="T69" s="1407"/>
      <c r="U69" s="1407"/>
      <c r="V69" s="1407"/>
      <c r="W69" s="1408"/>
      <c r="X69" s="1403"/>
      <c r="Y69" s="1403"/>
      <c r="Z69" s="1403"/>
      <c r="AA69" s="1403"/>
      <c r="AB69" s="1403"/>
      <c r="AC69" s="1403"/>
      <c r="AD69" s="1403"/>
      <c r="AE69" s="1403"/>
      <c r="AF69" s="1403"/>
      <c r="AG69" s="1403"/>
      <c r="AH69" s="1403"/>
      <c r="AI69" s="1403"/>
      <c r="AJ69" s="1403"/>
      <c r="AK69" s="1403"/>
      <c r="AL69" s="1403"/>
    </row>
    <row r="70" spans="3:38">
      <c r="C70" s="1406">
        <f t="shared" si="1"/>
        <v>15</v>
      </c>
      <c r="D70" s="1407"/>
      <c r="E70" s="1407" t="s">
        <v>2198</v>
      </c>
      <c r="F70" s="1407"/>
      <c r="G70" s="1407"/>
      <c r="H70" s="1407"/>
      <c r="I70" s="1407"/>
      <c r="J70" s="1407"/>
      <c r="K70" s="1407"/>
      <c r="L70" s="1407"/>
      <c r="M70" s="1407"/>
      <c r="N70" s="1407"/>
      <c r="O70" s="1408"/>
      <c r="P70" s="1407"/>
      <c r="Q70" s="1407"/>
      <c r="R70" s="1407"/>
      <c r="S70" s="1407"/>
      <c r="T70" s="1407"/>
      <c r="U70" s="1407"/>
      <c r="V70" s="1407"/>
      <c r="W70" s="1408"/>
      <c r="X70" s="1403"/>
      <c r="Y70" s="1403"/>
      <c r="Z70" s="1403"/>
      <c r="AA70" s="1403"/>
      <c r="AB70" s="1403"/>
      <c r="AC70" s="1403"/>
      <c r="AD70" s="1403"/>
      <c r="AE70" s="1403"/>
      <c r="AF70" s="1403"/>
      <c r="AG70" s="1403"/>
      <c r="AH70" s="1403"/>
      <c r="AI70" s="1403"/>
      <c r="AJ70" s="1403"/>
      <c r="AK70" s="1403"/>
      <c r="AL70" s="1403"/>
    </row>
    <row r="71" spans="3:38">
      <c r="C71" s="1406">
        <f t="shared" si="1"/>
        <v>16</v>
      </c>
      <c r="D71" s="1407"/>
      <c r="E71" s="1407" t="s">
        <v>2199</v>
      </c>
      <c r="F71" s="1407"/>
      <c r="G71" s="1407"/>
      <c r="H71" s="1407"/>
      <c r="I71" s="1407"/>
      <c r="J71" s="1407"/>
      <c r="K71" s="1407"/>
      <c r="L71" s="1407"/>
      <c r="M71" s="1407"/>
      <c r="N71" s="1407"/>
      <c r="O71" s="1408"/>
      <c r="P71" s="1407"/>
      <c r="Q71" s="1407"/>
      <c r="R71" s="1407"/>
      <c r="S71" s="1407"/>
      <c r="T71" s="1407"/>
      <c r="U71" s="1407"/>
      <c r="V71" s="1407"/>
      <c r="W71" s="1408"/>
      <c r="X71" s="1403"/>
      <c r="Y71" s="1403"/>
      <c r="Z71" s="1403"/>
      <c r="AA71" s="1403"/>
      <c r="AB71" s="1403"/>
      <c r="AC71" s="1403"/>
      <c r="AD71" s="1403"/>
      <c r="AE71" s="1403"/>
      <c r="AF71" s="1403"/>
      <c r="AG71" s="1403"/>
      <c r="AH71" s="1403"/>
      <c r="AI71" s="1403"/>
      <c r="AJ71" s="1403"/>
      <c r="AK71" s="1403"/>
      <c r="AL71" s="1403"/>
    </row>
    <row r="72" spans="3:38">
      <c r="C72" s="1406">
        <f t="shared" si="1"/>
        <v>17</v>
      </c>
      <c r="D72" s="1407"/>
      <c r="E72" s="1407" t="s">
        <v>2200</v>
      </c>
      <c r="F72" s="1407"/>
      <c r="G72" s="1407"/>
      <c r="H72" s="1407"/>
      <c r="I72" s="1407"/>
      <c r="J72" s="1407"/>
      <c r="K72" s="1407"/>
      <c r="L72" s="1407"/>
      <c r="M72" s="1407"/>
      <c r="N72" s="1407"/>
      <c r="O72" s="1408"/>
      <c r="P72" s="1407"/>
      <c r="Q72" s="1407"/>
      <c r="R72" s="1407"/>
      <c r="S72" s="1407"/>
      <c r="T72" s="1407"/>
      <c r="U72" s="1407"/>
      <c r="V72" s="1407"/>
      <c r="W72" s="1408"/>
      <c r="X72" s="1403"/>
      <c r="Y72" s="1403"/>
      <c r="Z72" s="1403"/>
      <c r="AA72" s="1403"/>
      <c r="AB72" s="1403"/>
      <c r="AC72" s="1403"/>
      <c r="AD72" s="1403"/>
      <c r="AE72" s="1403"/>
      <c r="AF72" s="1403"/>
      <c r="AG72" s="1403"/>
      <c r="AH72" s="1403"/>
      <c r="AI72" s="1403"/>
      <c r="AJ72" s="1403"/>
      <c r="AK72" s="1403"/>
      <c r="AL72" s="1403"/>
    </row>
    <row r="73" spans="3:38">
      <c r="C73" s="1406">
        <f t="shared" si="1"/>
        <v>18</v>
      </c>
      <c r="D73" s="1407"/>
      <c r="E73" s="1407" t="s">
        <v>2201</v>
      </c>
      <c r="F73" s="1407"/>
      <c r="G73" s="1407"/>
      <c r="H73" s="1407"/>
      <c r="I73" s="1407"/>
      <c r="J73" s="1407"/>
      <c r="K73" s="1407"/>
      <c r="L73" s="1407"/>
      <c r="M73" s="1407"/>
      <c r="N73" s="1407"/>
      <c r="O73" s="1408"/>
      <c r="P73" s="1407"/>
      <c r="Q73" s="1407"/>
      <c r="R73" s="1407"/>
      <c r="S73" s="1407"/>
      <c r="T73" s="1407"/>
      <c r="U73" s="1407"/>
      <c r="V73" s="1407"/>
      <c r="W73" s="1408"/>
      <c r="X73" s="1403"/>
      <c r="Y73" s="1403"/>
      <c r="Z73" s="1403"/>
      <c r="AA73" s="1403"/>
      <c r="AB73" s="1403"/>
      <c r="AC73" s="1403"/>
      <c r="AD73" s="1403"/>
      <c r="AE73" s="1403"/>
      <c r="AF73" s="1403"/>
      <c r="AG73" s="1403"/>
      <c r="AH73" s="1403"/>
      <c r="AI73" s="1403"/>
      <c r="AJ73" s="1403"/>
      <c r="AK73" s="1403"/>
      <c r="AL73" s="1403"/>
    </row>
    <row r="74" spans="3:38">
      <c r="C74" s="1406">
        <f t="shared" si="1"/>
        <v>19</v>
      </c>
      <c r="D74" s="1407"/>
      <c r="E74" s="1407" t="s">
        <v>2202</v>
      </c>
      <c r="F74" s="1407"/>
      <c r="G74" s="1407"/>
      <c r="H74" s="1407"/>
      <c r="I74" s="1407"/>
      <c r="J74" s="1407"/>
      <c r="K74" s="1407"/>
      <c r="L74" s="1407"/>
      <c r="M74" s="1407"/>
      <c r="N74" s="1407"/>
      <c r="O74" s="1408"/>
      <c r="P74" s="1407"/>
      <c r="Q74" s="1407"/>
      <c r="R74" s="1407"/>
      <c r="S74" s="1407"/>
      <c r="T74" s="1407"/>
      <c r="U74" s="1407"/>
      <c r="V74" s="1407"/>
      <c r="W74" s="1408"/>
      <c r="X74" s="1403"/>
      <c r="Y74" s="1403"/>
      <c r="Z74" s="1403"/>
      <c r="AA74" s="1403"/>
      <c r="AB74" s="1403"/>
      <c r="AC74" s="1403"/>
      <c r="AD74" s="1403"/>
      <c r="AE74" s="1403"/>
      <c r="AF74" s="1403"/>
      <c r="AG74" s="1403"/>
      <c r="AH74" s="1403"/>
      <c r="AI74" s="1403"/>
      <c r="AJ74" s="1403"/>
      <c r="AK74" s="1403"/>
      <c r="AL74" s="1403"/>
    </row>
    <row r="75" spans="3:38">
      <c r="C75" s="1406">
        <f t="shared" si="1"/>
        <v>20</v>
      </c>
      <c r="D75" s="1407"/>
      <c r="E75" s="1407" t="s">
        <v>2203</v>
      </c>
      <c r="F75" s="1407"/>
      <c r="G75" s="1407"/>
      <c r="H75" s="1407"/>
      <c r="I75" s="1407"/>
      <c r="J75" s="1407"/>
      <c r="K75" s="1407"/>
      <c r="L75" s="1407"/>
      <c r="M75" s="1407"/>
      <c r="N75" s="1407"/>
      <c r="O75" s="1408"/>
      <c r="P75" s="1407"/>
      <c r="Q75" s="1407"/>
      <c r="R75" s="1407"/>
      <c r="S75" s="1407"/>
      <c r="T75" s="1407"/>
      <c r="U75" s="1407"/>
      <c r="V75" s="1407"/>
      <c r="W75" s="1408"/>
      <c r="X75" s="1403"/>
      <c r="Y75" s="1403"/>
      <c r="Z75" s="1403"/>
      <c r="AA75" s="1403"/>
      <c r="AB75" s="1403"/>
      <c r="AC75" s="1403"/>
      <c r="AD75" s="1403"/>
      <c r="AE75" s="1403"/>
      <c r="AF75" s="1403"/>
      <c r="AG75" s="1403"/>
      <c r="AH75" s="1403"/>
      <c r="AI75" s="1403"/>
      <c r="AJ75" s="1403"/>
      <c r="AK75" s="1403"/>
      <c r="AL75" s="1403"/>
    </row>
    <row r="76" spans="3:38">
      <c r="C76" s="1406">
        <f t="shared" si="1"/>
        <v>21</v>
      </c>
      <c r="D76" s="1407"/>
      <c r="E76" s="1407" t="s">
        <v>2204</v>
      </c>
      <c r="F76" s="1407"/>
      <c r="G76" s="1407"/>
      <c r="H76" s="1407"/>
      <c r="I76" s="1407"/>
      <c r="J76" s="1407"/>
      <c r="K76" s="1407"/>
      <c r="L76" s="1407"/>
      <c r="M76" s="1407"/>
      <c r="N76" s="1407"/>
      <c r="O76" s="1408"/>
      <c r="P76" s="1407"/>
      <c r="Q76" s="1407"/>
      <c r="R76" s="1407"/>
      <c r="S76" s="1407"/>
      <c r="T76" s="1407"/>
      <c r="U76" s="1407"/>
      <c r="V76" s="1407"/>
      <c r="W76" s="1408"/>
      <c r="X76" s="1403"/>
      <c r="Y76" s="1403"/>
      <c r="Z76" s="1403"/>
      <c r="AA76" s="1403"/>
      <c r="AB76" s="1403"/>
      <c r="AC76" s="1403"/>
      <c r="AD76" s="1403"/>
      <c r="AE76" s="1403"/>
      <c r="AF76" s="1403"/>
      <c r="AG76" s="1403"/>
      <c r="AH76" s="1403"/>
      <c r="AI76" s="1403"/>
      <c r="AJ76" s="1403"/>
      <c r="AK76" s="1403"/>
      <c r="AL76" s="1403"/>
    </row>
    <row r="77" spans="3:38">
      <c r="C77" s="1406">
        <f t="shared" si="1"/>
        <v>22</v>
      </c>
      <c r="D77" s="1407"/>
      <c r="E77" s="1407" t="s">
        <v>2205</v>
      </c>
      <c r="F77" s="1407"/>
      <c r="G77" s="1407"/>
      <c r="H77" s="1407"/>
      <c r="I77" s="1407"/>
      <c r="J77" s="1407"/>
      <c r="K77" s="1407"/>
      <c r="L77" s="1407"/>
      <c r="M77" s="1407"/>
      <c r="N77" s="1407"/>
      <c r="O77" s="1408"/>
      <c r="P77" s="1407"/>
      <c r="Q77" s="1407"/>
      <c r="R77" s="1407"/>
      <c r="S77" s="1407"/>
      <c r="T77" s="1407"/>
      <c r="U77" s="1407"/>
      <c r="V77" s="1407"/>
      <c r="W77" s="1408"/>
      <c r="X77" s="1403"/>
      <c r="Y77" s="1403"/>
      <c r="Z77" s="1403"/>
      <c r="AA77" s="1403"/>
      <c r="AB77" s="1403"/>
      <c r="AC77" s="1403"/>
      <c r="AD77" s="1403"/>
      <c r="AE77" s="1403"/>
      <c r="AF77" s="1403"/>
      <c r="AG77" s="1403"/>
      <c r="AH77" s="1403"/>
      <c r="AI77" s="1403"/>
      <c r="AJ77" s="1403"/>
      <c r="AK77" s="1403"/>
      <c r="AL77" s="1403"/>
    </row>
    <row r="78" spans="3:38">
      <c r="C78" s="1406">
        <f t="shared" si="1"/>
        <v>23</v>
      </c>
      <c r="D78" s="1407"/>
      <c r="E78" s="1407" t="s">
        <v>2206</v>
      </c>
      <c r="F78" s="1407"/>
      <c r="G78" s="1407"/>
      <c r="H78" s="1407"/>
      <c r="I78" s="1407"/>
      <c r="J78" s="1407"/>
      <c r="K78" s="1407"/>
      <c r="L78" s="1407"/>
      <c r="M78" s="1407"/>
      <c r="N78" s="1407"/>
      <c r="O78" s="1408"/>
      <c r="P78" s="1407"/>
      <c r="Q78" s="1407"/>
      <c r="R78" s="1407"/>
      <c r="S78" s="1407"/>
      <c r="T78" s="1407"/>
      <c r="U78" s="1407"/>
      <c r="V78" s="1407"/>
      <c r="W78" s="1408"/>
      <c r="X78" s="1403"/>
      <c r="Y78" s="1403"/>
      <c r="Z78" s="1403"/>
      <c r="AA78" s="1403"/>
      <c r="AB78" s="1403"/>
      <c r="AC78" s="1403"/>
      <c r="AD78" s="1403"/>
      <c r="AE78" s="1403"/>
      <c r="AF78" s="1403"/>
      <c r="AG78" s="1403"/>
      <c r="AH78" s="1403"/>
      <c r="AI78" s="1403"/>
      <c r="AJ78" s="1403"/>
      <c r="AK78" s="1403"/>
      <c r="AL78" s="1403"/>
    </row>
    <row r="79" spans="3:38">
      <c r="C79" s="1406">
        <f t="shared" si="1"/>
        <v>24</v>
      </c>
      <c r="D79" s="1407"/>
      <c r="E79" s="1407" t="s">
        <v>2207</v>
      </c>
      <c r="F79" s="1407"/>
      <c r="G79" s="1407"/>
      <c r="H79" s="1407"/>
      <c r="I79" s="1407"/>
      <c r="J79" s="1407"/>
      <c r="K79" s="1407"/>
      <c r="L79" s="1407"/>
      <c r="M79" s="1407"/>
      <c r="N79" s="1407"/>
      <c r="O79" s="1408"/>
      <c r="P79" s="1407"/>
      <c r="Q79" s="1407"/>
      <c r="R79" s="1407"/>
      <c r="S79" s="1407"/>
      <c r="T79" s="1407"/>
      <c r="U79" s="1407"/>
      <c r="V79" s="1407"/>
      <c r="W79" s="1408"/>
      <c r="X79" s="1403"/>
      <c r="Y79" s="1403"/>
      <c r="Z79" s="1403"/>
      <c r="AA79" s="1403"/>
      <c r="AB79" s="1403"/>
      <c r="AC79" s="1403"/>
      <c r="AD79" s="1403"/>
      <c r="AE79" s="1403"/>
      <c r="AF79" s="1403"/>
      <c r="AG79" s="1403"/>
      <c r="AH79" s="1403"/>
      <c r="AI79" s="1403"/>
      <c r="AJ79" s="1403"/>
      <c r="AK79" s="1403"/>
      <c r="AL79" s="1403"/>
    </row>
    <row r="80" spans="3:38">
      <c r="C80" s="1406">
        <f t="shared" si="1"/>
        <v>25</v>
      </c>
      <c r="D80" s="1407"/>
      <c r="E80" s="1407" t="s">
        <v>2208</v>
      </c>
      <c r="F80" s="1407"/>
      <c r="G80" s="1407"/>
      <c r="H80" s="1407"/>
      <c r="I80" s="1407"/>
      <c r="J80" s="1407"/>
      <c r="K80" s="1407"/>
      <c r="L80" s="1407"/>
      <c r="M80" s="1407"/>
      <c r="N80" s="1407"/>
      <c r="O80" s="1408"/>
      <c r="P80" s="1407"/>
      <c r="Q80" s="1407"/>
      <c r="R80" s="1407"/>
      <c r="S80" s="1407"/>
      <c r="T80" s="1407"/>
      <c r="U80" s="1407"/>
      <c r="V80" s="1407"/>
      <c r="W80" s="1408"/>
      <c r="X80" s="1403"/>
      <c r="Y80" s="1403"/>
      <c r="Z80" s="1403"/>
      <c r="AA80" s="1403"/>
      <c r="AB80" s="1403"/>
      <c r="AC80" s="1403"/>
      <c r="AD80" s="1403"/>
      <c r="AE80" s="1403"/>
      <c r="AF80" s="1403"/>
      <c r="AG80" s="1403"/>
      <c r="AH80" s="1403"/>
      <c r="AI80" s="1403"/>
      <c r="AJ80" s="1403"/>
      <c r="AK80" s="1403"/>
      <c r="AL80" s="1403"/>
    </row>
    <row r="81" spans="3:45">
      <c r="C81" s="1406">
        <f t="shared" si="1"/>
        <v>26</v>
      </c>
      <c r="D81" s="1407"/>
      <c r="E81" s="1407" t="s">
        <v>2209</v>
      </c>
      <c r="F81" s="1407"/>
      <c r="G81" s="1407"/>
      <c r="H81" s="1407"/>
      <c r="I81" s="1407"/>
      <c r="J81" s="1407"/>
      <c r="K81" s="1407"/>
      <c r="L81" s="1407"/>
      <c r="M81" s="1407"/>
      <c r="N81" s="1407"/>
      <c r="O81" s="1408"/>
      <c r="P81" s="1407"/>
      <c r="Q81" s="1407"/>
      <c r="R81" s="1407"/>
      <c r="S81" s="1407"/>
      <c r="T81" s="1407"/>
      <c r="U81" s="1407"/>
      <c r="V81" s="1407"/>
      <c r="W81" s="1408"/>
      <c r="X81" s="1403"/>
      <c r="Y81" s="1403"/>
      <c r="Z81" s="1403"/>
      <c r="AA81" s="1403"/>
      <c r="AB81" s="1403"/>
      <c r="AC81" s="1403"/>
      <c r="AD81" s="1403"/>
      <c r="AE81" s="1403"/>
      <c r="AF81" s="1403"/>
      <c r="AG81" s="1403"/>
      <c r="AH81" s="1403"/>
      <c r="AI81" s="1403"/>
      <c r="AJ81" s="1403"/>
      <c r="AK81" s="1403"/>
      <c r="AL81" s="1403"/>
    </row>
    <row r="82" spans="3:45">
      <c r="C82" s="1406">
        <f t="shared" si="1"/>
        <v>27</v>
      </c>
      <c r="D82" s="1407"/>
      <c r="E82" s="1407" t="s">
        <v>2210</v>
      </c>
      <c r="F82" s="1407"/>
      <c r="G82" s="1407"/>
      <c r="H82" s="1407"/>
      <c r="I82" s="1407"/>
      <c r="J82" s="1407"/>
      <c r="K82" s="1407"/>
      <c r="L82" s="1407"/>
      <c r="M82" s="1407"/>
      <c r="N82" s="1407"/>
      <c r="O82" s="1408"/>
      <c r="P82" s="1407"/>
      <c r="Q82" s="1407"/>
      <c r="R82" s="1407"/>
      <c r="S82" s="1407"/>
      <c r="T82" s="1407"/>
      <c r="U82" s="1407"/>
      <c r="V82" s="1407"/>
      <c r="W82" s="1408"/>
      <c r="X82" s="1403"/>
      <c r="Y82" s="1403"/>
      <c r="Z82" s="1403"/>
      <c r="AA82" s="1403"/>
      <c r="AB82" s="1403"/>
      <c r="AC82" s="1403"/>
      <c r="AD82" s="1403"/>
      <c r="AE82" s="1403"/>
      <c r="AF82" s="1403"/>
      <c r="AG82" s="1403"/>
      <c r="AH82" s="1403"/>
      <c r="AI82" s="1403"/>
      <c r="AJ82" s="1403"/>
      <c r="AK82" s="1403"/>
      <c r="AL82" s="1403"/>
    </row>
    <row r="83" spans="3:45">
      <c r="C83" s="1406">
        <f t="shared" si="1"/>
        <v>28</v>
      </c>
      <c r="D83" s="1407"/>
      <c r="E83" s="1407" t="s">
        <v>2211</v>
      </c>
      <c r="F83" s="1407"/>
      <c r="G83" s="1407"/>
      <c r="H83" s="1407"/>
      <c r="I83" s="1407"/>
      <c r="J83" s="1407"/>
      <c r="K83" s="1407"/>
      <c r="L83" s="1407"/>
      <c r="M83" s="1407"/>
      <c r="N83" s="1407"/>
      <c r="O83" s="1408"/>
      <c r="P83" s="1407"/>
      <c r="Q83" s="1407"/>
      <c r="R83" s="1407"/>
      <c r="S83" s="1407"/>
      <c r="T83" s="1407"/>
      <c r="U83" s="1407"/>
      <c r="V83" s="1407"/>
      <c r="W83" s="1408"/>
      <c r="X83" s="1403"/>
      <c r="Y83" s="1403"/>
      <c r="Z83" s="1403"/>
      <c r="AA83" s="1403"/>
      <c r="AB83" s="1403"/>
      <c r="AC83" s="1403"/>
      <c r="AD83" s="1403"/>
      <c r="AE83" s="1403"/>
      <c r="AF83" s="1403"/>
      <c r="AG83" s="1403"/>
      <c r="AH83" s="1403"/>
      <c r="AI83" s="1403"/>
      <c r="AJ83" s="1403"/>
      <c r="AK83" s="1403"/>
      <c r="AL83" s="1403"/>
    </row>
    <row r="84" spans="3:45">
      <c r="C84" s="1406">
        <f t="shared" si="1"/>
        <v>29</v>
      </c>
      <c r="D84" s="1407"/>
      <c r="E84" s="1407" t="s">
        <v>2212</v>
      </c>
      <c r="F84" s="1407"/>
      <c r="G84" s="1407"/>
      <c r="H84" s="1407"/>
      <c r="I84" s="1407"/>
      <c r="J84" s="1407"/>
      <c r="K84" s="1407"/>
      <c r="L84" s="1407"/>
      <c r="M84" s="1407"/>
      <c r="N84" s="1407"/>
      <c r="O84" s="1408"/>
      <c r="P84" s="1407"/>
      <c r="Q84" s="1407"/>
      <c r="R84" s="1407"/>
      <c r="S84" s="1407"/>
      <c r="T84" s="1407"/>
      <c r="U84" s="1407"/>
      <c r="V84" s="1407"/>
      <c r="W84" s="1408"/>
      <c r="X84" s="1403"/>
      <c r="Y84" s="1403"/>
      <c r="Z84" s="1403"/>
      <c r="AA84" s="1403"/>
      <c r="AB84" s="1403"/>
      <c r="AC84" s="1403"/>
      <c r="AD84" s="1403"/>
      <c r="AE84" s="1403"/>
      <c r="AF84" s="1403"/>
      <c r="AG84" s="1403"/>
      <c r="AH84" s="1403"/>
      <c r="AI84" s="1403"/>
      <c r="AJ84" s="1403"/>
      <c r="AK84" s="1403"/>
      <c r="AL84" s="1403"/>
    </row>
    <row r="85" spans="3:45">
      <c r="C85" s="1409">
        <f t="shared" si="1"/>
        <v>30</v>
      </c>
      <c r="D85" s="1410"/>
      <c r="E85" s="1410" t="s">
        <v>2213</v>
      </c>
      <c r="F85" s="1410"/>
      <c r="G85" s="1410"/>
      <c r="H85" s="1410"/>
      <c r="I85" s="1410"/>
      <c r="J85" s="1410"/>
      <c r="K85" s="1410"/>
      <c r="L85" s="1410"/>
      <c r="M85" s="1410"/>
      <c r="N85" s="1410"/>
      <c r="O85" s="1411"/>
      <c r="P85" s="1410"/>
      <c r="Q85" s="1410"/>
      <c r="R85" s="1410"/>
      <c r="S85" s="1410"/>
      <c r="T85" s="1410"/>
      <c r="U85" s="1410"/>
      <c r="V85" s="1410"/>
      <c r="W85" s="1411"/>
      <c r="X85" s="1403"/>
      <c r="Y85" s="1403"/>
      <c r="Z85" s="1403"/>
      <c r="AA85" s="1403"/>
      <c r="AB85" s="1403"/>
      <c r="AC85" s="1403"/>
      <c r="AD85" s="1403"/>
      <c r="AE85" s="1403"/>
      <c r="AF85" s="1403"/>
      <c r="AG85" s="1403"/>
      <c r="AH85" s="1403"/>
      <c r="AI85" s="1403"/>
      <c r="AJ85" s="1403"/>
      <c r="AK85" s="1403"/>
      <c r="AL85" s="1403"/>
    </row>
    <row r="86" spans="3:45">
      <c r="C86" s="1403"/>
      <c r="D86" s="1403"/>
      <c r="E86" s="1403"/>
      <c r="F86" s="1403"/>
      <c r="G86" s="1403"/>
      <c r="H86" s="1403"/>
      <c r="I86" s="1403"/>
      <c r="J86" s="1403"/>
      <c r="K86" s="1403"/>
      <c r="L86" s="1403"/>
      <c r="M86" s="1403"/>
      <c r="N86" s="1403"/>
      <c r="O86" s="1403"/>
      <c r="P86" s="1403"/>
      <c r="Q86" s="1403"/>
      <c r="R86" s="1403"/>
      <c r="S86" s="1403"/>
      <c r="T86" s="1403"/>
      <c r="U86" s="1403"/>
      <c r="V86" s="1403"/>
      <c r="W86" s="1403"/>
      <c r="X86" s="1403"/>
      <c r="Y86" s="1403"/>
      <c r="Z86" s="1403"/>
      <c r="AA86" s="1403"/>
      <c r="AB86" s="1403"/>
      <c r="AC86" s="1403"/>
      <c r="AD86" s="1403"/>
      <c r="AE86" s="1403"/>
      <c r="AF86" s="1403"/>
      <c r="AG86" s="1403"/>
      <c r="AH86" s="1403"/>
      <c r="AI86" s="1403"/>
      <c r="AJ86" s="1403"/>
      <c r="AK86" s="1403"/>
      <c r="AL86" s="1403"/>
    </row>
    <row r="87" spans="3:45">
      <c r="C87" s="1432" t="s">
        <v>2217</v>
      </c>
      <c r="D87" s="1432"/>
      <c r="E87" s="1432"/>
      <c r="F87" s="1432"/>
      <c r="G87" s="1432"/>
      <c r="H87" s="1432"/>
      <c r="I87" s="1432"/>
      <c r="J87" s="1432"/>
      <c r="K87" s="1432"/>
      <c r="L87" s="1432"/>
      <c r="M87" s="1432"/>
      <c r="N87" s="1432"/>
      <c r="O87" s="1432"/>
      <c r="P87" s="1432"/>
      <c r="Q87" s="1432"/>
      <c r="R87" s="1432"/>
      <c r="S87" s="1432"/>
      <c r="T87" s="1432"/>
      <c r="U87" s="1432"/>
      <c r="V87" s="1432"/>
      <c r="W87" s="1432"/>
      <c r="X87" s="1432"/>
      <c r="Y87" s="1432"/>
      <c r="Z87" s="1432"/>
      <c r="AA87" s="1432"/>
      <c r="AB87" s="1432"/>
      <c r="AC87" s="1432"/>
      <c r="AD87" s="1432"/>
      <c r="AE87" s="1432"/>
      <c r="AF87" s="1432"/>
      <c r="AG87" s="1432"/>
      <c r="AH87" s="1432"/>
      <c r="AI87" s="1432"/>
      <c r="AJ87" s="1432"/>
      <c r="AK87" s="1432"/>
      <c r="AL87" s="1432"/>
      <c r="AM87" s="1432"/>
      <c r="AN87" s="1432"/>
      <c r="AO87" s="1432"/>
      <c r="AP87" s="1432"/>
      <c r="AQ87" s="1432"/>
      <c r="AR87" s="1432"/>
      <c r="AS87" s="1432"/>
    </row>
    <row r="88" spans="3:45" ht="39.65" customHeight="1">
      <c r="C88" s="1433" t="s">
        <v>1951</v>
      </c>
      <c r="D88" s="1434" t="s">
        <v>93</v>
      </c>
      <c r="E88" s="1434" t="s">
        <v>94</v>
      </c>
      <c r="F88" s="1810" t="s">
        <v>148</v>
      </c>
      <c r="G88" s="1811"/>
      <c r="H88" s="1811"/>
      <c r="I88" s="1811"/>
      <c r="J88" s="1811"/>
      <c r="K88" s="1811"/>
      <c r="L88" s="1811"/>
      <c r="M88" s="1812"/>
      <c r="N88" s="1810" t="s">
        <v>146</v>
      </c>
      <c r="O88" s="1811"/>
      <c r="P88" s="1811"/>
      <c r="Q88" s="1811"/>
      <c r="R88" s="1811"/>
      <c r="S88" s="1811"/>
      <c r="T88" s="1811"/>
      <c r="U88" s="1812"/>
      <c r="V88" s="1810" t="s">
        <v>144</v>
      </c>
      <c r="W88" s="1811"/>
      <c r="X88" s="1811"/>
      <c r="Y88" s="1811"/>
      <c r="Z88" s="1811"/>
      <c r="AA88" s="1811"/>
      <c r="AB88" s="1811"/>
      <c r="AC88" s="1812"/>
      <c r="AD88" s="1810" t="s">
        <v>141</v>
      </c>
      <c r="AE88" s="1811"/>
      <c r="AF88" s="1811"/>
      <c r="AG88" s="1811"/>
      <c r="AH88" s="1811"/>
      <c r="AI88" s="1811"/>
      <c r="AJ88" s="1811"/>
      <c r="AK88" s="1812"/>
      <c r="AL88" s="1810" t="s">
        <v>138</v>
      </c>
      <c r="AM88" s="1811"/>
      <c r="AN88" s="1811"/>
      <c r="AO88" s="1811"/>
      <c r="AP88" s="1811"/>
      <c r="AQ88" s="1811"/>
      <c r="AR88" s="1811"/>
      <c r="AS88" s="1812"/>
    </row>
    <row r="89" spans="3:45" ht="46.5">
      <c r="C89" s="1412"/>
      <c r="D89" s="1413"/>
      <c r="E89" s="1413"/>
      <c r="F89" s="1417" t="s">
        <v>2218</v>
      </c>
      <c r="G89" s="1413" t="s">
        <v>2219</v>
      </c>
      <c r="H89" s="1413" t="s">
        <v>2220</v>
      </c>
      <c r="I89" s="1414" t="s">
        <v>2221</v>
      </c>
      <c r="J89" s="1414" t="s">
        <v>1371</v>
      </c>
      <c r="K89" s="1414" t="s">
        <v>2222</v>
      </c>
      <c r="L89" s="1414" t="s">
        <v>1372</v>
      </c>
      <c r="M89" s="1416" t="s">
        <v>2223</v>
      </c>
      <c r="N89" s="1417" t="s">
        <v>2218</v>
      </c>
      <c r="O89" s="1413" t="s">
        <v>2219</v>
      </c>
      <c r="P89" s="1413" t="s">
        <v>2220</v>
      </c>
      <c r="Q89" s="1414" t="s">
        <v>2221</v>
      </c>
      <c r="R89" s="1414" t="s">
        <v>1371</v>
      </c>
      <c r="S89" s="1414" t="s">
        <v>2222</v>
      </c>
      <c r="T89" s="1414" t="s">
        <v>1372</v>
      </c>
      <c r="U89" s="1416" t="s">
        <v>2223</v>
      </c>
      <c r="V89" s="1417" t="s">
        <v>2218</v>
      </c>
      <c r="W89" s="1413" t="s">
        <v>2219</v>
      </c>
      <c r="X89" s="1413" t="s">
        <v>2220</v>
      </c>
      <c r="Y89" s="1414" t="s">
        <v>2221</v>
      </c>
      <c r="Z89" s="1414" t="s">
        <v>1371</v>
      </c>
      <c r="AA89" s="1414" t="s">
        <v>2222</v>
      </c>
      <c r="AB89" s="1414" t="s">
        <v>1372</v>
      </c>
      <c r="AC89" s="1416" t="s">
        <v>2223</v>
      </c>
      <c r="AD89" s="1417" t="s">
        <v>2218</v>
      </c>
      <c r="AE89" s="1413" t="s">
        <v>2219</v>
      </c>
      <c r="AF89" s="1413" t="s">
        <v>2220</v>
      </c>
      <c r="AG89" s="1414" t="s">
        <v>2221</v>
      </c>
      <c r="AH89" s="1414" t="s">
        <v>1371</v>
      </c>
      <c r="AI89" s="1414" t="s">
        <v>2222</v>
      </c>
      <c r="AJ89" s="1414" t="s">
        <v>1372</v>
      </c>
      <c r="AK89" s="1416" t="s">
        <v>2223</v>
      </c>
      <c r="AL89" s="1417" t="s">
        <v>2218</v>
      </c>
      <c r="AM89" s="1413" t="s">
        <v>2219</v>
      </c>
      <c r="AN89" s="1413" t="s">
        <v>2220</v>
      </c>
      <c r="AO89" s="1414" t="s">
        <v>2221</v>
      </c>
      <c r="AP89" s="1414" t="s">
        <v>1371</v>
      </c>
      <c r="AQ89" s="1414" t="s">
        <v>2222</v>
      </c>
      <c r="AR89" s="1414" t="s">
        <v>1372</v>
      </c>
      <c r="AS89" s="1416" t="s">
        <v>2223</v>
      </c>
    </row>
    <row r="90" spans="3:45">
      <c r="C90" s="1406">
        <v>1</v>
      </c>
      <c r="D90" s="1407"/>
      <c r="E90" s="1407" t="s">
        <v>1980</v>
      </c>
      <c r="F90" s="1418"/>
      <c r="G90" s="1407"/>
      <c r="H90" s="1407"/>
      <c r="I90" s="1407"/>
      <c r="J90" s="1407"/>
      <c r="K90" s="1407"/>
      <c r="L90" s="1407"/>
      <c r="M90" s="1408"/>
      <c r="N90" s="1418"/>
      <c r="O90" s="1407"/>
      <c r="P90" s="1407"/>
      <c r="Q90" s="1407"/>
      <c r="R90" s="1407"/>
      <c r="S90" s="1407"/>
      <c r="T90" s="1407"/>
      <c r="U90" s="1408"/>
      <c r="V90" s="1418"/>
      <c r="W90" s="1407"/>
      <c r="X90" s="1407"/>
      <c r="Y90" s="1407"/>
      <c r="Z90" s="1407"/>
      <c r="AA90" s="1407"/>
      <c r="AB90" s="1407"/>
      <c r="AC90" s="1408"/>
      <c r="AD90" s="1418"/>
      <c r="AE90" s="1407"/>
      <c r="AF90" s="1407"/>
      <c r="AG90" s="1407"/>
      <c r="AH90" s="1407"/>
      <c r="AI90" s="1407"/>
      <c r="AJ90" s="1407"/>
      <c r="AK90" s="1408"/>
      <c r="AL90" s="1418"/>
      <c r="AM90" s="1407"/>
      <c r="AN90" s="1407"/>
      <c r="AO90" s="1407"/>
      <c r="AP90" s="1407"/>
      <c r="AQ90" s="1407"/>
      <c r="AR90" s="1407"/>
      <c r="AS90" s="1408"/>
    </row>
    <row r="91" spans="3:45">
      <c r="C91" s="1406">
        <f>C90+1</f>
        <v>2</v>
      </c>
      <c r="D91" s="1407"/>
      <c r="E91" s="1407" t="s">
        <v>1981</v>
      </c>
      <c r="F91" s="1418"/>
      <c r="G91" s="1407"/>
      <c r="H91" s="1407"/>
      <c r="I91" s="1407"/>
      <c r="J91" s="1407"/>
      <c r="K91" s="1407"/>
      <c r="L91" s="1407"/>
      <c r="M91" s="1408"/>
      <c r="N91" s="1418"/>
      <c r="O91" s="1407"/>
      <c r="P91" s="1407"/>
      <c r="Q91" s="1407"/>
      <c r="R91" s="1407"/>
      <c r="S91" s="1407"/>
      <c r="T91" s="1407"/>
      <c r="U91" s="1408"/>
      <c r="V91" s="1418"/>
      <c r="W91" s="1407"/>
      <c r="X91" s="1407"/>
      <c r="Y91" s="1407"/>
      <c r="Z91" s="1407"/>
      <c r="AA91" s="1407"/>
      <c r="AB91" s="1407"/>
      <c r="AC91" s="1408"/>
      <c r="AD91" s="1418"/>
      <c r="AE91" s="1407"/>
      <c r="AF91" s="1407"/>
      <c r="AG91" s="1407"/>
      <c r="AH91" s="1407"/>
      <c r="AI91" s="1407"/>
      <c r="AJ91" s="1407"/>
      <c r="AK91" s="1408"/>
      <c r="AL91" s="1418"/>
      <c r="AM91" s="1407"/>
      <c r="AN91" s="1407"/>
      <c r="AO91" s="1407"/>
      <c r="AP91" s="1407"/>
      <c r="AQ91" s="1407"/>
      <c r="AR91" s="1407"/>
      <c r="AS91" s="1408"/>
    </row>
    <row r="92" spans="3:45">
      <c r="C92" s="1406">
        <f t="shared" ref="C92:C119" si="2">C91+1</f>
        <v>3</v>
      </c>
      <c r="D92" s="1407"/>
      <c r="E92" s="1407" t="s">
        <v>1982</v>
      </c>
      <c r="F92" s="1418"/>
      <c r="G92" s="1407"/>
      <c r="H92" s="1407"/>
      <c r="I92" s="1407"/>
      <c r="J92" s="1407"/>
      <c r="K92" s="1407"/>
      <c r="L92" s="1407"/>
      <c r="M92" s="1408"/>
      <c r="N92" s="1418"/>
      <c r="O92" s="1407"/>
      <c r="P92" s="1407"/>
      <c r="Q92" s="1407"/>
      <c r="R92" s="1407"/>
      <c r="S92" s="1407"/>
      <c r="T92" s="1407"/>
      <c r="U92" s="1408"/>
      <c r="V92" s="1418"/>
      <c r="W92" s="1407"/>
      <c r="X92" s="1407"/>
      <c r="Y92" s="1407"/>
      <c r="Z92" s="1407"/>
      <c r="AA92" s="1407"/>
      <c r="AB92" s="1407"/>
      <c r="AC92" s="1408"/>
      <c r="AD92" s="1418"/>
      <c r="AE92" s="1407"/>
      <c r="AF92" s="1407"/>
      <c r="AG92" s="1407"/>
      <c r="AH92" s="1407"/>
      <c r="AI92" s="1407"/>
      <c r="AJ92" s="1407"/>
      <c r="AK92" s="1408"/>
      <c r="AL92" s="1418"/>
      <c r="AM92" s="1407"/>
      <c r="AN92" s="1407"/>
      <c r="AO92" s="1407"/>
      <c r="AP92" s="1407"/>
      <c r="AQ92" s="1407"/>
      <c r="AR92" s="1407"/>
      <c r="AS92" s="1408"/>
    </row>
    <row r="93" spans="3:45">
      <c r="C93" s="1406">
        <f t="shared" si="2"/>
        <v>4</v>
      </c>
      <c r="D93" s="1407"/>
      <c r="E93" s="1407" t="s">
        <v>1983</v>
      </c>
      <c r="F93" s="1418"/>
      <c r="G93" s="1407"/>
      <c r="H93" s="1407"/>
      <c r="I93" s="1407"/>
      <c r="J93" s="1407"/>
      <c r="K93" s="1407"/>
      <c r="L93" s="1407"/>
      <c r="M93" s="1408"/>
      <c r="N93" s="1418"/>
      <c r="O93" s="1407"/>
      <c r="P93" s="1407"/>
      <c r="Q93" s="1407"/>
      <c r="R93" s="1407"/>
      <c r="S93" s="1407"/>
      <c r="T93" s="1407"/>
      <c r="U93" s="1408"/>
      <c r="V93" s="1418"/>
      <c r="W93" s="1407"/>
      <c r="X93" s="1407"/>
      <c r="Y93" s="1407"/>
      <c r="Z93" s="1407"/>
      <c r="AA93" s="1407"/>
      <c r="AB93" s="1407"/>
      <c r="AC93" s="1408"/>
      <c r="AD93" s="1418"/>
      <c r="AE93" s="1407"/>
      <c r="AF93" s="1407"/>
      <c r="AG93" s="1407"/>
      <c r="AH93" s="1407"/>
      <c r="AI93" s="1407"/>
      <c r="AJ93" s="1407"/>
      <c r="AK93" s="1408"/>
      <c r="AL93" s="1418"/>
      <c r="AM93" s="1407"/>
      <c r="AN93" s="1407"/>
      <c r="AO93" s="1407"/>
      <c r="AP93" s="1407"/>
      <c r="AQ93" s="1407"/>
      <c r="AR93" s="1407"/>
      <c r="AS93" s="1408"/>
    </row>
    <row r="94" spans="3:45">
      <c r="C94" s="1406">
        <f t="shared" si="2"/>
        <v>5</v>
      </c>
      <c r="D94" s="1407"/>
      <c r="E94" s="1407" t="s">
        <v>1984</v>
      </c>
      <c r="F94" s="1418"/>
      <c r="G94" s="1407"/>
      <c r="H94" s="1407"/>
      <c r="I94" s="1407"/>
      <c r="J94" s="1407"/>
      <c r="K94" s="1407"/>
      <c r="L94" s="1407"/>
      <c r="M94" s="1408"/>
      <c r="N94" s="1418"/>
      <c r="O94" s="1407"/>
      <c r="P94" s="1407"/>
      <c r="Q94" s="1407"/>
      <c r="R94" s="1407"/>
      <c r="S94" s="1407"/>
      <c r="T94" s="1407"/>
      <c r="U94" s="1408"/>
      <c r="V94" s="1418"/>
      <c r="W94" s="1407"/>
      <c r="X94" s="1407"/>
      <c r="Y94" s="1407"/>
      <c r="Z94" s="1407"/>
      <c r="AA94" s="1407"/>
      <c r="AB94" s="1407"/>
      <c r="AC94" s="1408"/>
      <c r="AD94" s="1418"/>
      <c r="AE94" s="1407"/>
      <c r="AF94" s="1407"/>
      <c r="AG94" s="1407"/>
      <c r="AH94" s="1407"/>
      <c r="AI94" s="1407"/>
      <c r="AJ94" s="1407"/>
      <c r="AK94" s="1408"/>
      <c r="AL94" s="1418"/>
      <c r="AM94" s="1407"/>
      <c r="AN94" s="1407"/>
      <c r="AO94" s="1407"/>
      <c r="AP94" s="1407"/>
      <c r="AQ94" s="1407"/>
      <c r="AR94" s="1407"/>
      <c r="AS94" s="1408"/>
    </row>
    <row r="95" spans="3:45">
      <c r="C95" s="1406">
        <f t="shared" si="2"/>
        <v>6</v>
      </c>
      <c r="D95" s="1407"/>
      <c r="E95" s="1407" t="s">
        <v>1985</v>
      </c>
      <c r="F95" s="1418"/>
      <c r="G95" s="1407"/>
      <c r="H95" s="1407"/>
      <c r="I95" s="1407"/>
      <c r="J95" s="1407"/>
      <c r="K95" s="1407"/>
      <c r="L95" s="1407"/>
      <c r="M95" s="1408"/>
      <c r="N95" s="1418"/>
      <c r="O95" s="1407"/>
      <c r="P95" s="1407"/>
      <c r="Q95" s="1407"/>
      <c r="R95" s="1407"/>
      <c r="S95" s="1407"/>
      <c r="T95" s="1407"/>
      <c r="U95" s="1408"/>
      <c r="V95" s="1418"/>
      <c r="W95" s="1407"/>
      <c r="X95" s="1407"/>
      <c r="Y95" s="1407"/>
      <c r="Z95" s="1407"/>
      <c r="AA95" s="1407"/>
      <c r="AB95" s="1407"/>
      <c r="AC95" s="1408"/>
      <c r="AD95" s="1418"/>
      <c r="AE95" s="1407"/>
      <c r="AF95" s="1407"/>
      <c r="AG95" s="1407"/>
      <c r="AH95" s="1407"/>
      <c r="AI95" s="1407"/>
      <c r="AJ95" s="1407"/>
      <c r="AK95" s="1408"/>
      <c r="AL95" s="1418"/>
      <c r="AM95" s="1407"/>
      <c r="AN95" s="1407"/>
      <c r="AO95" s="1407"/>
      <c r="AP95" s="1407"/>
      <c r="AQ95" s="1407"/>
      <c r="AR95" s="1407"/>
      <c r="AS95" s="1408"/>
    </row>
    <row r="96" spans="3:45">
      <c r="C96" s="1406">
        <f t="shared" si="2"/>
        <v>7</v>
      </c>
      <c r="D96" s="1407"/>
      <c r="E96" s="1407" t="s">
        <v>1986</v>
      </c>
      <c r="F96" s="1418"/>
      <c r="G96" s="1407"/>
      <c r="H96" s="1407"/>
      <c r="I96" s="1407"/>
      <c r="J96" s="1407"/>
      <c r="K96" s="1407"/>
      <c r="L96" s="1407"/>
      <c r="M96" s="1408"/>
      <c r="N96" s="1418"/>
      <c r="O96" s="1407"/>
      <c r="P96" s="1407"/>
      <c r="Q96" s="1407"/>
      <c r="R96" s="1407"/>
      <c r="S96" s="1407"/>
      <c r="T96" s="1407"/>
      <c r="U96" s="1408"/>
      <c r="V96" s="1418"/>
      <c r="W96" s="1407"/>
      <c r="X96" s="1407"/>
      <c r="Y96" s="1407"/>
      <c r="Z96" s="1407"/>
      <c r="AA96" s="1407"/>
      <c r="AB96" s="1407"/>
      <c r="AC96" s="1408"/>
      <c r="AD96" s="1418"/>
      <c r="AE96" s="1407"/>
      <c r="AF96" s="1407"/>
      <c r="AG96" s="1407"/>
      <c r="AH96" s="1407"/>
      <c r="AI96" s="1407"/>
      <c r="AJ96" s="1407"/>
      <c r="AK96" s="1408"/>
      <c r="AL96" s="1418"/>
      <c r="AM96" s="1407"/>
      <c r="AN96" s="1407"/>
      <c r="AO96" s="1407"/>
      <c r="AP96" s="1407"/>
      <c r="AQ96" s="1407"/>
      <c r="AR96" s="1407"/>
      <c r="AS96" s="1408"/>
    </row>
    <row r="97" spans="3:45">
      <c r="C97" s="1406">
        <f t="shared" si="2"/>
        <v>8</v>
      </c>
      <c r="D97" s="1407"/>
      <c r="E97" s="1407" t="s">
        <v>1987</v>
      </c>
      <c r="F97" s="1418"/>
      <c r="G97" s="1407"/>
      <c r="H97" s="1407"/>
      <c r="I97" s="1407"/>
      <c r="J97" s="1407"/>
      <c r="K97" s="1407"/>
      <c r="L97" s="1407"/>
      <c r="M97" s="1408"/>
      <c r="N97" s="1418"/>
      <c r="O97" s="1407"/>
      <c r="P97" s="1407"/>
      <c r="Q97" s="1407"/>
      <c r="R97" s="1407"/>
      <c r="S97" s="1407"/>
      <c r="T97" s="1407"/>
      <c r="U97" s="1408"/>
      <c r="V97" s="1418"/>
      <c r="W97" s="1407"/>
      <c r="X97" s="1407"/>
      <c r="Y97" s="1407"/>
      <c r="Z97" s="1407"/>
      <c r="AA97" s="1407"/>
      <c r="AB97" s="1407"/>
      <c r="AC97" s="1408"/>
      <c r="AD97" s="1418"/>
      <c r="AE97" s="1407"/>
      <c r="AF97" s="1407"/>
      <c r="AG97" s="1407"/>
      <c r="AH97" s="1407"/>
      <c r="AI97" s="1407"/>
      <c r="AJ97" s="1407"/>
      <c r="AK97" s="1408"/>
      <c r="AL97" s="1418"/>
      <c r="AM97" s="1407"/>
      <c r="AN97" s="1407"/>
      <c r="AO97" s="1407"/>
      <c r="AP97" s="1407"/>
      <c r="AQ97" s="1407"/>
      <c r="AR97" s="1407"/>
      <c r="AS97" s="1408"/>
    </row>
    <row r="98" spans="3:45">
      <c r="C98" s="1406">
        <f t="shared" si="2"/>
        <v>9</v>
      </c>
      <c r="D98" s="1407"/>
      <c r="E98" s="1407" t="s">
        <v>1988</v>
      </c>
      <c r="F98" s="1418"/>
      <c r="G98" s="1407"/>
      <c r="H98" s="1407"/>
      <c r="I98" s="1407"/>
      <c r="J98" s="1407"/>
      <c r="K98" s="1407"/>
      <c r="L98" s="1407"/>
      <c r="M98" s="1408"/>
      <c r="N98" s="1418"/>
      <c r="O98" s="1407"/>
      <c r="P98" s="1407"/>
      <c r="Q98" s="1407"/>
      <c r="R98" s="1407"/>
      <c r="S98" s="1407"/>
      <c r="T98" s="1407"/>
      <c r="U98" s="1408"/>
      <c r="V98" s="1418"/>
      <c r="W98" s="1407"/>
      <c r="X98" s="1407"/>
      <c r="Y98" s="1407"/>
      <c r="Z98" s="1407"/>
      <c r="AA98" s="1407"/>
      <c r="AB98" s="1407"/>
      <c r="AC98" s="1408"/>
      <c r="AD98" s="1418"/>
      <c r="AE98" s="1407"/>
      <c r="AF98" s="1407"/>
      <c r="AG98" s="1407"/>
      <c r="AH98" s="1407"/>
      <c r="AI98" s="1407"/>
      <c r="AJ98" s="1407"/>
      <c r="AK98" s="1408"/>
      <c r="AL98" s="1418"/>
      <c r="AM98" s="1407"/>
      <c r="AN98" s="1407"/>
      <c r="AO98" s="1407"/>
      <c r="AP98" s="1407"/>
      <c r="AQ98" s="1407"/>
      <c r="AR98" s="1407"/>
      <c r="AS98" s="1408"/>
    </row>
    <row r="99" spans="3:45">
      <c r="C99" s="1406">
        <f t="shared" si="2"/>
        <v>10</v>
      </c>
      <c r="D99" s="1407"/>
      <c r="E99" s="1407" t="s">
        <v>1989</v>
      </c>
      <c r="F99" s="1418"/>
      <c r="G99" s="1407"/>
      <c r="H99" s="1407"/>
      <c r="I99" s="1407"/>
      <c r="J99" s="1407"/>
      <c r="K99" s="1407"/>
      <c r="L99" s="1407"/>
      <c r="M99" s="1408"/>
      <c r="N99" s="1418"/>
      <c r="O99" s="1407"/>
      <c r="P99" s="1407"/>
      <c r="Q99" s="1407"/>
      <c r="R99" s="1407"/>
      <c r="S99" s="1407"/>
      <c r="T99" s="1407"/>
      <c r="U99" s="1408"/>
      <c r="V99" s="1418"/>
      <c r="W99" s="1407"/>
      <c r="X99" s="1407"/>
      <c r="Y99" s="1407"/>
      <c r="Z99" s="1407"/>
      <c r="AA99" s="1407"/>
      <c r="AB99" s="1407"/>
      <c r="AC99" s="1408"/>
      <c r="AD99" s="1418"/>
      <c r="AE99" s="1407"/>
      <c r="AF99" s="1407"/>
      <c r="AG99" s="1407"/>
      <c r="AH99" s="1407"/>
      <c r="AI99" s="1407"/>
      <c r="AJ99" s="1407"/>
      <c r="AK99" s="1408"/>
      <c r="AL99" s="1418"/>
      <c r="AM99" s="1407"/>
      <c r="AN99" s="1407"/>
      <c r="AO99" s="1407"/>
      <c r="AP99" s="1407"/>
      <c r="AQ99" s="1407"/>
      <c r="AR99" s="1407"/>
      <c r="AS99" s="1408"/>
    </row>
    <row r="100" spans="3:45">
      <c r="C100" s="1406">
        <f t="shared" si="2"/>
        <v>11</v>
      </c>
      <c r="D100" s="1407"/>
      <c r="E100" s="1407" t="s">
        <v>2194</v>
      </c>
      <c r="F100" s="1418"/>
      <c r="G100" s="1407"/>
      <c r="H100" s="1407"/>
      <c r="I100" s="1407"/>
      <c r="J100" s="1407"/>
      <c r="K100" s="1407"/>
      <c r="L100" s="1407"/>
      <c r="M100" s="1408"/>
      <c r="N100" s="1418"/>
      <c r="O100" s="1407"/>
      <c r="P100" s="1407"/>
      <c r="Q100" s="1407"/>
      <c r="R100" s="1407"/>
      <c r="S100" s="1407"/>
      <c r="T100" s="1407"/>
      <c r="U100" s="1408"/>
      <c r="V100" s="1418"/>
      <c r="W100" s="1407"/>
      <c r="X100" s="1407"/>
      <c r="Y100" s="1407"/>
      <c r="Z100" s="1407"/>
      <c r="AA100" s="1407"/>
      <c r="AB100" s="1407"/>
      <c r="AC100" s="1408"/>
      <c r="AD100" s="1418"/>
      <c r="AE100" s="1407"/>
      <c r="AF100" s="1407"/>
      <c r="AG100" s="1407"/>
      <c r="AH100" s="1407"/>
      <c r="AI100" s="1407"/>
      <c r="AJ100" s="1407"/>
      <c r="AK100" s="1408"/>
      <c r="AL100" s="1418"/>
      <c r="AM100" s="1407"/>
      <c r="AN100" s="1407"/>
      <c r="AO100" s="1407"/>
      <c r="AP100" s="1407"/>
      <c r="AQ100" s="1407"/>
      <c r="AR100" s="1407"/>
      <c r="AS100" s="1408"/>
    </row>
    <row r="101" spans="3:45">
      <c r="C101" s="1406">
        <f t="shared" si="2"/>
        <v>12</v>
      </c>
      <c r="D101" s="1407"/>
      <c r="E101" s="1407" t="s">
        <v>2195</v>
      </c>
      <c r="F101" s="1418"/>
      <c r="G101" s="1407"/>
      <c r="H101" s="1407"/>
      <c r="I101" s="1407"/>
      <c r="J101" s="1407"/>
      <c r="K101" s="1407"/>
      <c r="L101" s="1407"/>
      <c r="M101" s="1408"/>
      <c r="N101" s="1418"/>
      <c r="O101" s="1407"/>
      <c r="P101" s="1407"/>
      <c r="Q101" s="1407"/>
      <c r="R101" s="1407"/>
      <c r="S101" s="1407"/>
      <c r="T101" s="1407"/>
      <c r="U101" s="1408"/>
      <c r="V101" s="1418"/>
      <c r="W101" s="1407"/>
      <c r="X101" s="1407"/>
      <c r="Y101" s="1407"/>
      <c r="Z101" s="1407"/>
      <c r="AA101" s="1407"/>
      <c r="AB101" s="1407"/>
      <c r="AC101" s="1408"/>
      <c r="AD101" s="1418"/>
      <c r="AE101" s="1407"/>
      <c r="AF101" s="1407"/>
      <c r="AG101" s="1407"/>
      <c r="AH101" s="1407"/>
      <c r="AI101" s="1407"/>
      <c r="AJ101" s="1407"/>
      <c r="AK101" s="1408"/>
      <c r="AL101" s="1418"/>
      <c r="AM101" s="1407"/>
      <c r="AN101" s="1407"/>
      <c r="AO101" s="1407"/>
      <c r="AP101" s="1407"/>
      <c r="AQ101" s="1407"/>
      <c r="AR101" s="1407"/>
      <c r="AS101" s="1408"/>
    </row>
    <row r="102" spans="3:45">
      <c r="C102" s="1406">
        <f t="shared" si="2"/>
        <v>13</v>
      </c>
      <c r="D102" s="1407"/>
      <c r="E102" s="1407" t="s">
        <v>2196</v>
      </c>
      <c r="F102" s="1418"/>
      <c r="G102" s="1407"/>
      <c r="H102" s="1407"/>
      <c r="I102" s="1407"/>
      <c r="J102" s="1407"/>
      <c r="K102" s="1407"/>
      <c r="L102" s="1407"/>
      <c r="M102" s="1408"/>
      <c r="N102" s="1418"/>
      <c r="O102" s="1407"/>
      <c r="P102" s="1407"/>
      <c r="Q102" s="1407"/>
      <c r="R102" s="1407"/>
      <c r="S102" s="1407"/>
      <c r="T102" s="1407"/>
      <c r="U102" s="1408"/>
      <c r="V102" s="1418"/>
      <c r="W102" s="1407"/>
      <c r="X102" s="1407"/>
      <c r="Y102" s="1407"/>
      <c r="Z102" s="1407"/>
      <c r="AA102" s="1407"/>
      <c r="AB102" s="1407"/>
      <c r="AC102" s="1408"/>
      <c r="AD102" s="1418"/>
      <c r="AE102" s="1407"/>
      <c r="AF102" s="1407"/>
      <c r="AG102" s="1407"/>
      <c r="AH102" s="1407"/>
      <c r="AI102" s="1407"/>
      <c r="AJ102" s="1407"/>
      <c r="AK102" s="1408"/>
      <c r="AL102" s="1418"/>
      <c r="AM102" s="1407"/>
      <c r="AN102" s="1407"/>
      <c r="AO102" s="1407"/>
      <c r="AP102" s="1407"/>
      <c r="AQ102" s="1407"/>
      <c r="AR102" s="1407"/>
      <c r="AS102" s="1408"/>
    </row>
    <row r="103" spans="3:45">
      <c r="C103" s="1406">
        <f t="shared" si="2"/>
        <v>14</v>
      </c>
      <c r="D103" s="1407"/>
      <c r="E103" s="1407" t="s">
        <v>2197</v>
      </c>
      <c r="F103" s="1418"/>
      <c r="G103" s="1407"/>
      <c r="H103" s="1407"/>
      <c r="I103" s="1407"/>
      <c r="J103" s="1407"/>
      <c r="K103" s="1407"/>
      <c r="L103" s="1407"/>
      <c r="M103" s="1408"/>
      <c r="N103" s="1418"/>
      <c r="O103" s="1407"/>
      <c r="P103" s="1407"/>
      <c r="Q103" s="1407"/>
      <c r="R103" s="1407"/>
      <c r="S103" s="1407"/>
      <c r="T103" s="1407"/>
      <c r="U103" s="1408"/>
      <c r="V103" s="1418"/>
      <c r="W103" s="1407"/>
      <c r="X103" s="1407"/>
      <c r="Y103" s="1407"/>
      <c r="Z103" s="1407"/>
      <c r="AA103" s="1407"/>
      <c r="AB103" s="1407"/>
      <c r="AC103" s="1408"/>
      <c r="AD103" s="1418"/>
      <c r="AE103" s="1407"/>
      <c r="AF103" s="1407"/>
      <c r="AG103" s="1407"/>
      <c r="AH103" s="1407"/>
      <c r="AI103" s="1407"/>
      <c r="AJ103" s="1407"/>
      <c r="AK103" s="1408"/>
      <c r="AL103" s="1418"/>
      <c r="AM103" s="1407"/>
      <c r="AN103" s="1407"/>
      <c r="AO103" s="1407"/>
      <c r="AP103" s="1407"/>
      <c r="AQ103" s="1407"/>
      <c r="AR103" s="1407"/>
      <c r="AS103" s="1408"/>
    </row>
    <row r="104" spans="3:45">
      <c r="C104" s="1406">
        <f t="shared" si="2"/>
        <v>15</v>
      </c>
      <c r="D104" s="1407"/>
      <c r="E104" s="1407" t="s">
        <v>2198</v>
      </c>
      <c r="F104" s="1418"/>
      <c r="G104" s="1407"/>
      <c r="H104" s="1407"/>
      <c r="I104" s="1407"/>
      <c r="J104" s="1407"/>
      <c r="K104" s="1407"/>
      <c r="L104" s="1407"/>
      <c r="M104" s="1408"/>
      <c r="N104" s="1418"/>
      <c r="O104" s="1407"/>
      <c r="P104" s="1407"/>
      <c r="Q104" s="1407"/>
      <c r="R104" s="1407"/>
      <c r="S104" s="1407"/>
      <c r="T104" s="1407"/>
      <c r="U104" s="1408"/>
      <c r="V104" s="1418"/>
      <c r="W104" s="1407"/>
      <c r="X104" s="1407"/>
      <c r="Y104" s="1407"/>
      <c r="Z104" s="1407"/>
      <c r="AA104" s="1407"/>
      <c r="AB104" s="1407"/>
      <c r="AC104" s="1408"/>
      <c r="AD104" s="1418"/>
      <c r="AE104" s="1407"/>
      <c r="AF104" s="1407"/>
      <c r="AG104" s="1407"/>
      <c r="AH104" s="1407"/>
      <c r="AI104" s="1407"/>
      <c r="AJ104" s="1407"/>
      <c r="AK104" s="1408"/>
      <c r="AL104" s="1418"/>
      <c r="AM104" s="1407"/>
      <c r="AN104" s="1407"/>
      <c r="AO104" s="1407"/>
      <c r="AP104" s="1407"/>
      <c r="AQ104" s="1407"/>
      <c r="AR104" s="1407"/>
      <c r="AS104" s="1408"/>
    </row>
    <row r="105" spans="3:45">
      <c r="C105" s="1406">
        <f t="shared" si="2"/>
        <v>16</v>
      </c>
      <c r="D105" s="1407"/>
      <c r="E105" s="1407" t="s">
        <v>2199</v>
      </c>
      <c r="F105" s="1418"/>
      <c r="G105" s="1407"/>
      <c r="H105" s="1407"/>
      <c r="I105" s="1407"/>
      <c r="J105" s="1407"/>
      <c r="K105" s="1407"/>
      <c r="L105" s="1407"/>
      <c r="M105" s="1408"/>
      <c r="N105" s="1418"/>
      <c r="O105" s="1407"/>
      <c r="P105" s="1407"/>
      <c r="Q105" s="1407"/>
      <c r="R105" s="1407"/>
      <c r="S105" s="1407"/>
      <c r="T105" s="1407"/>
      <c r="U105" s="1408"/>
      <c r="V105" s="1418"/>
      <c r="W105" s="1407"/>
      <c r="X105" s="1407"/>
      <c r="Y105" s="1407"/>
      <c r="Z105" s="1407"/>
      <c r="AA105" s="1407"/>
      <c r="AB105" s="1407"/>
      <c r="AC105" s="1408"/>
      <c r="AD105" s="1418"/>
      <c r="AE105" s="1407"/>
      <c r="AF105" s="1407"/>
      <c r="AG105" s="1407"/>
      <c r="AH105" s="1407"/>
      <c r="AI105" s="1407"/>
      <c r="AJ105" s="1407"/>
      <c r="AK105" s="1408"/>
      <c r="AL105" s="1418"/>
      <c r="AM105" s="1407"/>
      <c r="AN105" s="1407"/>
      <c r="AO105" s="1407"/>
      <c r="AP105" s="1407"/>
      <c r="AQ105" s="1407"/>
      <c r="AR105" s="1407"/>
      <c r="AS105" s="1408"/>
    </row>
    <row r="106" spans="3:45">
      <c r="C106" s="1406">
        <f t="shared" si="2"/>
        <v>17</v>
      </c>
      <c r="D106" s="1407"/>
      <c r="E106" s="1407" t="s">
        <v>2200</v>
      </c>
      <c r="F106" s="1418"/>
      <c r="G106" s="1407"/>
      <c r="H106" s="1407"/>
      <c r="I106" s="1407"/>
      <c r="J106" s="1407"/>
      <c r="K106" s="1407"/>
      <c r="L106" s="1407"/>
      <c r="M106" s="1408"/>
      <c r="N106" s="1418"/>
      <c r="O106" s="1407"/>
      <c r="P106" s="1407"/>
      <c r="Q106" s="1407"/>
      <c r="R106" s="1407"/>
      <c r="S106" s="1407"/>
      <c r="T106" s="1407"/>
      <c r="U106" s="1408"/>
      <c r="V106" s="1418"/>
      <c r="W106" s="1407"/>
      <c r="X106" s="1407"/>
      <c r="Y106" s="1407"/>
      <c r="Z106" s="1407"/>
      <c r="AA106" s="1407"/>
      <c r="AB106" s="1407"/>
      <c r="AC106" s="1408"/>
      <c r="AD106" s="1418"/>
      <c r="AE106" s="1407"/>
      <c r="AF106" s="1407"/>
      <c r="AG106" s="1407"/>
      <c r="AH106" s="1407"/>
      <c r="AI106" s="1407"/>
      <c r="AJ106" s="1407"/>
      <c r="AK106" s="1408"/>
      <c r="AL106" s="1418"/>
      <c r="AM106" s="1407"/>
      <c r="AN106" s="1407"/>
      <c r="AO106" s="1407"/>
      <c r="AP106" s="1407"/>
      <c r="AQ106" s="1407"/>
      <c r="AR106" s="1407"/>
      <c r="AS106" s="1408"/>
    </row>
    <row r="107" spans="3:45">
      <c r="C107" s="1406">
        <f t="shared" si="2"/>
        <v>18</v>
      </c>
      <c r="D107" s="1407"/>
      <c r="E107" s="1407" t="s">
        <v>2201</v>
      </c>
      <c r="F107" s="1418"/>
      <c r="G107" s="1407"/>
      <c r="H107" s="1407"/>
      <c r="I107" s="1407"/>
      <c r="J107" s="1407"/>
      <c r="K107" s="1407"/>
      <c r="L107" s="1407"/>
      <c r="M107" s="1408"/>
      <c r="N107" s="1418"/>
      <c r="O107" s="1407"/>
      <c r="P107" s="1407"/>
      <c r="Q107" s="1407"/>
      <c r="R107" s="1407"/>
      <c r="S107" s="1407"/>
      <c r="T107" s="1407"/>
      <c r="U107" s="1408"/>
      <c r="V107" s="1418"/>
      <c r="W107" s="1407"/>
      <c r="X107" s="1407"/>
      <c r="Y107" s="1407"/>
      <c r="Z107" s="1407"/>
      <c r="AA107" s="1407"/>
      <c r="AB107" s="1407"/>
      <c r="AC107" s="1408"/>
      <c r="AD107" s="1418"/>
      <c r="AE107" s="1407"/>
      <c r="AF107" s="1407"/>
      <c r="AG107" s="1407"/>
      <c r="AH107" s="1407"/>
      <c r="AI107" s="1407"/>
      <c r="AJ107" s="1407"/>
      <c r="AK107" s="1408"/>
      <c r="AL107" s="1418"/>
      <c r="AM107" s="1407"/>
      <c r="AN107" s="1407"/>
      <c r="AO107" s="1407"/>
      <c r="AP107" s="1407"/>
      <c r="AQ107" s="1407"/>
      <c r="AR107" s="1407"/>
      <c r="AS107" s="1408"/>
    </row>
    <row r="108" spans="3:45">
      <c r="C108" s="1406">
        <f t="shared" si="2"/>
        <v>19</v>
      </c>
      <c r="D108" s="1407"/>
      <c r="E108" s="1407" t="s">
        <v>2202</v>
      </c>
      <c r="F108" s="1418"/>
      <c r="G108" s="1407"/>
      <c r="H108" s="1407"/>
      <c r="I108" s="1407"/>
      <c r="J108" s="1407"/>
      <c r="K108" s="1407"/>
      <c r="L108" s="1407"/>
      <c r="M108" s="1408"/>
      <c r="N108" s="1418"/>
      <c r="O108" s="1407"/>
      <c r="P108" s="1407"/>
      <c r="Q108" s="1407"/>
      <c r="R108" s="1407"/>
      <c r="S108" s="1407"/>
      <c r="T108" s="1407"/>
      <c r="U108" s="1408"/>
      <c r="V108" s="1418"/>
      <c r="W108" s="1407"/>
      <c r="X108" s="1407"/>
      <c r="Y108" s="1407"/>
      <c r="Z108" s="1407"/>
      <c r="AA108" s="1407"/>
      <c r="AB108" s="1407"/>
      <c r="AC108" s="1408"/>
      <c r="AD108" s="1418"/>
      <c r="AE108" s="1407"/>
      <c r="AF108" s="1407"/>
      <c r="AG108" s="1407"/>
      <c r="AH108" s="1407"/>
      <c r="AI108" s="1407"/>
      <c r="AJ108" s="1407"/>
      <c r="AK108" s="1408"/>
      <c r="AL108" s="1418"/>
      <c r="AM108" s="1407"/>
      <c r="AN108" s="1407"/>
      <c r="AO108" s="1407"/>
      <c r="AP108" s="1407"/>
      <c r="AQ108" s="1407"/>
      <c r="AR108" s="1407"/>
      <c r="AS108" s="1408"/>
    </row>
    <row r="109" spans="3:45">
      <c r="C109" s="1406">
        <f t="shared" si="2"/>
        <v>20</v>
      </c>
      <c r="D109" s="1407"/>
      <c r="E109" s="1407" t="s">
        <v>2203</v>
      </c>
      <c r="F109" s="1418"/>
      <c r="G109" s="1407"/>
      <c r="H109" s="1407"/>
      <c r="I109" s="1407"/>
      <c r="J109" s="1407"/>
      <c r="K109" s="1407"/>
      <c r="L109" s="1407"/>
      <c r="M109" s="1408"/>
      <c r="N109" s="1418"/>
      <c r="O109" s="1407"/>
      <c r="P109" s="1407"/>
      <c r="Q109" s="1407"/>
      <c r="R109" s="1407"/>
      <c r="S109" s="1407"/>
      <c r="T109" s="1407"/>
      <c r="U109" s="1408"/>
      <c r="V109" s="1418"/>
      <c r="W109" s="1407"/>
      <c r="X109" s="1407"/>
      <c r="Y109" s="1407"/>
      <c r="Z109" s="1407"/>
      <c r="AA109" s="1407"/>
      <c r="AB109" s="1407"/>
      <c r="AC109" s="1408"/>
      <c r="AD109" s="1418"/>
      <c r="AE109" s="1407"/>
      <c r="AF109" s="1407"/>
      <c r="AG109" s="1407"/>
      <c r="AH109" s="1407"/>
      <c r="AI109" s="1407"/>
      <c r="AJ109" s="1407"/>
      <c r="AK109" s="1408"/>
      <c r="AL109" s="1418"/>
      <c r="AM109" s="1407"/>
      <c r="AN109" s="1407"/>
      <c r="AO109" s="1407"/>
      <c r="AP109" s="1407"/>
      <c r="AQ109" s="1407"/>
      <c r="AR109" s="1407"/>
      <c r="AS109" s="1408"/>
    </row>
    <row r="110" spans="3:45">
      <c r="C110" s="1406">
        <f t="shared" si="2"/>
        <v>21</v>
      </c>
      <c r="D110" s="1407"/>
      <c r="E110" s="1407" t="s">
        <v>2204</v>
      </c>
      <c r="F110" s="1418"/>
      <c r="G110" s="1407"/>
      <c r="H110" s="1407"/>
      <c r="I110" s="1407"/>
      <c r="J110" s="1407"/>
      <c r="K110" s="1407"/>
      <c r="L110" s="1407"/>
      <c r="M110" s="1408"/>
      <c r="N110" s="1418"/>
      <c r="O110" s="1407"/>
      <c r="P110" s="1407"/>
      <c r="Q110" s="1407"/>
      <c r="R110" s="1407"/>
      <c r="S110" s="1407"/>
      <c r="T110" s="1407"/>
      <c r="U110" s="1408"/>
      <c r="V110" s="1418"/>
      <c r="W110" s="1407"/>
      <c r="X110" s="1407"/>
      <c r="Y110" s="1407"/>
      <c r="Z110" s="1407"/>
      <c r="AA110" s="1407"/>
      <c r="AB110" s="1407"/>
      <c r="AC110" s="1408"/>
      <c r="AD110" s="1418"/>
      <c r="AE110" s="1407"/>
      <c r="AF110" s="1407"/>
      <c r="AG110" s="1407"/>
      <c r="AH110" s="1407"/>
      <c r="AI110" s="1407"/>
      <c r="AJ110" s="1407"/>
      <c r="AK110" s="1408"/>
      <c r="AL110" s="1418"/>
      <c r="AM110" s="1407"/>
      <c r="AN110" s="1407"/>
      <c r="AO110" s="1407"/>
      <c r="AP110" s="1407"/>
      <c r="AQ110" s="1407"/>
      <c r="AR110" s="1407"/>
      <c r="AS110" s="1408"/>
    </row>
    <row r="111" spans="3:45">
      <c r="C111" s="1406">
        <f t="shared" si="2"/>
        <v>22</v>
      </c>
      <c r="D111" s="1407"/>
      <c r="E111" s="1407" t="s">
        <v>2205</v>
      </c>
      <c r="F111" s="1418"/>
      <c r="G111" s="1407"/>
      <c r="H111" s="1407"/>
      <c r="I111" s="1407"/>
      <c r="J111" s="1407"/>
      <c r="K111" s="1407"/>
      <c r="L111" s="1407"/>
      <c r="M111" s="1408"/>
      <c r="N111" s="1418"/>
      <c r="O111" s="1407"/>
      <c r="P111" s="1407"/>
      <c r="Q111" s="1407"/>
      <c r="R111" s="1407"/>
      <c r="S111" s="1407"/>
      <c r="T111" s="1407"/>
      <c r="U111" s="1408"/>
      <c r="V111" s="1418"/>
      <c r="W111" s="1407"/>
      <c r="X111" s="1407"/>
      <c r="Y111" s="1407"/>
      <c r="Z111" s="1407"/>
      <c r="AA111" s="1407"/>
      <c r="AB111" s="1407"/>
      <c r="AC111" s="1408"/>
      <c r="AD111" s="1418"/>
      <c r="AE111" s="1407"/>
      <c r="AF111" s="1407"/>
      <c r="AG111" s="1407"/>
      <c r="AH111" s="1407"/>
      <c r="AI111" s="1407"/>
      <c r="AJ111" s="1407"/>
      <c r="AK111" s="1408"/>
      <c r="AL111" s="1418"/>
      <c r="AM111" s="1407"/>
      <c r="AN111" s="1407"/>
      <c r="AO111" s="1407"/>
      <c r="AP111" s="1407"/>
      <c r="AQ111" s="1407"/>
      <c r="AR111" s="1407"/>
      <c r="AS111" s="1408"/>
    </row>
    <row r="112" spans="3:45">
      <c r="C112" s="1406">
        <f t="shared" si="2"/>
        <v>23</v>
      </c>
      <c r="D112" s="1407"/>
      <c r="E112" s="1407" t="s">
        <v>2206</v>
      </c>
      <c r="F112" s="1418"/>
      <c r="G112" s="1407"/>
      <c r="H112" s="1407"/>
      <c r="I112" s="1407"/>
      <c r="J112" s="1407"/>
      <c r="K112" s="1407"/>
      <c r="L112" s="1407"/>
      <c r="M112" s="1408"/>
      <c r="N112" s="1418"/>
      <c r="O112" s="1407"/>
      <c r="P112" s="1407"/>
      <c r="Q112" s="1407"/>
      <c r="R112" s="1407"/>
      <c r="S112" s="1407"/>
      <c r="T112" s="1407"/>
      <c r="U112" s="1408"/>
      <c r="V112" s="1418"/>
      <c r="W112" s="1407"/>
      <c r="X112" s="1407"/>
      <c r="Y112" s="1407"/>
      <c r="Z112" s="1407"/>
      <c r="AA112" s="1407"/>
      <c r="AB112" s="1407"/>
      <c r="AC112" s="1408"/>
      <c r="AD112" s="1418"/>
      <c r="AE112" s="1407"/>
      <c r="AF112" s="1407"/>
      <c r="AG112" s="1407"/>
      <c r="AH112" s="1407"/>
      <c r="AI112" s="1407"/>
      <c r="AJ112" s="1407"/>
      <c r="AK112" s="1408"/>
      <c r="AL112" s="1418"/>
      <c r="AM112" s="1407"/>
      <c r="AN112" s="1407"/>
      <c r="AO112" s="1407"/>
      <c r="AP112" s="1407"/>
      <c r="AQ112" s="1407"/>
      <c r="AR112" s="1407"/>
      <c r="AS112" s="1408"/>
    </row>
    <row r="113" spans="3:45">
      <c r="C113" s="1406">
        <f t="shared" si="2"/>
        <v>24</v>
      </c>
      <c r="D113" s="1407"/>
      <c r="E113" s="1407" t="s">
        <v>2207</v>
      </c>
      <c r="F113" s="1418"/>
      <c r="G113" s="1407"/>
      <c r="H113" s="1407"/>
      <c r="I113" s="1407"/>
      <c r="J113" s="1407"/>
      <c r="K113" s="1407"/>
      <c r="L113" s="1407"/>
      <c r="M113" s="1408"/>
      <c r="N113" s="1418"/>
      <c r="O113" s="1407"/>
      <c r="P113" s="1407"/>
      <c r="Q113" s="1407"/>
      <c r="R113" s="1407"/>
      <c r="S113" s="1407"/>
      <c r="T113" s="1407"/>
      <c r="U113" s="1408"/>
      <c r="V113" s="1418"/>
      <c r="W113" s="1407"/>
      <c r="X113" s="1407"/>
      <c r="Y113" s="1407"/>
      <c r="Z113" s="1407"/>
      <c r="AA113" s="1407"/>
      <c r="AB113" s="1407"/>
      <c r="AC113" s="1408"/>
      <c r="AD113" s="1418"/>
      <c r="AE113" s="1407"/>
      <c r="AF113" s="1407"/>
      <c r="AG113" s="1407"/>
      <c r="AH113" s="1407"/>
      <c r="AI113" s="1407"/>
      <c r="AJ113" s="1407"/>
      <c r="AK113" s="1408"/>
      <c r="AL113" s="1418"/>
      <c r="AM113" s="1407"/>
      <c r="AN113" s="1407"/>
      <c r="AO113" s="1407"/>
      <c r="AP113" s="1407"/>
      <c r="AQ113" s="1407"/>
      <c r="AR113" s="1407"/>
      <c r="AS113" s="1408"/>
    </row>
    <row r="114" spans="3:45">
      <c r="C114" s="1406">
        <f t="shared" si="2"/>
        <v>25</v>
      </c>
      <c r="D114" s="1407"/>
      <c r="E114" s="1407" t="s">
        <v>2208</v>
      </c>
      <c r="F114" s="1418"/>
      <c r="G114" s="1407"/>
      <c r="H114" s="1407"/>
      <c r="I114" s="1407"/>
      <c r="J114" s="1407"/>
      <c r="K114" s="1407"/>
      <c r="L114" s="1407"/>
      <c r="M114" s="1408"/>
      <c r="N114" s="1418"/>
      <c r="O114" s="1407"/>
      <c r="P114" s="1407"/>
      <c r="Q114" s="1407"/>
      <c r="R114" s="1407"/>
      <c r="S114" s="1407"/>
      <c r="T114" s="1407"/>
      <c r="U114" s="1408"/>
      <c r="V114" s="1418"/>
      <c r="W114" s="1407"/>
      <c r="X114" s="1407"/>
      <c r="Y114" s="1407"/>
      <c r="Z114" s="1407"/>
      <c r="AA114" s="1407"/>
      <c r="AB114" s="1407"/>
      <c r="AC114" s="1408"/>
      <c r="AD114" s="1418"/>
      <c r="AE114" s="1407"/>
      <c r="AF114" s="1407"/>
      <c r="AG114" s="1407"/>
      <c r="AH114" s="1407"/>
      <c r="AI114" s="1407"/>
      <c r="AJ114" s="1407"/>
      <c r="AK114" s="1408"/>
      <c r="AL114" s="1418"/>
      <c r="AM114" s="1407"/>
      <c r="AN114" s="1407"/>
      <c r="AO114" s="1407"/>
      <c r="AP114" s="1407"/>
      <c r="AQ114" s="1407"/>
      <c r="AR114" s="1407"/>
      <c r="AS114" s="1408"/>
    </row>
    <row r="115" spans="3:45">
      <c r="C115" s="1406">
        <f t="shared" si="2"/>
        <v>26</v>
      </c>
      <c r="D115" s="1407"/>
      <c r="E115" s="1407" t="s">
        <v>2209</v>
      </c>
      <c r="F115" s="1418"/>
      <c r="G115" s="1407"/>
      <c r="H115" s="1407"/>
      <c r="I115" s="1407"/>
      <c r="J115" s="1407"/>
      <c r="K115" s="1407"/>
      <c r="L115" s="1407"/>
      <c r="M115" s="1408"/>
      <c r="N115" s="1418"/>
      <c r="O115" s="1407"/>
      <c r="P115" s="1407"/>
      <c r="Q115" s="1407"/>
      <c r="R115" s="1407"/>
      <c r="S115" s="1407"/>
      <c r="T115" s="1407"/>
      <c r="U115" s="1408"/>
      <c r="V115" s="1418"/>
      <c r="W115" s="1407"/>
      <c r="X115" s="1407"/>
      <c r="Y115" s="1407"/>
      <c r="Z115" s="1407"/>
      <c r="AA115" s="1407"/>
      <c r="AB115" s="1407"/>
      <c r="AC115" s="1408"/>
      <c r="AD115" s="1418"/>
      <c r="AE115" s="1407"/>
      <c r="AF115" s="1407"/>
      <c r="AG115" s="1407"/>
      <c r="AH115" s="1407"/>
      <c r="AI115" s="1407"/>
      <c r="AJ115" s="1407"/>
      <c r="AK115" s="1408"/>
      <c r="AL115" s="1418"/>
      <c r="AM115" s="1407"/>
      <c r="AN115" s="1407"/>
      <c r="AO115" s="1407"/>
      <c r="AP115" s="1407"/>
      <c r="AQ115" s="1407"/>
      <c r="AR115" s="1407"/>
      <c r="AS115" s="1408"/>
    </row>
    <row r="116" spans="3:45">
      <c r="C116" s="1406">
        <f t="shared" si="2"/>
        <v>27</v>
      </c>
      <c r="D116" s="1407"/>
      <c r="E116" s="1407" t="s">
        <v>2210</v>
      </c>
      <c r="F116" s="1418"/>
      <c r="G116" s="1407"/>
      <c r="H116" s="1407"/>
      <c r="I116" s="1407"/>
      <c r="J116" s="1407"/>
      <c r="K116" s="1407"/>
      <c r="L116" s="1407"/>
      <c r="M116" s="1408"/>
      <c r="N116" s="1418"/>
      <c r="O116" s="1407"/>
      <c r="P116" s="1407"/>
      <c r="Q116" s="1407"/>
      <c r="R116" s="1407"/>
      <c r="S116" s="1407"/>
      <c r="T116" s="1407"/>
      <c r="U116" s="1408"/>
      <c r="V116" s="1418"/>
      <c r="W116" s="1407"/>
      <c r="X116" s="1407"/>
      <c r="Y116" s="1407"/>
      <c r="Z116" s="1407"/>
      <c r="AA116" s="1407"/>
      <c r="AB116" s="1407"/>
      <c r="AC116" s="1408"/>
      <c r="AD116" s="1418"/>
      <c r="AE116" s="1407"/>
      <c r="AF116" s="1407"/>
      <c r="AG116" s="1407"/>
      <c r="AH116" s="1407"/>
      <c r="AI116" s="1407"/>
      <c r="AJ116" s="1407"/>
      <c r="AK116" s="1408"/>
      <c r="AL116" s="1418"/>
      <c r="AM116" s="1407"/>
      <c r="AN116" s="1407"/>
      <c r="AO116" s="1407"/>
      <c r="AP116" s="1407"/>
      <c r="AQ116" s="1407"/>
      <c r="AR116" s="1407"/>
      <c r="AS116" s="1408"/>
    </row>
    <row r="117" spans="3:45">
      <c r="C117" s="1406">
        <f t="shared" si="2"/>
        <v>28</v>
      </c>
      <c r="D117" s="1407"/>
      <c r="E117" s="1407" t="s">
        <v>2211</v>
      </c>
      <c r="F117" s="1418"/>
      <c r="G117" s="1407"/>
      <c r="H117" s="1407"/>
      <c r="I117" s="1407"/>
      <c r="J117" s="1407"/>
      <c r="K117" s="1407"/>
      <c r="L117" s="1407"/>
      <c r="M117" s="1408"/>
      <c r="N117" s="1418"/>
      <c r="O117" s="1407"/>
      <c r="P117" s="1407"/>
      <c r="Q117" s="1407"/>
      <c r="R117" s="1407"/>
      <c r="S117" s="1407"/>
      <c r="T117" s="1407"/>
      <c r="U117" s="1408"/>
      <c r="V117" s="1418"/>
      <c r="W117" s="1407"/>
      <c r="X117" s="1407"/>
      <c r="Y117" s="1407"/>
      <c r="Z117" s="1407"/>
      <c r="AA117" s="1407"/>
      <c r="AB117" s="1407"/>
      <c r="AC117" s="1408"/>
      <c r="AD117" s="1418"/>
      <c r="AE117" s="1407"/>
      <c r="AF117" s="1407"/>
      <c r="AG117" s="1407"/>
      <c r="AH117" s="1407"/>
      <c r="AI117" s="1407"/>
      <c r="AJ117" s="1407"/>
      <c r="AK117" s="1408"/>
      <c r="AL117" s="1418"/>
      <c r="AM117" s="1407"/>
      <c r="AN117" s="1407"/>
      <c r="AO117" s="1407"/>
      <c r="AP117" s="1407"/>
      <c r="AQ117" s="1407"/>
      <c r="AR117" s="1407"/>
      <c r="AS117" s="1408"/>
    </row>
    <row r="118" spans="3:45">
      <c r="C118" s="1406">
        <f t="shared" si="2"/>
        <v>29</v>
      </c>
      <c r="D118" s="1407"/>
      <c r="E118" s="1407" t="s">
        <v>2212</v>
      </c>
      <c r="F118" s="1418"/>
      <c r="G118" s="1407"/>
      <c r="H118" s="1407"/>
      <c r="I118" s="1407"/>
      <c r="J118" s="1407"/>
      <c r="K118" s="1407"/>
      <c r="L118" s="1407"/>
      <c r="M118" s="1408"/>
      <c r="N118" s="1418"/>
      <c r="O118" s="1407"/>
      <c r="P118" s="1407"/>
      <c r="Q118" s="1407"/>
      <c r="R118" s="1407"/>
      <c r="S118" s="1407"/>
      <c r="T118" s="1407"/>
      <c r="U118" s="1408"/>
      <c r="V118" s="1418"/>
      <c r="W118" s="1407"/>
      <c r="X118" s="1407"/>
      <c r="Y118" s="1407"/>
      <c r="Z118" s="1407"/>
      <c r="AA118" s="1407"/>
      <c r="AB118" s="1407"/>
      <c r="AC118" s="1408"/>
      <c r="AD118" s="1418"/>
      <c r="AE118" s="1407"/>
      <c r="AF118" s="1407"/>
      <c r="AG118" s="1407"/>
      <c r="AH118" s="1407"/>
      <c r="AI118" s="1407"/>
      <c r="AJ118" s="1407"/>
      <c r="AK118" s="1408"/>
      <c r="AL118" s="1418"/>
      <c r="AM118" s="1407"/>
      <c r="AN118" s="1407"/>
      <c r="AO118" s="1407"/>
      <c r="AP118" s="1407"/>
      <c r="AQ118" s="1407"/>
      <c r="AR118" s="1407"/>
      <c r="AS118" s="1408"/>
    </row>
    <row r="119" spans="3:45">
      <c r="C119" s="1409">
        <f t="shared" si="2"/>
        <v>30</v>
      </c>
      <c r="D119" s="1410"/>
      <c r="E119" s="1410" t="s">
        <v>2213</v>
      </c>
      <c r="F119" s="1419"/>
      <c r="G119" s="1410"/>
      <c r="H119" s="1410"/>
      <c r="I119" s="1410"/>
      <c r="J119" s="1410"/>
      <c r="K119" s="1410"/>
      <c r="L119" s="1410"/>
      <c r="M119" s="1411"/>
      <c r="N119" s="1419"/>
      <c r="O119" s="1410"/>
      <c r="P119" s="1410"/>
      <c r="Q119" s="1410"/>
      <c r="R119" s="1410"/>
      <c r="S119" s="1410"/>
      <c r="T119" s="1410"/>
      <c r="U119" s="1411"/>
      <c r="V119" s="1419"/>
      <c r="W119" s="1410"/>
      <c r="X119" s="1410"/>
      <c r="Y119" s="1410"/>
      <c r="Z119" s="1410"/>
      <c r="AA119" s="1410"/>
      <c r="AB119" s="1410"/>
      <c r="AC119" s="1411"/>
      <c r="AD119" s="1419"/>
      <c r="AE119" s="1410"/>
      <c r="AF119" s="1410"/>
      <c r="AG119" s="1410"/>
      <c r="AH119" s="1410"/>
      <c r="AI119" s="1410"/>
      <c r="AJ119" s="1410"/>
      <c r="AK119" s="1411"/>
      <c r="AL119" s="1419"/>
      <c r="AM119" s="1410"/>
      <c r="AN119" s="1410"/>
      <c r="AO119" s="1410"/>
      <c r="AP119" s="1410"/>
      <c r="AQ119" s="1410"/>
      <c r="AR119" s="1410"/>
      <c r="AS119" s="1411"/>
    </row>
    <row r="120" spans="3:45">
      <c r="C120" s="1403"/>
      <c r="D120" s="1403"/>
      <c r="E120" s="1403"/>
      <c r="F120" s="1403"/>
      <c r="G120" s="1403"/>
      <c r="H120" s="1403"/>
      <c r="I120" s="1403"/>
      <c r="J120" s="1403"/>
      <c r="K120" s="1403"/>
      <c r="L120" s="1403"/>
      <c r="M120" s="1403"/>
      <c r="N120" s="1403"/>
      <c r="O120" s="1403"/>
      <c r="P120" s="1403"/>
      <c r="Q120" s="1403"/>
      <c r="R120" s="1403"/>
      <c r="S120" s="1403"/>
      <c r="T120" s="1403"/>
      <c r="U120" s="1403"/>
      <c r="V120" s="1403"/>
      <c r="W120" s="1403"/>
      <c r="X120" s="1403"/>
      <c r="Y120" s="1403"/>
      <c r="Z120" s="1403"/>
      <c r="AA120" s="1403"/>
      <c r="AB120" s="1403"/>
      <c r="AC120" s="1403"/>
      <c r="AD120" s="1403"/>
      <c r="AE120" s="1403"/>
      <c r="AF120" s="1403"/>
      <c r="AG120" s="1403"/>
      <c r="AH120" s="1403"/>
      <c r="AI120" s="1403"/>
      <c r="AJ120" s="1403"/>
      <c r="AK120" s="1403"/>
      <c r="AL120" s="1403"/>
    </row>
    <row r="121" spans="3:45">
      <c r="C121" s="1432" t="s">
        <v>2004</v>
      </c>
      <c r="D121" s="1432"/>
      <c r="E121" s="1432"/>
      <c r="F121" s="1432"/>
      <c r="G121" s="1432"/>
      <c r="H121" s="1432"/>
      <c r="I121" s="1432"/>
      <c r="J121" s="1432"/>
      <c r="K121" s="1432"/>
      <c r="L121" s="1432"/>
      <c r="M121" s="1432"/>
      <c r="N121" s="1432"/>
      <c r="O121" s="1432"/>
      <c r="P121" s="1432"/>
      <c r="Q121" s="1432"/>
      <c r="R121" s="1432"/>
      <c r="S121" s="1432"/>
      <c r="T121" s="1432"/>
      <c r="U121" s="1432"/>
      <c r="V121" s="1432"/>
      <c r="W121" s="1432"/>
      <c r="X121" s="1432"/>
      <c r="Y121" s="1432"/>
      <c r="Z121" s="1432"/>
      <c r="AA121" s="1432"/>
      <c r="AB121" s="1403"/>
      <c r="AC121" s="1403"/>
      <c r="AD121" s="1403"/>
      <c r="AE121" s="1403"/>
      <c r="AF121" s="1403"/>
      <c r="AG121" s="1403"/>
      <c r="AH121" s="1403"/>
      <c r="AI121" s="1403"/>
      <c r="AJ121" s="1403"/>
      <c r="AK121" s="1403"/>
      <c r="AL121" s="1403"/>
    </row>
    <row r="122" spans="3:45" ht="15.65" customHeight="1">
      <c r="C122" s="1437" t="s">
        <v>1951</v>
      </c>
      <c r="D122" s="1438" t="s">
        <v>93</v>
      </c>
      <c r="E122" s="1438" t="s">
        <v>94</v>
      </c>
      <c r="F122" s="1818" t="s">
        <v>1460</v>
      </c>
      <c r="G122" s="1818"/>
      <c r="H122" s="1818"/>
      <c r="I122" s="1818"/>
      <c r="J122" s="1818"/>
      <c r="K122" s="1818"/>
      <c r="L122" s="1818"/>
      <c r="M122" s="1819"/>
      <c r="N122" s="1818" t="s">
        <v>1461</v>
      </c>
      <c r="O122" s="1818"/>
      <c r="P122" s="1818"/>
      <c r="Q122" s="1818"/>
      <c r="R122" s="1818"/>
      <c r="S122" s="1818"/>
      <c r="T122" s="1818"/>
      <c r="U122" s="1819"/>
      <c r="V122" s="1818" t="s">
        <v>2003</v>
      </c>
      <c r="W122" s="1818"/>
      <c r="X122" s="1818"/>
      <c r="Y122" s="1818"/>
      <c r="Z122" s="1818"/>
      <c r="AA122" s="1819"/>
    </row>
    <row r="123" spans="3:45">
      <c r="C123" s="1420"/>
      <c r="D123" s="1421"/>
      <c r="E123" s="1421"/>
      <c r="F123" s="1422" t="s">
        <v>146</v>
      </c>
      <c r="G123" s="1422" t="s">
        <v>144</v>
      </c>
      <c r="H123" s="1422" t="s">
        <v>141</v>
      </c>
      <c r="I123" s="1422" t="s">
        <v>138</v>
      </c>
      <c r="J123" s="1422" t="s">
        <v>136</v>
      </c>
      <c r="K123" s="1422" t="s">
        <v>1484</v>
      </c>
      <c r="L123" s="1422" t="s">
        <v>1485</v>
      </c>
      <c r="M123" s="1415" t="s">
        <v>1478</v>
      </c>
      <c r="N123" s="1422" t="s">
        <v>146</v>
      </c>
      <c r="O123" s="1422" t="s">
        <v>144</v>
      </c>
      <c r="P123" s="1422" t="s">
        <v>141</v>
      </c>
      <c r="Q123" s="1422" t="s">
        <v>138</v>
      </c>
      <c r="R123" s="1422" t="s">
        <v>136</v>
      </c>
      <c r="S123" s="1422" t="s">
        <v>1484</v>
      </c>
      <c r="T123" s="1422" t="s">
        <v>1485</v>
      </c>
      <c r="U123" s="1415" t="s">
        <v>1478</v>
      </c>
      <c r="V123" s="1422" t="s">
        <v>141</v>
      </c>
      <c r="W123" s="1422" t="s">
        <v>138</v>
      </c>
      <c r="X123" s="1422" t="s">
        <v>136</v>
      </c>
      <c r="Y123" s="1422" t="s">
        <v>1484</v>
      </c>
      <c r="Z123" s="1422" t="s">
        <v>1485</v>
      </c>
      <c r="AA123" s="1415" t="s">
        <v>1478</v>
      </c>
    </row>
    <row r="124" spans="3:45">
      <c r="C124" s="1406">
        <f t="shared" ref="C124:E153" si="3">C22</f>
        <v>1</v>
      </c>
      <c r="D124" s="1423">
        <f t="shared" si="3"/>
        <v>0</v>
      </c>
      <c r="E124" s="1423" t="str">
        <f t="shared" si="3"/>
        <v>Comp 1</v>
      </c>
      <c r="F124" s="1407"/>
      <c r="G124" s="1407"/>
      <c r="H124" s="1407"/>
      <c r="I124" s="1407"/>
      <c r="J124" s="1407"/>
      <c r="K124" s="1407"/>
      <c r="L124" s="1407"/>
      <c r="M124" s="1408"/>
      <c r="N124" s="1407"/>
      <c r="O124" s="1407"/>
      <c r="P124" s="1407"/>
      <c r="Q124" s="1407"/>
      <c r="R124" s="1407"/>
      <c r="S124" s="1407"/>
      <c r="T124" s="1407"/>
      <c r="U124" s="1408"/>
      <c r="V124" s="1407"/>
      <c r="W124" s="1407"/>
      <c r="X124" s="1407"/>
      <c r="Y124" s="1407"/>
      <c r="Z124" s="1407"/>
      <c r="AA124" s="1408"/>
    </row>
    <row r="125" spans="3:45">
      <c r="C125" s="1406">
        <f t="shared" si="3"/>
        <v>2</v>
      </c>
      <c r="D125" s="1423">
        <f t="shared" si="3"/>
        <v>0</v>
      </c>
      <c r="E125" s="1423" t="str">
        <f t="shared" si="3"/>
        <v>Comp 2</v>
      </c>
      <c r="F125" s="1407"/>
      <c r="G125" s="1407"/>
      <c r="H125" s="1407"/>
      <c r="I125" s="1407"/>
      <c r="J125" s="1407"/>
      <c r="K125" s="1407"/>
      <c r="L125" s="1407"/>
      <c r="M125" s="1408"/>
      <c r="N125" s="1407"/>
      <c r="O125" s="1407"/>
      <c r="P125" s="1407"/>
      <c r="Q125" s="1407"/>
      <c r="R125" s="1407"/>
      <c r="S125" s="1407"/>
      <c r="T125" s="1407"/>
      <c r="U125" s="1408"/>
      <c r="V125" s="1407"/>
      <c r="W125" s="1407"/>
      <c r="X125" s="1407"/>
      <c r="Y125" s="1407"/>
      <c r="Z125" s="1407"/>
      <c r="AA125" s="1408"/>
    </row>
    <row r="126" spans="3:45">
      <c r="C126" s="1406">
        <f t="shared" si="3"/>
        <v>3</v>
      </c>
      <c r="D126" s="1423">
        <f t="shared" si="3"/>
        <v>0</v>
      </c>
      <c r="E126" s="1423" t="str">
        <f t="shared" si="3"/>
        <v>Comp 3</v>
      </c>
      <c r="F126" s="1407"/>
      <c r="G126" s="1407"/>
      <c r="H126" s="1407"/>
      <c r="I126" s="1407"/>
      <c r="J126" s="1407"/>
      <c r="K126" s="1407"/>
      <c r="L126" s="1407"/>
      <c r="M126" s="1408"/>
      <c r="N126" s="1407"/>
      <c r="O126" s="1407"/>
      <c r="P126" s="1407"/>
      <c r="Q126" s="1407"/>
      <c r="R126" s="1407"/>
      <c r="S126" s="1407"/>
      <c r="T126" s="1407"/>
      <c r="U126" s="1408"/>
      <c r="V126" s="1407"/>
      <c r="W126" s="1407"/>
      <c r="X126" s="1407"/>
      <c r="Y126" s="1407"/>
      <c r="Z126" s="1407"/>
      <c r="AA126" s="1408"/>
    </row>
    <row r="127" spans="3:45">
      <c r="C127" s="1406">
        <f t="shared" si="3"/>
        <v>4</v>
      </c>
      <c r="D127" s="1423">
        <f t="shared" si="3"/>
        <v>0</v>
      </c>
      <c r="E127" s="1423" t="str">
        <f t="shared" si="3"/>
        <v>Comp 4</v>
      </c>
      <c r="F127" s="1407"/>
      <c r="G127" s="1407"/>
      <c r="H127" s="1407"/>
      <c r="I127" s="1407"/>
      <c r="J127" s="1407"/>
      <c r="K127" s="1407"/>
      <c r="L127" s="1407"/>
      <c r="M127" s="1408"/>
      <c r="N127" s="1407"/>
      <c r="O127" s="1407"/>
      <c r="P127" s="1407"/>
      <c r="Q127" s="1407"/>
      <c r="R127" s="1407"/>
      <c r="S127" s="1407"/>
      <c r="T127" s="1407"/>
      <c r="U127" s="1408"/>
      <c r="V127" s="1407"/>
      <c r="W127" s="1407"/>
      <c r="X127" s="1407"/>
      <c r="Y127" s="1407"/>
      <c r="Z127" s="1407"/>
      <c r="AA127" s="1408"/>
    </row>
    <row r="128" spans="3:45">
      <c r="C128" s="1406">
        <f t="shared" si="3"/>
        <v>5</v>
      </c>
      <c r="D128" s="1423">
        <f t="shared" si="3"/>
        <v>0</v>
      </c>
      <c r="E128" s="1423" t="str">
        <f t="shared" si="3"/>
        <v>Comp 5</v>
      </c>
      <c r="F128" s="1407"/>
      <c r="G128" s="1407"/>
      <c r="H128" s="1407"/>
      <c r="I128" s="1407"/>
      <c r="J128" s="1407"/>
      <c r="K128" s="1407"/>
      <c r="L128" s="1407"/>
      <c r="M128" s="1408"/>
      <c r="N128" s="1407"/>
      <c r="O128" s="1407"/>
      <c r="P128" s="1407"/>
      <c r="Q128" s="1407"/>
      <c r="R128" s="1407"/>
      <c r="S128" s="1407"/>
      <c r="T128" s="1407"/>
      <c r="U128" s="1408"/>
      <c r="V128" s="1407"/>
      <c r="W128" s="1407"/>
      <c r="X128" s="1407"/>
      <c r="Y128" s="1407"/>
      <c r="Z128" s="1407"/>
      <c r="AA128" s="1408"/>
    </row>
    <row r="129" spans="3:27">
      <c r="C129" s="1406">
        <f t="shared" si="3"/>
        <v>6</v>
      </c>
      <c r="D129" s="1423">
        <f t="shared" si="3"/>
        <v>0</v>
      </c>
      <c r="E129" s="1423" t="str">
        <f t="shared" si="3"/>
        <v>Comp 6</v>
      </c>
      <c r="F129" s="1407"/>
      <c r="G129" s="1407"/>
      <c r="H129" s="1407"/>
      <c r="I129" s="1407"/>
      <c r="J129" s="1407"/>
      <c r="K129" s="1407"/>
      <c r="L129" s="1407"/>
      <c r="M129" s="1408"/>
      <c r="N129" s="1407"/>
      <c r="O129" s="1407"/>
      <c r="P129" s="1407"/>
      <c r="Q129" s="1407"/>
      <c r="R129" s="1407"/>
      <c r="S129" s="1407"/>
      <c r="T129" s="1407"/>
      <c r="U129" s="1408"/>
      <c r="V129" s="1407"/>
      <c r="W129" s="1407"/>
      <c r="X129" s="1407"/>
      <c r="Y129" s="1407"/>
      <c r="Z129" s="1407"/>
      <c r="AA129" s="1408"/>
    </row>
    <row r="130" spans="3:27">
      <c r="C130" s="1406">
        <f t="shared" si="3"/>
        <v>7</v>
      </c>
      <c r="D130" s="1423">
        <f t="shared" si="3"/>
        <v>0</v>
      </c>
      <c r="E130" s="1423" t="str">
        <f t="shared" si="3"/>
        <v>Comp 7</v>
      </c>
      <c r="F130" s="1407"/>
      <c r="G130" s="1407"/>
      <c r="H130" s="1407"/>
      <c r="I130" s="1407"/>
      <c r="J130" s="1407"/>
      <c r="K130" s="1407"/>
      <c r="L130" s="1407"/>
      <c r="M130" s="1408"/>
      <c r="N130" s="1407"/>
      <c r="O130" s="1407"/>
      <c r="P130" s="1407"/>
      <c r="Q130" s="1407"/>
      <c r="R130" s="1407"/>
      <c r="S130" s="1407"/>
      <c r="T130" s="1407"/>
      <c r="U130" s="1408"/>
      <c r="V130" s="1407"/>
      <c r="W130" s="1407"/>
      <c r="X130" s="1407"/>
      <c r="Y130" s="1407"/>
      <c r="Z130" s="1407"/>
      <c r="AA130" s="1408"/>
    </row>
    <row r="131" spans="3:27">
      <c r="C131" s="1406">
        <f t="shared" si="3"/>
        <v>8</v>
      </c>
      <c r="D131" s="1423">
        <f t="shared" si="3"/>
        <v>0</v>
      </c>
      <c r="E131" s="1423" t="str">
        <f t="shared" si="3"/>
        <v>Comp 8</v>
      </c>
      <c r="F131" s="1407"/>
      <c r="G131" s="1407"/>
      <c r="H131" s="1407"/>
      <c r="I131" s="1407"/>
      <c r="J131" s="1407"/>
      <c r="K131" s="1407"/>
      <c r="L131" s="1407"/>
      <c r="M131" s="1408"/>
      <c r="N131" s="1407"/>
      <c r="O131" s="1407"/>
      <c r="P131" s="1407"/>
      <c r="Q131" s="1407"/>
      <c r="R131" s="1407"/>
      <c r="S131" s="1407"/>
      <c r="T131" s="1407"/>
      <c r="U131" s="1408"/>
      <c r="V131" s="1407"/>
      <c r="W131" s="1407"/>
      <c r="X131" s="1407"/>
      <c r="Y131" s="1407"/>
      <c r="Z131" s="1407"/>
      <c r="AA131" s="1408"/>
    </row>
    <row r="132" spans="3:27">
      <c r="C132" s="1406">
        <f t="shared" si="3"/>
        <v>9</v>
      </c>
      <c r="D132" s="1423">
        <f t="shared" si="3"/>
        <v>0</v>
      </c>
      <c r="E132" s="1423" t="str">
        <f t="shared" si="3"/>
        <v>Comp 9</v>
      </c>
      <c r="F132" s="1407"/>
      <c r="G132" s="1407"/>
      <c r="H132" s="1407"/>
      <c r="I132" s="1407"/>
      <c r="J132" s="1407"/>
      <c r="K132" s="1407"/>
      <c r="L132" s="1407"/>
      <c r="M132" s="1408"/>
      <c r="N132" s="1407"/>
      <c r="O132" s="1407"/>
      <c r="P132" s="1407"/>
      <c r="Q132" s="1407"/>
      <c r="R132" s="1407"/>
      <c r="S132" s="1407"/>
      <c r="T132" s="1407"/>
      <c r="U132" s="1408"/>
      <c r="V132" s="1407"/>
      <c r="W132" s="1407"/>
      <c r="X132" s="1407"/>
      <c r="Y132" s="1407"/>
      <c r="Z132" s="1407"/>
      <c r="AA132" s="1408"/>
    </row>
    <row r="133" spans="3:27">
      <c r="C133" s="1406">
        <f t="shared" si="3"/>
        <v>10</v>
      </c>
      <c r="D133" s="1423">
        <f t="shared" si="3"/>
        <v>0</v>
      </c>
      <c r="E133" s="1423" t="str">
        <f t="shared" si="3"/>
        <v>Comp 10</v>
      </c>
      <c r="F133" s="1407"/>
      <c r="G133" s="1407"/>
      <c r="H133" s="1407"/>
      <c r="I133" s="1407"/>
      <c r="J133" s="1407"/>
      <c r="K133" s="1407"/>
      <c r="L133" s="1407"/>
      <c r="M133" s="1408"/>
      <c r="N133" s="1407"/>
      <c r="O133" s="1407"/>
      <c r="P133" s="1407"/>
      <c r="Q133" s="1407"/>
      <c r="R133" s="1407"/>
      <c r="S133" s="1407"/>
      <c r="T133" s="1407"/>
      <c r="U133" s="1408"/>
      <c r="V133" s="1407"/>
      <c r="W133" s="1407"/>
      <c r="X133" s="1407"/>
      <c r="Y133" s="1407"/>
      <c r="Z133" s="1407"/>
      <c r="AA133" s="1408"/>
    </row>
    <row r="134" spans="3:27">
      <c r="C134" s="1406">
        <f t="shared" si="3"/>
        <v>11</v>
      </c>
      <c r="D134" s="1423">
        <f t="shared" si="3"/>
        <v>0</v>
      </c>
      <c r="E134" s="1423" t="str">
        <f t="shared" si="3"/>
        <v>Comp 11</v>
      </c>
      <c r="F134" s="1407"/>
      <c r="G134" s="1407"/>
      <c r="H134" s="1407"/>
      <c r="I134" s="1407"/>
      <c r="J134" s="1407"/>
      <c r="K134" s="1407"/>
      <c r="L134" s="1407"/>
      <c r="M134" s="1408"/>
      <c r="N134" s="1407"/>
      <c r="O134" s="1407"/>
      <c r="P134" s="1407"/>
      <c r="Q134" s="1407"/>
      <c r="R134" s="1407"/>
      <c r="S134" s="1407"/>
      <c r="T134" s="1407"/>
      <c r="U134" s="1408"/>
      <c r="V134" s="1407"/>
      <c r="W134" s="1407"/>
      <c r="X134" s="1407"/>
      <c r="Y134" s="1407"/>
      <c r="Z134" s="1407"/>
      <c r="AA134" s="1408"/>
    </row>
    <row r="135" spans="3:27">
      <c r="C135" s="1406">
        <f t="shared" si="3"/>
        <v>12</v>
      </c>
      <c r="D135" s="1423">
        <f t="shared" si="3"/>
        <v>0</v>
      </c>
      <c r="E135" s="1423" t="str">
        <f t="shared" si="3"/>
        <v>Comp 12</v>
      </c>
      <c r="F135" s="1407"/>
      <c r="G135" s="1407"/>
      <c r="H135" s="1407"/>
      <c r="I135" s="1407"/>
      <c r="J135" s="1407"/>
      <c r="K135" s="1407"/>
      <c r="L135" s="1407"/>
      <c r="M135" s="1408"/>
      <c r="N135" s="1407"/>
      <c r="O135" s="1407"/>
      <c r="P135" s="1407"/>
      <c r="Q135" s="1407"/>
      <c r="R135" s="1407"/>
      <c r="S135" s="1407"/>
      <c r="T135" s="1407"/>
      <c r="U135" s="1408"/>
      <c r="V135" s="1407"/>
      <c r="W135" s="1407"/>
      <c r="X135" s="1407"/>
      <c r="Y135" s="1407"/>
      <c r="Z135" s="1407"/>
      <c r="AA135" s="1408"/>
    </row>
    <row r="136" spans="3:27">
      <c r="C136" s="1406">
        <f t="shared" si="3"/>
        <v>13</v>
      </c>
      <c r="D136" s="1423">
        <f t="shared" si="3"/>
        <v>0</v>
      </c>
      <c r="E136" s="1423" t="str">
        <f t="shared" si="3"/>
        <v>Comp 13</v>
      </c>
      <c r="F136" s="1407"/>
      <c r="G136" s="1407"/>
      <c r="H136" s="1407"/>
      <c r="I136" s="1407"/>
      <c r="J136" s="1407"/>
      <c r="K136" s="1407"/>
      <c r="L136" s="1407"/>
      <c r="M136" s="1408"/>
      <c r="N136" s="1407"/>
      <c r="O136" s="1407"/>
      <c r="P136" s="1407"/>
      <c r="Q136" s="1407"/>
      <c r="R136" s="1407"/>
      <c r="S136" s="1407"/>
      <c r="T136" s="1407"/>
      <c r="U136" s="1408"/>
      <c r="V136" s="1407"/>
      <c r="W136" s="1407"/>
      <c r="X136" s="1407"/>
      <c r="Y136" s="1407"/>
      <c r="Z136" s="1407"/>
      <c r="AA136" s="1408"/>
    </row>
    <row r="137" spans="3:27">
      <c r="C137" s="1406">
        <f t="shared" si="3"/>
        <v>14</v>
      </c>
      <c r="D137" s="1423">
        <f t="shared" si="3"/>
        <v>0</v>
      </c>
      <c r="E137" s="1423" t="str">
        <f t="shared" si="3"/>
        <v>Comp 14</v>
      </c>
      <c r="F137" s="1407"/>
      <c r="G137" s="1407"/>
      <c r="H137" s="1407"/>
      <c r="I137" s="1407"/>
      <c r="J137" s="1407"/>
      <c r="K137" s="1407"/>
      <c r="L137" s="1407"/>
      <c r="M137" s="1408"/>
      <c r="N137" s="1407"/>
      <c r="O137" s="1407"/>
      <c r="P137" s="1407"/>
      <c r="Q137" s="1407"/>
      <c r="R137" s="1407"/>
      <c r="S137" s="1407"/>
      <c r="T137" s="1407"/>
      <c r="U137" s="1408"/>
      <c r="V137" s="1407"/>
      <c r="W137" s="1407"/>
      <c r="X137" s="1407"/>
      <c r="Y137" s="1407"/>
      <c r="Z137" s="1407"/>
      <c r="AA137" s="1408"/>
    </row>
    <row r="138" spans="3:27">
      <c r="C138" s="1406">
        <f t="shared" si="3"/>
        <v>15</v>
      </c>
      <c r="D138" s="1423">
        <f t="shared" si="3"/>
        <v>0</v>
      </c>
      <c r="E138" s="1423" t="str">
        <f t="shared" si="3"/>
        <v>Comp 15</v>
      </c>
      <c r="F138" s="1407"/>
      <c r="G138" s="1407"/>
      <c r="H138" s="1407"/>
      <c r="I138" s="1407"/>
      <c r="J138" s="1407"/>
      <c r="K138" s="1407"/>
      <c r="L138" s="1407"/>
      <c r="M138" s="1408"/>
      <c r="N138" s="1407"/>
      <c r="O138" s="1407"/>
      <c r="P138" s="1407"/>
      <c r="Q138" s="1407"/>
      <c r="R138" s="1407"/>
      <c r="S138" s="1407"/>
      <c r="T138" s="1407"/>
      <c r="U138" s="1408"/>
      <c r="V138" s="1407"/>
      <c r="W138" s="1407"/>
      <c r="X138" s="1407"/>
      <c r="Y138" s="1407"/>
      <c r="Z138" s="1407"/>
      <c r="AA138" s="1408"/>
    </row>
    <row r="139" spans="3:27">
      <c r="C139" s="1406">
        <f t="shared" si="3"/>
        <v>16</v>
      </c>
      <c r="D139" s="1423">
        <f t="shared" si="3"/>
        <v>0</v>
      </c>
      <c r="E139" s="1423" t="str">
        <f t="shared" si="3"/>
        <v>Comp 16</v>
      </c>
      <c r="F139" s="1407"/>
      <c r="G139" s="1407"/>
      <c r="H139" s="1407"/>
      <c r="I139" s="1407"/>
      <c r="J139" s="1407"/>
      <c r="K139" s="1407"/>
      <c r="L139" s="1407"/>
      <c r="M139" s="1408"/>
      <c r="N139" s="1407"/>
      <c r="O139" s="1407"/>
      <c r="P139" s="1407"/>
      <c r="Q139" s="1407"/>
      <c r="R139" s="1407"/>
      <c r="S139" s="1407"/>
      <c r="T139" s="1407"/>
      <c r="U139" s="1408"/>
      <c r="V139" s="1407"/>
      <c r="W139" s="1407"/>
      <c r="X139" s="1407"/>
      <c r="Y139" s="1407"/>
      <c r="Z139" s="1407"/>
      <c r="AA139" s="1408"/>
    </row>
    <row r="140" spans="3:27">
      <c r="C140" s="1406">
        <f t="shared" si="3"/>
        <v>17</v>
      </c>
      <c r="D140" s="1423">
        <f t="shared" si="3"/>
        <v>0</v>
      </c>
      <c r="E140" s="1423" t="str">
        <f t="shared" si="3"/>
        <v>Comp 17</v>
      </c>
      <c r="F140" s="1407"/>
      <c r="G140" s="1407"/>
      <c r="H140" s="1407"/>
      <c r="I140" s="1407"/>
      <c r="J140" s="1407"/>
      <c r="K140" s="1407"/>
      <c r="L140" s="1407"/>
      <c r="M140" s="1408"/>
      <c r="N140" s="1407"/>
      <c r="O140" s="1407"/>
      <c r="P140" s="1407"/>
      <c r="Q140" s="1407"/>
      <c r="R140" s="1407"/>
      <c r="S140" s="1407"/>
      <c r="T140" s="1407"/>
      <c r="U140" s="1408"/>
      <c r="V140" s="1407"/>
      <c r="W140" s="1407"/>
      <c r="X140" s="1407"/>
      <c r="Y140" s="1407"/>
      <c r="Z140" s="1407"/>
      <c r="AA140" s="1408"/>
    </row>
    <row r="141" spans="3:27">
      <c r="C141" s="1406">
        <f t="shared" si="3"/>
        <v>18</v>
      </c>
      <c r="D141" s="1423">
        <f t="shared" si="3"/>
        <v>0</v>
      </c>
      <c r="E141" s="1423" t="str">
        <f t="shared" si="3"/>
        <v>Comp 18</v>
      </c>
      <c r="F141" s="1407"/>
      <c r="G141" s="1407"/>
      <c r="H141" s="1407"/>
      <c r="I141" s="1407"/>
      <c r="J141" s="1407"/>
      <c r="K141" s="1407"/>
      <c r="L141" s="1407"/>
      <c r="M141" s="1408"/>
      <c r="N141" s="1407"/>
      <c r="O141" s="1407"/>
      <c r="P141" s="1407"/>
      <c r="Q141" s="1407"/>
      <c r="R141" s="1407"/>
      <c r="S141" s="1407"/>
      <c r="T141" s="1407"/>
      <c r="U141" s="1408"/>
      <c r="V141" s="1407"/>
      <c r="W141" s="1407"/>
      <c r="X141" s="1407"/>
      <c r="Y141" s="1407"/>
      <c r="Z141" s="1407"/>
      <c r="AA141" s="1408"/>
    </row>
    <row r="142" spans="3:27">
      <c r="C142" s="1406">
        <f t="shared" si="3"/>
        <v>19</v>
      </c>
      <c r="D142" s="1423">
        <f t="shared" si="3"/>
        <v>0</v>
      </c>
      <c r="E142" s="1423" t="str">
        <f t="shared" si="3"/>
        <v>Comp 19</v>
      </c>
      <c r="F142" s="1407"/>
      <c r="G142" s="1407"/>
      <c r="H142" s="1407"/>
      <c r="I142" s="1407"/>
      <c r="J142" s="1407"/>
      <c r="K142" s="1407"/>
      <c r="L142" s="1407"/>
      <c r="M142" s="1408"/>
      <c r="N142" s="1407"/>
      <c r="O142" s="1407"/>
      <c r="P142" s="1407"/>
      <c r="Q142" s="1407"/>
      <c r="R142" s="1407"/>
      <c r="S142" s="1407"/>
      <c r="T142" s="1407"/>
      <c r="U142" s="1408"/>
      <c r="V142" s="1407"/>
      <c r="W142" s="1407"/>
      <c r="X142" s="1407"/>
      <c r="Y142" s="1407"/>
      <c r="Z142" s="1407"/>
      <c r="AA142" s="1408"/>
    </row>
    <row r="143" spans="3:27">
      <c r="C143" s="1406">
        <f t="shared" si="3"/>
        <v>20</v>
      </c>
      <c r="D143" s="1423">
        <f t="shared" si="3"/>
        <v>0</v>
      </c>
      <c r="E143" s="1423" t="str">
        <f t="shared" si="3"/>
        <v>Comp 20</v>
      </c>
      <c r="F143" s="1407"/>
      <c r="G143" s="1407"/>
      <c r="H143" s="1407"/>
      <c r="I143" s="1407"/>
      <c r="J143" s="1407"/>
      <c r="K143" s="1407"/>
      <c r="L143" s="1407"/>
      <c r="M143" s="1408"/>
      <c r="N143" s="1407"/>
      <c r="O143" s="1407"/>
      <c r="P143" s="1407"/>
      <c r="Q143" s="1407"/>
      <c r="R143" s="1407"/>
      <c r="S143" s="1407"/>
      <c r="T143" s="1407"/>
      <c r="U143" s="1408"/>
      <c r="V143" s="1407"/>
      <c r="W143" s="1407"/>
      <c r="X143" s="1407"/>
      <c r="Y143" s="1407"/>
      <c r="Z143" s="1407"/>
      <c r="AA143" s="1408"/>
    </row>
    <row r="144" spans="3:27">
      <c r="C144" s="1406">
        <f t="shared" si="3"/>
        <v>21</v>
      </c>
      <c r="D144" s="1423">
        <f t="shared" si="3"/>
        <v>0</v>
      </c>
      <c r="E144" s="1423" t="str">
        <f t="shared" si="3"/>
        <v>Comp 21</v>
      </c>
      <c r="F144" s="1407"/>
      <c r="G144" s="1407"/>
      <c r="H144" s="1407"/>
      <c r="I144" s="1407"/>
      <c r="J144" s="1407"/>
      <c r="K144" s="1407"/>
      <c r="L144" s="1407"/>
      <c r="M144" s="1408"/>
      <c r="N144" s="1407"/>
      <c r="O144" s="1407"/>
      <c r="P144" s="1407"/>
      <c r="Q144" s="1407"/>
      <c r="R144" s="1407"/>
      <c r="S144" s="1407"/>
      <c r="T144" s="1407"/>
      <c r="U144" s="1408"/>
      <c r="V144" s="1407"/>
      <c r="W144" s="1407"/>
      <c r="X144" s="1407"/>
      <c r="Y144" s="1407"/>
      <c r="Z144" s="1407"/>
      <c r="AA144" s="1408"/>
    </row>
    <row r="145" spans="3:38">
      <c r="C145" s="1406">
        <f t="shared" si="3"/>
        <v>22</v>
      </c>
      <c r="D145" s="1423">
        <f t="shared" si="3"/>
        <v>0</v>
      </c>
      <c r="E145" s="1423" t="str">
        <f t="shared" si="3"/>
        <v>Comp 22</v>
      </c>
      <c r="F145" s="1407"/>
      <c r="G145" s="1407"/>
      <c r="H145" s="1407"/>
      <c r="I145" s="1407"/>
      <c r="J145" s="1407"/>
      <c r="K145" s="1407"/>
      <c r="L145" s="1407"/>
      <c r="M145" s="1408"/>
      <c r="N145" s="1407"/>
      <c r="O145" s="1407"/>
      <c r="P145" s="1407"/>
      <c r="Q145" s="1407"/>
      <c r="R145" s="1407"/>
      <c r="S145" s="1407"/>
      <c r="T145" s="1407"/>
      <c r="U145" s="1408"/>
      <c r="V145" s="1407"/>
      <c r="W145" s="1407"/>
      <c r="X145" s="1407"/>
      <c r="Y145" s="1407"/>
      <c r="Z145" s="1407"/>
      <c r="AA145" s="1408"/>
    </row>
    <row r="146" spans="3:38">
      <c r="C146" s="1406">
        <f t="shared" si="3"/>
        <v>23</v>
      </c>
      <c r="D146" s="1423">
        <f t="shared" si="3"/>
        <v>0</v>
      </c>
      <c r="E146" s="1423" t="str">
        <f t="shared" si="3"/>
        <v>Comp 23</v>
      </c>
      <c r="F146" s="1407"/>
      <c r="G146" s="1407"/>
      <c r="H146" s="1407"/>
      <c r="I146" s="1407"/>
      <c r="J146" s="1407"/>
      <c r="K146" s="1407"/>
      <c r="L146" s="1407"/>
      <c r="M146" s="1408"/>
      <c r="N146" s="1407"/>
      <c r="O146" s="1407"/>
      <c r="P146" s="1407"/>
      <c r="Q146" s="1407"/>
      <c r="R146" s="1407"/>
      <c r="S146" s="1407"/>
      <c r="T146" s="1407"/>
      <c r="U146" s="1408"/>
      <c r="V146" s="1407"/>
      <c r="W146" s="1407"/>
      <c r="X146" s="1407"/>
      <c r="Y146" s="1407"/>
      <c r="Z146" s="1407"/>
      <c r="AA146" s="1408"/>
    </row>
    <row r="147" spans="3:38">
      <c r="C147" s="1406">
        <f t="shared" si="3"/>
        <v>24</v>
      </c>
      <c r="D147" s="1423">
        <f t="shared" si="3"/>
        <v>0</v>
      </c>
      <c r="E147" s="1423" t="str">
        <f t="shared" si="3"/>
        <v>Comp 24</v>
      </c>
      <c r="F147" s="1407"/>
      <c r="G147" s="1407"/>
      <c r="H147" s="1407"/>
      <c r="I147" s="1407"/>
      <c r="J147" s="1407"/>
      <c r="K147" s="1407"/>
      <c r="L147" s="1407"/>
      <c r="M147" s="1408"/>
      <c r="N147" s="1407"/>
      <c r="O147" s="1407"/>
      <c r="P147" s="1407"/>
      <c r="Q147" s="1407"/>
      <c r="R147" s="1407"/>
      <c r="S147" s="1407"/>
      <c r="T147" s="1407"/>
      <c r="U147" s="1408"/>
      <c r="V147" s="1407"/>
      <c r="W147" s="1407"/>
      <c r="X147" s="1407"/>
      <c r="Y147" s="1407"/>
      <c r="Z147" s="1407"/>
      <c r="AA147" s="1408"/>
    </row>
    <row r="148" spans="3:38">
      <c r="C148" s="1406">
        <f t="shared" si="3"/>
        <v>25</v>
      </c>
      <c r="D148" s="1423">
        <f t="shared" si="3"/>
        <v>0</v>
      </c>
      <c r="E148" s="1423" t="str">
        <f t="shared" si="3"/>
        <v>Comp 25</v>
      </c>
      <c r="F148" s="1407"/>
      <c r="G148" s="1407"/>
      <c r="H148" s="1407"/>
      <c r="I148" s="1407"/>
      <c r="J148" s="1407"/>
      <c r="K148" s="1407"/>
      <c r="L148" s="1407"/>
      <c r="M148" s="1408"/>
      <c r="N148" s="1407"/>
      <c r="O148" s="1407"/>
      <c r="P148" s="1407"/>
      <c r="Q148" s="1407"/>
      <c r="R148" s="1407"/>
      <c r="S148" s="1407"/>
      <c r="T148" s="1407"/>
      <c r="U148" s="1408"/>
      <c r="V148" s="1407"/>
      <c r="W148" s="1407"/>
      <c r="X148" s="1407"/>
      <c r="Y148" s="1407"/>
      <c r="Z148" s="1407"/>
      <c r="AA148" s="1408"/>
    </row>
    <row r="149" spans="3:38">
      <c r="C149" s="1406">
        <f t="shared" si="3"/>
        <v>26</v>
      </c>
      <c r="D149" s="1423">
        <f t="shared" si="3"/>
        <v>0</v>
      </c>
      <c r="E149" s="1423" t="str">
        <f t="shared" si="3"/>
        <v>Comp 26</v>
      </c>
      <c r="F149" s="1407"/>
      <c r="G149" s="1407"/>
      <c r="H149" s="1407"/>
      <c r="I149" s="1407"/>
      <c r="J149" s="1407"/>
      <c r="K149" s="1407"/>
      <c r="L149" s="1407"/>
      <c r="M149" s="1408"/>
      <c r="N149" s="1407"/>
      <c r="O149" s="1407"/>
      <c r="P149" s="1407"/>
      <c r="Q149" s="1407"/>
      <c r="R149" s="1407"/>
      <c r="S149" s="1407"/>
      <c r="T149" s="1407"/>
      <c r="U149" s="1408"/>
      <c r="V149" s="1407"/>
      <c r="W149" s="1407"/>
      <c r="X149" s="1407"/>
      <c r="Y149" s="1407"/>
      <c r="Z149" s="1407"/>
      <c r="AA149" s="1408"/>
    </row>
    <row r="150" spans="3:38">
      <c r="C150" s="1406">
        <f t="shared" si="3"/>
        <v>27</v>
      </c>
      <c r="D150" s="1423">
        <f t="shared" si="3"/>
        <v>0</v>
      </c>
      <c r="E150" s="1423" t="str">
        <f t="shared" si="3"/>
        <v>Comp 27</v>
      </c>
      <c r="F150" s="1407"/>
      <c r="G150" s="1407"/>
      <c r="H150" s="1407"/>
      <c r="I150" s="1407"/>
      <c r="J150" s="1407"/>
      <c r="K150" s="1407"/>
      <c r="L150" s="1407"/>
      <c r="M150" s="1408"/>
      <c r="N150" s="1407"/>
      <c r="O150" s="1407"/>
      <c r="P150" s="1407"/>
      <c r="Q150" s="1407"/>
      <c r="R150" s="1407"/>
      <c r="S150" s="1407"/>
      <c r="T150" s="1407"/>
      <c r="U150" s="1408"/>
      <c r="V150" s="1407"/>
      <c r="W150" s="1407"/>
      <c r="X150" s="1407"/>
      <c r="Y150" s="1407"/>
      <c r="Z150" s="1407"/>
      <c r="AA150" s="1408"/>
    </row>
    <row r="151" spans="3:38">
      <c r="C151" s="1406">
        <f t="shared" si="3"/>
        <v>28</v>
      </c>
      <c r="D151" s="1423">
        <f t="shared" si="3"/>
        <v>0</v>
      </c>
      <c r="E151" s="1423" t="str">
        <f t="shared" si="3"/>
        <v>Comp 28</v>
      </c>
      <c r="F151" s="1407"/>
      <c r="G151" s="1407"/>
      <c r="H151" s="1407"/>
      <c r="I151" s="1407"/>
      <c r="J151" s="1407"/>
      <c r="K151" s="1407"/>
      <c r="L151" s="1407"/>
      <c r="M151" s="1408"/>
      <c r="N151" s="1407"/>
      <c r="O151" s="1407"/>
      <c r="P151" s="1407"/>
      <c r="Q151" s="1407"/>
      <c r="R151" s="1407"/>
      <c r="S151" s="1407"/>
      <c r="T151" s="1407"/>
      <c r="U151" s="1408"/>
      <c r="V151" s="1407"/>
      <c r="W151" s="1407"/>
      <c r="X151" s="1407"/>
      <c r="Y151" s="1407"/>
      <c r="Z151" s="1407"/>
      <c r="AA151" s="1408"/>
    </row>
    <row r="152" spans="3:38">
      <c r="C152" s="1406">
        <f t="shared" si="3"/>
        <v>29</v>
      </c>
      <c r="D152" s="1423">
        <f t="shared" si="3"/>
        <v>0</v>
      </c>
      <c r="E152" s="1423" t="str">
        <f t="shared" si="3"/>
        <v>Comp 29</v>
      </c>
      <c r="F152" s="1407"/>
      <c r="G152" s="1407"/>
      <c r="H152" s="1407"/>
      <c r="I152" s="1407"/>
      <c r="J152" s="1407"/>
      <c r="K152" s="1407"/>
      <c r="L152" s="1407"/>
      <c r="M152" s="1408"/>
      <c r="N152" s="1407"/>
      <c r="O152" s="1407"/>
      <c r="P152" s="1407"/>
      <c r="Q152" s="1407"/>
      <c r="R152" s="1407"/>
      <c r="S152" s="1407"/>
      <c r="T152" s="1407"/>
      <c r="U152" s="1408"/>
      <c r="V152" s="1407"/>
      <c r="W152" s="1407"/>
      <c r="X152" s="1407"/>
      <c r="Y152" s="1407"/>
      <c r="Z152" s="1407"/>
      <c r="AA152" s="1408"/>
    </row>
    <row r="153" spans="3:38">
      <c r="C153" s="1409">
        <f t="shared" si="3"/>
        <v>30</v>
      </c>
      <c r="D153" s="1424">
        <f t="shared" si="3"/>
        <v>0</v>
      </c>
      <c r="E153" s="1424" t="str">
        <f t="shared" si="3"/>
        <v>Comp 30</v>
      </c>
      <c r="F153" s="1410"/>
      <c r="G153" s="1410"/>
      <c r="H153" s="1410"/>
      <c r="I153" s="1410"/>
      <c r="J153" s="1410"/>
      <c r="K153" s="1410"/>
      <c r="L153" s="1410"/>
      <c r="M153" s="1411"/>
      <c r="N153" s="1410"/>
      <c r="O153" s="1410"/>
      <c r="P153" s="1410"/>
      <c r="Q153" s="1410"/>
      <c r="R153" s="1410"/>
      <c r="S153" s="1410"/>
      <c r="T153" s="1410"/>
      <c r="U153" s="1411"/>
      <c r="V153" s="1410"/>
      <c r="W153" s="1410"/>
      <c r="X153" s="1410"/>
      <c r="Y153" s="1410"/>
      <c r="Z153" s="1410"/>
      <c r="AA153" s="1411"/>
    </row>
    <row r="154" spans="3:38">
      <c r="C154" s="1425"/>
      <c r="D154" s="1425"/>
      <c r="E154" s="1425"/>
      <c r="F154" s="1403"/>
      <c r="G154" s="1403"/>
      <c r="H154" s="1403"/>
      <c r="I154" s="1403"/>
      <c r="J154" s="1403"/>
      <c r="K154" s="1403"/>
      <c r="L154" s="1403"/>
      <c r="M154" s="1403"/>
      <c r="N154" s="1403"/>
      <c r="O154" s="1403"/>
      <c r="P154" s="1403"/>
      <c r="Q154" s="1403"/>
      <c r="R154" s="1403"/>
      <c r="S154" s="1403"/>
      <c r="T154" s="1403"/>
      <c r="U154" s="1403"/>
      <c r="V154" s="1403"/>
      <c r="W154" s="1403"/>
      <c r="X154" s="1403"/>
      <c r="Y154" s="1403"/>
      <c r="Z154" s="1403"/>
      <c r="AA154" s="1403"/>
      <c r="AB154" s="1403"/>
      <c r="AC154" s="1403"/>
      <c r="AD154" s="1403"/>
      <c r="AE154" s="1403"/>
      <c r="AF154" s="1403"/>
      <c r="AG154" s="1403"/>
      <c r="AJ154" s="1403"/>
      <c r="AK154" s="1403"/>
      <c r="AL154" s="1403"/>
    </row>
    <row r="155" spans="3:38">
      <c r="C155" s="1432" t="s">
        <v>2006</v>
      </c>
      <c r="D155" s="1432"/>
      <c r="E155" s="1432"/>
      <c r="F155" s="1432"/>
      <c r="G155" s="1432"/>
      <c r="H155" s="1432"/>
      <c r="I155" s="1432"/>
      <c r="J155" s="1432"/>
      <c r="K155" s="1432"/>
      <c r="L155" s="1432"/>
      <c r="M155" s="1432"/>
      <c r="N155" s="1432"/>
      <c r="O155" s="1432"/>
      <c r="P155" s="1432"/>
      <c r="Q155" s="1432"/>
      <c r="R155" s="1432"/>
      <c r="S155" s="1432"/>
      <c r="T155" s="1432"/>
      <c r="U155" s="1432"/>
      <c r="V155" s="1432"/>
      <c r="W155" s="1432"/>
      <c r="X155" s="1432"/>
      <c r="Y155" s="1432"/>
      <c r="Z155" s="1432"/>
      <c r="AA155" s="1432"/>
      <c r="AB155" s="1432"/>
      <c r="AC155" s="1432"/>
      <c r="AD155" s="1432"/>
      <c r="AE155" s="1432"/>
      <c r="AF155" s="1432"/>
      <c r="AG155" s="1432"/>
      <c r="AH155" s="1432"/>
      <c r="AI155" s="1432"/>
      <c r="AJ155" s="1432"/>
      <c r="AK155" s="1432"/>
      <c r="AL155" s="1432"/>
    </row>
    <row r="156" spans="3:38">
      <c r="C156" s="1437" t="s">
        <v>1951</v>
      </c>
      <c r="D156" s="1438" t="s">
        <v>93</v>
      </c>
      <c r="E156" s="1438" t="s">
        <v>94</v>
      </c>
      <c r="F156" s="1818" t="s">
        <v>1513</v>
      </c>
      <c r="G156" s="1818"/>
      <c r="H156" s="1818"/>
      <c r="I156" s="1818"/>
      <c r="J156" s="1818"/>
      <c r="K156" s="1819"/>
      <c r="L156" s="1818" t="s">
        <v>1878</v>
      </c>
      <c r="M156" s="1818"/>
      <c r="N156" s="1818"/>
      <c r="O156" s="1818"/>
      <c r="P156" s="1818"/>
      <c r="Q156" s="1819"/>
      <c r="R156" s="1817" t="s">
        <v>237</v>
      </c>
      <c r="S156" s="1818"/>
      <c r="T156" s="1818"/>
      <c r="U156" s="1818"/>
      <c r="V156" s="1818"/>
      <c r="W156" s="1818"/>
      <c r="X156" s="1818"/>
      <c r="Y156" s="1818"/>
      <c r="Z156" s="1817" t="s">
        <v>235</v>
      </c>
      <c r="AA156" s="1818"/>
      <c r="AB156" s="1818"/>
      <c r="AC156" s="1818"/>
      <c r="AD156" s="1818"/>
      <c r="AE156" s="1818"/>
      <c r="AF156" s="1818"/>
      <c r="AG156" s="1818"/>
      <c r="AH156" s="1817" t="s">
        <v>2085</v>
      </c>
      <c r="AI156" s="1818"/>
      <c r="AJ156" s="1818"/>
      <c r="AK156" s="1818"/>
      <c r="AL156" s="1819"/>
    </row>
    <row r="157" spans="3:38">
      <c r="C157" s="1420"/>
      <c r="D157" s="1421"/>
      <c r="E157" s="1421"/>
      <c r="F157" s="1422" t="s">
        <v>141</v>
      </c>
      <c r="G157" s="1422" t="s">
        <v>138</v>
      </c>
      <c r="H157" s="1422" t="s">
        <v>136</v>
      </c>
      <c r="I157" s="1422" t="s">
        <v>1484</v>
      </c>
      <c r="J157" s="1422" t="s">
        <v>1485</v>
      </c>
      <c r="K157" s="1415" t="s">
        <v>1478</v>
      </c>
      <c r="L157" s="1422" t="s">
        <v>141</v>
      </c>
      <c r="M157" s="1422" t="s">
        <v>138</v>
      </c>
      <c r="N157" s="1422" t="s">
        <v>136</v>
      </c>
      <c r="O157" s="1422" t="s">
        <v>1484</v>
      </c>
      <c r="P157" s="1422" t="s">
        <v>1485</v>
      </c>
      <c r="Q157" s="1415" t="s">
        <v>1478</v>
      </c>
      <c r="R157" s="1422" t="s">
        <v>146</v>
      </c>
      <c r="S157" s="1422" t="s">
        <v>144</v>
      </c>
      <c r="T157" s="1422" t="s">
        <v>141</v>
      </c>
      <c r="U157" s="1422" t="s">
        <v>138</v>
      </c>
      <c r="V157" s="1422" t="s">
        <v>136</v>
      </c>
      <c r="W157" s="1422" t="s">
        <v>1484</v>
      </c>
      <c r="X157" s="1422" t="s">
        <v>1485</v>
      </c>
      <c r="Y157" s="1415" t="s">
        <v>1478</v>
      </c>
      <c r="Z157" s="1422" t="s">
        <v>146</v>
      </c>
      <c r="AA157" s="1422" t="s">
        <v>144</v>
      </c>
      <c r="AB157" s="1422" t="s">
        <v>141</v>
      </c>
      <c r="AC157" s="1422" t="s">
        <v>138</v>
      </c>
      <c r="AD157" s="1422" t="s">
        <v>136</v>
      </c>
      <c r="AE157" s="1422" t="s">
        <v>1484</v>
      </c>
      <c r="AF157" s="1422" t="s">
        <v>1485</v>
      </c>
      <c r="AG157" s="1415" t="s">
        <v>1478</v>
      </c>
      <c r="AH157" s="1422" t="s">
        <v>146</v>
      </c>
      <c r="AI157" s="1422" t="s">
        <v>144</v>
      </c>
      <c r="AJ157" s="1422" t="s">
        <v>141</v>
      </c>
      <c r="AK157" s="1422" t="s">
        <v>138</v>
      </c>
      <c r="AL157" s="1415" t="s">
        <v>136</v>
      </c>
    </row>
    <row r="158" spans="3:38">
      <c r="C158" s="1406">
        <f t="shared" ref="C158:E166" si="4">C124</f>
        <v>1</v>
      </c>
      <c r="D158" s="1423">
        <f t="shared" si="4"/>
        <v>0</v>
      </c>
      <c r="E158" s="1423" t="str">
        <f t="shared" si="4"/>
        <v>Comp 1</v>
      </c>
      <c r="F158" s="1407"/>
      <c r="G158" s="1407"/>
      <c r="H158" s="1407"/>
      <c r="I158" s="1407"/>
      <c r="J158" s="1407"/>
      <c r="K158" s="1408"/>
      <c r="L158" s="1407"/>
      <c r="M158" s="1407"/>
      <c r="N158" s="1407"/>
      <c r="O158" s="1407"/>
      <c r="P158" s="1407"/>
      <c r="Q158" s="1408"/>
      <c r="R158" s="1407"/>
      <c r="S158" s="1407"/>
      <c r="T158" s="1407"/>
      <c r="U158" s="1407"/>
      <c r="V158" s="1407"/>
      <c r="W158" s="1407"/>
      <c r="X158" s="1407"/>
      <c r="Y158" s="1408"/>
      <c r="Z158" s="1407"/>
      <c r="AA158" s="1407"/>
      <c r="AB158" s="1407"/>
      <c r="AC158" s="1407"/>
      <c r="AD158" s="1407"/>
      <c r="AE158" s="1407"/>
      <c r="AF158" s="1407"/>
      <c r="AG158" s="1408"/>
      <c r="AH158" s="1407"/>
      <c r="AI158" s="1407"/>
      <c r="AJ158" s="1407"/>
      <c r="AK158" s="1407"/>
      <c r="AL158" s="1408"/>
    </row>
    <row r="159" spans="3:38">
      <c r="C159" s="1406">
        <f t="shared" si="4"/>
        <v>2</v>
      </c>
      <c r="D159" s="1423">
        <f t="shared" si="4"/>
        <v>0</v>
      </c>
      <c r="E159" s="1423" t="str">
        <f t="shared" si="4"/>
        <v>Comp 2</v>
      </c>
      <c r="F159" s="1407"/>
      <c r="G159" s="1407"/>
      <c r="H159" s="1407"/>
      <c r="I159" s="1407"/>
      <c r="J159" s="1407"/>
      <c r="K159" s="1408"/>
      <c r="L159" s="1407"/>
      <c r="M159" s="1407"/>
      <c r="N159" s="1407"/>
      <c r="O159" s="1407"/>
      <c r="P159" s="1407"/>
      <c r="Q159" s="1408"/>
      <c r="R159" s="1407"/>
      <c r="S159" s="1407"/>
      <c r="T159" s="1407"/>
      <c r="U159" s="1407"/>
      <c r="V159" s="1407"/>
      <c r="W159" s="1407"/>
      <c r="X159" s="1407"/>
      <c r="Y159" s="1408"/>
      <c r="Z159" s="1407"/>
      <c r="AA159" s="1407"/>
      <c r="AB159" s="1407"/>
      <c r="AC159" s="1407"/>
      <c r="AD159" s="1407"/>
      <c r="AE159" s="1407"/>
      <c r="AF159" s="1407"/>
      <c r="AG159" s="1408"/>
      <c r="AH159" s="1407"/>
      <c r="AI159" s="1407"/>
      <c r="AJ159" s="1407"/>
      <c r="AK159" s="1407"/>
      <c r="AL159" s="1408"/>
    </row>
    <row r="160" spans="3:38">
      <c r="C160" s="1406">
        <f t="shared" si="4"/>
        <v>3</v>
      </c>
      <c r="D160" s="1423">
        <f t="shared" si="4"/>
        <v>0</v>
      </c>
      <c r="E160" s="1423" t="str">
        <f t="shared" si="4"/>
        <v>Comp 3</v>
      </c>
      <c r="F160" s="1407"/>
      <c r="G160" s="1407"/>
      <c r="H160" s="1407"/>
      <c r="I160" s="1407"/>
      <c r="J160" s="1407"/>
      <c r="K160" s="1408"/>
      <c r="L160" s="1407"/>
      <c r="M160" s="1407"/>
      <c r="N160" s="1407"/>
      <c r="O160" s="1407"/>
      <c r="P160" s="1407"/>
      <c r="Q160" s="1408"/>
      <c r="R160" s="1407"/>
      <c r="S160" s="1407"/>
      <c r="T160" s="1407"/>
      <c r="U160" s="1407"/>
      <c r="V160" s="1407"/>
      <c r="W160" s="1407"/>
      <c r="X160" s="1407"/>
      <c r="Y160" s="1408"/>
      <c r="Z160" s="1407"/>
      <c r="AA160" s="1407"/>
      <c r="AB160" s="1407"/>
      <c r="AC160" s="1407"/>
      <c r="AD160" s="1407"/>
      <c r="AE160" s="1407"/>
      <c r="AF160" s="1407"/>
      <c r="AG160" s="1408"/>
      <c r="AH160" s="1407"/>
      <c r="AI160" s="1407"/>
      <c r="AJ160" s="1407"/>
      <c r="AK160" s="1407"/>
      <c r="AL160" s="1408"/>
    </row>
    <row r="161" spans="3:38">
      <c r="C161" s="1406">
        <f t="shared" si="4"/>
        <v>4</v>
      </c>
      <c r="D161" s="1423">
        <f t="shared" si="4"/>
        <v>0</v>
      </c>
      <c r="E161" s="1423" t="str">
        <f t="shared" si="4"/>
        <v>Comp 4</v>
      </c>
      <c r="F161" s="1407"/>
      <c r="G161" s="1407"/>
      <c r="H161" s="1407"/>
      <c r="I161" s="1407"/>
      <c r="J161" s="1407"/>
      <c r="K161" s="1408"/>
      <c r="L161" s="1407"/>
      <c r="M161" s="1407"/>
      <c r="N161" s="1407"/>
      <c r="O161" s="1407"/>
      <c r="P161" s="1407"/>
      <c r="Q161" s="1408"/>
      <c r="R161" s="1407"/>
      <c r="S161" s="1407"/>
      <c r="T161" s="1407"/>
      <c r="U161" s="1407"/>
      <c r="V161" s="1407"/>
      <c r="W161" s="1407"/>
      <c r="X161" s="1407"/>
      <c r="Y161" s="1408"/>
      <c r="Z161" s="1407"/>
      <c r="AA161" s="1407"/>
      <c r="AB161" s="1407"/>
      <c r="AC161" s="1407"/>
      <c r="AD161" s="1407"/>
      <c r="AE161" s="1407"/>
      <c r="AF161" s="1407"/>
      <c r="AG161" s="1408"/>
      <c r="AH161" s="1407"/>
      <c r="AI161" s="1407"/>
      <c r="AJ161" s="1407"/>
      <c r="AK161" s="1407"/>
      <c r="AL161" s="1408"/>
    </row>
    <row r="162" spans="3:38">
      <c r="C162" s="1406">
        <f t="shared" si="4"/>
        <v>5</v>
      </c>
      <c r="D162" s="1423">
        <f t="shared" si="4"/>
        <v>0</v>
      </c>
      <c r="E162" s="1423" t="str">
        <f t="shared" si="4"/>
        <v>Comp 5</v>
      </c>
      <c r="F162" s="1407"/>
      <c r="G162" s="1407"/>
      <c r="H162" s="1407"/>
      <c r="I162" s="1407"/>
      <c r="J162" s="1407"/>
      <c r="K162" s="1408"/>
      <c r="L162" s="1407"/>
      <c r="M162" s="1407"/>
      <c r="N162" s="1407"/>
      <c r="O162" s="1407"/>
      <c r="P162" s="1407"/>
      <c r="Q162" s="1408"/>
      <c r="R162" s="1407"/>
      <c r="S162" s="1407"/>
      <c r="T162" s="1407"/>
      <c r="U162" s="1407"/>
      <c r="V162" s="1407"/>
      <c r="W162" s="1407"/>
      <c r="X162" s="1407"/>
      <c r="Y162" s="1408"/>
      <c r="Z162" s="1407"/>
      <c r="AA162" s="1407"/>
      <c r="AB162" s="1407"/>
      <c r="AC162" s="1407"/>
      <c r="AD162" s="1407"/>
      <c r="AE162" s="1407"/>
      <c r="AF162" s="1407"/>
      <c r="AG162" s="1408"/>
      <c r="AH162" s="1407"/>
      <c r="AI162" s="1407"/>
      <c r="AJ162" s="1407"/>
      <c r="AK162" s="1407"/>
      <c r="AL162" s="1408"/>
    </row>
    <row r="163" spans="3:38">
      <c r="C163" s="1406">
        <f t="shared" si="4"/>
        <v>6</v>
      </c>
      <c r="D163" s="1423">
        <f t="shared" si="4"/>
        <v>0</v>
      </c>
      <c r="E163" s="1423" t="str">
        <f t="shared" si="4"/>
        <v>Comp 6</v>
      </c>
      <c r="F163" s="1407"/>
      <c r="G163" s="1407"/>
      <c r="H163" s="1407"/>
      <c r="I163" s="1407"/>
      <c r="J163" s="1407"/>
      <c r="K163" s="1408"/>
      <c r="L163" s="1407"/>
      <c r="M163" s="1407"/>
      <c r="N163" s="1407"/>
      <c r="O163" s="1407"/>
      <c r="P163" s="1407"/>
      <c r="Q163" s="1408"/>
      <c r="R163" s="1407"/>
      <c r="S163" s="1407"/>
      <c r="T163" s="1407"/>
      <c r="U163" s="1407"/>
      <c r="V163" s="1407"/>
      <c r="W163" s="1407"/>
      <c r="X163" s="1407"/>
      <c r="Y163" s="1408"/>
      <c r="Z163" s="1407"/>
      <c r="AA163" s="1407"/>
      <c r="AB163" s="1407"/>
      <c r="AC163" s="1407"/>
      <c r="AD163" s="1407"/>
      <c r="AE163" s="1407"/>
      <c r="AF163" s="1407"/>
      <c r="AG163" s="1408"/>
      <c r="AH163" s="1407"/>
      <c r="AI163" s="1407"/>
      <c r="AJ163" s="1407"/>
      <c r="AK163" s="1407"/>
      <c r="AL163" s="1408"/>
    </row>
    <row r="164" spans="3:38">
      <c r="C164" s="1406">
        <f t="shared" si="4"/>
        <v>7</v>
      </c>
      <c r="D164" s="1423">
        <f t="shared" si="4"/>
        <v>0</v>
      </c>
      <c r="E164" s="1423" t="str">
        <f t="shared" si="4"/>
        <v>Comp 7</v>
      </c>
      <c r="F164" s="1407"/>
      <c r="G164" s="1407"/>
      <c r="H164" s="1407"/>
      <c r="I164" s="1407"/>
      <c r="J164" s="1407"/>
      <c r="K164" s="1408"/>
      <c r="L164" s="1407"/>
      <c r="M164" s="1407"/>
      <c r="N164" s="1407"/>
      <c r="O164" s="1407"/>
      <c r="P164" s="1407"/>
      <c r="Q164" s="1408"/>
      <c r="R164" s="1407"/>
      <c r="S164" s="1407"/>
      <c r="T164" s="1407"/>
      <c r="U164" s="1407"/>
      <c r="V164" s="1407"/>
      <c r="W164" s="1407"/>
      <c r="X164" s="1407"/>
      <c r="Y164" s="1408"/>
      <c r="Z164" s="1407"/>
      <c r="AA164" s="1407"/>
      <c r="AB164" s="1407"/>
      <c r="AC164" s="1407"/>
      <c r="AD164" s="1407"/>
      <c r="AE164" s="1407"/>
      <c r="AF164" s="1407"/>
      <c r="AG164" s="1408"/>
      <c r="AH164" s="1407"/>
      <c r="AI164" s="1407"/>
      <c r="AJ164" s="1407"/>
      <c r="AK164" s="1407"/>
      <c r="AL164" s="1408"/>
    </row>
    <row r="165" spans="3:38">
      <c r="C165" s="1406">
        <f t="shared" si="4"/>
        <v>8</v>
      </c>
      <c r="D165" s="1423">
        <f t="shared" si="4"/>
        <v>0</v>
      </c>
      <c r="E165" s="1423" t="str">
        <f t="shared" si="4"/>
        <v>Comp 8</v>
      </c>
      <c r="F165" s="1407"/>
      <c r="G165" s="1407"/>
      <c r="H165" s="1407"/>
      <c r="I165" s="1407"/>
      <c r="J165" s="1407"/>
      <c r="K165" s="1408"/>
      <c r="L165" s="1407"/>
      <c r="M165" s="1407"/>
      <c r="N165" s="1407"/>
      <c r="O165" s="1407"/>
      <c r="P165" s="1407"/>
      <c r="Q165" s="1408"/>
      <c r="R165" s="1407"/>
      <c r="S165" s="1407"/>
      <c r="T165" s="1407"/>
      <c r="U165" s="1407"/>
      <c r="V165" s="1407"/>
      <c r="W165" s="1407"/>
      <c r="X165" s="1407"/>
      <c r="Y165" s="1408"/>
      <c r="Z165" s="1407"/>
      <c r="AA165" s="1407"/>
      <c r="AB165" s="1407"/>
      <c r="AC165" s="1407"/>
      <c r="AD165" s="1407"/>
      <c r="AE165" s="1407"/>
      <c r="AF165" s="1407"/>
      <c r="AG165" s="1408"/>
      <c r="AH165" s="1407"/>
      <c r="AI165" s="1407"/>
      <c r="AJ165" s="1407"/>
      <c r="AK165" s="1407"/>
      <c r="AL165" s="1408"/>
    </row>
    <row r="166" spans="3:38">
      <c r="C166" s="1406">
        <f t="shared" si="4"/>
        <v>9</v>
      </c>
      <c r="D166" s="1423">
        <f t="shared" si="4"/>
        <v>0</v>
      </c>
      <c r="E166" s="1423" t="str">
        <f t="shared" si="4"/>
        <v>Comp 9</v>
      </c>
      <c r="F166" s="1407"/>
      <c r="G166" s="1407"/>
      <c r="H166" s="1407"/>
      <c r="I166" s="1407"/>
      <c r="J166" s="1407"/>
      <c r="K166" s="1408"/>
      <c r="L166" s="1407"/>
      <c r="M166" s="1407"/>
      <c r="N166" s="1407"/>
      <c r="O166" s="1407"/>
      <c r="P166" s="1407"/>
      <c r="Q166" s="1408"/>
      <c r="R166" s="1407"/>
      <c r="S166" s="1407"/>
      <c r="T166" s="1407"/>
      <c r="U166" s="1407"/>
      <c r="V166" s="1407"/>
      <c r="W166" s="1407"/>
      <c r="X166" s="1407"/>
      <c r="Y166" s="1408"/>
      <c r="Z166" s="1407"/>
      <c r="AA166" s="1407"/>
      <c r="AB166" s="1407"/>
      <c r="AC166" s="1407"/>
      <c r="AD166" s="1407"/>
      <c r="AE166" s="1407"/>
      <c r="AF166" s="1407"/>
      <c r="AG166" s="1408"/>
      <c r="AH166" s="1407"/>
      <c r="AI166" s="1407"/>
      <c r="AJ166" s="1407"/>
      <c r="AK166" s="1407"/>
      <c r="AL166" s="1408"/>
    </row>
    <row r="167" spans="3:38">
      <c r="C167" s="1406">
        <f t="shared" ref="C167:E187" si="5">C133</f>
        <v>10</v>
      </c>
      <c r="D167" s="1423">
        <f t="shared" si="5"/>
        <v>0</v>
      </c>
      <c r="E167" s="1423" t="str">
        <f t="shared" si="5"/>
        <v>Comp 10</v>
      </c>
      <c r="F167" s="1407"/>
      <c r="G167" s="1407"/>
      <c r="H167" s="1407"/>
      <c r="I167" s="1407"/>
      <c r="J167" s="1407"/>
      <c r="K167" s="1408"/>
      <c r="L167" s="1407"/>
      <c r="M167" s="1407"/>
      <c r="N167" s="1407"/>
      <c r="O167" s="1407"/>
      <c r="P167" s="1407"/>
      <c r="Q167" s="1408"/>
      <c r="R167" s="1407"/>
      <c r="S167" s="1407"/>
      <c r="T167" s="1407"/>
      <c r="U167" s="1407"/>
      <c r="V167" s="1407"/>
      <c r="W167" s="1407"/>
      <c r="X167" s="1407"/>
      <c r="Y167" s="1408"/>
      <c r="Z167" s="1407"/>
      <c r="AA167" s="1407"/>
      <c r="AB167" s="1407"/>
      <c r="AC167" s="1407"/>
      <c r="AD167" s="1407"/>
      <c r="AE167" s="1407"/>
      <c r="AF167" s="1407"/>
      <c r="AG167" s="1408"/>
      <c r="AH167" s="1407"/>
      <c r="AI167" s="1407"/>
      <c r="AJ167" s="1407"/>
      <c r="AK167" s="1407"/>
      <c r="AL167" s="1408"/>
    </row>
    <row r="168" spans="3:38">
      <c r="C168" s="1406">
        <f t="shared" si="5"/>
        <v>11</v>
      </c>
      <c r="D168" s="1423">
        <f t="shared" si="5"/>
        <v>0</v>
      </c>
      <c r="E168" s="1423" t="str">
        <f t="shared" si="5"/>
        <v>Comp 11</v>
      </c>
      <c r="F168" s="1407"/>
      <c r="G168" s="1407"/>
      <c r="H168" s="1407"/>
      <c r="I168" s="1407"/>
      <c r="J168" s="1407"/>
      <c r="K168" s="1408"/>
      <c r="L168" s="1407"/>
      <c r="M168" s="1407"/>
      <c r="N168" s="1407"/>
      <c r="O168" s="1407"/>
      <c r="P168" s="1407"/>
      <c r="Q168" s="1408"/>
      <c r="R168" s="1407"/>
      <c r="S168" s="1407"/>
      <c r="T168" s="1407"/>
      <c r="U168" s="1407"/>
      <c r="V168" s="1407"/>
      <c r="W168" s="1407"/>
      <c r="X168" s="1407"/>
      <c r="Y168" s="1408"/>
      <c r="Z168" s="1407"/>
      <c r="AA168" s="1407"/>
      <c r="AB168" s="1407"/>
      <c r="AC168" s="1407"/>
      <c r="AD168" s="1407"/>
      <c r="AE168" s="1407"/>
      <c r="AF168" s="1407"/>
      <c r="AG168" s="1408"/>
      <c r="AH168" s="1407"/>
      <c r="AI168" s="1407"/>
      <c r="AJ168" s="1407"/>
      <c r="AK168" s="1407"/>
      <c r="AL168" s="1408"/>
    </row>
    <row r="169" spans="3:38">
      <c r="C169" s="1406">
        <f t="shared" si="5"/>
        <v>12</v>
      </c>
      <c r="D169" s="1423">
        <f t="shared" si="5"/>
        <v>0</v>
      </c>
      <c r="E169" s="1423" t="str">
        <f t="shared" si="5"/>
        <v>Comp 12</v>
      </c>
      <c r="F169" s="1407"/>
      <c r="G169" s="1407"/>
      <c r="H169" s="1407"/>
      <c r="I169" s="1407"/>
      <c r="J169" s="1407"/>
      <c r="K169" s="1408"/>
      <c r="L169" s="1407"/>
      <c r="M169" s="1407"/>
      <c r="N169" s="1407"/>
      <c r="O169" s="1407"/>
      <c r="P169" s="1407"/>
      <c r="Q169" s="1408"/>
      <c r="R169" s="1407"/>
      <c r="S169" s="1407"/>
      <c r="T169" s="1407"/>
      <c r="U169" s="1407"/>
      <c r="V169" s="1407"/>
      <c r="W169" s="1407"/>
      <c r="X169" s="1407"/>
      <c r="Y169" s="1408"/>
      <c r="Z169" s="1407"/>
      <c r="AA169" s="1407"/>
      <c r="AB169" s="1407"/>
      <c r="AC169" s="1407"/>
      <c r="AD169" s="1407"/>
      <c r="AE169" s="1407"/>
      <c r="AF169" s="1407"/>
      <c r="AG169" s="1408"/>
      <c r="AH169" s="1407"/>
      <c r="AI169" s="1407"/>
      <c r="AJ169" s="1407"/>
      <c r="AK169" s="1407"/>
      <c r="AL169" s="1408"/>
    </row>
    <row r="170" spans="3:38">
      <c r="C170" s="1406">
        <f t="shared" si="5"/>
        <v>13</v>
      </c>
      <c r="D170" s="1423">
        <f t="shared" si="5"/>
        <v>0</v>
      </c>
      <c r="E170" s="1423" t="str">
        <f t="shared" si="5"/>
        <v>Comp 13</v>
      </c>
      <c r="F170" s="1407"/>
      <c r="G170" s="1407"/>
      <c r="H170" s="1407"/>
      <c r="I170" s="1407"/>
      <c r="J170" s="1407"/>
      <c r="K170" s="1408"/>
      <c r="L170" s="1407"/>
      <c r="M170" s="1407"/>
      <c r="N170" s="1407"/>
      <c r="O170" s="1407"/>
      <c r="P170" s="1407"/>
      <c r="Q170" s="1408"/>
      <c r="R170" s="1407"/>
      <c r="S170" s="1407"/>
      <c r="T170" s="1407"/>
      <c r="U170" s="1407"/>
      <c r="V170" s="1407"/>
      <c r="W170" s="1407"/>
      <c r="X170" s="1407"/>
      <c r="Y170" s="1408"/>
      <c r="Z170" s="1407"/>
      <c r="AA170" s="1407"/>
      <c r="AB170" s="1407"/>
      <c r="AC170" s="1407"/>
      <c r="AD170" s="1407"/>
      <c r="AE170" s="1407"/>
      <c r="AF170" s="1407"/>
      <c r="AG170" s="1408"/>
      <c r="AH170" s="1407"/>
      <c r="AI170" s="1407"/>
      <c r="AJ170" s="1407"/>
      <c r="AK170" s="1407"/>
      <c r="AL170" s="1408"/>
    </row>
    <row r="171" spans="3:38">
      <c r="C171" s="1406">
        <f t="shared" si="5"/>
        <v>14</v>
      </c>
      <c r="D171" s="1423">
        <f t="shared" si="5"/>
        <v>0</v>
      </c>
      <c r="E171" s="1423" t="str">
        <f t="shared" si="5"/>
        <v>Comp 14</v>
      </c>
      <c r="F171" s="1407"/>
      <c r="G171" s="1407"/>
      <c r="H171" s="1407"/>
      <c r="I171" s="1407"/>
      <c r="J171" s="1407"/>
      <c r="K171" s="1408"/>
      <c r="L171" s="1407"/>
      <c r="M171" s="1407"/>
      <c r="N171" s="1407"/>
      <c r="O171" s="1407"/>
      <c r="P171" s="1407"/>
      <c r="Q171" s="1408"/>
      <c r="R171" s="1407"/>
      <c r="S171" s="1407"/>
      <c r="T171" s="1407"/>
      <c r="U171" s="1407"/>
      <c r="V171" s="1407"/>
      <c r="W171" s="1407"/>
      <c r="X171" s="1407"/>
      <c r="Y171" s="1408"/>
      <c r="Z171" s="1407"/>
      <c r="AA171" s="1407"/>
      <c r="AB171" s="1407"/>
      <c r="AC171" s="1407"/>
      <c r="AD171" s="1407"/>
      <c r="AE171" s="1407"/>
      <c r="AF171" s="1407"/>
      <c r="AG171" s="1408"/>
      <c r="AH171" s="1407"/>
      <c r="AI171" s="1407"/>
      <c r="AJ171" s="1407"/>
      <c r="AK171" s="1407"/>
      <c r="AL171" s="1408"/>
    </row>
    <row r="172" spans="3:38">
      <c r="C172" s="1406">
        <f t="shared" si="5"/>
        <v>15</v>
      </c>
      <c r="D172" s="1423">
        <f t="shared" si="5"/>
        <v>0</v>
      </c>
      <c r="E172" s="1423" t="str">
        <f t="shared" si="5"/>
        <v>Comp 15</v>
      </c>
      <c r="F172" s="1407"/>
      <c r="G172" s="1407"/>
      <c r="H172" s="1407"/>
      <c r="I172" s="1407"/>
      <c r="J172" s="1407"/>
      <c r="K172" s="1408"/>
      <c r="L172" s="1407"/>
      <c r="M172" s="1407"/>
      <c r="N172" s="1407"/>
      <c r="O172" s="1407"/>
      <c r="P172" s="1407"/>
      <c r="Q172" s="1408"/>
      <c r="R172" s="1407"/>
      <c r="S172" s="1407"/>
      <c r="T172" s="1407"/>
      <c r="U172" s="1407"/>
      <c r="V172" s="1407"/>
      <c r="W172" s="1407"/>
      <c r="X172" s="1407"/>
      <c r="Y172" s="1408"/>
      <c r="Z172" s="1407"/>
      <c r="AA172" s="1407"/>
      <c r="AB172" s="1407"/>
      <c r="AC172" s="1407"/>
      <c r="AD172" s="1407"/>
      <c r="AE172" s="1407"/>
      <c r="AF172" s="1407"/>
      <c r="AG172" s="1408"/>
      <c r="AH172" s="1407"/>
      <c r="AI172" s="1407"/>
      <c r="AJ172" s="1407"/>
      <c r="AK172" s="1407"/>
      <c r="AL172" s="1408"/>
    </row>
    <row r="173" spans="3:38">
      <c r="C173" s="1406">
        <f t="shared" si="5"/>
        <v>16</v>
      </c>
      <c r="D173" s="1423">
        <f t="shared" si="5"/>
        <v>0</v>
      </c>
      <c r="E173" s="1423" t="str">
        <f t="shared" si="5"/>
        <v>Comp 16</v>
      </c>
      <c r="F173" s="1407"/>
      <c r="G173" s="1407"/>
      <c r="H173" s="1407"/>
      <c r="I173" s="1407"/>
      <c r="J173" s="1407"/>
      <c r="K173" s="1408"/>
      <c r="L173" s="1407"/>
      <c r="M173" s="1407"/>
      <c r="N173" s="1407"/>
      <c r="O173" s="1407"/>
      <c r="P173" s="1407"/>
      <c r="Q173" s="1408"/>
      <c r="R173" s="1407"/>
      <c r="S173" s="1407"/>
      <c r="T173" s="1407"/>
      <c r="U173" s="1407"/>
      <c r="V173" s="1407"/>
      <c r="W173" s="1407"/>
      <c r="X173" s="1407"/>
      <c r="Y173" s="1408"/>
      <c r="Z173" s="1407"/>
      <c r="AA173" s="1407"/>
      <c r="AB173" s="1407"/>
      <c r="AC173" s="1407"/>
      <c r="AD173" s="1407"/>
      <c r="AE173" s="1407"/>
      <c r="AF173" s="1407"/>
      <c r="AG173" s="1408"/>
      <c r="AH173" s="1407"/>
      <c r="AI173" s="1407"/>
      <c r="AJ173" s="1407"/>
      <c r="AK173" s="1407"/>
      <c r="AL173" s="1408"/>
    </row>
    <row r="174" spans="3:38">
      <c r="C174" s="1406">
        <f t="shared" si="5"/>
        <v>17</v>
      </c>
      <c r="D174" s="1423">
        <f t="shared" si="5"/>
        <v>0</v>
      </c>
      <c r="E174" s="1423" t="str">
        <f t="shared" si="5"/>
        <v>Comp 17</v>
      </c>
      <c r="F174" s="1407"/>
      <c r="G174" s="1407"/>
      <c r="H174" s="1407"/>
      <c r="I174" s="1407"/>
      <c r="J174" s="1407"/>
      <c r="K174" s="1408"/>
      <c r="L174" s="1407"/>
      <c r="M174" s="1407"/>
      <c r="N174" s="1407"/>
      <c r="O174" s="1407"/>
      <c r="P174" s="1407"/>
      <c r="Q174" s="1408"/>
      <c r="R174" s="1407"/>
      <c r="S174" s="1407"/>
      <c r="T174" s="1407"/>
      <c r="U174" s="1407"/>
      <c r="V174" s="1407"/>
      <c r="W174" s="1407"/>
      <c r="X174" s="1407"/>
      <c r="Y174" s="1408"/>
      <c r="Z174" s="1407"/>
      <c r="AA174" s="1407"/>
      <c r="AB174" s="1407"/>
      <c r="AC174" s="1407"/>
      <c r="AD174" s="1407"/>
      <c r="AE174" s="1407"/>
      <c r="AF174" s="1407"/>
      <c r="AG174" s="1408"/>
      <c r="AH174" s="1407"/>
      <c r="AI174" s="1407"/>
      <c r="AJ174" s="1407"/>
      <c r="AK174" s="1407"/>
      <c r="AL174" s="1408"/>
    </row>
    <row r="175" spans="3:38">
      <c r="C175" s="1406">
        <f t="shared" si="5"/>
        <v>18</v>
      </c>
      <c r="D175" s="1423">
        <f t="shared" si="5"/>
        <v>0</v>
      </c>
      <c r="E175" s="1423" t="str">
        <f t="shared" si="5"/>
        <v>Comp 18</v>
      </c>
      <c r="F175" s="1407"/>
      <c r="G175" s="1407"/>
      <c r="H175" s="1407"/>
      <c r="I175" s="1407"/>
      <c r="J175" s="1407"/>
      <c r="K175" s="1408"/>
      <c r="L175" s="1407"/>
      <c r="M175" s="1407"/>
      <c r="N175" s="1407"/>
      <c r="O175" s="1407"/>
      <c r="P175" s="1407"/>
      <c r="Q175" s="1408"/>
      <c r="R175" s="1407"/>
      <c r="S175" s="1407"/>
      <c r="T175" s="1407"/>
      <c r="U175" s="1407"/>
      <c r="V175" s="1407"/>
      <c r="W175" s="1407"/>
      <c r="X175" s="1407"/>
      <c r="Y175" s="1408"/>
      <c r="Z175" s="1407"/>
      <c r="AA175" s="1407"/>
      <c r="AB175" s="1407"/>
      <c r="AC175" s="1407"/>
      <c r="AD175" s="1407"/>
      <c r="AE175" s="1407"/>
      <c r="AF175" s="1407"/>
      <c r="AG175" s="1408"/>
      <c r="AH175" s="1407"/>
      <c r="AI175" s="1407"/>
      <c r="AJ175" s="1407"/>
      <c r="AK175" s="1407"/>
      <c r="AL175" s="1408"/>
    </row>
    <row r="176" spans="3:38">
      <c r="C176" s="1406">
        <f t="shared" si="5"/>
        <v>19</v>
      </c>
      <c r="D176" s="1423">
        <f t="shared" si="5"/>
        <v>0</v>
      </c>
      <c r="E176" s="1423" t="str">
        <f t="shared" si="5"/>
        <v>Comp 19</v>
      </c>
      <c r="F176" s="1407"/>
      <c r="G176" s="1407"/>
      <c r="H176" s="1407"/>
      <c r="I176" s="1407"/>
      <c r="J176" s="1407"/>
      <c r="K176" s="1408"/>
      <c r="L176" s="1407"/>
      <c r="M176" s="1407"/>
      <c r="N176" s="1407"/>
      <c r="O176" s="1407"/>
      <c r="P176" s="1407"/>
      <c r="Q176" s="1408"/>
      <c r="R176" s="1407"/>
      <c r="S176" s="1407"/>
      <c r="T176" s="1407"/>
      <c r="U176" s="1407"/>
      <c r="V176" s="1407"/>
      <c r="W176" s="1407"/>
      <c r="X176" s="1407"/>
      <c r="Y176" s="1408"/>
      <c r="Z176" s="1407"/>
      <c r="AA176" s="1407"/>
      <c r="AB176" s="1407"/>
      <c r="AC176" s="1407"/>
      <c r="AD176" s="1407"/>
      <c r="AE176" s="1407"/>
      <c r="AF176" s="1407"/>
      <c r="AG176" s="1408"/>
      <c r="AH176" s="1407"/>
      <c r="AI176" s="1407"/>
      <c r="AJ176" s="1407"/>
      <c r="AK176" s="1407"/>
      <c r="AL176" s="1408"/>
    </row>
    <row r="177" spans="3:38">
      <c r="C177" s="1406">
        <f t="shared" si="5"/>
        <v>20</v>
      </c>
      <c r="D177" s="1423">
        <f t="shared" si="5"/>
        <v>0</v>
      </c>
      <c r="E177" s="1423" t="str">
        <f t="shared" si="5"/>
        <v>Comp 20</v>
      </c>
      <c r="F177" s="1407"/>
      <c r="G177" s="1407"/>
      <c r="H177" s="1407"/>
      <c r="I177" s="1407"/>
      <c r="J177" s="1407"/>
      <c r="K177" s="1408"/>
      <c r="L177" s="1407"/>
      <c r="M177" s="1407"/>
      <c r="N177" s="1407"/>
      <c r="O177" s="1407"/>
      <c r="P177" s="1407"/>
      <c r="Q177" s="1408"/>
      <c r="R177" s="1407"/>
      <c r="S177" s="1407"/>
      <c r="T177" s="1407"/>
      <c r="U177" s="1407"/>
      <c r="V177" s="1407"/>
      <c r="W177" s="1407"/>
      <c r="X177" s="1407"/>
      <c r="Y177" s="1408"/>
      <c r="Z177" s="1407"/>
      <c r="AA177" s="1407"/>
      <c r="AB177" s="1407"/>
      <c r="AC177" s="1407"/>
      <c r="AD177" s="1407"/>
      <c r="AE177" s="1407"/>
      <c r="AF177" s="1407"/>
      <c r="AG177" s="1408"/>
      <c r="AH177" s="1407"/>
      <c r="AI177" s="1407"/>
      <c r="AJ177" s="1407"/>
      <c r="AK177" s="1407"/>
      <c r="AL177" s="1408"/>
    </row>
    <row r="178" spans="3:38">
      <c r="C178" s="1406">
        <f t="shared" si="5"/>
        <v>21</v>
      </c>
      <c r="D178" s="1423">
        <f t="shared" si="5"/>
        <v>0</v>
      </c>
      <c r="E178" s="1423" t="str">
        <f t="shared" si="5"/>
        <v>Comp 21</v>
      </c>
      <c r="F178" s="1407"/>
      <c r="G178" s="1407"/>
      <c r="H178" s="1407"/>
      <c r="I178" s="1407"/>
      <c r="J178" s="1407"/>
      <c r="K178" s="1408"/>
      <c r="L178" s="1407"/>
      <c r="M178" s="1407"/>
      <c r="N178" s="1407"/>
      <c r="O178" s="1407"/>
      <c r="P178" s="1407"/>
      <c r="Q178" s="1408"/>
      <c r="R178" s="1407"/>
      <c r="S178" s="1407"/>
      <c r="T178" s="1407"/>
      <c r="U178" s="1407"/>
      <c r="V178" s="1407"/>
      <c r="W178" s="1407"/>
      <c r="X178" s="1407"/>
      <c r="Y178" s="1408"/>
      <c r="Z178" s="1407"/>
      <c r="AA178" s="1407"/>
      <c r="AB178" s="1407"/>
      <c r="AC178" s="1407"/>
      <c r="AD178" s="1407"/>
      <c r="AE178" s="1407"/>
      <c r="AF178" s="1407"/>
      <c r="AG178" s="1408"/>
      <c r="AH178" s="1407"/>
      <c r="AI178" s="1407"/>
      <c r="AJ178" s="1407"/>
      <c r="AK178" s="1407"/>
      <c r="AL178" s="1408"/>
    </row>
    <row r="179" spans="3:38">
      <c r="C179" s="1406">
        <f t="shared" si="5"/>
        <v>22</v>
      </c>
      <c r="D179" s="1423">
        <f t="shared" si="5"/>
        <v>0</v>
      </c>
      <c r="E179" s="1423" t="str">
        <f t="shared" si="5"/>
        <v>Comp 22</v>
      </c>
      <c r="F179" s="1407"/>
      <c r="G179" s="1407"/>
      <c r="H179" s="1407"/>
      <c r="I179" s="1407"/>
      <c r="J179" s="1407"/>
      <c r="K179" s="1408"/>
      <c r="L179" s="1407"/>
      <c r="M179" s="1407"/>
      <c r="N179" s="1407"/>
      <c r="O179" s="1407"/>
      <c r="P179" s="1407"/>
      <c r="Q179" s="1408"/>
      <c r="R179" s="1407"/>
      <c r="S179" s="1407"/>
      <c r="T179" s="1407"/>
      <c r="U179" s="1407"/>
      <c r="V179" s="1407"/>
      <c r="W179" s="1407"/>
      <c r="X179" s="1407"/>
      <c r="Y179" s="1408"/>
      <c r="Z179" s="1407"/>
      <c r="AA179" s="1407"/>
      <c r="AB179" s="1407"/>
      <c r="AC179" s="1407"/>
      <c r="AD179" s="1407"/>
      <c r="AE179" s="1407"/>
      <c r="AF179" s="1407"/>
      <c r="AG179" s="1408"/>
      <c r="AH179" s="1407"/>
      <c r="AI179" s="1407"/>
      <c r="AJ179" s="1407"/>
      <c r="AK179" s="1407"/>
      <c r="AL179" s="1408"/>
    </row>
    <row r="180" spans="3:38">
      <c r="C180" s="1406">
        <f t="shared" si="5"/>
        <v>23</v>
      </c>
      <c r="D180" s="1423">
        <f t="shared" si="5"/>
        <v>0</v>
      </c>
      <c r="E180" s="1423" t="str">
        <f t="shared" si="5"/>
        <v>Comp 23</v>
      </c>
      <c r="F180" s="1407"/>
      <c r="G180" s="1407"/>
      <c r="H180" s="1407"/>
      <c r="I180" s="1407"/>
      <c r="J180" s="1407"/>
      <c r="K180" s="1408"/>
      <c r="L180" s="1407"/>
      <c r="M180" s="1407"/>
      <c r="N180" s="1407"/>
      <c r="O180" s="1407"/>
      <c r="P180" s="1407"/>
      <c r="Q180" s="1408"/>
      <c r="R180" s="1407"/>
      <c r="S180" s="1407"/>
      <c r="T180" s="1407"/>
      <c r="U180" s="1407"/>
      <c r="V180" s="1407"/>
      <c r="W180" s="1407"/>
      <c r="X180" s="1407"/>
      <c r="Y180" s="1408"/>
      <c r="Z180" s="1407"/>
      <c r="AA180" s="1407"/>
      <c r="AB180" s="1407"/>
      <c r="AC180" s="1407"/>
      <c r="AD180" s="1407"/>
      <c r="AE180" s="1407"/>
      <c r="AF180" s="1407"/>
      <c r="AG180" s="1408"/>
      <c r="AH180" s="1407"/>
      <c r="AI180" s="1407"/>
      <c r="AJ180" s="1407"/>
      <c r="AK180" s="1407"/>
      <c r="AL180" s="1408"/>
    </row>
    <row r="181" spans="3:38">
      <c r="C181" s="1406">
        <f t="shared" si="5"/>
        <v>24</v>
      </c>
      <c r="D181" s="1423">
        <f t="shared" si="5"/>
        <v>0</v>
      </c>
      <c r="E181" s="1423" t="str">
        <f t="shared" si="5"/>
        <v>Comp 24</v>
      </c>
      <c r="F181" s="1407"/>
      <c r="G181" s="1407"/>
      <c r="H181" s="1407"/>
      <c r="I181" s="1407"/>
      <c r="J181" s="1407"/>
      <c r="K181" s="1408"/>
      <c r="L181" s="1407"/>
      <c r="M181" s="1407"/>
      <c r="N181" s="1407"/>
      <c r="O181" s="1407"/>
      <c r="P181" s="1407"/>
      <c r="Q181" s="1408"/>
      <c r="R181" s="1407"/>
      <c r="S181" s="1407"/>
      <c r="T181" s="1407"/>
      <c r="U181" s="1407"/>
      <c r="V181" s="1407"/>
      <c r="W181" s="1407"/>
      <c r="X181" s="1407"/>
      <c r="Y181" s="1408"/>
      <c r="Z181" s="1407"/>
      <c r="AA181" s="1407"/>
      <c r="AB181" s="1407"/>
      <c r="AC181" s="1407"/>
      <c r="AD181" s="1407"/>
      <c r="AE181" s="1407"/>
      <c r="AF181" s="1407"/>
      <c r="AG181" s="1408"/>
      <c r="AH181" s="1407"/>
      <c r="AI181" s="1407"/>
      <c r="AJ181" s="1407"/>
      <c r="AK181" s="1407"/>
      <c r="AL181" s="1408"/>
    </row>
    <row r="182" spans="3:38">
      <c r="C182" s="1406">
        <f t="shared" si="5"/>
        <v>25</v>
      </c>
      <c r="D182" s="1423">
        <f t="shared" si="5"/>
        <v>0</v>
      </c>
      <c r="E182" s="1423" t="str">
        <f t="shared" si="5"/>
        <v>Comp 25</v>
      </c>
      <c r="F182" s="1407"/>
      <c r="G182" s="1407"/>
      <c r="H182" s="1407"/>
      <c r="I182" s="1407"/>
      <c r="J182" s="1407"/>
      <c r="K182" s="1408"/>
      <c r="L182" s="1407"/>
      <c r="M182" s="1407"/>
      <c r="N182" s="1407"/>
      <c r="O182" s="1407"/>
      <c r="P182" s="1407"/>
      <c r="Q182" s="1408"/>
      <c r="R182" s="1407"/>
      <c r="S182" s="1407"/>
      <c r="T182" s="1407"/>
      <c r="U182" s="1407"/>
      <c r="V182" s="1407"/>
      <c r="W182" s="1407"/>
      <c r="X182" s="1407"/>
      <c r="Y182" s="1408"/>
      <c r="Z182" s="1407"/>
      <c r="AA182" s="1407"/>
      <c r="AB182" s="1407"/>
      <c r="AC182" s="1407"/>
      <c r="AD182" s="1407"/>
      <c r="AE182" s="1407"/>
      <c r="AF182" s="1407"/>
      <c r="AG182" s="1408"/>
      <c r="AH182" s="1407"/>
      <c r="AI182" s="1407"/>
      <c r="AJ182" s="1407"/>
      <c r="AK182" s="1407"/>
      <c r="AL182" s="1408"/>
    </row>
    <row r="183" spans="3:38">
      <c r="C183" s="1406">
        <f t="shared" si="5"/>
        <v>26</v>
      </c>
      <c r="D183" s="1423">
        <f t="shared" si="5"/>
        <v>0</v>
      </c>
      <c r="E183" s="1423" t="str">
        <f t="shared" si="5"/>
        <v>Comp 26</v>
      </c>
      <c r="F183" s="1407"/>
      <c r="G183" s="1407"/>
      <c r="H183" s="1407"/>
      <c r="I183" s="1407"/>
      <c r="J183" s="1407"/>
      <c r="K183" s="1408"/>
      <c r="L183" s="1407"/>
      <c r="M183" s="1407"/>
      <c r="N183" s="1407"/>
      <c r="O183" s="1407"/>
      <c r="P183" s="1407"/>
      <c r="Q183" s="1408"/>
      <c r="R183" s="1407"/>
      <c r="S183" s="1407"/>
      <c r="T183" s="1407"/>
      <c r="U183" s="1407"/>
      <c r="V183" s="1407"/>
      <c r="W183" s="1407"/>
      <c r="X183" s="1407"/>
      <c r="Y183" s="1408"/>
      <c r="Z183" s="1407"/>
      <c r="AA183" s="1407"/>
      <c r="AB183" s="1407"/>
      <c r="AC183" s="1407"/>
      <c r="AD183" s="1407"/>
      <c r="AE183" s="1407"/>
      <c r="AF183" s="1407"/>
      <c r="AG183" s="1408"/>
      <c r="AH183" s="1407"/>
      <c r="AI183" s="1407"/>
      <c r="AJ183" s="1407"/>
      <c r="AK183" s="1407"/>
      <c r="AL183" s="1408"/>
    </row>
    <row r="184" spans="3:38">
      <c r="C184" s="1406">
        <f t="shared" si="5"/>
        <v>27</v>
      </c>
      <c r="D184" s="1423">
        <f t="shared" si="5"/>
        <v>0</v>
      </c>
      <c r="E184" s="1423" t="str">
        <f t="shared" si="5"/>
        <v>Comp 27</v>
      </c>
      <c r="F184" s="1407"/>
      <c r="G184" s="1407"/>
      <c r="H184" s="1407"/>
      <c r="I184" s="1407"/>
      <c r="J184" s="1407"/>
      <c r="K184" s="1408"/>
      <c r="L184" s="1407"/>
      <c r="M184" s="1407"/>
      <c r="N184" s="1407"/>
      <c r="O184" s="1407"/>
      <c r="P184" s="1407"/>
      <c r="Q184" s="1408"/>
      <c r="R184" s="1407"/>
      <c r="S184" s="1407"/>
      <c r="T184" s="1407"/>
      <c r="U184" s="1407"/>
      <c r="V184" s="1407"/>
      <c r="W184" s="1407"/>
      <c r="X184" s="1407"/>
      <c r="Y184" s="1408"/>
      <c r="Z184" s="1407"/>
      <c r="AA184" s="1407"/>
      <c r="AB184" s="1407"/>
      <c r="AC184" s="1407"/>
      <c r="AD184" s="1407"/>
      <c r="AE184" s="1407"/>
      <c r="AF184" s="1407"/>
      <c r="AG184" s="1408"/>
      <c r="AH184" s="1407"/>
      <c r="AI184" s="1407"/>
      <c r="AJ184" s="1407"/>
      <c r="AK184" s="1407"/>
      <c r="AL184" s="1408"/>
    </row>
    <row r="185" spans="3:38">
      <c r="C185" s="1406">
        <f t="shared" si="5"/>
        <v>28</v>
      </c>
      <c r="D185" s="1423">
        <f t="shared" si="5"/>
        <v>0</v>
      </c>
      <c r="E185" s="1423" t="str">
        <f t="shared" si="5"/>
        <v>Comp 28</v>
      </c>
      <c r="F185" s="1407"/>
      <c r="G185" s="1407"/>
      <c r="H185" s="1407"/>
      <c r="I185" s="1407"/>
      <c r="J185" s="1407"/>
      <c r="K185" s="1408"/>
      <c r="L185" s="1407"/>
      <c r="M185" s="1407"/>
      <c r="N185" s="1407"/>
      <c r="O185" s="1407"/>
      <c r="P185" s="1407"/>
      <c r="Q185" s="1408"/>
      <c r="R185" s="1407"/>
      <c r="S185" s="1407"/>
      <c r="T185" s="1407"/>
      <c r="U185" s="1407"/>
      <c r="V185" s="1407"/>
      <c r="W185" s="1407"/>
      <c r="X185" s="1407"/>
      <c r="Y185" s="1408"/>
      <c r="Z185" s="1407"/>
      <c r="AA185" s="1407"/>
      <c r="AB185" s="1407"/>
      <c r="AC185" s="1407"/>
      <c r="AD185" s="1407"/>
      <c r="AE185" s="1407"/>
      <c r="AF185" s="1407"/>
      <c r="AG185" s="1408"/>
      <c r="AH185" s="1407"/>
      <c r="AI185" s="1407"/>
      <c r="AJ185" s="1407"/>
      <c r="AK185" s="1407"/>
      <c r="AL185" s="1408"/>
    </row>
    <row r="186" spans="3:38">
      <c r="C186" s="1406">
        <f t="shared" si="5"/>
        <v>29</v>
      </c>
      <c r="D186" s="1423">
        <f t="shared" si="5"/>
        <v>0</v>
      </c>
      <c r="E186" s="1423" t="str">
        <f t="shared" si="5"/>
        <v>Comp 29</v>
      </c>
      <c r="F186" s="1407"/>
      <c r="G186" s="1407"/>
      <c r="H186" s="1407"/>
      <c r="I186" s="1407"/>
      <c r="J186" s="1407"/>
      <c r="K186" s="1408"/>
      <c r="L186" s="1407"/>
      <c r="M186" s="1407"/>
      <c r="N186" s="1407"/>
      <c r="O186" s="1407"/>
      <c r="P186" s="1407"/>
      <c r="Q186" s="1408"/>
      <c r="R186" s="1407"/>
      <c r="S186" s="1407"/>
      <c r="T186" s="1407"/>
      <c r="U186" s="1407"/>
      <c r="V186" s="1407"/>
      <c r="W186" s="1407"/>
      <c r="X186" s="1407"/>
      <c r="Y186" s="1408"/>
      <c r="Z186" s="1407"/>
      <c r="AA186" s="1407"/>
      <c r="AB186" s="1407"/>
      <c r="AC186" s="1407"/>
      <c r="AD186" s="1407"/>
      <c r="AE186" s="1407"/>
      <c r="AF186" s="1407"/>
      <c r="AG186" s="1408"/>
      <c r="AH186" s="1407"/>
      <c r="AI186" s="1407"/>
      <c r="AJ186" s="1407"/>
      <c r="AK186" s="1407"/>
      <c r="AL186" s="1408"/>
    </row>
    <row r="187" spans="3:38">
      <c r="C187" s="1409">
        <f t="shared" si="5"/>
        <v>30</v>
      </c>
      <c r="D187" s="1424">
        <f t="shared" si="5"/>
        <v>0</v>
      </c>
      <c r="E187" s="1424" t="str">
        <f t="shared" si="5"/>
        <v>Comp 30</v>
      </c>
      <c r="F187" s="1410"/>
      <c r="G187" s="1410"/>
      <c r="H187" s="1410"/>
      <c r="I187" s="1410"/>
      <c r="J187" s="1410"/>
      <c r="K187" s="1411"/>
      <c r="L187" s="1410"/>
      <c r="M187" s="1410"/>
      <c r="N187" s="1410"/>
      <c r="O187" s="1410"/>
      <c r="P187" s="1410"/>
      <c r="Q187" s="1411"/>
      <c r="R187" s="1410"/>
      <c r="S187" s="1410"/>
      <c r="T187" s="1410"/>
      <c r="U187" s="1410"/>
      <c r="V187" s="1410"/>
      <c r="W187" s="1410"/>
      <c r="X187" s="1410"/>
      <c r="Y187" s="1411"/>
      <c r="Z187" s="1410"/>
      <c r="AA187" s="1410"/>
      <c r="AB187" s="1410"/>
      <c r="AC187" s="1410"/>
      <c r="AD187" s="1410"/>
      <c r="AE187" s="1410"/>
      <c r="AF187" s="1410"/>
      <c r="AG187" s="1411"/>
      <c r="AH187" s="1410"/>
      <c r="AI187" s="1410"/>
      <c r="AJ187" s="1410"/>
      <c r="AK187" s="1410"/>
      <c r="AL187" s="1411"/>
    </row>
    <row r="188" spans="3:38" s="254" customFormat="1" ht="15.5"/>
    <row r="189" spans="3:38">
      <c r="C189" s="1432" t="s">
        <v>2007</v>
      </c>
      <c r="D189" s="1432"/>
      <c r="E189" s="1432"/>
      <c r="F189" s="1432"/>
      <c r="G189" s="1432"/>
      <c r="H189" s="1432"/>
      <c r="I189" s="1432"/>
      <c r="J189" s="1432"/>
      <c r="K189" s="1432"/>
      <c r="L189" s="1432"/>
      <c r="M189" s="1432"/>
      <c r="N189" s="1432"/>
      <c r="O189" s="1432"/>
      <c r="P189" s="1432"/>
      <c r="Q189" s="1432"/>
      <c r="R189" s="1432"/>
      <c r="S189" s="1432"/>
      <c r="T189" s="1432"/>
      <c r="U189" s="1432"/>
      <c r="V189" s="1432"/>
      <c r="W189" s="1432"/>
      <c r="X189" s="1432"/>
      <c r="Y189" s="1432"/>
      <c r="Z189" s="1432"/>
      <c r="AA189" s="1432"/>
      <c r="AB189" s="1432"/>
      <c r="AC189" s="1432"/>
      <c r="AD189" s="1432"/>
      <c r="AE189" s="1432"/>
      <c r="AF189" s="1432"/>
      <c r="AG189" s="1432"/>
      <c r="AH189" s="1432"/>
      <c r="AI189" s="1432"/>
      <c r="AJ189" s="1403"/>
      <c r="AK189" s="1403"/>
      <c r="AL189" s="1403"/>
    </row>
    <row r="190" spans="3:38" ht="15.65" customHeight="1">
      <c r="C190" s="1437" t="str">
        <f>C122</f>
        <v>S.No.</v>
      </c>
      <c r="D190" s="1438" t="str">
        <f>D122</f>
        <v>Ticker</v>
      </c>
      <c r="E190" s="1438" t="str">
        <f>E122</f>
        <v>Company Name</v>
      </c>
      <c r="F190" s="1818" t="s">
        <v>1902</v>
      </c>
      <c r="G190" s="1818"/>
      <c r="H190" s="1818"/>
      <c r="I190" s="1818"/>
      <c r="J190" s="1818"/>
      <c r="K190" s="1819"/>
      <c r="L190" s="1818" t="s">
        <v>1467</v>
      </c>
      <c r="M190" s="1818"/>
      <c r="N190" s="1818"/>
      <c r="O190" s="1818"/>
      <c r="P190" s="1818"/>
      <c r="Q190" s="1818"/>
      <c r="R190" s="1818"/>
      <c r="S190" s="1818"/>
      <c r="T190" s="1819"/>
      <c r="U190" s="1818" t="s">
        <v>1468</v>
      </c>
      <c r="V190" s="1818"/>
      <c r="W190" s="1818"/>
      <c r="X190" s="1818"/>
      <c r="Y190" s="1818"/>
      <c r="Z190" s="1818"/>
      <c r="AA190" s="1818"/>
      <c r="AB190" s="1818"/>
      <c r="AC190" s="1819"/>
      <c r="AD190" s="1818" t="s">
        <v>1901</v>
      </c>
      <c r="AE190" s="1818"/>
      <c r="AF190" s="1818"/>
      <c r="AG190" s="1818"/>
      <c r="AH190" s="1818"/>
      <c r="AI190" s="1819"/>
      <c r="AJ190" s="1403"/>
      <c r="AK190" s="1403"/>
      <c r="AL190" s="1403"/>
    </row>
    <row r="191" spans="3:38">
      <c r="C191" s="1420"/>
      <c r="D191" s="1421"/>
      <c r="E191" s="1421"/>
      <c r="F191" s="1422" t="s">
        <v>141</v>
      </c>
      <c r="G191" s="1422" t="s">
        <v>138</v>
      </c>
      <c r="H191" s="1422" t="s">
        <v>136</v>
      </c>
      <c r="I191" s="1422" t="s">
        <v>1484</v>
      </c>
      <c r="J191" s="1422" t="s">
        <v>1485</v>
      </c>
      <c r="K191" s="1415" t="s">
        <v>1478</v>
      </c>
      <c r="L191" s="1422" t="s">
        <v>146</v>
      </c>
      <c r="M191" s="1422" t="s">
        <v>144</v>
      </c>
      <c r="N191" s="1422" t="s">
        <v>141</v>
      </c>
      <c r="O191" s="1422" t="s">
        <v>141</v>
      </c>
      <c r="P191" s="1422" t="s">
        <v>138</v>
      </c>
      <c r="Q191" s="1422" t="s">
        <v>136</v>
      </c>
      <c r="R191" s="1422" t="s">
        <v>1484</v>
      </c>
      <c r="S191" s="1422" t="s">
        <v>1485</v>
      </c>
      <c r="T191" s="1415" t="s">
        <v>1478</v>
      </c>
      <c r="U191" s="1422" t="s">
        <v>146</v>
      </c>
      <c r="V191" s="1422" t="s">
        <v>144</v>
      </c>
      <c r="W191" s="1422" t="s">
        <v>141</v>
      </c>
      <c r="X191" s="1422" t="s">
        <v>141</v>
      </c>
      <c r="Y191" s="1422" t="s">
        <v>138</v>
      </c>
      <c r="Z191" s="1422" t="s">
        <v>136</v>
      </c>
      <c r="AA191" s="1422" t="s">
        <v>1484</v>
      </c>
      <c r="AB191" s="1422" t="s">
        <v>1485</v>
      </c>
      <c r="AC191" s="1415" t="s">
        <v>1478</v>
      </c>
      <c r="AD191" s="1422" t="s">
        <v>141</v>
      </c>
      <c r="AE191" s="1422" t="s">
        <v>138</v>
      </c>
      <c r="AF191" s="1422" t="s">
        <v>136</v>
      </c>
      <c r="AG191" s="1422" t="s">
        <v>1484</v>
      </c>
      <c r="AH191" s="1422" t="s">
        <v>1485</v>
      </c>
      <c r="AI191" s="1415" t="s">
        <v>1478</v>
      </c>
      <c r="AJ191" s="1403"/>
      <c r="AK191" s="1403"/>
      <c r="AL191" s="1403"/>
    </row>
    <row r="192" spans="3:38">
      <c r="C192" s="1406">
        <f t="shared" ref="C192:E200" si="6">C124</f>
        <v>1</v>
      </c>
      <c r="D192" s="1423">
        <f t="shared" si="6"/>
        <v>0</v>
      </c>
      <c r="E192" s="1423" t="str">
        <f t="shared" si="6"/>
        <v>Comp 1</v>
      </c>
      <c r="F192" s="1407"/>
      <c r="G192" s="1407"/>
      <c r="H192" s="1407"/>
      <c r="I192" s="1407"/>
      <c r="J192" s="1407"/>
      <c r="K192" s="1408"/>
      <c r="L192" s="1407"/>
      <c r="M192" s="1407"/>
      <c r="N192" s="1407"/>
      <c r="O192" s="1407"/>
      <c r="P192" s="1407"/>
      <c r="Q192" s="1407"/>
      <c r="R192" s="1407"/>
      <c r="S192" s="1407"/>
      <c r="T192" s="1408"/>
      <c r="U192" s="1407"/>
      <c r="V192" s="1407"/>
      <c r="W192" s="1407"/>
      <c r="X192" s="1407"/>
      <c r="Y192" s="1407"/>
      <c r="Z192" s="1407"/>
      <c r="AA192" s="1407"/>
      <c r="AB192" s="1407"/>
      <c r="AC192" s="1408"/>
      <c r="AD192" s="1407"/>
      <c r="AE192" s="1407"/>
      <c r="AF192" s="1407"/>
      <c r="AG192" s="1407"/>
      <c r="AH192" s="1407"/>
      <c r="AI192" s="1408"/>
      <c r="AJ192" s="1403"/>
      <c r="AK192" s="1403"/>
      <c r="AL192" s="1403"/>
    </row>
    <row r="193" spans="3:38">
      <c r="C193" s="1406">
        <f t="shared" si="6"/>
        <v>2</v>
      </c>
      <c r="D193" s="1423">
        <f t="shared" si="6"/>
        <v>0</v>
      </c>
      <c r="E193" s="1423" t="str">
        <f t="shared" si="6"/>
        <v>Comp 2</v>
      </c>
      <c r="F193" s="1407"/>
      <c r="G193" s="1407"/>
      <c r="H193" s="1407"/>
      <c r="I193" s="1407"/>
      <c r="J193" s="1407"/>
      <c r="K193" s="1408"/>
      <c r="L193" s="1407"/>
      <c r="M193" s="1407"/>
      <c r="N193" s="1407"/>
      <c r="O193" s="1407"/>
      <c r="P193" s="1407"/>
      <c r="Q193" s="1407"/>
      <c r="R193" s="1407"/>
      <c r="S193" s="1407"/>
      <c r="T193" s="1408"/>
      <c r="U193" s="1407"/>
      <c r="V193" s="1407"/>
      <c r="W193" s="1407"/>
      <c r="X193" s="1407"/>
      <c r="Y193" s="1407"/>
      <c r="Z193" s="1407"/>
      <c r="AA193" s="1407"/>
      <c r="AB193" s="1407"/>
      <c r="AC193" s="1408"/>
      <c r="AD193" s="1407"/>
      <c r="AE193" s="1407"/>
      <c r="AF193" s="1407"/>
      <c r="AG193" s="1407"/>
      <c r="AH193" s="1407"/>
      <c r="AI193" s="1408"/>
      <c r="AJ193" s="1403"/>
      <c r="AK193" s="1403"/>
      <c r="AL193" s="1403"/>
    </row>
    <row r="194" spans="3:38">
      <c r="C194" s="1406">
        <f t="shared" si="6"/>
        <v>3</v>
      </c>
      <c r="D194" s="1423">
        <f t="shared" si="6"/>
        <v>0</v>
      </c>
      <c r="E194" s="1423" t="str">
        <f t="shared" si="6"/>
        <v>Comp 3</v>
      </c>
      <c r="F194" s="1407"/>
      <c r="G194" s="1407"/>
      <c r="H194" s="1407"/>
      <c r="I194" s="1407"/>
      <c r="J194" s="1407"/>
      <c r="K194" s="1408"/>
      <c r="L194" s="1407"/>
      <c r="M194" s="1407"/>
      <c r="N194" s="1407"/>
      <c r="O194" s="1407"/>
      <c r="P194" s="1407"/>
      <c r="Q194" s="1407"/>
      <c r="R194" s="1407"/>
      <c r="S194" s="1407"/>
      <c r="T194" s="1408"/>
      <c r="U194" s="1407"/>
      <c r="V194" s="1407"/>
      <c r="W194" s="1407"/>
      <c r="X194" s="1407"/>
      <c r="Y194" s="1407"/>
      <c r="Z194" s="1407"/>
      <c r="AA194" s="1407"/>
      <c r="AB194" s="1407"/>
      <c r="AC194" s="1408"/>
      <c r="AD194" s="1407"/>
      <c r="AE194" s="1407"/>
      <c r="AF194" s="1407"/>
      <c r="AG194" s="1407"/>
      <c r="AH194" s="1407"/>
      <c r="AI194" s="1408"/>
      <c r="AJ194" s="1403"/>
      <c r="AK194" s="1403"/>
      <c r="AL194" s="1403"/>
    </row>
    <row r="195" spans="3:38">
      <c r="C195" s="1406">
        <f t="shared" si="6"/>
        <v>4</v>
      </c>
      <c r="D195" s="1423">
        <f t="shared" si="6"/>
        <v>0</v>
      </c>
      <c r="E195" s="1423" t="str">
        <f t="shared" si="6"/>
        <v>Comp 4</v>
      </c>
      <c r="F195" s="1407"/>
      <c r="G195" s="1407"/>
      <c r="H195" s="1407"/>
      <c r="I195" s="1407"/>
      <c r="J195" s="1407"/>
      <c r="K195" s="1408"/>
      <c r="L195" s="1407"/>
      <c r="M195" s="1407"/>
      <c r="N195" s="1407"/>
      <c r="O195" s="1407"/>
      <c r="P195" s="1407"/>
      <c r="Q195" s="1407"/>
      <c r="R195" s="1407"/>
      <c r="S195" s="1407"/>
      <c r="T195" s="1408"/>
      <c r="U195" s="1407"/>
      <c r="V195" s="1407"/>
      <c r="W195" s="1407"/>
      <c r="X195" s="1407"/>
      <c r="Y195" s="1407"/>
      <c r="Z195" s="1407"/>
      <c r="AA195" s="1407"/>
      <c r="AB195" s="1407"/>
      <c r="AC195" s="1408"/>
      <c r="AD195" s="1407"/>
      <c r="AE195" s="1407"/>
      <c r="AF195" s="1407"/>
      <c r="AG195" s="1407"/>
      <c r="AH195" s="1407"/>
      <c r="AI195" s="1408"/>
      <c r="AJ195" s="1403"/>
      <c r="AK195" s="1403"/>
      <c r="AL195" s="1403"/>
    </row>
    <row r="196" spans="3:38">
      <c r="C196" s="1406">
        <f t="shared" si="6"/>
        <v>5</v>
      </c>
      <c r="D196" s="1423">
        <f t="shared" si="6"/>
        <v>0</v>
      </c>
      <c r="E196" s="1423" t="str">
        <f t="shared" si="6"/>
        <v>Comp 5</v>
      </c>
      <c r="F196" s="1407"/>
      <c r="G196" s="1407"/>
      <c r="H196" s="1407"/>
      <c r="I196" s="1407"/>
      <c r="J196" s="1407"/>
      <c r="K196" s="1408"/>
      <c r="L196" s="1407"/>
      <c r="M196" s="1407"/>
      <c r="N196" s="1407"/>
      <c r="O196" s="1407"/>
      <c r="P196" s="1407"/>
      <c r="Q196" s="1407"/>
      <c r="R196" s="1407"/>
      <c r="S196" s="1407"/>
      <c r="T196" s="1408"/>
      <c r="U196" s="1407"/>
      <c r="V196" s="1407"/>
      <c r="W196" s="1407"/>
      <c r="X196" s="1407"/>
      <c r="Y196" s="1407"/>
      <c r="Z196" s="1407"/>
      <c r="AA196" s="1407"/>
      <c r="AB196" s="1407"/>
      <c r="AC196" s="1408"/>
      <c r="AD196" s="1407"/>
      <c r="AE196" s="1407"/>
      <c r="AF196" s="1407"/>
      <c r="AG196" s="1407"/>
      <c r="AH196" s="1407"/>
      <c r="AI196" s="1408"/>
      <c r="AJ196" s="1403"/>
      <c r="AK196" s="1403"/>
      <c r="AL196" s="1403"/>
    </row>
    <row r="197" spans="3:38">
      <c r="C197" s="1406">
        <f t="shared" si="6"/>
        <v>6</v>
      </c>
      <c r="D197" s="1423">
        <f t="shared" si="6"/>
        <v>0</v>
      </c>
      <c r="E197" s="1423" t="str">
        <f t="shared" si="6"/>
        <v>Comp 6</v>
      </c>
      <c r="F197" s="1407"/>
      <c r="G197" s="1407"/>
      <c r="H197" s="1407"/>
      <c r="I197" s="1407"/>
      <c r="J197" s="1407"/>
      <c r="K197" s="1408"/>
      <c r="L197" s="1407"/>
      <c r="M197" s="1407"/>
      <c r="N197" s="1407"/>
      <c r="O197" s="1407"/>
      <c r="P197" s="1407"/>
      <c r="Q197" s="1407"/>
      <c r="R197" s="1407"/>
      <c r="S197" s="1407"/>
      <c r="T197" s="1408"/>
      <c r="U197" s="1407"/>
      <c r="V197" s="1407"/>
      <c r="W197" s="1407"/>
      <c r="X197" s="1407"/>
      <c r="Y197" s="1407"/>
      <c r="Z197" s="1407"/>
      <c r="AA197" s="1407"/>
      <c r="AB197" s="1407"/>
      <c r="AC197" s="1408"/>
      <c r="AD197" s="1407"/>
      <c r="AE197" s="1407"/>
      <c r="AF197" s="1407"/>
      <c r="AG197" s="1407"/>
      <c r="AH197" s="1407"/>
      <c r="AI197" s="1408"/>
      <c r="AJ197" s="1403"/>
      <c r="AK197" s="1403"/>
      <c r="AL197" s="1403"/>
    </row>
    <row r="198" spans="3:38">
      <c r="C198" s="1406">
        <f t="shared" si="6"/>
        <v>7</v>
      </c>
      <c r="D198" s="1423">
        <f t="shared" si="6"/>
        <v>0</v>
      </c>
      <c r="E198" s="1423" t="str">
        <f t="shared" si="6"/>
        <v>Comp 7</v>
      </c>
      <c r="F198" s="1407"/>
      <c r="G198" s="1407"/>
      <c r="H198" s="1407"/>
      <c r="I198" s="1407"/>
      <c r="J198" s="1407"/>
      <c r="K198" s="1408"/>
      <c r="L198" s="1407"/>
      <c r="M198" s="1407"/>
      <c r="N198" s="1407"/>
      <c r="O198" s="1407"/>
      <c r="P198" s="1407"/>
      <c r="Q198" s="1407"/>
      <c r="R198" s="1407"/>
      <c r="S198" s="1407"/>
      <c r="T198" s="1408"/>
      <c r="U198" s="1407"/>
      <c r="V198" s="1407"/>
      <c r="W198" s="1407"/>
      <c r="X198" s="1407"/>
      <c r="Y198" s="1407"/>
      <c r="Z198" s="1407"/>
      <c r="AA198" s="1407"/>
      <c r="AB198" s="1407"/>
      <c r="AC198" s="1408"/>
      <c r="AD198" s="1407"/>
      <c r="AE198" s="1407"/>
      <c r="AF198" s="1407"/>
      <c r="AG198" s="1407"/>
      <c r="AH198" s="1407"/>
      <c r="AI198" s="1408"/>
      <c r="AJ198" s="1403"/>
      <c r="AK198" s="1403"/>
      <c r="AL198" s="1403"/>
    </row>
    <row r="199" spans="3:38">
      <c r="C199" s="1406">
        <f t="shared" si="6"/>
        <v>8</v>
      </c>
      <c r="D199" s="1423">
        <f t="shared" si="6"/>
        <v>0</v>
      </c>
      <c r="E199" s="1423" t="str">
        <f t="shared" si="6"/>
        <v>Comp 8</v>
      </c>
      <c r="F199" s="1407"/>
      <c r="G199" s="1407"/>
      <c r="H199" s="1407"/>
      <c r="I199" s="1407"/>
      <c r="J199" s="1407"/>
      <c r="K199" s="1408"/>
      <c r="L199" s="1407"/>
      <c r="M199" s="1407"/>
      <c r="N199" s="1407"/>
      <c r="O199" s="1407"/>
      <c r="P199" s="1407"/>
      <c r="Q199" s="1407"/>
      <c r="R199" s="1407"/>
      <c r="S199" s="1407"/>
      <c r="T199" s="1408"/>
      <c r="U199" s="1407"/>
      <c r="V199" s="1407"/>
      <c r="W199" s="1407"/>
      <c r="X199" s="1407"/>
      <c r="Y199" s="1407"/>
      <c r="Z199" s="1407"/>
      <c r="AA199" s="1407"/>
      <c r="AB199" s="1407"/>
      <c r="AC199" s="1408"/>
      <c r="AD199" s="1407"/>
      <c r="AE199" s="1407"/>
      <c r="AF199" s="1407"/>
      <c r="AG199" s="1407"/>
      <c r="AH199" s="1407"/>
      <c r="AI199" s="1408"/>
      <c r="AJ199" s="1403"/>
      <c r="AK199" s="1403"/>
      <c r="AL199" s="1403"/>
    </row>
    <row r="200" spans="3:38">
      <c r="C200" s="1406">
        <f t="shared" si="6"/>
        <v>9</v>
      </c>
      <c r="D200" s="1423">
        <f t="shared" si="6"/>
        <v>0</v>
      </c>
      <c r="E200" s="1423" t="str">
        <f t="shared" si="6"/>
        <v>Comp 9</v>
      </c>
      <c r="F200" s="1407"/>
      <c r="G200" s="1407"/>
      <c r="H200" s="1407"/>
      <c r="I200" s="1407"/>
      <c r="J200" s="1407"/>
      <c r="K200" s="1408"/>
      <c r="L200" s="1407"/>
      <c r="M200" s="1407"/>
      <c r="N200" s="1407"/>
      <c r="O200" s="1407"/>
      <c r="P200" s="1407"/>
      <c r="Q200" s="1407"/>
      <c r="R200" s="1407"/>
      <c r="S200" s="1407"/>
      <c r="T200" s="1408"/>
      <c r="U200" s="1407"/>
      <c r="V200" s="1407"/>
      <c r="W200" s="1407"/>
      <c r="X200" s="1407"/>
      <c r="Y200" s="1407"/>
      <c r="Z200" s="1407"/>
      <c r="AA200" s="1407"/>
      <c r="AB200" s="1407"/>
      <c r="AC200" s="1408"/>
      <c r="AD200" s="1407"/>
      <c r="AE200" s="1407"/>
      <c r="AF200" s="1407"/>
      <c r="AG200" s="1407"/>
      <c r="AH200" s="1407"/>
      <c r="AI200" s="1408"/>
      <c r="AJ200" s="1403"/>
      <c r="AK200" s="1403"/>
      <c r="AL200" s="1403"/>
    </row>
    <row r="201" spans="3:38">
      <c r="C201" s="1406">
        <f t="shared" ref="C201:E221" si="7">C133</f>
        <v>10</v>
      </c>
      <c r="D201" s="1423">
        <f t="shared" si="7"/>
        <v>0</v>
      </c>
      <c r="E201" s="1423" t="str">
        <f t="shared" si="7"/>
        <v>Comp 10</v>
      </c>
      <c r="F201" s="1407"/>
      <c r="G201" s="1407"/>
      <c r="H201" s="1407"/>
      <c r="I201" s="1407"/>
      <c r="J201" s="1407"/>
      <c r="K201" s="1408"/>
      <c r="L201" s="1407"/>
      <c r="M201" s="1407"/>
      <c r="N201" s="1407"/>
      <c r="O201" s="1407"/>
      <c r="P201" s="1407"/>
      <c r="Q201" s="1407"/>
      <c r="R201" s="1407"/>
      <c r="S201" s="1407"/>
      <c r="T201" s="1408"/>
      <c r="U201" s="1407"/>
      <c r="V201" s="1407"/>
      <c r="W201" s="1407"/>
      <c r="X201" s="1407"/>
      <c r="Y201" s="1407"/>
      <c r="Z201" s="1407"/>
      <c r="AA201" s="1407"/>
      <c r="AB201" s="1407"/>
      <c r="AC201" s="1408"/>
      <c r="AD201" s="1407"/>
      <c r="AE201" s="1407"/>
      <c r="AF201" s="1407"/>
      <c r="AG201" s="1407"/>
      <c r="AH201" s="1407"/>
      <c r="AI201" s="1408"/>
      <c r="AJ201" s="1403"/>
      <c r="AK201" s="1403"/>
      <c r="AL201" s="1403"/>
    </row>
    <row r="202" spans="3:38">
      <c r="C202" s="1406">
        <f t="shared" si="7"/>
        <v>11</v>
      </c>
      <c r="D202" s="1423">
        <f t="shared" si="7"/>
        <v>0</v>
      </c>
      <c r="E202" s="1423" t="str">
        <f t="shared" si="7"/>
        <v>Comp 11</v>
      </c>
      <c r="F202" s="1407"/>
      <c r="G202" s="1407"/>
      <c r="H202" s="1407"/>
      <c r="I202" s="1407"/>
      <c r="J202" s="1407"/>
      <c r="K202" s="1408"/>
      <c r="L202" s="1407"/>
      <c r="M202" s="1407"/>
      <c r="N202" s="1407"/>
      <c r="O202" s="1407"/>
      <c r="P202" s="1407"/>
      <c r="Q202" s="1407"/>
      <c r="R202" s="1407"/>
      <c r="S202" s="1407"/>
      <c r="T202" s="1408"/>
      <c r="U202" s="1407"/>
      <c r="V202" s="1407"/>
      <c r="W202" s="1407"/>
      <c r="X202" s="1407"/>
      <c r="Y202" s="1407"/>
      <c r="Z202" s="1407"/>
      <c r="AA202" s="1407"/>
      <c r="AB202" s="1407"/>
      <c r="AC202" s="1408"/>
      <c r="AD202" s="1407"/>
      <c r="AE202" s="1407"/>
      <c r="AF202" s="1407"/>
      <c r="AG202" s="1407"/>
      <c r="AH202" s="1407"/>
      <c r="AI202" s="1408"/>
      <c r="AJ202" s="1403"/>
      <c r="AK202" s="1403"/>
      <c r="AL202" s="1403"/>
    </row>
    <row r="203" spans="3:38">
      <c r="C203" s="1406">
        <f t="shared" si="7"/>
        <v>12</v>
      </c>
      <c r="D203" s="1423">
        <f t="shared" si="7"/>
        <v>0</v>
      </c>
      <c r="E203" s="1423" t="str">
        <f t="shared" si="7"/>
        <v>Comp 12</v>
      </c>
      <c r="F203" s="1407"/>
      <c r="G203" s="1407"/>
      <c r="H203" s="1407"/>
      <c r="I203" s="1407"/>
      <c r="J203" s="1407"/>
      <c r="K203" s="1408"/>
      <c r="L203" s="1407"/>
      <c r="M203" s="1407"/>
      <c r="N203" s="1407"/>
      <c r="O203" s="1407"/>
      <c r="P203" s="1407"/>
      <c r="Q203" s="1407"/>
      <c r="R203" s="1407"/>
      <c r="S203" s="1407"/>
      <c r="T203" s="1408"/>
      <c r="U203" s="1407"/>
      <c r="V203" s="1407"/>
      <c r="W203" s="1407"/>
      <c r="X203" s="1407"/>
      <c r="Y203" s="1407"/>
      <c r="Z203" s="1407"/>
      <c r="AA203" s="1407"/>
      <c r="AB203" s="1407"/>
      <c r="AC203" s="1408"/>
      <c r="AD203" s="1407"/>
      <c r="AE203" s="1407"/>
      <c r="AF203" s="1407"/>
      <c r="AG203" s="1407"/>
      <c r="AH203" s="1407"/>
      <c r="AI203" s="1408"/>
      <c r="AJ203" s="1403"/>
      <c r="AK203" s="1403"/>
      <c r="AL203" s="1403"/>
    </row>
    <row r="204" spans="3:38">
      <c r="C204" s="1406">
        <f t="shared" si="7"/>
        <v>13</v>
      </c>
      <c r="D204" s="1423">
        <f t="shared" si="7"/>
        <v>0</v>
      </c>
      <c r="E204" s="1423" t="str">
        <f t="shared" si="7"/>
        <v>Comp 13</v>
      </c>
      <c r="F204" s="1407"/>
      <c r="G204" s="1407"/>
      <c r="H204" s="1407"/>
      <c r="I204" s="1407"/>
      <c r="J204" s="1407"/>
      <c r="K204" s="1408"/>
      <c r="L204" s="1407"/>
      <c r="M204" s="1407"/>
      <c r="N204" s="1407"/>
      <c r="O204" s="1407"/>
      <c r="P204" s="1407"/>
      <c r="Q204" s="1407"/>
      <c r="R204" s="1407"/>
      <c r="S204" s="1407"/>
      <c r="T204" s="1408"/>
      <c r="U204" s="1407"/>
      <c r="V204" s="1407"/>
      <c r="W204" s="1407"/>
      <c r="X204" s="1407"/>
      <c r="Y204" s="1407"/>
      <c r="Z204" s="1407"/>
      <c r="AA204" s="1407"/>
      <c r="AB204" s="1407"/>
      <c r="AC204" s="1408"/>
      <c r="AD204" s="1407"/>
      <c r="AE204" s="1407"/>
      <c r="AF204" s="1407"/>
      <c r="AG204" s="1407"/>
      <c r="AH204" s="1407"/>
      <c r="AI204" s="1408"/>
      <c r="AJ204" s="1403"/>
      <c r="AK204" s="1403"/>
      <c r="AL204" s="1403"/>
    </row>
    <row r="205" spans="3:38">
      <c r="C205" s="1406">
        <f t="shared" si="7"/>
        <v>14</v>
      </c>
      <c r="D205" s="1423">
        <f t="shared" si="7"/>
        <v>0</v>
      </c>
      <c r="E205" s="1423" t="str">
        <f t="shared" si="7"/>
        <v>Comp 14</v>
      </c>
      <c r="F205" s="1407"/>
      <c r="G205" s="1407"/>
      <c r="H205" s="1407"/>
      <c r="I205" s="1407"/>
      <c r="J205" s="1407"/>
      <c r="K205" s="1408"/>
      <c r="L205" s="1407"/>
      <c r="M205" s="1407"/>
      <c r="N205" s="1407"/>
      <c r="O205" s="1407"/>
      <c r="P205" s="1407"/>
      <c r="Q205" s="1407"/>
      <c r="R205" s="1407"/>
      <c r="S205" s="1407"/>
      <c r="T205" s="1408"/>
      <c r="U205" s="1407"/>
      <c r="V205" s="1407"/>
      <c r="W205" s="1407"/>
      <c r="X205" s="1407"/>
      <c r="Y205" s="1407"/>
      <c r="Z205" s="1407"/>
      <c r="AA205" s="1407"/>
      <c r="AB205" s="1407"/>
      <c r="AC205" s="1408"/>
      <c r="AD205" s="1407"/>
      <c r="AE205" s="1407"/>
      <c r="AF205" s="1407"/>
      <c r="AG205" s="1407"/>
      <c r="AH205" s="1407"/>
      <c r="AI205" s="1408"/>
      <c r="AJ205" s="1403"/>
      <c r="AK205" s="1403"/>
      <c r="AL205" s="1403"/>
    </row>
    <row r="206" spans="3:38">
      <c r="C206" s="1406">
        <f t="shared" si="7"/>
        <v>15</v>
      </c>
      <c r="D206" s="1423">
        <f t="shared" si="7"/>
        <v>0</v>
      </c>
      <c r="E206" s="1423" t="str">
        <f t="shared" si="7"/>
        <v>Comp 15</v>
      </c>
      <c r="F206" s="1407"/>
      <c r="G206" s="1407"/>
      <c r="H206" s="1407"/>
      <c r="I206" s="1407"/>
      <c r="J206" s="1407"/>
      <c r="K206" s="1408"/>
      <c r="L206" s="1407"/>
      <c r="M206" s="1407"/>
      <c r="N206" s="1407"/>
      <c r="O206" s="1407"/>
      <c r="P206" s="1407"/>
      <c r="Q206" s="1407"/>
      <c r="R206" s="1407"/>
      <c r="S206" s="1407"/>
      <c r="T206" s="1408"/>
      <c r="U206" s="1407"/>
      <c r="V206" s="1407"/>
      <c r="W206" s="1407"/>
      <c r="X206" s="1407"/>
      <c r="Y206" s="1407"/>
      <c r="Z206" s="1407"/>
      <c r="AA206" s="1407"/>
      <c r="AB206" s="1407"/>
      <c r="AC206" s="1408"/>
      <c r="AD206" s="1407"/>
      <c r="AE206" s="1407"/>
      <c r="AF206" s="1407"/>
      <c r="AG206" s="1407"/>
      <c r="AH206" s="1407"/>
      <c r="AI206" s="1408"/>
      <c r="AJ206" s="1403"/>
      <c r="AK206" s="1403"/>
      <c r="AL206" s="1403"/>
    </row>
    <row r="207" spans="3:38">
      <c r="C207" s="1406">
        <f t="shared" si="7"/>
        <v>16</v>
      </c>
      <c r="D207" s="1423">
        <f t="shared" si="7"/>
        <v>0</v>
      </c>
      <c r="E207" s="1423" t="str">
        <f t="shared" si="7"/>
        <v>Comp 16</v>
      </c>
      <c r="F207" s="1407"/>
      <c r="G207" s="1407"/>
      <c r="H207" s="1407"/>
      <c r="I207" s="1407"/>
      <c r="J207" s="1407"/>
      <c r="K207" s="1408"/>
      <c r="L207" s="1407"/>
      <c r="M207" s="1407"/>
      <c r="N207" s="1407"/>
      <c r="O207" s="1407"/>
      <c r="P207" s="1407"/>
      <c r="Q207" s="1407"/>
      <c r="R207" s="1407"/>
      <c r="S207" s="1407"/>
      <c r="T207" s="1408"/>
      <c r="U207" s="1407"/>
      <c r="V207" s="1407"/>
      <c r="W207" s="1407"/>
      <c r="X207" s="1407"/>
      <c r="Y207" s="1407"/>
      <c r="Z207" s="1407"/>
      <c r="AA207" s="1407"/>
      <c r="AB207" s="1407"/>
      <c r="AC207" s="1408"/>
      <c r="AD207" s="1407"/>
      <c r="AE207" s="1407"/>
      <c r="AF207" s="1407"/>
      <c r="AG207" s="1407"/>
      <c r="AH207" s="1407"/>
      <c r="AI207" s="1408"/>
      <c r="AJ207" s="1403"/>
      <c r="AK207" s="1403"/>
      <c r="AL207" s="1403"/>
    </row>
    <row r="208" spans="3:38">
      <c r="C208" s="1406">
        <f t="shared" si="7"/>
        <v>17</v>
      </c>
      <c r="D208" s="1423">
        <f t="shared" si="7"/>
        <v>0</v>
      </c>
      <c r="E208" s="1423" t="str">
        <f t="shared" si="7"/>
        <v>Comp 17</v>
      </c>
      <c r="F208" s="1407"/>
      <c r="G208" s="1407"/>
      <c r="H208" s="1407"/>
      <c r="I208" s="1407"/>
      <c r="J208" s="1407"/>
      <c r="K208" s="1408"/>
      <c r="L208" s="1407"/>
      <c r="M208" s="1407"/>
      <c r="N208" s="1407"/>
      <c r="O208" s="1407"/>
      <c r="P208" s="1407"/>
      <c r="Q208" s="1407"/>
      <c r="R208" s="1407"/>
      <c r="S208" s="1407"/>
      <c r="T208" s="1408"/>
      <c r="U208" s="1407"/>
      <c r="V208" s="1407"/>
      <c r="W208" s="1407"/>
      <c r="X208" s="1407"/>
      <c r="Y208" s="1407"/>
      <c r="Z208" s="1407"/>
      <c r="AA208" s="1407"/>
      <c r="AB208" s="1407"/>
      <c r="AC208" s="1408"/>
      <c r="AD208" s="1407"/>
      <c r="AE208" s="1407"/>
      <c r="AF208" s="1407"/>
      <c r="AG208" s="1407"/>
      <c r="AH208" s="1407"/>
      <c r="AI208" s="1408"/>
      <c r="AJ208" s="1403"/>
      <c r="AK208" s="1403"/>
      <c r="AL208" s="1403"/>
    </row>
    <row r="209" spans="3:42">
      <c r="C209" s="1406">
        <f t="shared" si="7"/>
        <v>18</v>
      </c>
      <c r="D209" s="1423">
        <f t="shared" si="7"/>
        <v>0</v>
      </c>
      <c r="E209" s="1423" t="str">
        <f t="shared" si="7"/>
        <v>Comp 18</v>
      </c>
      <c r="F209" s="1407"/>
      <c r="G209" s="1407"/>
      <c r="H209" s="1407"/>
      <c r="I209" s="1407"/>
      <c r="J209" s="1407"/>
      <c r="K209" s="1408"/>
      <c r="L209" s="1407"/>
      <c r="M209" s="1407"/>
      <c r="N209" s="1407"/>
      <c r="O209" s="1407"/>
      <c r="P209" s="1407"/>
      <c r="Q209" s="1407"/>
      <c r="R209" s="1407"/>
      <c r="S209" s="1407"/>
      <c r="T209" s="1408"/>
      <c r="U209" s="1407"/>
      <c r="V209" s="1407"/>
      <c r="W209" s="1407"/>
      <c r="X209" s="1407"/>
      <c r="Y209" s="1407"/>
      <c r="Z209" s="1407"/>
      <c r="AA209" s="1407"/>
      <c r="AB209" s="1407"/>
      <c r="AC209" s="1408"/>
      <c r="AD209" s="1407"/>
      <c r="AE209" s="1407"/>
      <c r="AF209" s="1407"/>
      <c r="AG209" s="1407"/>
      <c r="AH209" s="1407"/>
      <c r="AI209" s="1408"/>
      <c r="AJ209" s="1403"/>
      <c r="AK209" s="1403"/>
      <c r="AL209" s="1403"/>
    </row>
    <row r="210" spans="3:42">
      <c r="C210" s="1406">
        <f t="shared" si="7"/>
        <v>19</v>
      </c>
      <c r="D210" s="1423">
        <f t="shared" si="7"/>
        <v>0</v>
      </c>
      <c r="E210" s="1423" t="str">
        <f t="shared" si="7"/>
        <v>Comp 19</v>
      </c>
      <c r="F210" s="1407"/>
      <c r="G210" s="1407"/>
      <c r="H210" s="1407"/>
      <c r="I210" s="1407"/>
      <c r="J210" s="1407"/>
      <c r="K210" s="1408"/>
      <c r="L210" s="1407"/>
      <c r="M210" s="1407"/>
      <c r="N210" s="1407"/>
      <c r="O210" s="1407"/>
      <c r="P210" s="1407"/>
      <c r="Q210" s="1407"/>
      <c r="R210" s="1407"/>
      <c r="S210" s="1407"/>
      <c r="T210" s="1408"/>
      <c r="U210" s="1407"/>
      <c r="V210" s="1407"/>
      <c r="W210" s="1407"/>
      <c r="X210" s="1407"/>
      <c r="Y210" s="1407"/>
      <c r="Z210" s="1407"/>
      <c r="AA210" s="1407"/>
      <c r="AB210" s="1407"/>
      <c r="AC210" s="1408"/>
      <c r="AD210" s="1407"/>
      <c r="AE210" s="1407"/>
      <c r="AF210" s="1407"/>
      <c r="AG210" s="1407"/>
      <c r="AH210" s="1407"/>
      <c r="AI210" s="1408"/>
      <c r="AJ210" s="1403"/>
      <c r="AK210" s="1403"/>
      <c r="AL210" s="1403"/>
    </row>
    <row r="211" spans="3:42">
      <c r="C211" s="1406">
        <f t="shared" si="7"/>
        <v>20</v>
      </c>
      <c r="D211" s="1423">
        <f t="shared" si="7"/>
        <v>0</v>
      </c>
      <c r="E211" s="1423" t="str">
        <f t="shared" si="7"/>
        <v>Comp 20</v>
      </c>
      <c r="F211" s="1407"/>
      <c r="G211" s="1407"/>
      <c r="H211" s="1407"/>
      <c r="I211" s="1407"/>
      <c r="J211" s="1407"/>
      <c r="K211" s="1408"/>
      <c r="L211" s="1407"/>
      <c r="M211" s="1407"/>
      <c r="N211" s="1407"/>
      <c r="O211" s="1407"/>
      <c r="P211" s="1407"/>
      <c r="Q211" s="1407"/>
      <c r="R211" s="1407"/>
      <c r="S211" s="1407"/>
      <c r="T211" s="1408"/>
      <c r="U211" s="1407"/>
      <c r="V211" s="1407"/>
      <c r="W211" s="1407"/>
      <c r="X211" s="1407"/>
      <c r="Y211" s="1407"/>
      <c r="Z211" s="1407"/>
      <c r="AA211" s="1407"/>
      <c r="AB211" s="1407"/>
      <c r="AC211" s="1408"/>
      <c r="AD211" s="1407"/>
      <c r="AE211" s="1407"/>
      <c r="AF211" s="1407"/>
      <c r="AG211" s="1407"/>
      <c r="AH211" s="1407"/>
      <c r="AI211" s="1408"/>
      <c r="AJ211" s="1403"/>
      <c r="AK211" s="1403"/>
      <c r="AL211" s="1403"/>
    </row>
    <row r="212" spans="3:42">
      <c r="C212" s="1406">
        <f t="shared" si="7"/>
        <v>21</v>
      </c>
      <c r="D212" s="1423">
        <f t="shared" si="7"/>
        <v>0</v>
      </c>
      <c r="E212" s="1423" t="str">
        <f t="shared" si="7"/>
        <v>Comp 21</v>
      </c>
      <c r="F212" s="1407"/>
      <c r="G212" s="1407"/>
      <c r="H212" s="1407"/>
      <c r="I212" s="1407"/>
      <c r="J212" s="1407"/>
      <c r="K212" s="1408"/>
      <c r="L212" s="1407"/>
      <c r="M212" s="1407"/>
      <c r="N212" s="1407"/>
      <c r="O212" s="1407"/>
      <c r="P212" s="1407"/>
      <c r="Q212" s="1407"/>
      <c r="R212" s="1407"/>
      <c r="S212" s="1407"/>
      <c r="T212" s="1408"/>
      <c r="U212" s="1407"/>
      <c r="V212" s="1407"/>
      <c r="W212" s="1407"/>
      <c r="X212" s="1407"/>
      <c r="Y212" s="1407"/>
      <c r="Z212" s="1407"/>
      <c r="AA212" s="1407"/>
      <c r="AB212" s="1407"/>
      <c r="AC212" s="1408"/>
      <c r="AD212" s="1407"/>
      <c r="AE212" s="1407"/>
      <c r="AF212" s="1407"/>
      <c r="AG212" s="1407"/>
      <c r="AH212" s="1407"/>
      <c r="AI212" s="1408"/>
      <c r="AJ212" s="1403"/>
      <c r="AK212" s="1403"/>
      <c r="AL212" s="1403"/>
    </row>
    <row r="213" spans="3:42">
      <c r="C213" s="1406">
        <f t="shared" si="7"/>
        <v>22</v>
      </c>
      <c r="D213" s="1423">
        <f t="shared" si="7"/>
        <v>0</v>
      </c>
      <c r="E213" s="1423" t="str">
        <f t="shared" si="7"/>
        <v>Comp 22</v>
      </c>
      <c r="F213" s="1407"/>
      <c r="G213" s="1407"/>
      <c r="H213" s="1407"/>
      <c r="I213" s="1407"/>
      <c r="J213" s="1407"/>
      <c r="K213" s="1408"/>
      <c r="L213" s="1407"/>
      <c r="M213" s="1407"/>
      <c r="N213" s="1407"/>
      <c r="O213" s="1407"/>
      <c r="P213" s="1407"/>
      <c r="Q213" s="1407"/>
      <c r="R213" s="1407"/>
      <c r="S213" s="1407"/>
      <c r="T213" s="1408"/>
      <c r="U213" s="1407"/>
      <c r="V213" s="1407"/>
      <c r="W213" s="1407"/>
      <c r="X213" s="1407"/>
      <c r="Y213" s="1407"/>
      <c r="Z213" s="1407"/>
      <c r="AA213" s="1407"/>
      <c r="AB213" s="1407"/>
      <c r="AC213" s="1408"/>
      <c r="AD213" s="1407"/>
      <c r="AE213" s="1407"/>
      <c r="AF213" s="1407"/>
      <c r="AG213" s="1407"/>
      <c r="AH213" s="1407"/>
      <c r="AI213" s="1408"/>
      <c r="AJ213" s="1403"/>
      <c r="AK213" s="1403"/>
      <c r="AL213" s="1403"/>
    </row>
    <row r="214" spans="3:42">
      <c r="C214" s="1406">
        <f t="shared" si="7"/>
        <v>23</v>
      </c>
      <c r="D214" s="1423">
        <f t="shared" si="7"/>
        <v>0</v>
      </c>
      <c r="E214" s="1423" t="str">
        <f t="shared" si="7"/>
        <v>Comp 23</v>
      </c>
      <c r="F214" s="1407"/>
      <c r="G214" s="1407"/>
      <c r="H214" s="1407"/>
      <c r="I214" s="1407"/>
      <c r="J214" s="1407"/>
      <c r="K214" s="1408"/>
      <c r="L214" s="1407"/>
      <c r="M214" s="1407"/>
      <c r="N214" s="1407"/>
      <c r="O214" s="1407"/>
      <c r="P214" s="1407"/>
      <c r="Q214" s="1407"/>
      <c r="R214" s="1407"/>
      <c r="S214" s="1407"/>
      <c r="T214" s="1408"/>
      <c r="U214" s="1407"/>
      <c r="V214" s="1407"/>
      <c r="W214" s="1407"/>
      <c r="X214" s="1407"/>
      <c r="Y214" s="1407"/>
      <c r="Z214" s="1407"/>
      <c r="AA214" s="1407"/>
      <c r="AB214" s="1407"/>
      <c r="AC214" s="1408"/>
      <c r="AD214" s="1407"/>
      <c r="AE214" s="1407"/>
      <c r="AF214" s="1407"/>
      <c r="AG214" s="1407"/>
      <c r="AH214" s="1407"/>
      <c r="AI214" s="1408"/>
      <c r="AJ214" s="1403"/>
      <c r="AK214" s="1403"/>
      <c r="AL214" s="1403"/>
    </row>
    <row r="215" spans="3:42">
      <c r="C215" s="1406">
        <f t="shared" si="7"/>
        <v>24</v>
      </c>
      <c r="D215" s="1423">
        <f t="shared" si="7"/>
        <v>0</v>
      </c>
      <c r="E215" s="1423" t="str">
        <f t="shared" si="7"/>
        <v>Comp 24</v>
      </c>
      <c r="F215" s="1407"/>
      <c r="G215" s="1407"/>
      <c r="H215" s="1407"/>
      <c r="I215" s="1407"/>
      <c r="J215" s="1407"/>
      <c r="K215" s="1408"/>
      <c r="L215" s="1407"/>
      <c r="M215" s="1407"/>
      <c r="N215" s="1407"/>
      <c r="O215" s="1407"/>
      <c r="P215" s="1407"/>
      <c r="Q215" s="1407"/>
      <c r="R215" s="1407"/>
      <c r="S215" s="1407"/>
      <c r="T215" s="1408"/>
      <c r="U215" s="1407"/>
      <c r="V215" s="1407"/>
      <c r="W215" s="1407"/>
      <c r="X215" s="1407"/>
      <c r="Y215" s="1407"/>
      <c r="Z215" s="1407"/>
      <c r="AA215" s="1407"/>
      <c r="AB215" s="1407"/>
      <c r="AC215" s="1408"/>
      <c r="AD215" s="1407"/>
      <c r="AE215" s="1407"/>
      <c r="AF215" s="1407"/>
      <c r="AG215" s="1407"/>
      <c r="AH215" s="1407"/>
      <c r="AI215" s="1408"/>
      <c r="AJ215" s="1403"/>
      <c r="AK215" s="1403"/>
      <c r="AL215" s="1403"/>
    </row>
    <row r="216" spans="3:42">
      <c r="C216" s="1406">
        <f t="shared" si="7"/>
        <v>25</v>
      </c>
      <c r="D216" s="1423">
        <f t="shared" si="7"/>
        <v>0</v>
      </c>
      <c r="E216" s="1423" t="str">
        <f t="shared" si="7"/>
        <v>Comp 25</v>
      </c>
      <c r="F216" s="1407"/>
      <c r="G216" s="1407"/>
      <c r="H216" s="1407"/>
      <c r="I216" s="1407"/>
      <c r="J216" s="1407"/>
      <c r="K216" s="1408"/>
      <c r="L216" s="1407"/>
      <c r="M216" s="1407"/>
      <c r="N216" s="1407"/>
      <c r="O216" s="1407"/>
      <c r="P216" s="1407"/>
      <c r="Q216" s="1407"/>
      <c r="R216" s="1407"/>
      <c r="S216" s="1407"/>
      <c r="T216" s="1408"/>
      <c r="U216" s="1407"/>
      <c r="V216" s="1407"/>
      <c r="W216" s="1407"/>
      <c r="X216" s="1407"/>
      <c r="Y216" s="1407"/>
      <c r="Z216" s="1407"/>
      <c r="AA216" s="1407"/>
      <c r="AB216" s="1407"/>
      <c r="AC216" s="1408"/>
      <c r="AD216" s="1407"/>
      <c r="AE216" s="1407"/>
      <c r="AF216" s="1407"/>
      <c r="AG216" s="1407"/>
      <c r="AH216" s="1407"/>
      <c r="AI216" s="1408"/>
      <c r="AJ216" s="1403"/>
      <c r="AK216" s="1403"/>
      <c r="AL216" s="1403"/>
    </row>
    <row r="217" spans="3:42">
      <c r="C217" s="1406">
        <f t="shared" si="7"/>
        <v>26</v>
      </c>
      <c r="D217" s="1423">
        <f t="shared" si="7"/>
        <v>0</v>
      </c>
      <c r="E217" s="1423" t="str">
        <f t="shared" si="7"/>
        <v>Comp 26</v>
      </c>
      <c r="F217" s="1407"/>
      <c r="G217" s="1407"/>
      <c r="H217" s="1407"/>
      <c r="I217" s="1407"/>
      <c r="J217" s="1407"/>
      <c r="K217" s="1408"/>
      <c r="L217" s="1407"/>
      <c r="M217" s="1407"/>
      <c r="N217" s="1407"/>
      <c r="O217" s="1407"/>
      <c r="P217" s="1407"/>
      <c r="Q217" s="1407"/>
      <c r="R217" s="1407"/>
      <c r="S217" s="1407"/>
      <c r="T217" s="1408"/>
      <c r="U217" s="1407"/>
      <c r="V217" s="1407"/>
      <c r="W217" s="1407"/>
      <c r="X217" s="1407"/>
      <c r="Y217" s="1407"/>
      <c r="Z217" s="1407"/>
      <c r="AA217" s="1407"/>
      <c r="AB217" s="1407"/>
      <c r="AC217" s="1408"/>
      <c r="AD217" s="1407"/>
      <c r="AE217" s="1407"/>
      <c r="AF217" s="1407"/>
      <c r="AG217" s="1407"/>
      <c r="AH217" s="1407"/>
      <c r="AI217" s="1408"/>
      <c r="AJ217" s="1403"/>
      <c r="AK217" s="1403"/>
      <c r="AL217" s="1403"/>
    </row>
    <row r="218" spans="3:42">
      <c r="C218" s="1406">
        <f t="shared" si="7"/>
        <v>27</v>
      </c>
      <c r="D218" s="1423">
        <f t="shared" si="7"/>
        <v>0</v>
      </c>
      <c r="E218" s="1423" t="str">
        <f t="shared" si="7"/>
        <v>Comp 27</v>
      </c>
      <c r="F218" s="1407"/>
      <c r="G218" s="1407"/>
      <c r="H218" s="1407"/>
      <c r="I218" s="1407"/>
      <c r="J218" s="1407"/>
      <c r="K218" s="1408"/>
      <c r="L218" s="1407"/>
      <c r="M218" s="1407"/>
      <c r="N218" s="1407"/>
      <c r="O218" s="1407"/>
      <c r="P218" s="1407"/>
      <c r="Q218" s="1407"/>
      <c r="R218" s="1407"/>
      <c r="S218" s="1407"/>
      <c r="T218" s="1408"/>
      <c r="U218" s="1407"/>
      <c r="V218" s="1407"/>
      <c r="W218" s="1407"/>
      <c r="X218" s="1407"/>
      <c r="Y218" s="1407"/>
      <c r="Z218" s="1407"/>
      <c r="AA218" s="1407"/>
      <c r="AB218" s="1407"/>
      <c r="AC218" s="1408"/>
      <c r="AD218" s="1407"/>
      <c r="AE218" s="1407"/>
      <c r="AF218" s="1407"/>
      <c r="AG218" s="1407"/>
      <c r="AH218" s="1407"/>
      <c r="AI218" s="1408"/>
      <c r="AJ218" s="1403"/>
      <c r="AK218" s="1403"/>
      <c r="AL218" s="1403"/>
    </row>
    <row r="219" spans="3:42">
      <c r="C219" s="1406">
        <f t="shared" si="7"/>
        <v>28</v>
      </c>
      <c r="D219" s="1423">
        <f t="shared" si="7"/>
        <v>0</v>
      </c>
      <c r="E219" s="1423" t="str">
        <f t="shared" si="7"/>
        <v>Comp 28</v>
      </c>
      <c r="F219" s="1407"/>
      <c r="G219" s="1407"/>
      <c r="H219" s="1407"/>
      <c r="I219" s="1407"/>
      <c r="J219" s="1407"/>
      <c r="K219" s="1408"/>
      <c r="L219" s="1407"/>
      <c r="M219" s="1407"/>
      <c r="N219" s="1407"/>
      <c r="O219" s="1407"/>
      <c r="P219" s="1407"/>
      <c r="Q219" s="1407"/>
      <c r="R219" s="1407"/>
      <c r="S219" s="1407"/>
      <c r="T219" s="1408"/>
      <c r="U219" s="1407"/>
      <c r="V219" s="1407"/>
      <c r="W219" s="1407"/>
      <c r="X219" s="1407"/>
      <c r="Y219" s="1407"/>
      <c r="Z219" s="1407"/>
      <c r="AA219" s="1407"/>
      <c r="AB219" s="1407"/>
      <c r="AC219" s="1408"/>
      <c r="AD219" s="1407"/>
      <c r="AE219" s="1407"/>
      <c r="AF219" s="1407"/>
      <c r="AG219" s="1407"/>
      <c r="AH219" s="1407"/>
      <c r="AI219" s="1408"/>
      <c r="AJ219" s="1403"/>
      <c r="AK219" s="1403"/>
      <c r="AL219" s="1403"/>
    </row>
    <row r="220" spans="3:42">
      <c r="C220" s="1406">
        <f t="shared" si="7"/>
        <v>29</v>
      </c>
      <c r="D220" s="1423">
        <f t="shared" si="7"/>
        <v>0</v>
      </c>
      <c r="E220" s="1423" t="str">
        <f t="shared" si="7"/>
        <v>Comp 29</v>
      </c>
      <c r="F220" s="1407"/>
      <c r="G220" s="1407"/>
      <c r="H220" s="1407"/>
      <c r="I220" s="1407"/>
      <c r="J220" s="1407"/>
      <c r="K220" s="1408"/>
      <c r="L220" s="1407"/>
      <c r="M220" s="1407"/>
      <c r="N220" s="1407"/>
      <c r="O220" s="1407"/>
      <c r="P220" s="1407"/>
      <c r="Q220" s="1407"/>
      <c r="R220" s="1407"/>
      <c r="S220" s="1407"/>
      <c r="T220" s="1408"/>
      <c r="U220" s="1407"/>
      <c r="V220" s="1407"/>
      <c r="W220" s="1407"/>
      <c r="X220" s="1407"/>
      <c r="Y220" s="1407"/>
      <c r="Z220" s="1407"/>
      <c r="AA220" s="1407"/>
      <c r="AB220" s="1407"/>
      <c r="AC220" s="1408"/>
      <c r="AD220" s="1407"/>
      <c r="AE220" s="1407"/>
      <c r="AF220" s="1407"/>
      <c r="AG220" s="1407"/>
      <c r="AH220" s="1407"/>
      <c r="AI220" s="1408"/>
      <c r="AJ220" s="1403"/>
      <c r="AK220" s="1403"/>
      <c r="AL220" s="1403"/>
    </row>
    <row r="221" spans="3:42">
      <c r="C221" s="1409">
        <f t="shared" si="7"/>
        <v>30</v>
      </c>
      <c r="D221" s="1424">
        <f t="shared" si="7"/>
        <v>0</v>
      </c>
      <c r="E221" s="1424" t="str">
        <f t="shared" si="7"/>
        <v>Comp 30</v>
      </c>
      <c r="F221" s="1410"/>
      <c r="G221" s="1410"/>
      <c r="H221" s="1410"/>
      <c r="I221" s="1410"/>
      <c r="J221" s="1410"/>
      <c r="K221" s="1411"/>
      <c r="L221" s="1410"/>
      <c r="M221" s="1410"/>
      <c r="N221" s="1410"/>
      <c r="O221" s="1410"/>
      <c r="P221" s="1410"/>
      <c r="Q221" s="1410"/>
      <c r="R221" s="1410"/>
      <c r="S221" s="1410"/>
      <c r="T221" s="1411"/>
      <c r="U221" s="1410"/>
      <c r="V221" s="1410"/>
      <c r="W221" s="1410"/>
      <c r="X221" s="1410"/>
      <c r="Y221" s="1410"/>
      <c r="Z221" s="1410"/>
      <c r="AA221" s="1410"/>
      <c r="AB221" s="1410"/>
      <c r="AC221" s="1411"/>
      <c r="AD221" s="1410"/>
      <c r="AE221" s="1410"/>
      <c r="AF221" s="1410"/>
      <c r="AG221" s="1410"/>
      <c r="AH221" s="1410"/>
      <c r="AI221" s="1411"/>
      <c r="AJ221" s="1403"/>
      <c r="AK221" s="1403"/>
      <c r="AL221" s="1403"/>
    </row>
    <row r="222" spans="3:42">
      <c r="F222" s="1403"/>
      <c r="G222" s="1403"/>
      <c r="H222" s="1403"/>
      <c r="I222" s="1403"/>
      <c r="J222" s="1403"/>
      <c r="K222" s="1403"/>
      <c r="L222" s="1403"/>
      <c r="M222" s="1403"/>
      <c r="N222" s="1403"/>
      <c r="R222" s="1403"/>
      <c r="S222" s="1403"/>
      <c r="T222" s="1403"/>
      <c r="U222" s="1403"/>
      <c r="V222" s="1403"/>
      <c r="W222" s="1403"/>
      <c r="X222" s="1403"/>
      <c r="Y222" s="1403"/>
      <c r="Z222" s="1403"/>
      <c r="AA222" s="1403"/>
      <c r="AB222" s="1403"/>
      <c r="AC222" s="1403"/>
      <c r="AD222" s="1403"/>
      <c r="AE222" s="1403"/>
      <c r="AF222" s="1403"/>
      <c r="AG222" s="1403"/>
      <c r="AH222" s="1403"/>
      <c r="AI222" s="1403"/>
      <c r="AJ222" s="1403"/>
      <c r="AK222" s="1403"/>
      <c r="AL222" s="1403"/>
    </row>
    <row r="223" spans="3:42">
      <c r="C223" s="1432" t="s">
        <v>2086</v>
      </c>
      <c r="D223" s="1432"/>
      <c r="E223" s="1432"/>
      <c r="F223" s="1432"/>
      <c r="G223" s="1432"/>
      <c r="H223" s="1432"/>
      <c r="I223" s="1432"/>
      <c r="J223" s="1432"/>
      <c r="K223" s="1432"/>
      <c r="L223" s="1432"/>
      <c r="M223" s="1432"/>
      <c r="N223" s="1432"/>
      <c r="O223" s="1432"/>
      <c r="P223" s="1432"/>
      <c r="Q223" s="1432"/>
      <c r="R223" s="1432"/>
      <c r="S223" s="1432"/>
      <c r="T223" s="1432"/>
      <c r="U223" s="1432"/>
      <c r="V223" s="1432"/>
      <c r="W223" s="1432"/>
      <c r="X223" s="1432"/>
      <c r="Y223" s="1432"/>
      <c r="Z223" s="1432"/>
      <c r="AA223" s="1432"/>
      <c r="AB223" s="1432"/>
      <c r="AC223" s="1432"/>
      <c r="AD223" s="1432"/>
      <c r="AE223" s="1432"/>
      <c r="AF223" s="1432"/>
      <c r="AG223" s="1432"/>
      <c r="AH223" s="1432"/>
      <c r="AI223" s="1432"/>
      <c r="AJ223" s="1432"/>
      <c r="AK223" s="1432"/>
      <c r="AL223" s="1432"/>
      <c r="AM223" s="1432"/>
      <c r="AN223" s="1432"/>
      <c r="AO223" s="1432"/>
      <c r="AP223" s="1432"/>
    </row>
    <row r="224" spans="3:42">
      <c r="C224" s="1437" t="str">
        <f>C156</f>
        <v>S.No.</v>
      </c>
      <c r="D224" s="1438" t="str">
        <f>D156</f>
        <v>Ticker</v>
      </c>
      <c r="E224" s="1438" t="str">
        <f>E156</f>
        <v>Company Name</v>
      </c>
      <c r="F224" s="1439"/>
      <c r="G224" s="1439"/>
      <c r="H224" s="1439"/>
      <c r="I224" s="1439"/>
      <c r="J224" s="1439"/>
      <c r="K224" s="1439"/>
      <c r="L224" s="1439"/>
      <c r="M224" s="1439"/>
      <c r="N224" s="1439"/>
      <c r="O224" s="1439"/>
      <c r="P224" s="1439"/>
      <c r="Q224" s="1439"/>
      <c r="R224" s="1439"/>
      <c r="S224" s="1439"/>
      <c r="T224" s="1439"/>
      <c r="U224" s="1439"/>
      <c r="V224" s="1439"/>
      <c r="W224" s="1439"/>
      <c r="X224" s="1439"/>
      <c r="Y224" s="1439"/>
      <c r="Z224" s="1439"/>
      <c r="AA224" s="1439"/>
      <c r="AB224" s="1439"/>
      <c r="AC224" s="1439"/>
      <c r="AD224" s="1439"/>
      <c r="AE224" s="1816" t="s">
        <v>1567</v>
      </c>
      <c r="AF224" s="1816"/>
      <c r="AG224" s="1816"/>
      <c r="AH224" s="1816" t="s">
        <v>1568</v>
      </c>
      <c r="AI224" s="1816"/>
      <c r="AJ224" s="1816"/>
      <c r="AK224" s="1816" t="s">
        <v>1569</v>
      </c>
      <c r="AL224" s="1816"/>
      <c r="AM224" s="1816"/>
      <c r="AN224" s="1816" t="s">
        <v>1570</v>
      </c>
      <c r="AO224" s="1816"/>
      <c r="AP224" s="1816"/>
    </row>
    <row r="225" spans="3:42" ht="51.65" customHeight="1">
      <c r="C225" s="1420"/>
      <c r="D225" s="1421"/>
      <c r="E225" s="1421"/>
      <c r="F225" s="1426" t="s">
        <v>1571</v>
      </c>
      <c r="G225" s="1426" t="s">
        <v>1572</v>
      </c>
      <c r="H225" s="1426" t="s">
        <v>1573</v>
      </c>
      <c r="I225" s="1426" t="s">
        <v>1574</v>
      </c>
      <c r="J225" s="1426" t="s">
        <v>1575</v>
      </c>
      <c r="K225" s="1426" t="s">
        <v>1576</v>
      </c>
      <c r="L225" s="1426" t="s">
        <v>1577</v>
      </c>
      <c r="M225" s="1426" t="s">
        <v>1578</v>
      </c>
      <c r="N225" s="1426" t="s">
        <v>1579</v>
      </c>
      <c r="O225" s="1426" t="s">
        <v>1580</v>
      </c>
      <c r="P225" s="1426" t="s">
        <v>1581</v>
      </c>
      <c r="Q225" s="1426" t="s">
        <v>1582</v>
      </c>
      <c r="R225" s="1426" t="s">
        <v>1515</v>
      </c>
      <c r="S225" s="1426" t="s">
        <v>1583</v>
      </c>
      <c r="T225" s="1426" t="s">
        <v>1439</v>
      </c>
      <c r="U225" s="1426" t="s">
        <v>1584</v>
      </c>
      <c r="V225" s="1426" t="s">
        <v>1585</v>
      </c>
      <c r="W225" s="1426" t="s">
        <v>1586</v>
      </c>
      <c r="X225" s="1426" t="s">
        <v>1587</v>
      </c>
      <c r="Y225" s="1426" t="s">
        <v>1588</v>
      </c>
      <c r="Z225" s="1426" t="s">
        <v>1589</v>
      </c>
      <c r="AA225" s="1426" t="s">
        <v>1467</v>
      </c>
      <c r="AB225" s="1426" t="s">
        <v>1468</v>
      </c>
      <c r="AC225" s="1426" t="s">
        <v>1590</v>
      </c>
      <c r="AD225" s="1426" t="s">
        <v>1591</v>
      </c>
      <c r="AE225" s="1426" t="s">
        <v>1592</v>
      </c>
      <c r="AF225" s="1426" t="s">
        <v>1593</v>
      </c>
      <c r="AG225" s="1426" t="s">
        <v>1594</v>
      </c>
      <c r="AH225" s="1426" t="s">
        <v>1592</v>
      </c>
      <c r="AI225" s="1426" t="s">
        <v>1593</v>
      </c>
      <c r="AJ225" s="1426" t="s">
        <v>1594</v>
      </c>
      <c r="AK225" s="1426" t="s">
        <v>1592</v>
      </c>
      <c r="AL225" s="1426" t="s">
        <v>1593</v>
      </c>
      <c r="AM225" s="1426" t="s">
        <v>1594</v>
      </c>
      <c r="AN225" s="1426" t="s">
        <v>1592</v>
      </c>
      <c r="AO225" s="1426" t="s">
        <v>1593</v>
      </c>
      <c r="AP225" s="1427" t="s">
        <v>1594</v>
      </c>
    </row>
    <row r="226" spans="3:42">
      <c r="C226" s="1406">
        <f t="shared" ref="C226:E234" si="8">C158</f>
        <v>1</v>
      </c>
      <c r="D226" s="1423">
        <f t="shared" si="8"/>
        <v>0</v>
      </c>
      <c r="E226" s="1423" t="str">
        <f t="shared" si="8"/>
        <v>Comp 1</v>
      </c>
      <c r="F226" s="1407"/>
      <c r="G226" s="1407"/>
      <c r="H226" s="1407"/>
      <c r="I226" s="1407"/>
      <c r="J226" s="1407"/>
      <c r="K226" s="1407"/>
      <c r="L226" s="1407"/>
      <c r="M226" s="1407"/>
      <c r="N226" s="1407"/>
      <c r="O226" s="1407"/>
      <c r="P226" s="1407"/>
      <c r="Q226" s="1407"/>
      <c r="R226" s="1407"/>
      <c r="S226" s="1407"/>
      <c r="T226" s="1407"/>
      <c r="U226" s="1407"/>
      <c r="V226" s="1407"/>
      <c r="W226" s="1407"/>
      <c r="X226" s="1407"/>
      <c r="Y226" s="1407"/>
      <c r="Z226" s="1407"/>
      <c r="AA226" s="1407"/>
      <c r="AB226" s="1407"/>
      <c r="AC226" s="1407"/>
      <c r="AD226" s="1407"/>
      <c r="AE226" s="1407"/>
      <c r="AF226" s="1407"/>
      <c r="AG226" s="1407"/>
      <c r="AH226" s="1407"/>
      <c r="AI226" s="1407"/>
      <c r="AJ226" s="1407"/>
      <c r="AK226" s="1407"/>
      <c r="AL226" s="1407"/>
      <c r="AM226" s="1407"/>
      <c r="AN226" s="1407"/>
      <c r="AO226" s="1407"/>
      <c r="AP226" s="1408"/>
    </row>
    <row r="227" spans="3:42">
      <c r="C227" s="1406">
        <f t="shared" si="8"/>
        <v>2</v>
      </c>
      <c r="D227" s="1423">
        <f t="shared" si="8"/>
        <v>0</v>
      </c>
      <c r="E227" s="1423" t="str">
        <f t="shared" si="8"/>
        <v>Comp 2</v>
      </c>
      <c r="F227" s="1407"/>
      <c r="G227" s="1407"/>
      <c r="H227" s="1407"/>
      <c r="I227" s="1407"/>
      <c r="J227" s="1407"/>
      <c r="K227" s="1407"/>
      <c r="L227" s="1407"/>
      <c r="M227" s="1407"/>
      <c r="N227" s="1407"/>
      <c r="O227" s="1407"/>
      <c r="P227" s="1407"/>
      <c r="Q227" s="1407"/>
      <c r="R227" s="1407"/>
      <c r="S227" s="1407"/>
      <c r="T227" s="1407"/>
      <c r="U227" s="1407"/>
      <c r="V227" s="1407"/>
      <c r="W227" s="1407"/>
      <c r="X227" s="1407"/>
      <c r="Y227" s="1407"/>
      <c r="Z227" s="1407"/>
      <c r="AA227" s="1407"/>
      <c r="AB227" s="1407"/>
      <c r="AC227" s="1407"/>
      <c r="AD227" s="1407"/>
      <c r="AE227" s="1407"/>
      <c r="AF227" s="1407"/>
      <c r="AG227" s="1407"/>
      <c r="AH227" s="1407"/>
      <c r="AI227" s="1407"/>
      <c r="AJ227" s="1407"/>
      <c r="AK227" s="1407"/>
      <c r="AL227" s="1407"/>
      <c r="AM227" s="1407"/>
      <c r="AN227" s="1407"/>
      <c r="AO227" s="1407"/>
      <c r="AP227" s="1408"/>
    </row>
    <row r="228" spans="3:42">
      <c r="C228" s="1406">
        <f t="shared" si="8"/>
        <v>3</v>
      </c>
      <c r="D228" s="1423">
        <f t="shared" si="8"/>
        <v>0</v>
      </c>
      <c r="E228" s="1423" t="str">
        <f t="shared" si="8"/>
        <v>Comp 3</v>
      </c>
      <c r="F228" s="1407"/>
      <c r="G228" s="1407"/>
      <c r="H228" s="1407"/>
      <c r="I228" s="1407"/>
      <c r="J228" s="1407"/>
      <c r="K228" s="1407"/>
      <c r="L228" s="1407"/>
      <c r="M228" s="1407"/>
      <c r="N228" s="1407"/>
      <c r="O228" s="1407"/>
      <c r="P228" s="1407"/>
      <c r="Q228" s="1407"/>
      <c r="R228" s="1407"/>
      <c r="S228" s="1407"/>
      <c r="T228" s="1407"/>
      <c r="U228" s="1407"/>
      <c r="V228" s="1407"/>
      <c r="W228" s="1407"/>
      <c r="X228" s="1407"/>
      <c r="Y228" s="1407"/>
      <c r="Z228" s="1407"/>
      <c r="AA228" s="1407"/>
      <c r="AB228" s="1407"/>
      <c r="AC228" s="1407"/>
      <c r="AD228" s="1407"/>
      <c r="AE228" s="1407"/>
      <c r="AF228" s="1407"/>
      <c r="AG228" s="1407"/>
      <c r="AH228" s="1407"/>
      <c r="AI228" s="1407"/>
      <c r="AJ228" s="1407"/>
      <c r="AK228" s="1407"/>
      <c r="AL228" s="1407"/>
      <c r="AM228" s="1407"/>
      <c r="AN228" s="1407"/>
      <c r="AO228" s="1407"/>
      <c r="AP228" s="1408"/>
    </row>
    <row r="229" spans="3:42">
      <c r="C229" s="1406">
        <f t="shared" si="8"/>
        <v>4</v>
      </c>
      <c r="D229" s="1423">
        <f t="shared" si="8"/>
        <v>0</v>
      </c>
      <c r="E229" s="1423" t="str">
        <f t="shared" si="8"/>
        <v>Comp 4</v>
      </c>
      <c r="F229" s="1407"/>
      <c r="G229" s="1407"/>
      <c r="H229" s="1407"/>
      <c r="I229" s="1407"/>
      <c r="J229" s="1407"/>
      <c r="K229" s="1407"/>
      <c r="L229" s="1407"/>
      <c r="M229" s="1407"/>
      <c r="N229" s="1407"/>
      <c r="O229" s="1407"/>
      <c r="P229" s="1407"/>
      <c r="Q229" s="1407"/>
      <c r="R229" s="1407"/>
      <c r="S229" s="1407"/>
      <c r="T229" s="1407"/>
      <c r="U229" s="1407"/>
      <c r="V229" s="1407"/>
      <c r="W229" s="1407"/>
      <c r="X229" s="1407"/>
      <c r="Y229" s="1407"/>
      <c r="Z229" s="1407"/>
      <c r="AA229" s="1407"/>
      <c r="AB229" s="1407"/>
      <c r="AC229" s="1407"/>
      <c r="AD229" s="1407"/>
      <c r="AE229" s="1407"/>
      <c r="AF229" s="1407"/>
      <c r="AG229" s="1407"/>
      <c r="AH229" s="1407"/>
      <c r="AI229" s="1407"/>
      <c r="AJ229" s="1407"/>
      <c r="AK229" s="1407"/>
      <c r="AL229" s="1407"/>
      <c r="AM229" s="1407"/>
      <c r="AN229" s="1407"/>
      <c r="AO229" s="1407"/>
      <c r="AP229" s="1408"/>
    </row>
    <row r="230" spans="3:42">
      <c r="C230" s="1406">
        <f t="shared" si="8"/>
        <v>5</v>
      </c>
      <c r="D230" s="1423">
        <f t="shared" si="8"/>
        <v>0</v>
      </c>
      <c r="E230" s="1423" t="str">
        <f t="shared" si="8"/>
        <v>Comp 5</v>
      </c>
      <c r="F230" s="1407"/>
      <c r="G230" s="1407"/>
      <c r="H230" s="1407"/>
      <c r="I230" s="1407"/>
      <c r="J230" s="1407"/>
      <c r="K230" s="1407"/>
      <c r="L230" s="1407"/>
      <c r="M230" s="1407"/>
      <c r="N230" s="1407"/>
      <c r="O230" s="1407"/>
      <c r="P230" s="1407"/>
      <c r="Q230" s="1407"/>
      <c r="R230" s="1407"/>
      <c r="S230" s="1407"/>
      <c r="T230" s="1407"/>
      <c r="U230" s="1407"/>
      <c r="V230" s="1407"/>
      <c r="W230" s="1407"/>
      <c r="X230" s="1407"/>
      <c r="Y230" s="1407"/>
      <c r="Z230" s="1407"/>
      <c r="AA230" s="1407"/>
      <c r="AB230" s="1407"/>
      <c r="AC230" s="1407"/>
      <c r="AD230" s="1407"/>
      <c r="AE230" s="1407"/>
      <c r="AF230" s="1407"/>
      <c r="AG230" s="1407"/>
      <c r="AH230" s="1407"/>
      <c r="AI230" s="1407"/>
      <c r="AJ230" s="1407"/>
      <c r="AK230" s="1407"/>
      <c r="AL230" s="1407"/>
      <c r="AM230" s="1407"/>
      <c r="AN230" s="1407"/>
      <c r="AO230" s="1407"/>
      <c r="AP230" s="1408"/>
    </row>
    <row r="231" spans="3:42">
      <c r="C231" s="1406">
        <f t="shared" si="8"/>
        <v>6</v>
      </c>
      <c r="D231" s="1423">
        <f t="shared" si="8"/>
        <v>0</v>
      </c>
      <c r="E231" s="1423" t="str">
        <f t="shared" si="8"/>
        <v>Comp 6</v>
      </c>
      <c r="F231" s="1407"/>
      <c r="G231" s="1407"/>
      <c r="H231" s="1407"/>
      <c r="I231" s="1407"/>
      <c r="J231" s="1407"/>
      <c r="K231" s="1407"/>
      <c r="L231" s="1407"/>
      <c r="M231" s="1407"/>
      <c r="N231" s="1407"/>
      <c r="O231" s="1407"/>
      <c r="P231" s="1407"/>
      <c r="Q231" s="1407"/>
      <c r="R231" s="1407"/>
      <c r="S231" s="1407"/>
      <c r="T231" s="1407"/>
      <c r="U231" s="1407"/>
      <c r="V231" s="1407"/>
      <c r="W231" s="1407"/>
      <c r="X231" s="1407"/>
      <c r="Y231" s="1407"/>
      <c r="Z231" s="1407"/>
      <c r="AA231" s="1407"/>
      <c r="AB231" s="1407"/>
      <c r="AC231" s="1407"/>
      <c r="AD231" s="1407"/>
      <c r="AE231" s="1407"/>
      <c r="AF231" s="1407"/>
      <c r="AG231" s="1407"/>
      <c r="AH231" s="1407"/>
      <c r="AI231" s="1407"/>
      <c r="AJ231" s="1407"/>
      <c r="AK231" s="1407"/>
      <c r="AL231" s="1407"/>
      <c r="AM231" s="1407"/>
      <c r="AN231" s="1407"/>
      <c r="AO231" s="1407"/>
      <c r="AP231" s="1408"/>
    </row>
    <row r="232" spans="3:42">
      <c r="C232" s="1406">
        <f t="shared" si="8"/>
        <v>7</v>
      </c>
      <c r="D232" s="1423">
        <f t="shared" si="8"/>
        <v>0</v>
      </c>
      <c r="E232" s="1423" t="str">
        <f t="shared" si="8"/>
        <v>Comp 7</v>
      </c>
      <c r="F232" s="1407"/>
      <c r="G232" s="1407"/>
      <c r="H232" s="1407"/>
      <c r="I232" s="1407"/>
      <c r="J232" s="1407"/>
      <c r="K232" s="1407"/>
      <c r="L232" s="1407"/>
      <c r="M232" s="1407"/>
      <c r="N232" s="1407"/>
      <c r="O232" s="1407"/>
      <c r="P232" s="1407"/>
      <c r="Q232" s="1407"/>
      <c r="R232" s="1407"/>
      <c r="S232" s="1407"/>
      <c r="T232" s="1407"/>
      <c r="U232" s="1407"/>
      <c r="V232" s="1407"/>
      <c r="W232" s="1407"/>
      <c r="X232" s="1407"/>
      <c r="Y232" s="1407"/>
      <c r="Z232" s="1407"/>
      <c r="AA232" s="1407"/>
      <c r="AB232" s="1407"/>
      <c r="AC232" s="1407"/>
      <c r="AD232" s="1407"/>
      <c r="AE232" s="1407"/>
      <c r="AF232" s="1407"/>
      <c r="AG232" s="1407"/>
      <c r="AH232" s="1407"/>
      <c r="AI232" s="1407"/>
      <c r="AJ232" s="1407"/>
      <c r="AK232" s="1407"/>
      <c r="AL232" s="1407"/>
      <c r="AM232" s="1407"/>
      <c r="AN232" s="1407"/>
      <c r="AO232" s="1407"/>
      <c r="AP232" s="1408"/>
    </row>
    <row r="233" spans="3:42">
      <c r="C233" s="1406">
        <f t="shared" si="8"/>
        <v>8</v>
      </c>
      <c r="D233" s="1423">
        <f t="shared" si="8"/>
        <v>0</v>
      </c>
      <c r="E233" s="1423" t="str">
        <f t="shared" si="8"/>
        <v>Comp 8</v>
      </c>
      <c r="F233" s="1407"/>
      <c r="G233" s="1407"/>
      <c r="H233" s="1407"/>
      <c r="I233" s="1407"/>
      <c r="J233" s="1407"/>
      <c r="K233" s="1407"/>
      <c r="L233" s="1407"/>
      <c r="M233" s="1407"/>
      <c r="N233" s="1407"/>
      <c r="O233" s="1407"/>
      <c r="P233" s="1407"/>
      <c r="Q233" s="1407"/>
      <c r="R233" s="1407"/>
      <c r="S233" s="1407"/>
      <c r="T233" s="1407"/>
      <c r="U233" s="1407"/>
      <c r="V233" s="1407"/>
      <c r="W233" s="1407"/>
      <c r="X233" s="1407"/>
      <c r="Y233" s="1407"/>
      <c r="Z233" s="1407"/>
      <c r="AA233" s="1407"/>
      <c r="AB233" s="1407"/>
      <c r="AC233" s="1407"/>
      <c r="AD233" s="1407"/>
      <c r="AE233" s="1407"/>
      <c r="AF233" s="1407"/>
      <c r="AG233" s="1407"/>
      <c r="AH233" s="1407"/>
      <c r="AI233" s="1407"/>
      <c r="AJ233" s="1407"/>
      <c r="AK233" s="1407"/>
      <c r="AL233" s="1407"/>
      <c r="AM233" s="1407"/>
      <c r="AN233" s="1407"/>
      <c r="AO233" s="1407"/>
      <c r="AP233" s="1408"/>
    </row>
    <row r="234" spans="3:42">
      <c r="C234" s="1406">
        <f t="shared" si="8"/>
        <v>9</v>
      </c>
      <c r="D234" s="1423">
        <f t="shared" si="8"/>
        <v>0</v>
      </c>
      <c r="E234" s="1423" t="str">
        <f t="shared" si="8"/>
        <v>Comp 9</v>
      </c>
      <c r="F234" s="1407"/>
      <c r="G234" s="1407"/>
      <c r="H234" s="1407"/>
      <c r="I234" s="1407"/>
      <c r="J234" s="1407"/>
      <c r="K234" s="1407"/>
      <c r="L234" s="1407"/>
      <c r="M234" s="1407"/>
      <c r="N234" s="1407"/>
      <c r="O234" s="1407"/>
      <c r="P234" s="1407"/>
      <c r="Q234" s="1407"/>
      <c r="R234" s="1407"/>
      <c r="S234" s="1407"/>
      <c r="T234" s="1407"/>
      <c r="U234" s="1407"/>
      <c r="V234" s="1407"/>
      <c r="W234" s="1407"/>
      <c r="X234" s="1407"/>
      <c r="Y234" s="1407"/>
      <c r="Z234" s="1407"/>
      <c r="AA234" s="1407"/>
      <c r="AB234" s="1407"/>
      <c r="AC234" s="1407"/>
      <c r="AD234" s="1407"/>
      <c r="AE234" s="1407"/>
      <c r="AF234" s="1407"/>
      <c r="AG234" s="1407"/>
      <c r="AH234" s="1407"/>
      <c r="AI234" s="1407"/>
      <c r="AJ234" s="1407"/>
      <c r="AK234" s="1407"/>
      <c r="AL234" s="1407"/>
      <c r="AM234" s="1407"/>
      <c r="AN234" s="1407"/>
      <c r="AO234" s="1407"/>
      <c r="AP234" s="1408"/>
    </row>
    <row r="235" spans="3:42">
      <c r="C235" s="1406">
        <f t="shared" ref="C235:E252" si="9">C167</f>
        <v>10</v>
      </c>
      <c r="D235" s="1423">
        <f t="shared" si="9"/>
        <v>0</v>
      </c>
      <c r="E235" s="1423" t="str">
        <f t="shared" si="9"/>
        <v>Comp 10</v>
      </c>
      <c r="F235" s="1407"/>
      <c r="G235" s="1407"/>
      <c r="H235" s="1407"/>
      <c r="I235" s="1407"/>
      <c r="J235" s="1407"/>
      <c r="K235" s="1407"/>
      <c r="L235" s="1407"/>
      <c r="M235" s="1407"/>
      <c r="N235" s="1407"/>
      <c r="O235" s="1407"/>
      <c r="P235" s="1407"/>
      <c r="Q235" s="1407"/>
      <c r="R235" s="1407"/>
      <c r="S235" s="1407"/>
      <c r="T235" s="1407"/>
      <c r="U235" s="1407"/>
      <c r="V235" s="1407"/>
      <c r="W235" s="1407"/>
      <c r="X235" s="1407"/>
      <c r="Y235" s="1407"/>
      <c r="Z235" s="1407"/>
      <c r="AA235" s="1407"/>
      <c r="AB235" s="1407"/>
      <c r="AC235" s="1407"/>
      <c r="AD235" s="1407"/>
      <c r="AE235" s="1407"/>
      <c r="AF235" s="1407"/>
      <c r="AG235" s="1407"/>
      <c r="AH235" s="1407"/>
      <c r="AI235" s="1407"/>
      <c r="AJ235" s="1407"/>
      <c r="AK235" s="1407"/>
      <c r="AL235" s="1407"/>
      <c r="AM235" s="1407"/>
      <c r="AN235" s="1407"/>
      <c r="AO235" s="1407"/>
      <c r="AP235" s="1408"/>
    </row>
    <row r="236" spans="3:42">
      <c r="C236" s="1406">
        <f t="shared" si="9"/>
        <v>11</v>
      </c>
      <c r="D236" s="1423">
        <f t="shared" si="9"/>
        <v>0</v>
      </c>
      <c r="E236" s="1423" t="str">
        <f t="shared" si="9"/>
        <v>Comp 11</v>
      </c>
      <c r="F236" s="1407"/>
      <c r="G236" s="1407"/>
      <c r="H236" s="1407"/>
      <c r="I236" s="1407"/>
      <c r="J236" s="1407"/>
      <c r="K236" s="1407"/>
      <c r="L236" s="1407"/>
      <c r="M236" s="1407"/>
      <c r="N236" s="1407"/>
      <c r="O236" s="1407"/>
      <c r="P236" s="1407"/>
      <c r="Q236" s="1407"/>
      <c r="R236" s="1407"/>
      <c r="S236" s="1407"/>
      <c r="T236" s="1407"/>
      <c r="U236" s="1407"/>
      <c r="V236" s="1407"/>
      <c r="W236" s="1407"/>
      <c r="X236" s="1407"/>
      <c r="Y236" s="1407"/>
      <c r="Z236" s="1407"/>
      <c r="AA236" s="1407"/>
      <c r="AB236" s="1407"/>
      <c r="AC236" s="1407"/>
      <c r="AD236" s="1407"/>
      <c r="AE236" s="1407"/>
      <c r="AF236" s="1407"/>
      <c r="AG236" s="1407"/>
      <c r="AH236" s="1407"/>
      <c r="AI236" s="1407"/>
      <c r="AJ236" s="1407"/>
      <c r="AK236" s="1407"/>
      <c r="AL236" s="1407"/>
      <c r="AM236" s="1407"/>
      <c r="AN236" s="1407"/>
      <c r="AO236" s="1407"/>
      <c r="AP236" s="1408"/>
    </row>
    <row r="237" spans="3:42">
      <c r="C237" s="1406">
        <f t="shared" si="9"/>
        <v>12</v>
      </c>
      <c r="D237" s="1423">
        <f t="shared" si="9"/>
        <v>0</v>
      </c>
      <c r="E237" s="1423" t="str">
        <f t="shared" si="9"/>
        <v>Comp 12</v>
      </c>
      <c r="F237" s="1407"/>
      <c r="G237" s="1407"/>
      <c r="H237" s="1407"/>
      <c r="I237" s="1407"/>
      <c r="J237" s="1407"/>
      <c r="K237" s="1407"/>
      <c r="L237" s="1407"/>
      <c r="M237" s="1407"/>
      <c r="N237" s="1407"/>
      <c r="O237" s="1407"/>
      <c r="P237" s="1407"/>
      <c r="Q237" s="1407"/>
      <c r="R237" s="1407"/>
      <c r="S237" s="1407"/>
      <c r="T237" s="1407"/>
      <c r="U237" s="1407"/>
      <c r="V237" s="1407"/>
      <c r="W237" s="1407"/>
      <c r="X237" s="1407"/>
      <c r="Y237" s="1407"/>
      <c r="Z237" s="1407"/>
      <c r="AA237" s="1407"/>
      <c r="AB237" s="1407"/>
      <c r="AC237" s="1407"/>
      <c r="AD237" s="1407"/>
      <c r="AE237" s="1407"/>
      <c r="AF237" s="1407"/>
      <c r="AG237" s="1407"/>
      <c r="AH237" s="1407"/>
      <c r="AI237" s="1407"/>
      <c r="AJ237" s="1407"/>
      <c r="AK237" s="1407"/>
      <c r="AL237" s="1407"/>
      <c r="AM237" s="1407"/>
      <c r="AN237" s="1407"/>
      <c r="AO237" s="1407"/>
      <c r="AP237" s="1408"/>
    </row>
    <row r="238" spans="3:42">
      <c r="C238" s="1406">
        <f t="shared" si="9"/>
        <v>13</v>
      </c>
      <c r="D238" s="1423">
        <f t="shared" si="9"/>
        <v>0</v>
      </c>
      <c r="E238" s="1423" t="str">
        <f t="shared" si="9"/>
        <v>Comp 13</v>
      </c>
      <c r="F238" s="1407"/>
      <c r="G238" s="1407"/>
      <c r="H238" s="1407"/>
      <c r="I238" s="1407"/>
      <c r="J238" s="1407"/>
      <c r="K238" s="1407"/>
      <c r="L238" s="1407"/>
      <c r="M238" s="1407"/>
      <c r="N238" s="1407"/>
      <c r="O238" s="1407"/>
      <c r="P238" s="1407"/>
      <c r="Q238" s="1407"/>
      <c r="R238" s="1407"/>
      <c r="S238" s="1407"/>
      <c r="T238" s="1407"/>
      <c r="U238" s="1407"/>
      <c r="V238" s="1407"/>
      <c r="W238" s="1407"/>
      <c r="X238" s="1407"/>
      <c r="Y238" s="1407"/>
      <c r="Z238" s="1407"/>
      <c r="AA238" s="1407"/>
      <c r="AB238" s="1407"/>
      <c r="AC238" s="1407"/>
      <c r="AD238" s="1407"/>
      <c r="AE238" s="1407"/>
      <c r="AF238" s="1407"/>
      <c r="AG238" s="1407"/>
      <c r="AH238" s="1407"/>
      <c r="AI238" s="1407"/>
      <c r="AJ238" s="1407"/>
      <c r="AK238" s="1407"/>
      <c r="AL238" s="1407"/>
      <c r="AM238" s="1407"/>
      <c r="AN238" s="1407"/>
      <c r="AO238" s="1407"/>
      <c r="AP238" s="1408"/>
    </row>
    <row r="239" spans="3:42">
      <c r="C239" s="1406">
        <f t="shared" si="9"/>
        <v>14</v>
      </c>
      <c r="D239" s="1423">
        <f t="shared" si="9"/>
        <v>0</v>
      </c>
      <c r="E239" s="1423" t="str">
        <f t="shared" si="9"/>
        <v>Comp 14</v>
      </c>
      <c r="F239" s="1407"/>
      <c r="G239" s="1407"/>
      <c r="H239" s="1407"/>
      <c r="I239" s="1407"/>
      <c r="J239" s="1407"/>
      <c r="K239" s="1407"/>
      <c r="L239" s="1407"/>
      <c r="M239" s="1407"/>
      <c r="N239" s="1407"/>
      <c r="O239" s="1407"/>
      <c r="P239" s="1407"/>
      <c r="Q239" s="1407"/>
      <c r="R239" s="1407"/>
      <c r="S239" s="1407"/>
      <c r="T239" s="1407"/>
      <c r="U239" s="1407"/>
      <c r="V239" s="1407"/>
      <c r="W239" s="1407"/>
      <c r="X239" s="1407"/>
      <c r="Y239" s="1407"/>
      <c r="Z239" s="1407"/>
      <c r="AA239" s="1407"/>
      <c r="AB239" s="1407"/>
      <c r="AC239" s="1407"/>
      <c r="AD239" s="1407"/>
      <c r="AE239" s="1407"/>
      <c r="AF239" s="1407"/>
      <c r="AG239" s="1407"/>
      <c r="AH239" s="1407"/>
      <c r="AI239" s="1407"/>
      <c r="AJ239" s="1407"/>
      <c r="AK239" s="1407"/>
      <c r="AL239" s="1407"/>
      <c r="AM239" s="1407"/>
      <c r="AN239" s="1407"/>
      <c r="AO239" s="1407"/>
      <c r="AP239" s="1408"/>
    </row>
    <row r="240" spans="3:42">
      <c r="C240" s="1406">
        <f t="shared" si="9"/>
        <v>15</v>
      </c>
      <c r="D240" s="1423">
        <f t="shared" si="9"/>
        <v>0</v>
      </c>
      <c r="E240" s="1423" t="str">
        <f t="shared" si="9"/>
        <v>Comp 15</v>
      </c>
      <c r="F240" s="1407"/>
      <c r="G240" s="1407"/>
      <c r="H240" s="1407"/>
      <c r="I240" s="1407"/>
      <c r="J240" s="1407"/>
      <c r="K240" s="1407"/>
      <c r="L240" s="1407"/>
      <c r="M240" s="1407"/>
      <c r="N240" s="1407"/>
      <c r="O240" s="1407"/>
      <c r="P240" s="1407"/>
      <c r="Q240" s="1407"/>
      <c r="R240" s="1407"/>
      <c r="S240" s="1407"/>
      <c r="T240" s="1407"/>
      <c r="U240" s="1407"/>
      <c r="V240" s="1407"/>
      <c r="W240" s="1407"/>
      <c r="X240" s="1407"/>
      <c r="Y240" s="1407"/>
      <c r="Z240" s="1407"/>
      <c r="AA240" s="1407"/>
      <c r="AB240" s="1407"/>
      <c r="AC240" s="1407"/>
      <c r="AD240" s="1407"/>
      <c r="AE240" s="1407"/>
      <c r="AF240" s="1407"/>
      <c r="AG240" s="1407"/>
      <c r="AH240" s="1407"/>
      <c r="AI240" s="1407"/>
      <c r="AJ240" s="1407"/>
      <c r="AK240" s="1407"/>
      <c r="AL240" s="1407"/>
      <c r="AM240" s="1407"/>
      <c r="AN240" s="1407"/>
      <c r="AO240" s="1407"/>
      <c r="AP240" s="1408"/>
    </row>
    <row r="241" spans="3:42">
      <c r="C241" s="1406">
        <f t="shared" si="9"/>
        <v>16</v>
      </c>
      <c r="D241" s="1423">
        <f t="shared" si="9"/>
        <v>0</v>
      </c>
      <c r="E241" s="1423" t="str">
        <f t="shared" si="9"/>
        <v>Comp 16</v>
      </c>
      <c r="F241" s="1407"/>
      <c r="G241" s="1407"/>
      <c r="H241" s="1407"/>
      <c r="I241" s="1407"/>
      <c r="J241" s="1407"/>
      <c r="K241" s="1407"/>
      <c r="L241" s="1407"/>
      <c r="M241" s="1407"/>
      <c r="N241" s="1407"/>
      <c r="O241" s="1407"/>
      <c r="P241" s="1407"/>
      <c r="Q241" s="1407"/>
      <c r="R241" s="1407"/>
      <c r="S241" s="1407"/>
      <c r="T241" s="1407"/>
      <c r="U241" s="1407"/>
      <c r="V241" s="1407"/>
      <c r="W241" s="1407"/>
      <c r="X241" s="1407"/>
      <c r="Y241" s="1407"/>
      <c r="Z241" s="1407"/>
      <c r="AA241" s="1407"/>
      <c r="AB241" s="1407"/>
      <c r="AC241" s="1407"/>
      <c r="AD241" s="1407"/>
      <c r="AE241" s="1407"/>
      <c r="AF241" s="1407"/>
      <c r="AG241" s="1407"/>
      <c r="AH241" s="1407"/>
      <c r="AI241" s="1407"/>
      <c r="AJ241" s="1407"/>
      <c r="AK241" s="1407"/>
      <c r="AL241" s="1407"/>
      <c r="AM241" s="1407"/>
      <c r="AN241" s="1407"/>
      <c r="AO241" s="1407"/>
      <c r="AP241" s="1408"/>
    </row>
    <row r="242" spans="3:42">
      <c r="C242" s="1406">
        <f t="shared" si="9"/>
        <v>17</v>
      </c>
      <c r="D242" s="1423">
        <f t="shared" si="9"/>
        <v>0</v>
      </c>
      <c r="E242" s="1423" t="str">
        <f t="shared" si="9"/>
        <v>Comp 17</v>
      </c>
      <c r="F242" s="1407"/>
      <c r="G242" s="1407"/>
      <c r="H242" s="1407"/>
      <c r="I242" s="1407"/>
      <c r="J242" s="1407"/>
      <c r="K242" s="1407"/>
      <c r="L242" s="1407"/>
      <c r="M242" s="1407"/>
      <c r="N242" s="1407"/>
      <c r="O242" s="1407"/>
      <c r="P242" s="1407"/>
      <c r="Q242" s="1407"/>
      <c r="R242" s="1407"/>
      <c r="S242" s="1407"/>
      <c r="T242" s="1407"/>
      <c r="U242" s="1407"/>
      <c r="V242" s="1407"/>
      <c r="W242" s="1407"/>
      <c r="X242" s="1407"/>
      <c r="Y242" s="1407"/>
      <c r="Z242" s="1407"/>
      <c r="AA242" s="1407"/>
      <c r="AB242" s="1407"/>
      <c r="AC242" s="1407"/>
      <c r="AD242" s="1407"/>
      <c r="AE242" s="1407"/>
      <c r="AF242" s="1407"/>
      <c r="AG242" s="1407"/>
      <c r="AH242" s="1407"/>
      <c r="AI242" s="1407"/>
      <c r="AJ242" s="1407"/>
      <c r="AK242" s="1407"/>
      <c r="AL242" s="1407"/>
      <c r="AM242" s="1407"/>
      <c r="AN242" s="1407"/>
      <c r="AO242" s="1407"/>
      <c r="AP242" s="1408"/>
    </row>
    <row r="243" spans="3:42">
      <c r="C243" s="1406">
        <f t="shared" si="9"/>
        <v>18</v>
      </c>
      <c r="D243" s="1423">
        <f t="shared" si="9"/>
        <v>0</v>
      </c>
      <c r="E243" s="1423" t="str">
        <f t="shared" si="9"/>
        <v>Comp 18</v>
      </c>
      <c r="F243" s="1407"/>
      <c r="G243" s="1407"/>
      <c r="H243" s="1407"/>
      <c r="I243" s="1407"/>
      <c r="J243" s="1407"/>
      <c r="K243" s="1407"/>
      <c r="L243" s="1407"/>
      <c r="M243" s="1407"/>
      <c r="N243" s="1407"/>
      <c r="O243" s="1407"/>
      <c r="P243" s="1407"/>
      <c r="Q243" s="1407"/>
      <c r="R243" s="1407"/>
      <c r="S243" s="1407"/>
      <c r="T243" s="1407"/>
      <c r="U243" s="1407"/>
      <c r="V243" s="1407"/>
      <c r="W243" s="1407"/>
      <c r="X243" s="1407"/>
      <c r="Y243" s="1407"/>
      <c r="Z243" s="1407"/>
      <c r="AA243" s="1407"/>
      <c r="AB243" s="1407"/>
      <c r="AC243" s="1407"/>
      <c r="AD243" s="1407"/>
      <c r="AE243" s="1407"/>
      <c r="AF243" s="1407"/>
      <c r="AG243" s="1407"/>
      <c r="AH243" s="1407"/>
      <c r="AI243" s="1407"/>
      <c r="AJ243" s="1407"/>
      <c r="AK243" s="1407"/>
      <c r="AL243" s="1407"/>
      <c r="AM243" s="1407"/>
      <c r="AN243" s="1407"/>
      <c r="AO243" s="1407"/>
      <c r="AP243" s="1408"/>
    </row>
    <row r="244" spans="3:42">
      <c r="C244" s="1406">
        <f t="shared" si="9"/>
        <v>19</v>
      </c>
      <c r="D244" s="1423">
        <f t="shared" si="9"/>
        <v>0</v>
      </c>
      <c r="E244" s="1423" t="str">
        <f t="shared" si="9"/>
        <v>Comp 19</v>
      </c>
      <c r="F244" s="1407"/>
      <c r="G244" s="1407"/>
      <c r="H244" s="1407"/>
      <c r="I244" s="1407"/>
      <c r="J244" s="1407"/>
      <c r="K244" s="1407"/>
      <c r="L244" s="1407"/>
      <c r="M244" s="1407"/>
      <c r="N244" s="1407"/>
      <c r="O244" s="1407"/>
      <c r="P244" s="1407"/>
      <c r="Q244" s="1407"/>
      <c r="R244" s="1407"/>
      <c r="S244" s="1407"/>
      <c r="T244" s="1407"/>
      <c r="U244" s="1407"/>
      <c r="V244" s="1407"/>
      <c r="W244" s="1407"/>
      <c r="X244" s="1407"/>
      <c r="Y244" s="1407"/>
      <c r="Z244" s="1407"/>
      <c r="AA244" s="1407"/>
      <c r="AB244" s="1407"/>
      <c r="AC244" s="1407"/>
      <c r="AD244" s="1407"/>
      <c r="AE244" s="1407"/>
      <c r="AF244" s="1407"/>
      <c r="AG244" s="1407"/>
      <c r="AH244" s="1407"/>
      <c r="AI244" s="1407"/>
      <c r="AJ244" s="1407"/>
      <c r="AK244" s="1407"/>
      <c r="AL244" s="1407"/>
      <c r="AM244" s="1407"/>
      <c r="AN244" s="1407"/>
      <c r="AO244" s="1407"/>
      <c r="AP244" s="1408"/>
    </row>
    <row r="245" spans="3:42">
      <c r="C245" s="1406">
        <f t="shared" si="9"/>
        <v>20</v>
      </c>
      <c r="D245" s="1423">
        <f t="shared" si="9"/>
        <v>0</v>
      </c>
      <c r="E245" s="1423" t="str">
        <f t="shared" si="9"/>
        <v>Comp 20</v>
      </c>
      <c r="F245" s="1407"/>
      <c r="G245" s="1407"/>
      <c r="H245" s="1407"/>
      <c r="I245" s="1407"/>
      <c r="J245" s="1407"/>
      <c r="K245" s="1407"/>
      <c r="L245" s="1407"/>
      <c r="M245" s="1407"/>
      <c r="N245" s="1407"/>
      <c r="O245" s="1407"/>
      <c r="P245" s="1407"/>
      <c r="Q245" s="1407"/>
      <c r="R245" s="1407"/>
      <c r="S245" s="1407"/>
      <c r="T245" s="1407"/>
      <c r="U245" s="1407"/>
      <c r="V245" s="1407"/>
      <c r="W245" s="1407"/>
      <c r="X245" s="1407"/>
      <c r="Y245" s="1407"/>
      <c r="Z245" s="1407"/>
      <c r="AA245" s="1407"/>
      <c r="AB245" s="1407"/>
      <c r="AC245" s="1407"/>
      <c r="AD245" s="1407"/>
      <c r="AE245" s="1407"/>
      <c r="AF245" s="1407"/>
      <c r="AG245" s="1407"/>
      <c r="AH245" s="1407"/>
      <c r="AI245" s="1407"/>
      <c r="AJ245" s="1407"/>
      <c r="AK245" s="1407"/>
      <c r="AL245" s="1407"/>
      <c r="AM245" s="1407"/>
      <c r="AN245" s="1407"/>
      <c r="AO245" s="1407"/>
      <c r="AP245" s="1408"/>
    </row>
    <row r="246" spans="3:42">
      <c r="C246" s="1406">
        <f t="shared" si="9"/>
        <v>21</v>
      </c>
      <c r="D246" s="1423">
        <f t="shared" si="9"/>
        <v>0</v>
      </c>
      <c r="E246" s="1423" t="str">
        <f t="shared" si="9"/>
        <v>Comp 21</v>
      </c>
      <c r="F246" s="1407"/>
      <c r="G246" s="1407"/>
      <c r="H246" s="1407"/>
      <c r="I246" s="1407"/>
      <c r="J246" s="1407"/>
      <c r="K246" s="1407"/>
      <c r="L246" s="1407"/>
      <c r="M246" s="1407"/>
      <c r="N246" s="1407"/>
      <c r="O246" s="1407"/>
      <c r="P246" s="1407"/>
      <c r="Q246" s="1407"/>
      <c r="R246" s="1407"/>
      <c r="S246" s="1407"/>
      <c r="T246" s="1407"/>
      <c r="U246" s="1407"/>
      <c r="V246" s="1407"/>
      <c r="W246" s="1407"/>
      <c r="X246" s="1407"/>
      <c r="Y246" s="1407"/>
      <c r="Z246" s="1407"/>
      <c r="AA246" s="1407"/>
      <c r="AB246" s="1407"/>
      <c r="AC246" s="1407"/>
      <c r="AD246" s="1407"/>
      <c r="AE246" s="1407"/>
      <c r="AF246" s="1407"/>
      <c r="AG246" s="1407"/>
      <c r="AH246" s="1407"/>
      <c r="AI246" s="1407"/>
      <c r="AJ246" s="1407"/>
      <c r="AK246" s="1407"/>
      <c r="AL246" s="1407"/>
      <c r="AM246" s="1407"/>
      <c r="AN246" s="1407"/>
      <c r="AO246" s="1407"/>
      <c r="AP246" s="1408"/>
    </row>
    <row r="247" spans="3:42">
      <c r="C247" s="1406">
        <f t="shared" si="9"/>
        <v>22</v>
      </c>
      <c r="D247" s="1423">
        <f t="shared" si="9"/>
        <v>0</v>
      </c>
      <c r="E247" s="1423" t="str">
        <f t="shared" si="9"/>
        <v>Comp 22</v>
      </c>
      <c r="F247" s="1407"/>
      <c r="G247" s="1407"/>
      <c r="H247" s="1407"/>
      <c r="I247" s="1407"/>
      <c r="J247" s="1407"/>
      <c r="K247" s="1407"/>
      <c r="L247" s="1407"/>
      <c r="M247" s="1407"/>
      <c r="N247" s="1407"/>
      <c r="O247" s="1407"/>
      <c r="P247" s="1407"/>
      <c r="Q247" s="1407"/>
      <c r="R247" s="1407"/>
      <c r="S247" s="1407"/>
      <c r="T247" s="1407"/>
      <c r="U247" s="1407"/>
      <c r="V247" s="1407"/>
      <c r="W247" s="1407"/>
      <c r="X247" s="1407"/>
      <c r="Y247" s="1407"/>
      <c r="Z247" s="1407"/>
      <c r="AA247" s="1407"/>
      <c r="AB247" s="1407"/>
      <c r="AC247" s="1407"/>
      <c r="AD247" s="1407"/>
      <c r="AE247" s="1407"/>
      <c r="AF247" s="1407"/>
      <c r="AG247" s="1407"/>
      <c r="AH247" s="1407"/>
      <c r="AI247" s="1407"/>
      <c r="AJ247" s="1407"/>
      <c r="AK247" s="1407"/>
      <c r="AL247" s="1407"/>
      <c r="AM247" s="1407"/>
      <c r="AN247" s="1407"/>
      <c r="AO247" s="1407"/>
      <c r="AP247" s="1408"/>
    </row>
    <row r="248" spans="3:42">
      <c r="C248" s="1406">
        <f t="shared" si="9"/>
        <v>23</v>
      </c>
      <c r="D248" s="1423">
        <f t="shared" si="9"/>
        <v>0</v>
      </c>
      <c r="E248" s="1423" t="str">
        <f t="shared" si="9"/>
        <v>Comp 23</v>
      </c>
      <c r="F248" s="1407"/>
      <c r="G248" s="1407"/>
      <c r="H248" s="1407"/>
      <c r="I248" s="1407"/>
      <c r="J248" s="1407"/>
      <c r="K248" s="1407"/>
      <c r="L248" s="1407"/>
      <c r="M248" s="1407"/>
      <c r="N248" s="1407"/>
      <c r="O248" s="1407"/>
      <c r="P248" s="1407"/>
      <c r="Q248" s="1407"/>
      <c r="R248" s="1407"/>
      <c r="S248" s="1407"/>
      <c r="T248" s="1407"/>
      <c r="U248" s="1407"/>
      <c r="V248" s="1407"/>
      <c r="W248" s="1407"/>
      <c r="X248" s="1407"/>
      <c r="Y248" s="1407"/>
      <c r="Z248" s="1407"/>
      <c r="AA248" s="1407"/>
      <c r="AB248" s="1407"/>
      <c r="AC248" s="1407"/>
      <c r="AD248" s="1407"/>
      <c r="AE248" s="1407"/>
      <c r="AF248" s="1407"/>
      <c r="AG248" s="1407"/>
      <c r="AH248" s="1407"/>
      <c r="AI248" s="1407"/>
      <c r="AJ248" s="1407"/>
      <c r="AK248" s="1407"/>
      <c r="AL248" s="1407"/>
      <c r="AM248" s="1407"/>
      <c r="AN248" s="1407"/>
      <c r="AO248" s="1407"/>
      <c r="AP248" s="1408"/>
    </row>
    <row r="249" spans="3:42">
      <c r="C249" s="1406">
        <f t="shared" si="9"/>
        <v>24</v>
      </c>
      <c r="D249" s="1423">
        <f t="shared" si="9"/>
        <v>0</v>
      </c>
      <c r="E249" s="1423" t="str">
        <f t="shared" si="9"/>
        <v>Comp 24</v>
      </c>
      <c r="F249" s="1407"/>
      <c r="G249" s="1407"/>
      <c r="H249" s="1407"/>
      <c r="I249" s="1407"/>
      <c r="J249" s="1407"/>
      <c r="K249" s="1407"/>
      <c r="L249" s="1407"/>
      <c r="M249" s="1407"/>
      <c r="N249" s="1407"/>
      <c r="O249" s="1407"/>
      <c r="P249" s="1407"/>
      <c r="Q249" s="1407"/>
      <c r="R249" s="1407"/>
      <c r="S249" s="1407"/>
      <c r="T249" s="1407"/>
      <c r="U249" s="1407"/>
      <c r="V249" s="1407"/>
      <c r="W249" s="1407"/>
      <c r="X249" s="1407"/>
      <c r="Y249" s="1407"/>
      <c r="Z249" s="1407"/>
      <c r="AA249" s="1407"/>
      <c r="AB249" s="1407"/>
      <c r="AC249" s="1407"/>
      <c r="AD249" s="1407"/>
      <c r="AE249" s="1407"/>
      <c r="AF249" s="1407"/>
      <c r="AG249" s="1407"/>
      <c r="AH249" s="1407"/>
      <c r="AI249" s="1407"/>
      <c r="AJ249" s="1407"/>
      <c r="AK249" s="1407"/>
      <c r="AL249" s="1407"/>
      <c r="AM249" s="1407"/>
      <c r="AN249" s="1407"/>
      <c r="AO249" s="1407"/>
      <c r="AP249" s="1408"/>
    </row>
    <row r="250" spans="3:42">
      <c r="C250" s="1406">
        <f t="shared" si="9"/>
        <v>25</v>
      </c>
      <c r="D250" s="1423">
        <f t="shared" si="9"/>
        <v>0</v>
      </c>
      <c r="E250" s="1423" t="str">
        <f t="shared" si="9"/>
        <v>Comp 25</v>
      </c>
      <c r="F250" s="1407"/>
      <c r="G250" s="1407"/>
      <c r="H250" s="1407"/>
      <c r="I250" s="1407"/>
      <c r="J250" s="1407"/>
      <c r="K250" s="1407"/>
      <c r="L250" s="1407"/>
      <c r="M250" s="1407"/>
      <c r="N250" s="1407"/>
      <c r="O250" s="1407"/>
      <c r="P250" s="1407"/>
      <c r="Q250" s="1407"/>
      <c r="R250" s="1407"/>
      <c r="S250" s="1407"/>
      <c r="T250" s="1407"/>
      <c r="U250" s="1407"/>
      <c r="V250" s="1407"/>
      <c r="W250" s="1407"/>
      <c r="X250" s="1407"/>
      <c r="Y250" s="1407"/>
      <c r="Z250" s="1407"/>
      <c r="AA250" s="1407"/>
      <c r="AB250" s="1407"/>
      <c r="AC250" s="1407"/>
      <c r="AD250" s="1407"/>
      <c r="AE250" s="1407"/>
      <c r="AF250" s="1407"/>
      <c r="AG250" s="1407"/>
      <c r="AH250" s="1407"/>
      <c r="AI250" s="1407"/>
      <c r="AJ250" s="1407"/>
      <c r="AK250" s="1407"/>
      <c r="AL250" s="1407"/>
      <c r="AM250" s="1407"/>
      <c r="AN250" s="1407"/>
      <c r="AO250" s="1407"/>
      <c r="AP250" s="1408"/>
    </row>
    <row r="251" spans="3:42">
      <c r="C251" s="1406">
        <f t="shared" si="9"/>
        <v>26</v>
      </c>
      <c r="D251" s="1423">
        <f t="shared" si="9"/>
        <v>0</v>
      </c>
      <c r="E251" s="1423" t="str">
        <f t="shared" si="9"/>
        <v>Comp 26</v>
      </c>
      <c r="F251" s="1407"/>
      <c r="G251" s="1407"/>
      <c r="H251" s="1407"/>
      <c r="I251" s="1407"/>
      <c r="J251" s="1407"/>
      <c r="K251" s="1407"/>
      <c r="L251" s="1407"/>
      <c r="M251" s="1407"/>
      <c r="N251" s="1407"/>
      <c r="O251" s="1407"/>
      <c r="P251" s="1407"/>
      <c r="Q251" s="1407"/>
      <c r="R251" s="1407"/>
      <c r="S251" s="1407"/>
      <c r="T251" s="1407"/>
      <c r="U251" s="1407"/>
      <c r="V251" s="1407"/>
      <c r="W251" s="1407"/>
      <c r="X251" s="1407"/>
      <c r="Y251" s="1407"/>
      <c r="Z251" s="1407"/>
      <c r="AA251" s="1407"/>
      <c r="AB251" s="1407"/>
      <c r="AC251" s="1407"/>
      <c r="AD251" s="1407"/>
      <c r="AE251" s="1407"/>
      <c r="AF251" s="1407"/>
      <c r="AG251" s="1407"/>
      <c r="AH251" s="1407"/>
      <c r="AI251" s="1407"/>
      <c r="AJ251" s="1407"/>
      <c r="AK251" s="1407"/>
      <c r="AL251" s="1407"/>
      <c r="AM251" s="1407"/>
      <c r="AN251" s="1407"/>
      <c r="AO251" s="1407"/>
      <c r="AP251" s="1408"/>
    </row>
    <row r="252" spans="3:42">
      <c r="C252" s="1406">
        <f t="shared" si="9"/>
        <v>27</v>
      </c>
      <c r="D252" s="1423">
        <f t="shared" si="9"/>
        <v>0</v>
      </c>
      <c r="E252" s="1423" t="str">
        <f t="shared" si="9"/>
        <v>Comp 27</v>
      </c>
      <c r="F252" s="1407"/>
      <c r="G252" s="1407"/>
      <c r="H252" s="1407"/>
      <c r="I252" s="1407"/>
      <c r="J252" s="1407"/>
      <c r="K252" s="1407"/>
      <c r="L252" s="1407"/>
      <c r="M252" s="1407"/>
      <c r="N252" s="1407"/>
      <c r="O252" s="1407"/>
      <c r="P252" s="1407"/>
      <c r="Q252" s="1407"/>
      <c r="R252" s="1407"/>
      <c r="S252" s="1407"/>
      <c r="T252" s="1407"/>
      <c r="U252" s="1407"/>
      <c r="V252" s="1407"/>
      <c r="W252" s="1407"/>
      <c r="X252" s="1407"/>
      <c r="Y252" s="1407"/>
      <c r="Z252" s="1407"/>
      <c r="AA252" s="1407"/>
      <c r="AB252" s="1407"/>
      <c r="AC252" s="1407"/>
      <c r="AD252" s="1407"/>
      <c r="AE252" s="1407"/>
      <c r="AF252" s="1407"/>
      <c r="AG252" s="1407"/>
      <c r="AH252" s="1407"/>
      <c r="AI252" s="1407"/>
      <c r="AJ252" s="1407"/>
      <c r="AK252" s="1407"/>
      <c r="AL252" s="1407"/>
      <c r="AM252" s="1407"/>
      <c r="AN252" s="1407"/>
      <c r="AO252" s="1407"/>
      <c r="AP252" s="1408"/>
    </row>
    <row r="253" spans="3:42">
      <c r="C253" s="1406">
        <f t="shared" ref="C253:E254" si="10">C185</f>
        <v>28</v>
      </c>
      <c r="D253" s="1423">
        <f t="shared" si="10"/>
        <v>0</v>
      </c>
      <c r="E253" s="1423" t="str">
        <f t="shared" si="10"/>
        <v>Comp 28</v>
      </c>
      <c r="F253" s="1407"/>
      <c r="G253" s="1407"/>
      <c r="H253" s="1407"/>
      <c r="I253" s="1407"/>
      <c r="J253" s="1407"/>
      <c r="K253" s="1407"/>
      <c r="L253" s="1407"/>
      <c r="M253" s="1407"/>
      <c r="N253" s="1407"/>
      <c r="O253" s="1407"/>
      <c r="P253" s="1407"/>
      <c r="Q253" s="1407"/>
      <c r="R253" s="1407"/>
      <c r="S253" s="1407"/>
      <c r="T253" s="1407"/>
      <c r="U253" s="1407"/>
      <c r="V253" s="1407"/>
      <c r="W253" s="1407"/>
      <c r="X253" s="1407"/>
      <c r="Y253" s="1407"/>
      <c r="Z253" s="1407"/>
      <c r="AA253" s="1407"/>
      <c r="AB253" s="1407"/>
      <c r="AC253" s="1407"/>
      <c r="AD253" s="1407"/>
      <c r="AE253" s="1407"/>
      <c r="AF253" s="1407"/>
      <c r="AG253" s="1407"/>
      <c r="AH253" s="1407"/>
      <c r="AI253" s="1407"/>
      <c r="AJ253" s="1407"/>
      <c r="AK253" s="1407"/>
      <c r="AL253" s="1407"/>
      <c r="AM253" s="1407"/>
      <c r="AN253" s="1407"/>
      <c r="AO253" s="1407"/>
      <c r="AP253" s="1408"/>
    </row>
    <row r="254" spans="3:42">
      <c r="C254" s="1406">
        <f t="shared" si="10"/>
        <v>29</v>
      </c>
      <c r="D254" s="1423">
        <f t="shared" si="10"/>
        <v>0</v>
      </c>
      <c r="E254" s="1423" t="str">
        <f t="shared" si="10"/>
        <v>Comp 29</v>
      </c>
      <c r="F254" s="1407"/>
      <c r="G254" s="1407"/>
      <c r="H254" s="1407"/>
      <c r="I254" s="1407"/>
      <c r="J254" s="1407"/>
      <c r="K254" s="1407"/>
      <c r="L254" s="1407"/>
      <c r="M254" s="1407"/>
      <c r="N254" s="1407"/>
      <c r="O254" s="1407"/>
      <c r="P254" s="1407"/>
      <c r="Q254" s="1407"/>
      <c r="R254" s="1407"/>
      <c r="S254" s="1407"/>
      <c r="T254" s="1407"/>
      <c r="U254" s="1407"/>
      <c r="V254" s="1407"/>
      <c r="W254" s="1407"/>
      <c r="X254" s="1407"/>
      <c r="Y254" s="1407"/>
      <c r="Z254" s="1407"/>
      <c r="AA254" s="1407"/>
      <c r="AB254" s="1407"/>
      <c r="AC254" s="1407"/>
      <c r="AD254" s="1407"/>
      <c r="AE254" s="1407"/>
      <c r="AF254" s="1407"/>
      <c r="AG254" s="1407"/>
      <c r="AH254" s="1407"/>
      <c r="AI254" s="1407"/>
      <c r="AJ254" s="1407"/>
      <c r="AK254" s="1407"/>
      <c r="AL254" s="1407"/>
      <c r="AM254" s="1407"/>
      <c r="AN254" s="1407"/>
      <c r="AO254" s="1407"/>
      <c r="AP254" s="1408"/>
    </row>
    <row r="255" spans="3:42">
      <c r="C255" s="1409">
        <f>C187</f>
        <v>30</v>
      </c>
      <c r="D255" s="1424">
        <f>D187</f>
        <v>0</v>
      </c>
      <c r="E255" s="1424" t="str">
        <f>E187</f>
        <v>Comp 30</v>
      </c>
      <c r="F255" s="1410"/>
      <c r="G255" s="1410"/>
      <c r="H255" s="1410"/>
      <c r="I255" s="1410"/>
      <c r="J255" s="1410"/>
      <c r="K255" s="1410"/>
      <c r="L255" s="1410"/>
      <c r="M255" s="1410"/>
      <c r="N255" s="1410"/>
      <c r="O255" s="1410"/>
      <c r="P255" s="1410"/>
      <c r="Q255" s="1410"/>
      <c r="R255" s="1410"/>
      <c r="S255" s="1410"/>
      <c r="T255" s="1410"/>
      <c r="U255" s="1410"/>
      <c r="V255" s="1410"/>
      <c r="W255" s="1410"/>
      <c r="X255" s="1410"/>
      <c r="Y255" s="1410"/>
      <c r="Z255" s="1410"/>
      <c r="AA255" s="1410"/>
      <c r="AB255" s="1410"/>
      <c r="AC255" s="1410"/>
      <c r="AD255" s="1410"/>
      <c r="AE255" s="1410"/>
      <c r="AF255" s="1410"/>
      <c r="AG255" s="1410"/>
      <c r="AH255" s="1410"/>
      <c r="AI255" s="1410"/>
      <c r="AJ255" s="1410"/>
      <c r="AK255" s="1410"/>
      <c r="AL255" s="1410"/>
      <c r="AM255" s="1410"/>
      <c r="AN255" s="1410"/>
      <c r="AO255" s="1410"/>
      <c r="AP255" s="1411"/>
    </row>
    <row r="256" spans="3:42">
      <c r="F256" s="1403"/>
      <c r="G256" s="1403"/>
      <c r="H256" s="1403"/>
      <c r="I256" s="1403"/>
      <c r="J256" s="1403"/>
      <c r="K256" s="1403"/>
      <c r="L256" s="1403"/>
      <c r="M256" s="1403"/>
      <c r="N256" s="1403"/>
      <c r="R256" s="1403"/>
      <c r="S256" s="1403"/>
      <c r="T256" s="1403"/>
      <c r="U256" s="1403"/>
      <c r="V256" s="1403"/>
      <c r="W256" s="1403"/>
      <c r="X256" s="1403"/>
      <c r="Y256" s="1403"/>
      <c r="Z256" s="1403"/>
      <c r="AA256" s="1403"/>
      <c r="AB256" s="1403"/>
      <c r="AC256" s="1403"/>
      <c r="AD256" s="1403"/>
      <c r="AE256" s="1403"/>
      <c r="AF256" s="1403"/>
      <c r="AG256" s="1403"/>
      <c r="AH256" s="1403"/>
      <c r="AI256" s="1403"/>
      <c r="AJ256" s="1403"/>
      <c r="AK256" s="1403"/>
      <c r="AL256" s="1403"/>
    </row>
    <row r="257" spans="3:38">
      <c r="C257" s="1432" t="s">
        <v>2009</v>
      </c>
      <c r="D257" s="1432"/>
      <c r="E257" s="1432"/>
      <c r="F257" s="1432"/>
      <c r="G257" s="1432"/>
      <c r="H257" s="1432"/>
      <c r="I257" s="1432"/>
      <c r="J257" s="1432"/>
      <c r="K257" s="1432"/>
      <c r="L257" s="1432"/>
      <c r="M257" s="1432"/>
      <c r="N257" s="1432"/>
      <c r="O257" s="1432"/>
      <c r="P257" s="1432"/>
      <c r="Q257" s="1432"/>
      <c r="R257" s="1432"/>
      <c r="S257" s="1432"/>
      <c r="T257" s="1432"/>
      <c r="U257" s="1432"/>
      <c r="V257" s="1432"/>
      <c r="W257" s="1432"/>
      <c r="X257" s="1403"/>
      <c r="Y257" s="1403"/>
      <c r="Z257" s="1403"/>
      <c r="AA257" s="1403"/>
      <c r="AB257" s="1403"/>
      <c r="AC257" s="1403"/>
      <c r="AD257" s="1403"/>
      <c r="AE257" s="1403"/>
      <c r="AF257" s="1403"/>
      <c r="AG257" s="1403"/>
      <c r="AH257" s="1403"/>
      <c r="AI257" s="1403"/>
      <c r="AJ257" s="1403"/>
      <c r="AK257" s="1403"/>
      <c r="AL257" s="1403"/>
    </row>
    <row r="258" spans="3:38">
      <c r="C258" s="1437" t="s">
        <v>1951</v>
      </c>
      <c r="D258" s="1438" t="s">
        <v>93</v>
      </c>
      <c r="E258" s="1438" t="s">
        <v>94</v>
      </c>
      <c r="F258" s="1818" t="s">
        <v>1893</v>
      </c>
      <c r="G258" s="1818"/>
      <c r="H258" s="1818"/>
      <c r="I258" s="1818"/>
      <c r="J258" s="1818"/>
      <c r="K258" s="1818"/>
      <c r="L258" s="1818" t="s">
        <v>2008</v>
      </c>
      <c r="M258" s="1818"/>
      <c r="N258" s="1818"/>
      <c r="O258" s="1818"/>
      <c r="P258" s="1818"/>
      <c r="Q258" s="1818"/>
      <c r="R258" s="1818" t="s">
        <v>1894</v>
      </c>
      <c r="S258" s="1818"/>
      <c r="T258" s="1818"/>
      <c r="U258" s="1818"/>
      <c r="V258" s="1818"/>
      <c r="W258" s="1819"/>
      <c r="X258" s="1403"/>
      <c r="Y258" s="1403"/>
      <c r="Z258" s="1403"/>
      <c r="AA258" s="1403"/>
      <c r="AB258" s="1403"/>
      <c r="AC258" s="1403"/>
      <c r="AD258" s="1403"/>
      <c r="AE258" s="1403"/>
      <c r="AF258" s="1403"/>
      <c r="AG258" s="1403"/>
      <c r="AH258" s="1403"/>
      <c r="AI258" s="1403"/>
      <c r="AJ258" s="1403"/>
      <c r="AK258" s="1403"/>
      <c r="AL258" s="1403"/>
    </row>
    <row r="259" spans="3:38">
      <c r="C259" s="1420"/>
      <c r="D259" s="1421"/>
      <c r="E259" s="1421"/>
      <c r="F259" s="1422" t="s">
        <v>141</v>
      </c>
      <c r="G259" s="1422" t="s">
        <v>138</v>
      </c>
      <c r="H259" s="1422" t="s">
        <v>136</v>
      </c>
      <c r="I259" s="1422" t="s">
        <v>1484</v>
      </c>
      <c r="J259" s="1422" t="s">
        <v>1485</v>
      </c>
      <c r="K259" s="1422" t="s">
        <v>1478</v>
      </c>
      <c r="L259" s="1422" t="s">
        <v>141</v>
      </c>
      <c r="M259" s="1422" t="s">
        <v>138</v>
      </c>
      <c r="N259" s="1422" t="s">
        <v>136</v>
      </c>
      <c r="O259" s="1422" t="s">
        <v>1484</v>
      </c>
      <c r="P259" s="1422" t="s">
        <v>1485</v>
      </c>
      <c r="Q259" s="1422" t="s">
        <v>1478</v>
      </c>
      <c r="R259" s="1422" t="s">
        <v>141</v>
      </c>
      <c r="S259" s="1422" t="s">
        <v>138</v>
      </c>
      <c r="T259" s="1422" t="s">
        <v>136</v>
      </c>
      <c r="U259" s="1422" t="s">
        <v>1484</v>
      </c>
      <c r="V259" s="1422" t="s">
        <v>1485</v>
      </c>
      <c r="W259" s="1415" t="s">
        <v>1478</v>
      </c>
      <c r="X259" s="1403"/>
      <c r="Y259" s="1403"/>
      <c r="Z259" s="1403"/>
      <c r="AA259" s="1403"/>
      <c r="AB259" s="1403"/>
      <c r="AC259" s="1403"/>
      <c r="AD259" s="1403"/>
      <c r="AE259" s="1403"/>
      <c r="AF259" s="1403"/>
      <c r="AG259" s="1403"/>
      <c r="AH259" s="1403"/>
      <c r="AI259" s="1403"/>
      <c r="AJ259" s="1403"/>
      <c r="AK259" s="1403"/>
      <c r="AL259" s="1403"/>
    </row>
    <row r="260" spans="3:38">
      <c r="C260" s="1406">
        <f t="shared" ref="C260:E289" si="11">C226</f>
        <v>1</v>
      </c>
      <c r="D260" s="1423">
        <f t="shared" si="11"/>
        <v>0</v>
      </c>
      <c r="E260" s="1423" t="str">
        <f t="shared" si="11"/>
        <v>Comp 1</v>
      </c>
      <c r="F260" s="1407"/>
      <c r="G260" s="1407"/>
      <c r="H260" s="1407"/>
      <c r="I260" s="1407"/>
      <c r="J260" s="1407"/>
      <c r="K260" s="1407"/>
      <c r="L260" s="1407"/>
      <c r="M260" s="1407"/>
      <c r="N260" s="1407"/>
      <c r="O260" s="1407"/>
      <c r="P260" s="1407"/>
      <c r="Q260" s="1407"/>
      <c r="R260" s="1407"/>
      <c r="S260" s="1407"/>
      <c r="T260" s="1407"/>
      <c r="U260" s="1407"/>
      <c r="V260" s="1407"/>
      <c r="W260" s="1408"/>
      <c r="X260" s="1403"/>
      <c r="Y260" s="1403"/>
      <c r="Z260" s="1403"/>
      <c r="AA260" s="1403"/>
      <c r="AB260" s="1403"/>
      <c r="AC260" s="1403"/>
      <c r="AD260" s="1403"/>
      <c r="AE260" s="1403"/>
      <c r="AF260" s="1403"/>
      <c r="AG260" s="1403"/>
      <c r="AH260" s="1403"/>
      <c r="AI260" s="1403"/>
      <c r="AJ260" s="1403"/>
      <c r="AK260" s="1403"/>
      <c r="AL260" s="1403"/>
    </row>
    <row r="261" spans="3:38">
      <c r="C261" s="1406">
        <f t="shared" si="11"/>
        <v>2</v>
      </c>
      <c r="D261" s="1423">
        <f t="shared" si="11"/>
        <v>0</v>
      </c>
      <c r="E261" s="1423" t="str">
        <f t="shared" si="11"/>
        <v>Comp 2</v>
      </c>
      <c r="F261" s="1407"/>
      <c r="G261" s="1407"/>
      <c r="H261" s="1407"/>
      <c r="I261" s="1407"/>
      <c r="J261" s="1407"/>
      <c r="K261" s="1407"/>
      <c r="L261" s="1407"/>
      <c r="M261" s="1407"/>
      <c r="N261" s="1407"/>
      <c r="O261" s="1407"/>
      <c r="P261" s="1407"/>
      <c r="Q261" s="1407"/>
      <c r="R261" s="1407"/>
      <c r="S261" s="1407"/>
      <c r="T261" s="1407"/>
      <c r="U261" s="1407"/>
      <c r="V261" s="1407"/>
      <c r="W261" s="1408"/>
      <c r="X261" s="1403"/>
      <c r="Y261" s="1403"/>
      <c r="Z261" s="1403"/>
      <c r="AA261" s="1403"/>
      <c r="AB261" s="1403"/>
      <c r="AC261" s="1403"/>
      <c r="AD261" s="1403"/>
      <c r="AE261" s="1403"/>
      <c r="AF261" s="1403"/>
      <c r="AG261" s="1403"/>
      <c r="AH261" s="1403"/>
      <c r="AI261" s="1403"/>
      <c r="AJ261" s="1403"/>
      <c r="AK261" s="1403"/>
      <c r="AL261" s="1403"/>
    </row>
    <row r="262" spans="3:38">
      <c r="C262" s="1406">
        <f t="shared" si="11"/>
        <v>3</v>
      </c>
      <c r="D262" s="1423">
        <f t="shared" si="11"/>
        <v>0</v>
      </c>
      <c r="E262" s="1423" t="str">
        <f t="shared" si="11"/>
        <v>Comp 3</v>
      </c>
      <c r="F262" s="1407"/>
      <c r="G262" s="1407"/>
      <c r="H262" s="1407"/>
      <c r="I262" s="1407"/>
      <c r="J262" s="1407"/>
      <c r="K262" s="1407"/>
      <c r="L262" s="1407"/>
      <c r="M262" s="1407"/>
      <c r="N262" s="1407"/>
      <c r="O262" s="1407"/>
      <c r="P262" s="1407"/>
      <c r="Q262" s="1407"/>
      <c r="R262" s="1407"/>
      <c r="S262" s="1407"/>
      <c r="T262" s="1407"/>
      <c r="U262" s="1407"/>
      <c r="V262" s="1407"/>
      <c r="W262" s="1408"/>
      <c r="X262" s="1403"/>
      <c r="Y262" s="1403"/>
      <c r="Z262" s="1403"/>
      <c r="AA262" s="1403"/>
      <c r="AB262" s="1403"/>
      <c r="AC262" s="1403"/>
      <c r="AD262" s="1403"/>
      <c r="AE262" s="1403"/>
      <c r="AF262" s="1403"/>
      <c r="AG262" s="1403"/>
      <c r="AH262" s="1403"/>
      <c r="AI262" s="1403"/>
      <c r="AJ262" s="1403"/>
      <c r="AK262" s="1403"/>
      <c r="AL262" s="1403"/>
    </row>
    <row r="263" spans="3:38">
      <c r="C263" s="1406">
        <f t="shared" si="11"/>
        <v>4</v>
      </c>
      <c r="D263" s="1423">
        <f t="shared" si="11"/>
        <v>0</v>
      </c>
      <c r="E263" s="1423" t="str">
        <f t="shared" si="11"/>
        <v>Comp 4</v>
      </c>
      <c r="F263" s="1407"/>
      <c r="G263" s="1407"/>
      <c r="H263" s="1407"/>
      <c r="I263" s="1407"/>
      <c r="J263" s="1407"/>
      <c r="K263" s="1407"/>
      <c r="L263" s="1407"/>
      <c r="M263" s="1407"/>
      <c r="N263" s="1407"/>
      <c r="O263" s="1407"/>
      <c r="P263" s="1407"/>
      <c r="Q263" s="1407"/>
      <c r="R263" s="1407"/>
      <c r="S263" s="1407"/>
      <c r="T263" s="1407"/>
      <c r="U263" s="1407"/>
      <c r="V263" s="1407"/>
      <c r="W263" s="1408"/>
      <c r="X263" s="1403"/>
      <c r="Y263" s="1403"/>
      <c r="Z263" s="1403"/>
      <c r="AA263" s="1403"/>
      <c r="AB263" s="1403"/>
      <c r="AC263" s="1403"/>
      <c r="AD263" s="1403"/>
      <c r="AE263" s="1403"/>
      <c r="AF263" s="1403"/>
      <c r="AG263" s="1403"/>
      <c r="AH263" s="1403"/>
      <c r="AI263" s="1403"/>
      <c r="AJ263" s="1403"/>
      <c r="AK263" s="1403"/>
      <c r="AL263" s="1403"/>
    </row>
    <row r="264" spans="3:38">
      <c r="C264" s="1406">
        <f t="shared" si="11"/>
        <v>5</v>
      </c>
      <c r="D264" s="1423">
        <f t="shared" si="11"/>
        <v>0</v>
      </c>
      <c r="E264" s="1423" t="str">
        <f t="shared" si="11"/>
        <v>Comp 5</v>
      </c>
      <c r="F264" s="1407"/>
      <c r="G264" s="1407"/>
      <c r="H264" s="1407"/>
      <c r="I264" s="1407"/>
      <c r="J264" s="1407"/>
      <c r="K264" s="1407"/>
      <c r="L264" s="1407"/>
      <c r="M264" s="1407"/>
      <c r="N264" s="1407"/>
      <c r="O264" s="1407"/>
      <c r="P264" s="1407"/>
      <c r="Q264" s="1407"/>
      <c r="R264" s="1407"/>
      <c r="S264" s="1407"/>
      <c r="T264" s="1407"/>
      <c r="U264" s="1407"/>
      <c r="V264" s="1407"/>
      <c r="W264" s="1408"/>
      <c r="X264" s="1403"/>
      <c r="Y264" s="1403"/>
      <c r="Z264" s="1403"/>
      <c r="AA264" s="1403"/>
      <c r="AB264" s="1403"/>
      <c r="AC264" s="1403"/>
      <c r="AD264" s="1403"/>
      <c r="AE264" s="1403"/>
      <c r="AF264" s="1403"/>
      <c r="AG264" s="1403"/>
      <c r="AH264" s="1403"/>
      <c r="AI264" s="1403"/>
      <c r="AJ264" s="1403"/>
      <c r="AK264" s="1403"/>
      <c r="AL264" s="1403"/>
    </row>
    <row r="265" spans="3:38">
      <c r="C265" s="1406">
        <f t="shared" si="11"/>
        <v>6</v>
      </c>
      <c r="D265" s="1423">
        <f t="shared" si="11"/>
        <v>0</v>
      </c>
      <c r="E265" s="1423" t="str">
        <f t="shared" si="11"/>
        <v>Comp 6</v>
      </c>
      <c r="F265" s="1407"/>
      <c r="G265" s="1407"/>
      <c r="H265" s="1407"/>
      <c r="I265" s="1407"/>
      <c r="J265" s="1407"/>
      <c r="K265" s="1407"/>
      <c r="L265" s="1407"/>
      <c r="M265" s="1407"/>
      <c r="N265" s="1407"/>
      <c r="O265" s="1407"/>
      <c r="P265" s="1407"/>
      <c r="Q265" s="1407"/>
      <c r="R265" s="1407"/>
      <c r="S265" s="1407"/>
      <c r="T265" s="1407"/>
      <c r="U265" s="1407"/>
      <c r="V265" s="1407"/>
      <c r="W265" s="1408"/>
      <c r="X265" s="1403"/>
      <c r="Y265" s="1403"/>
      <c r="Z265" s="1403"/>
      <c r="AA265" s="1403"/>
      <c r="AB265" s="1403"/>
      <c r="AC265" s="1403"/>
      <c r="AD265" s="1403"/>
      <c r="AE265" s="1403"/>
      <c r="AF265" s="1403"/>
      <c r="AG265" s="1403"/>
      <c r="AH265" s="1403"/>
      <c r="AI265" s="1403"/>
      <c r="AJ265" s="1403"/>
      <c r="AK265" s="1403"/>
      <c r="AL265" s="1403"/>
    </row>
    <row r="266" spans="3:38">
      <c r="C266" s="1406">
        <f t="shared" si="11"/>
        <v>7</v>
      </c>
      <c r="D266" s="1423">
        <f t="shared" si="11"/>
        <v>0</v>
      </c>
      <c r="E266" s="1423" t="str">
        <f t="shared" si="11"/>
        <v>Comp 7</v>
      </c>
      <c r="F266" s="1407"/>
      <c r="G266" s="1407"/>
      <c r="H266" s="1407"/>
      <c r="I266" s="1407"/>
      <c r="J266" s="1407"/>
      <c r="K266" s="1407"/>
      <c r="L266" s="1407"/>
      <c r="M266" s="1407"/>
      <c r="N266" s="1407"/>
      <c r="O266" s="1407"/>
      <c r="P266" s="1407"/>
      <c r="Q266" s="1407"/>
      <c r="R266" s="1407"/>
      <c r="S266" s="1407"/>
      <c r="T266" s="1407"/>
      <c r="U266" s="1407"/>
      <c r="V266" s="1407"/>
      <c r="W266" s="1408"/>
      <c r="X266" s="1403"/>
      <c r="Y266" s="1403"/>
      <c r="Z266" s="1403"/>
      <c r="AA266" s="1403"/>
      <c r="AB266" s="1403"/>
      <c r="AC266" s="1403"/>
      <c r="AD266" s="1403"/>
      <c r="AE266" s="1403"/>
      <c r="AF266" s="1403"/>
      <c r="AG266" s="1403"/>
      <c r="AH266" s="1403"/>
      <c r="AI266" s="1403"/>
      <c r="AJ266" s="1403"/>
      <c r="AK266" s="1403"/>
      <c r="AL266" s="1403"/>
    </row>
    <row r="267" spans="3:38">
      <c r="C267" s="1406">
        <f t="shared" si="11"/>
        <v>8</v>
      </c>
      <c r="D267" s="1423">
        <f t="shared" si="11"/>
        <v>0</v>
      </c>
      <c r="E267" s="1423" t="str">
        <f t="shared" si="11"/>
        <v>Comp 8</v>
      </c>
      <c r="F267" s="1407"/>
      <c r="G267" s="1407"/>
      <c r="H267" s="1407"/>
      <c r="I267" s="1407"/>
      <c r="J267" s="1407"/>
      <c r="K267" s="1407"/>
      <c r="L267" s="1407"/>
      <c r="M267" s="1407"/>
      <c r="N267" s="1407"/>
      <c r="O267" s="1407"/>
      <c r="P267" s="1407"/>
      <c r="Q267" s="1407"/>
      <c r="R267" s="1407"/>
      <c r="S267" s="1407"/>
      <c r="T267" s="1407"/>
      <c r="U267" s="1407"/>
      <c r="V267" s="1407"/>
      <c r="W267" s="1408"/>
      <c r="X267" s="1403"/>
      <c r="Y267" s="1403"/>
      <c r="Z267" s="1403"/>
      <c r="AA267" s="1403"/>
      <c r="AB267" s="1403"/>
      <c r="AC267" s="1403"/>
      <c r="AD267" s="1403"/>
      <c r="AE267" s="1403"/>
      <c r="AF267" s="1403"/>
      <c r="AG267" s="1403"/>
      <c r="AH267" s="1403"/>
      <c r="AI267" s="1403"/>
      <c r="AJ267" s="1403"/>
      <c r="AK267" s="1403"/>
      <c r="AL267" s="1403"/>
    </row>
    <row r="268" spans="3:38">
      <c r="C268" s="1406">
        <f t="shared" si="11"/>
        <v>9</v>
      </c>
      <c r="D268" s="1423">
        <f t="shared" si="11"/>
        <v>0</v>
      </c>
      <c r="E268" s="1423" t="str">
        <f t="shared" si="11"/>
        <v>Comp 9</v>
      </c>
      <c r="F268" s="1407"/>
      <c r="G268" s="1407"/>
      <c r="H268" s="1407"/>
      <c r="I268" s="1407"/>
      <c r="J268" s="1407"/>
      <c r="K268" s="1407"/>
      <c r="L268" s="1407"/>
      <c r="M268" s="1407"/>
      <c r="N268" s="1407"/>
      <c r="O268" s="1407"/>
      <c r="P268" s="1407"/>
      <c r="Q268" s="1407"/>
      <c r="R268" s="1407"/>
      <c r="S268" s="1407"/>
      <c r="T268" s="1407"/>
      <c r="U268" s="1407"/>
      <c r="V268" s="1407"/>
      <c r="W268" s="1408"/>
      <c r="X268" s="1403"/>
      <c r="Y268" s="1403"/>
      <c r="Z268" s="1403"/>
      <c r="AA268" s="1403"/>
      <c r="AB268" s="1403"/>
      <c r="AC268" s="1403"/>
      <c r="AD268" s="1403"/>
      <c r="AE268" s="1403"/>
      <c r="AF268" s="1403"/>
      <c r="AG268" s="1403"/>
      <c r="AH268" s="1403"/>
      <c r="AI268" s="1403"/>
      <c r="AJ268" s="1403"/>
      <c r="AK268" s="1403"/>
      <c r="AL268" s="1403"/>
    </row>
    <row r="269" spans="3:38">
      <c r="C269" s="1406">
        <f t="shared" si="11"/>
        <v>10</v>
      </c>
      <c r="D269" s="1423">
        <f t="shared" si="11"/>
        <v>0</v>
      </c>
      <c r="E269" s="1423" t="str">
        <f t="shared" si="11"/>
        <v>Comp 10</v>
      </c>
      <c r="F269" s="1407"/>
      <c r="G269" s="1407"/>
      <c r="H269" s="1407"/>
      <c r="I269" s="1407"/>
      <c r="J269" s="1407"/>
      <c r="K269" s="1407"/>
      <c r="L269" s="1407"/>
      <c r="M269" s="1407"/>
      <c r="N269" s="1407"/>
      <c r="O269" s="1407"/>
      <c r="P269" s="1407"/>
      <c r="Q269" s="1407"/>
      <c r="R269" s="1407"/>
      <c r="S269" s="1407"/>
      <c r="T269" s="1407"/>
      <c r="U269" s="1407"/>
      <c r="V269" s="1407"/>
      <c r="W269" s="1408"/>
      <c r="X269" s="1403"/>
      <c r="Y269" s="1403"/>
      <c r="Z269" s="1403"/>
      <c r="AA269" s="1403"/>
      <c r="AB269" s="1403"/>
      <c r="AC269" s="1403"/>
      <c r="AD269" s="1403"/>
      <c r="AE269" s="1403"/>
      <c r="AF269" s="1403"/>
      <c r="AG269" s="1403"/>
      <c r="AH269" s="1403"/>
      <c r="AI269" s="1403"/>
      <c r="AJ269" s="1403"/>
      <c r="AK269" s="1403"/>
      <c r="AL269" s="1403"/>
    </row>
    <row r="270" spans="3:38">
      <c r="C270" s="1406">
        <f t="shared" si="11"/>
        <v>11</v>
      </c>
      <c r="D270" s="1423">
        <f t="shared" si="11"/>
        <v>0</v>
      </c>
      <c r="E270" s="1423" t="str">
        <f t="shared" si="11"/>
        <v>Comp 11</v>
      </c>
      <c r="F270" s="1407"/>
      <c r="G270" s="1407"/>
      <c r="H270" s="1407"/>
      <c r="I270" s="1407"/>
      <c r="J270" s="1407"/>
      <c r="K270" s="1407"/>
      <c r="L270" s="1407"/>
      <c r="M270" s="1407"/>
      <c r="N270" s="1407"/>
      <c r="O270" s="1407"/>
      <c r="P270" s="1407"/>
      <c r="Q270" s="1407"/>
      <c r="R270" s="1407"/>
      <c r="S270" s="1407"/>
      <c r="T270" s="1407"/>
      <c r="U270" s="1407"/>
      <c r="V270" s="1407"/>
      <c r="W270" s="1408"/>
      <c r="X270" s="1403"/>
      <c r="Y270" s="1403"/>
      <c r="Z270" s="1403"/>
      <c r="AA270" s="1403"/>
      <c r="AB270" s="1403"/>
      <c r="AC270" s="1403"/>
      <c r="AD270" s="1403"/>
      <c r="AE270" s="1403"/>
      <c r="AF270" s="1403"/>
      <c r="AG270" s="1403"/>
      <c r="AH270" s="1403"/>
      <c r="AI270" s="1403"/>
      <c r="AJ270" s="1403"/>
      <c r="AK270" s="1403"/>
      <c r="AL270" s="1403"/>
    </row>
    <row r="271" spans="3:38">
      <c r="C271" s="1406">
        <f t="shared" si="11"/>
        <v>12</v>
      </c>
      <c r="D271" s="1423">
        <f t="shared" si="11"/>
        <v>0</v>
      </c>
      <c r="E271" s="1423" t="str">
        <f t="shared" si="11"/>
        <v>Comp 12</v>
      </c>
      <c r="F271" s="1407"/>
      <c r="G271" s="1407"/>
      <c r="H271" s="1407"/>
      <c r="I271" s="1407"/>
      <c r="J271" s="1407"/>
      <c r="K271" s="1407"/>
      <c r="L271" s="1407"/>
      <c r="M271" s="1407"/>
      <c r="N271" s="1407"/>
      <c r="O271" s="1407"/>
      <c r="P271" s="1407"/>
      <c r="Q271" s="1407"/>
      <c r="R271" s="1407"/>
      <c r="S271" s="1407"/>
      <c r="T271" s="1407"/>
      <c r="U271" s="1407"/>
      <c r="V271" s="1407"/>
      <c r="W271" s="1408"/>
      <c r="X271" s="1403"/>
      <c r="Y271" s="1403"/>
      <c r="Z271" s="1403"/>
      <c r="AA271" s="1403"/>
      <c r="AB271" s="1403"/>
      <c r="AC271" s="1403"/>
      <c r="AD271" s="1403"/>
      <c r="AE271" s="1403"/>
      <c r="AF271" s="1403"/>
      <c r="AG271" s="1403"/>
      <c r="AH271" s="1403"/>
      <c r="AI271" s="1403"/>
      <c r="AJ271" s="1403"/>
      <c r="AK271" s="1403"/>
      <c r="AL271" s="1403"/>
    </row>
    <row r="272" spans="3:38">
      <c r="C272" s="1406">
        <f t="shared" si="11"/>
        <v>13</v>
      </c>
      <c r="D272" s="1423">
        <f t="shared" si="11"/>
        <v>0</v>
      </c>
      <c r="E272" s="1423" t="str">
        <f t="shared" si="11"/>
        <v>Comp 13</v>
      </c>
      <c r="F272" s="1407"/>
      <c r="G272" s="1407"/>
      <c r="H272" s="1407"/>
      <c r="I272" s="1407"/>
      <c r="J272" s="1407"/>
      <c r="K272" s="1407"/>
      <c r="L272" s="1407"/>
      <c r="M272" s="1407"/>
      <c r="N272" s="1407"/>
      <c r="O272" s="1407"/>
      <c r="P272" s="1407"/>
      <c r="Q272" s="1407"/>
      <c r="R272" s="1407"/>
      <c r="S272" s="1407"/>
      <c r="T272" s="1407"/>
      <c r="U272" s="1407"/>
      <c r="V272" s="1407"/>
      <c r="W272" s="1408"/>
      <c r="X272" s="1403"/>
      <c r="Y272" s="1403"/>
      <c r="Z272" s="1403"/>
      <c r="AA272" s="1403"/>
      <c r="AB272" s="1403"/>
      <c r="AC272" s="1403"/>
      <c r="AD272" s="1403"/>
      <c r="AE272" s="1403"/>
      <c r="AF272" s="1403"/>
      <c r="AG272" s="1403"/>
      <c r="AH272" s="1403"/>
      <c r="AI272" s="1403"/>
      <c r="AJ272" s="1403"/>
      <c r="AK272" s="1403"/>
      <c r="AL272" s="1403"/>
    </row>
    <row r="273" spans="3:38">
      <c r="C273" s="1406">
        <f t="shared" si="11"/>
        <v>14</v>
      </c>
      <c r="D273" s="1423">
        <f t="shared" si="11"/>
        <v>0</v>
      </c>
      <c r="E273" s="1423" t="str">
        <f t="shared" si="11"/>
        <v>Comp 14</v>
      </c>
      <c r="F273" s="1407"/>
      <c r="G273" s="1407"/>
      <c r="H273" s="1407"/>
      <c r="I273" s="1407"/>
      <c r="J273" s="1407"/>
      <c r="K273" s="1407"/>
      <c r="L273" s="1407"/>
      <c r="M273" s="1407"/>
      <c r="N273" s="1407"/>
      <c r="O273" s="1407"/>
      <c r="P273" s="1407"/>
      <c r="Q273" s="1407"/>
      <c r="R273" s="1407"/>
      <c r="S273" s="1407"/>
      <c r="T273" s="1407"/>
      <c r="U273" s="1407"/>
      <c r="V273" s="1407"/>
      <c r="W273" s="1408"/>
      <c r="X273" s="1403"/>
      <c r="Y273" s="1403"/>
      <c r="Z273" s="1403"/>
      <c r="AA273" s="1403"/>
      <c r="AB273" s="1403"/>
      <c r="AC273" s="1403"/>
      <c r="AD273" s="1403"/>
      <c r="AE273" s="1403"/>
      <c r="AF273" s="1403"/>
      <c r="AG273" s="1403"/>
      <c r="AH273" s="1403"/>
      <c r="AI273" s="1403"/>
      <c r="AJ273" s="1403"/>
      <c r="AK273" s="1403"/>
      <c r="AL273" s="1403"/>
    </row>
    <row r="274" spans="3:38">
      <c r="C274" s="1406">
        <f t="shared" si="11"/>
        <v>15</v>
      </c>
      <c r="D274" s="1423">
        <f t="shared" si="11"/>
        <v>0</v>
      </c>
      <c r="E274" s="1423" t="str">
        <f t="shared" si="11"/>
        <v>Comp 15</v>
      </c>
      <c r="F274" s="1407"/>
      <c r="G274" s="1407"/>
      <c r="H274" s="1407"/>
      <c r="I274" s="1407"/>
      <c r="J274" s="1407"/>
      <c r="K274" s="1407"/>
      <c r="L274" s="1407"/>
      <c r="M274" s="1407"/>
      <c r="N274" s="1407"/>
      <c r="O274" s="1407"/>
      <c r="P274" s="1407"/>
      <c r="Q274" s="1407"/>
      <c r="R274" s="1407"/>
      <c r="S274" s="1407"/>
      <c r="T274" s="1407"/>
      <c r="U274" s="1407"/>
      <c r="V274" s="1407"/>
      <c r="W274" s="1408"/>
      <c r="X274" s="1403"/>
      <c r="Y274" s="1403"/>
      <c r="Z274" s="1403"/>
      <c r="AA274" s="1403"/>
      <c r="AB274" s="1403"/>
      <c r="AC274" s="1403"/>
      <c r="AD274" s="1403"/>
      <c r="AE274" s="1403"/>
      <c r="AF274" s="1403"/>
      <c r="AG274" s="1403"/>
      <c r="AH274" s="1403"/>
      <c r="AI274" s="1403"/>
      <c r="AJ274" s="1403"/>
      <c r="AK274" s="1403"/>
      <c r="AL274" s="1403"/>
    </row>
    <row r="275" spans="3:38">
      <c r="C275" s="1406">
        <f t="shared" si="11"/>
        <v>16</v>
      </c>
      <c r="D275" s="1423">
        <f t="shared" si="11"/>
        <v>0</v>
      </c>
      <c r="E275" s="1423" t="str">
        <f t="shared" si="11"/>
        <v>Comp 16</v>
      </c>
      <c r="F275" s="1407"/>
      <c r="G275" s="1407"/>
      <c r="H275" s="1407"/>
      <c r="I275" s="1407"/>
      <c r="J275" s="1407"/>
      <c r="K275" s="1407"/>
      <c r="L275" s="1407"/>
      <c r="M275" s="1407"/>
      <c r="N275" s="1407"/>
      <c r="O275" s="1407"/>
      <c r="P275" s="1407"/>
      <c r="Q275" s="1407"/>
      <c r="R275" s="1407"/>
      <c r="S275" s="1407"/>
      <c r="T275" s="1407"/>
      <c r="U275" s="1407"/>
      <c r="V275" s="1407"/>
      <c r="W275" s="1408"/>
      <c r="X275" s="1403"/>
      <c r="Y275" s="1403"/>
      <c r="Z275" s="1403"/>
      <c r="AA275" s="1403"/>
      <c r="AB275" s="1403"/>
      <c r="AC275" s="1403"/>
      <c r="AD275" s="1403"/>
      <c r="AE275" s="1403"/>
      <c r="AF275" s="1403"/>
      <c r="AG275" s="1403"/>
      <c r="AH275" s="1403"/>
      <c r="AI275" s="1403"/>
      <c r="AJ275" s="1403"/>
      <c r="AK275" s="1403"/>
      <c r="AL275" s="1403"/>
    </row>
    <row r="276" spans="3:38">
      <c r="C276" s="1406">
        <f t="shared" si="11"/>
        <v>17</v>
      </c>
      <c r="D276" s="1423">
        <f t="shared" si="11"/>
        <v>0</v>
      </c>
      <c r="E276" s="1423" t="str">
        <f t="shared" si="11"/>
        <v>Comp 17</v>
      </c>
      <c r="F276" s="1407"/>
      <c r="G276" s="1407"/>
      <c r="H276" s="1407"/>
      <c r="I276" s="1407"/>
      <c r="J276" s="1407"/>
      <c r="K276" s="1407"/>
      <c r="L276" s="1407"/>
      <c r="M276" s="1407"/>
      <c r="N276" s="1407"/>
      <c r="O276" s="1407"/>
      <c r="P276" s="1407"/>
      <c r="Q276" s="1407"/>
      <c r="R276" s="1407"/>
      <c r="S276" s="1407"/>
      <c r="T276" s="1407"/>
      <c r="U276" s="1407"/>
      <c r="V276" s="1407"/>
      <c r="W276" s="1408"/>
      <c r="X276" s="1403"/>
      <c r="Y276" s="1403"/>
      <c r="Z276" s="1403"/>
      <c r="AA276" s="1403"/>
      <c r="AB276" s="1403"/>
      <c r="AC276" s="1403"/>
      <c r="AD276" s="1403"/>
      <c r="AE276" s="1403"/>
      <c r="AF276" s="1403"/>
      <c r="AG276" s="1403"/>
      <c r="AH276" s="1403"/>
      <c r="AI276" s="1403"/>
      <c r="AJ276" s="1403"/>
      <c r="AK276" s="1403"/>
      <c r="AL276" s="1403"/>
    </row>
    <row r="277" spans="3:38">
      <c r="C277" s="1406">
        <f t="shared" si="11"/>
        <v>18</v>
      </c>
      <c r="D277" s="1423">
        <f t="shared" si="11"/>
        <v>0</v>
      </c>
      <c r="E277" s="1423" t="str">
        <f t="shared" si="11"/>
        <v>Comp 18</v>
      </c>
      <c r="F277" s="1407"/>
      <c r="G277" s="1407"/>
      <c r="H277" s="1407"/>
      <c r="I277" s="1407"/>
      <c r="J277" s="1407"/>
      <c r="K277" s="1407"/>
      <c r="L277" s="1407"/>
      <c r="M277" s="1407"/>
      <c r="N277" s="1407"/>
      <c r="O277" s="1407"/>
      <c r="P277" s="1407"/>
      <c r="Q277" s="1407"/>
      <c r="R277" s="1407"/>
      <c r="S277" s="1407"/>
      <c r="T277" s="1407"/>
      <c r="U277" s="1407"/>
      <c r="V277" s="1407"/>
      <c r="W277" s="1408"/>
      <c r="X277" s="1403"/>
      <c r="Y277" s="1403"/>
      <c r="Z277" s="1403"/>
      <c r="AA277" s="1403"/>
      <c r="AB277" s="1403"/>
      <c r="AC277" s="1403"/>
      <c r="AD277" s="1403"/>
      <c r="AE277" s="1403"/>
      <c r="AF277" s="1403"/>
      <c r="AG277" s="1403"/>
      <c r="AH277" s="1403"/>
      <c r="AI277" s="1403"/>
      <c r="AJ277" s="1403"/>
      <c r="AK277" s="1403"/>
      <c r="AL277" s="1403"/>
    </row>
    <row r="278" spans="3:38">
      <c r="C278" s="1406">
        <f t="shared" si="11"/>
        <v>19</v>
      </c>
      <c r="D278" s="1423">
        <f t="shared" si="11"/>
        <v>0</v>
      </c>
      <c r="E278" s="1423" t="str">
        <f t="shared" si="11"/>
        <v>Comp 19</v>
      </c>
      <c r="F278" s="1407"/>
      <c r="G278" s="1407"/>
      <c r="H278" s="1407"/>
      <c r="I278" s="1407"/>
      <c r="J278" s="1407"/>
      <c r="K278" s="1407"/>
      <c r="L278" s="1407"/>
      <c r="M278" s="1407"/>
      <c r="N278" s="1407"/>
      <c r="O278" s="1407"/>
      <c r="P278" s="1407"/>
      <c r="Q278" s="1407"/>
      <c r="R278" s="1407"/>
      <c r="S278" s="1407"/>
      <c r="T278" s="1407"/>
      <c r="U278" s="1407"/>
      <c r="V278" s="1407"/>
      <c r="W278" s="1408"/>
      <c r="X278" s="1403"/>
      <c r="Y278" s="1403"/>
      <c r="Z278" s="1403"/>
      <c r="AA278" s="1403"/>
      <c r="AB278" s="1403"/>
      <c r="AC278" s="1403"/>
      <c r="AD278" s="1403"/>
      <c r="AE278" s="1403"/>
      <c r="AF278" s="1403"/>
      <c r="AG278" s="1403"/>
      <c r="AH278" s="1403"/>
      <c r="AI278" s="1403"/>
      <c r="AJ278" s="1403"/>
      <c r="AK278" s="1403"/>
      <c r="AL278" s="1403"/>
    </row>
    <row r="279" spans="3:38">
      <c r="C279" s="1406">
        <f t="shared" si="11"/>
        <v>20</v>
      </c>
      <c r="D279" s="1423">
        <f t="shared" si="11"/>
        <v>0</v>
      </c>
      <c r="E279" s="1423" t="str">
        <f t="shared" si="11"/>
        <v>Comp 20</v>
      </c>
      <c r="F279" s="1407"/>
      <c r="G279" s="1407"/>
      <c r="H279" s="1407"/>
      <c r="I279" s="1407"/>
      <c r="J279" s="1407"/>
      <c r="K279" s="1407"/>
      <c r="L279" s="1407"/>
      <c r="M279" s="1407"/>
      <c r="N279" s="1407"/>
      <c r="O279" s="1407"/>
      <c r="P279" s="1407"/>
      <c r="Q279" s="1407"/>
      <c r="R279" s="1407"/>
      <c r="S279" s="1407"/>
      <c r="T279" s="1407"/>
      <c r="U279" s="1407"/>
      <c r="V279" s="1407"/>
      <c r="W279" s="1408"/>
      <c r="X279" s="1403"/>
      <c r="Y279" s="1403"/>
      <c r="Z279" s="1403"/>
      <c r="AA279" s="1403"/>
      <c r="AB279" s="1403"/>
      <c r="AC279" s="1403"/>
      <c r="AD279" s="1403"/>
      <c r="AE279" s="1403"/>
      <c r="AF279" s="1403"/>
      <c r="AG279" s="1403"/>
      <c r="AH279" s="1403"/>
      <c r="AI279" s="1403"/>
      <c r="AJ279" s="1403"/>
      <c r="AK279" s="1403"/>
      <c r="AL279" s="1403"/>
    </row>
    <row r="280" spans="3:38">
      <c r="C280" s="1406">
        <f t="shared" si="11"/>
        <v>21</v>
      </c>
      <c r="D280" s="1423">
        <f t="shared" si="11"/>
        <v>0</v>
      </c>
      <c r="E280" s="1423" t="str">
        <f t="shared" si="11"/>
        <v>Comp 21</v>
      </c>
      <c r="F280" s="1407"/>
      <c r="G280" s="1407"/>
      <c r="H280" s="1407"/>
      <c r="I280" s="1407"/>
      <c r="J280" s="1407"/>
      <c r="K280" s="1407"/>
      <c r="L280" s="1407"/>
      <c r="M280" s="1407"/>
      <c r="N280" s="1407"/>
      <c r="O280" s="1407"/>
      <c r="P280" s="1407"/>
      <c r="Q280" s="1407"/>
      <c r="R280" s="1407"/>
      <c r="S280" s="1407"/>
      <c r="T280" s="1407"/>
      <c r="U280" s="1407"/>
      <c r="V280" s="1407"/>
      <c r="W280" s="1408"/>
      <c r="X280" s="1403"/>
      <c r="Y280" s="1403"/>
      <c r="Z280" s="1403"/>
      <c r="AA280" s="1403"/>
      <c r="AB280" s="1403"/>
      <c r="AC280" s="1403"/>
      <c r="AD280" s="1403"/>
      <c r="AE280" s="1403"/>
      <c r="AF280" s="1403"/>
      <c r="AG280" s="1403"/>
      <c r="AH280" s="1403"/>
      <c r="AI280" s="1403"/>
      <c r="AJ280" s="1403"/>
      <c r="AK280" s="1403"/>
      <c r="AL280" s="1403"/>
    </row>
    <row r="281" spans="3:38">
      <c r="C281" s="1406">
        <f t="shared" si="11"/>
        <v>22</v>
      </c>
      <c r="D281" s="1423">
        <f t="shared" si="11"/>
        <v>0</v>
      </c>
      <c r="E281" s="1423" t="str">
        <f t="shared" si="11"/>
        <v>Comp 22</v>
      </c>
      <c r="F281" s="1407"/>
      <c r="G281" s="1407"/>
      <c r="H281" s="1407"/>
      <c r="I281" s="1407"/>
      <c r="J281" s="1407"/>
      <c r="K281" s="1407"/>
      <c r="L281" s="1407"/>
      <c r="M281" s="1407"/>
      <c r="N281" s="1407"/>
      <c r="O281" s="1407"/>
      <c r="P281" s="1407"/>
      <c r="Q281" s="1407"/>
      <c r="R281" s="1407"/>
      <c r="S281" s="1407"/>
      <c r="T281" s="1407"/>
      <c r="U281" s="1407"/>
      <c r="V281" s="1407"/>
      <c r="W281" s="1408"/>
      <c r="X281" s="1403"/>
      <c r="Y281" s="1403"/>
      <c r="Z281" s="1403"/>
      <c r="AA281" s="1403"/>
      <c r="AB281" s="1403"/>
      <c r="AC281" s="1403"/>
      <c r="AD281" s="1403"/>
      <c r="AE281" s="1403"/>
      <c r="AF281" s="1403"/>
      <c r="AG281" s="1403"/>
      <c r="AH281" s="1403"/>
      <c r="AI281" s="1403"/>
      <c r="AJ281" s="1403"/>
      <c r="AK281" s="1403"/>
      <c r="AL281" s="1403"/>
    </row>
    <row r="282" spans="3:38">
      <c r="C282" s="1406">
        <f t="shared" si="11"/>
        <v>23</v>
      </c>
      <c r="D282" s="1423">
        <f t="shared" si="11"/>
        <v>0</v>
      </c>
      <c r="E282" s="1423" t="str">
        <f t="shared" si="11"/>
        <v>Comp 23</v>
      </c>
      <c r="F282" s="1407"/>
      <c r="G282" s="1407"/>
      <c r="H282" s="1407"/>
      <c r="I282" s="1407"/>
      <c r="J282" s="1407"/>
      <c r="K282" s="1407"/>
      <c r="L282" s="1407"/>
      <c r="M282" s="1407"/>
      <c r="N282" s="1407"/>
      <c r="O282" s="1407"/>
      <c r="P282" s="1407"/>
      <c r="Q282" s="1407"/>
      <c r="R282" s="1407"/>
      <c r="S282" s="1407"/>
      <c r="T282" s="1407"/>
      <c r="U282" s="1407"/>
      <c r="V282" s="1407"/>
      <c r="W282" s="1408"/>
      <c r="X282" s="1403"/>
      <c r="Y282" s="1403"/>
      <c r="Z282" s="1403"/>
      <c r="AA282" s="1403"/>
      <c r="AB282" s="1403"/>
      <c r="AC282" s="1403"/>
      <c r="AD282" s="1403"/>
      <c r="AE282" s="1403"/>
      <c r="AF282" s="1403"/>
      <c r="AG282" s="1403"/>
      <c r="AH282" s="1403"/>
      <c r="AI282" s="1403"/>
      <c r="AJ282" s="1403"/>
      <c r="AK282" s="1403"/>
      <c r="AL282" s="1403"/>
    </row>
    <row r="283" spans="3:38">
      <c r="C283" s="1406">
        <f t="shared" si="11"/>
        <v>24</v>
      </c>
      <c r="D283" s="1423">
        <f t="shared" si="11"/>
        <v>0</v>
      </c>
      <c r="E283" s="1423" t="str">
        <f t="shared" si="11"/>
        <v>Comp 24</v>
      </c>
      <c r="F283" s="1407"/>
      <c r="G283" s="1407"/>
      <c r="H283" s="1407"/>
      <c r="I283" s="1407"/>
      <c r="J283" s="1407"/>
      <c r="K283" s="1407"/>
      <c r="L283" s="1407"/>
      <c r="M283" s="1407"/>
      <c r="N283" s="1407"/>
      <c r="O283" s="1407"/>
      <c r="P283" s="1407"/>
      <c r="Q283" s="1407"/>
      <c r="R283" s="1407"/>
      <c r="S283" s="1407"/>
      <c r="T283" s="1407"/>
      <c r="U283" s="1407"/>
      <c r="V283" s="1407"/>
      <c r="W283" s="1408"/>
      <c r="X283" s="1403"/>
      <c r="Y283" s="1403"/>
      <c r="Z283" s="1403"/>
      <c r="AA283" s="1403"/>
      <c r="AB283" s="1403"/>
      <c r="AC283" s="1403"/>
      <c r="AD283" s="1403"/>
      <c r="AE283" s="1403"/>
      <c r="AF283" s="1403"/>
      <c r="AG283" s="1403"/>
      <c r="AH283" s="1403"/>
      <c r="AI283" s="1403"/>
      <c r="AJ283" s="1403"/>
      <c r="AK283" s="1403"/>
      <c r="AL283" s="1403"/>
    </row>
    <row r="284" spans="3:38">
      <c r="C284" s="1406">
        <f t="shared" si="11"/>
        <v>25</v>
      </c>
      <c r="D284" s="1423">
        <f t="shared" si="11"/>
        <v>0</v>
      </c>
      <c r="E284" s="1423" t="str">
        <f t="shared" si="11"/>
        <v>Comp 25</v>
      </c>
      <c r="F284" s="1407"/>
      <c r="G284" s="1407"/>
      <c r="H284" s="1407"/>
      <c r="I284" s="1407"/>
      <c r="J284" s="1407"/>
      <c r="K284" s="1407"/>
      <c r="L284" s="1407"/>
      <c r="M284" s="1407"/>
      <c r="N284" s="1407"/>
      <c r="O284" s="1407"/>
      <c r="P284" s="1407"/>
      <c r="Q284" s="1407"/>
      <c r="R284" s="1407"/>
      <c r="S284" s="1407"/>
      <c r="T284" s="1407"/>
      <c r="U284" s="1407"/>
      <c r="V284" s="1407"/>
      <c r="W284" s="1408"/>
      <c r="X284" s="1403"/>
      <c r="Y284" s="1403"/>
      <c r="Z284" s="1403"/>
      <c r="AA284" s="1403"/>
      <c r="AB284" s="1403"/>
      <c r="AC284" s="1403"/>
      <c r="AD284" s="1403"/>
      <c r="AE284" s="1403"/>
      <c r="AF284" s="1403"/>
      <c r="AG284" s="1403"/>
      <c r="AH284" s="1403"/>
      <c r="AI284" s="1403"/>
      <c r="AJ284" s="1403"/>
      <c r="AK284" s="1403"/>
      <c r="AL284" s="1403"/>
    </row>
    <row r="285" spans="3:38">
      <c r="C285" s="1406">
        <f t="shared" si="11"/>
        <v>26</v>
      </c>
      <c r="D285" s="1423">
        <f t="shared" si="11"/>
        <v>0</v>
      </c>
      <c r="E285" s="1423" t="str">
        <f t="shared" si="11"/>
        <v>Comp 26</v>
      </c>
      <c r="F285" s="1407"/>
      <c r="G285" s="1407"/>
      <c r="H285" s="1407"/>
      <c r="I285" s="1407"/>
      <c r="J285" s="1407"/>
      <c r="K285" s="1407"/>
      <c r="L285" s="1407"/>
      <c r="M285" s="1407"/>
      <c r="N285" s="1407"/>
      <c r="O285" s="1407"/>
      <c r="P285" s="1407"/>
      <c r="Q285" s="1407"/>
      <c r="R285" s="1407"/>
      <c r="S285" s="1407"/>
      <c r="T285" s="1407"/>
      <c r="U285" s="1407"/>
      <c r="V285" s="1407"/>
      <c r="W285" s="1408"/>
      <c r="X285" s="1403"/>
      <c r="Y285" s="1403"/>
      <c r="Z285" s="1403"/>
      <c r="AA285" s="1403"/>
      <c r="AB285" s="1403"/>
      <c r="AC285" s="1403"/>
      <c r="AD285" s="1403"/>
      <c r="AE285" s="1403"/>
      <c r="AF285" s="1403"/>
      <c r="AG285" s="1403"/>
      <c r="AH285" s="1403"/>
      <c r="AI285" s="1403"/>
      <c r="AJ285" s="1403"/>
      <c r="AK285" s="1403"/>
      <c r="AL285" s="1403"/>
    </row>
    <row r="286" spans="3:38">
      <c r="C286" s="1406">
        <f t="shared" si="11"/>
        <v>27</v>
      </c>
      <c r="D286" s="1423">
        <f t="shared" si="11"/>
        <v>0</v>
      </c>
      <c r="E286" s="1423" t="str">
        <f t="shared" si="11"/>
        <v>Comp 27</v>
      </c>
      <c r="F286" s="1407"/>
      <c r="G286" s="1407"/>
      <c r="H286" s="1407"/>
      <c r="I286" s="1407"/>
      <c r="J286" s="1407"/>
      <c r="K286" s="1407"/>
      <c r="L286" s="1407"/>
      <c r="M286" s="1407"/>
      <c r="N286" s="1407"/>
      <c r="O286" s="1407"/>
      <c r="P286" s="1407"/>
      <c r="Q286" s="1407"/>
      <c r="R286" s="1407"/>
      <c r="S286" s="1407"/>
      <c r="T286" s="1407"/>
      <c r="U286" s="1407"/>
      <c r="V286" s="1407"/>
      <c r="W286" s="1408"/>
      <c r="X286" s="1403"/>
      <c r="Y286" s="1403"/>
      <c r="Z286" s="1403"/>
      <c r="AA286" s="1403"/>
      <c r="AB286" s="1403"/>
      <c r="AC286" s="1403"/>
      <c r="AD286" s="1403"/>
      <c r="AE286" s="1403"/>
      <c r="AF286" s="1403"/>
      <c r="AG286" s="1403"/>
      <c r="AH286" s="1403"/>
      <c r="AI286" s="1403"/>
      <c r="AJ286" s="1403"/>
      <c r="AK286" s="1403"/>
      <c r="AL286" s="1403"/>
    </row>
    <row r="287" spans="3:38">
      <c r="C287" s="1406">
        <f t="shared" si="11"/>
        <v>28</v>
      </c>
      <c r="D287" s="1423">
        <f t="shared" si="11"/>
        <v>0</v>
      </c>
      <c r="E287" s="1423" t="str">
        <f t="shared" si="11"/>
        <v>Comp 28</v>
      </c>
      <c r="F287" s="1407"/>
      <c r="G287" s="1407"/>
      <c r="H287" s="1407"/>
      <c r="I287" s="1407"/>
      <c r="J287" s="1407"/>
      <c r="K287" s="1407"/>
      <c r="L287" s="1407"/>
      <c r="M287" s="1407"/>
      <c r="N287" s="1407"/>
      <c r="O287" s="1407"/>
      <c r="P287" s="1407"/>
      <c r="Q287" s="1407"/>
      <c r="R287" s="1407"/>
      <c r="S287" s="1407"/>
      <c r="T287" s="1407"/>
      <c r="U287" s="1407"/>
      <c r="V287" s="1407"/>
      <c r="W287" s="1408"/>
      <c r="X287" s="1403"/>
      <c r="Y287" s="1403"/>
      <c r="Z287" s="1403"/>
      <c r="AA287" s="1403"/>
      <c r="AB287" s="1403"/>
      <c r="AC287" s="1403"/>
      <c r="AD287" s="1403"/>
      <c r="AE287" s="1403"/>
      <c r="AF287" s="1403"/>
      <c r="AG287" s="1403"/>
      <c r="AH287" s="1403"/>
      <c r="AI287" s="1403"/>
      <c r="AJ287" s="1403"/>
      <c r="AK287" s="1403"/>
      <c r="AL287" s="1403"/>
    </row>
    <row r="288" spans="3:38">
      <c r="C288" s="1406">
        <f t="shared" si="11"/>
        <v>29</v>
      </c>
      <c r="D288" s="1423">
        <f t="shared" si="11"/>
        <v>0</v>
      </c>
      <c r="E288" s="1423" t="str">
        <f t="shared" si="11"/>
        <v>Comp 29</v>
      </c>
      <c r="F288" s="1407"/>
      <c r="G288" s="1407"/>
      <c r="H288" s="1407"/>
      <c r="I288" s="1407"/>
      <c r="J288" s="1407"/>
      <c r="K288" s="1407"/>
      <c r="L288" s="1407"/>
      <c r="M288" s="1407"/>
      <c r="N288" s="1407"/>
      <c r="O288" s="1407"/>
      <c r="P288" s="1407"/>
      <c r="Q288" s="1407"/>
      <c r="R288" s="1407"/>
      <c r="S288" s="1407"/>
      <c r="T288" s="1407"/>
      <c r="U288" s="1407"/>
      <c r="V288" s="1407"/>
      <c r="W288" s="1408"/>
      <c r="X288" s="1403"/>
      <c r="Y288" s="1403"/>
      <c r="Z288" s="1403"/>
      <c r="AA288" s="1403"/>
      <c r="AB288" s="1403"/>
      <c r="AC288" s="1403"/>
      <c r="AD288" s="1403"/>
      <c r="AE288" s="1403"/>
      <c r="AF288" s="1403"/>
      <c r="AG288" s="1403"/>
      <c r="AH288" s="1403"/>
      <c r="AI288" s="1403"/>
      <c r="AJ288" s="1403"/>
      <c r="AK288" s="1403"/>
      <c r="AL288" s="1403"/>
    </row>
    <row r="289" spans="3:38">
      <c r="C289" s="1409">
        <f t="shared" si="11"/>
        <v>30</v>
      </c>
      <c r="D289" s="1424">
        <f t="shared" si="11"/>
        <v>0</v>
      </c>
      <c r="E289" s="1424" t="str">
        <f t="shared" si="11"/>
        <v>Comp 30</v>
      </c>
      <c r="F289" s="1410"/>
      <c r="G289" s="1410"/>
      <c r="H289" s="1410"/>
      <c r="I289" s="1410"/>
      <c r="J289" s="1410"/>
      <c r="K289" s="1410"/>
      <c r="L289" s="1410"/>
      <c r="M289" s="1410"/>
      <c r="N289" s="1410"/>
      <c r="O289" s="1410"/>
      <c r="P289" s="1410"/>
      <c r="Q289" s="1410"/>
      <c r="R289" s="1410"/>
      <c r="S289" s="1410"/>
      <c r="T289" s="1410"/>
      <c r="U289" s="1410"/>
      <c r="V289" s="1410"/>
      <c r="W289" s="1411"/>
      <c r="X289" s="1403"/>
      <c r="Y289" s="1403"/>
      <c r="Z289" s="1403"/>
      <c r="AA289" s="1403"/>
      <c r="AB289" s="1403"/>
      <c r="AC289" s="1403"/>
      <c r="AD289" s="1403"/>
      <c r="AE289" s="1403"/>
      <c r="AF289" s="1403"/>
      <c r="AG289" s="1403"/>
      <c r="AH289" s="1403"/>
      <c r="AI289" s="1403"/>
      <c r="AJ289" s="1403"/>
      <c r="AK289" s="1403"/>
      <c r="AL289" s="1403"/>
    </row>
    <row r="290" spans="3:38">
      <c r="F290" s="1403"/>
      <c r="G290" s="1403"/>
      <c r="H290" s="1403"/>
      <c r="I290" s="1403"/>
      <c r="J290" s="1403"/>
      <c r="K290" s="1403"/>
      <c r="L290" s="1403"/>
      <c r="M290" s="1403"/>
      <c r="N290" s="1403"/>
      <c r="R290" s="1403"/>
      <c r="S290" s="1403"/>
      <c r="T290" s="1403"/>
      <c r="U290" s="1403"/>
      <c r="V290" s="1403"/>
      <c r="W290" s="1403"/>
      <c r="X290" s="1403"/>
      <c r="Y290" s="1403"/>
      <c r="Z290" s="1403"/>
      <c r="AA290" s="1403"/>
      <c r="AB290" s="1403"/>
      <c r="AC290" s="1403"/>
      <c r="AD290" s="1403"/>
      <c r="AE290" s="1403"/>
      <c r="AF290" s="1403"/>
      <c r="AG290" s="1403"/>
      <c r="AH290" s="1403"/>
      <c r="AI290" s="1403"/>
      <c r="AJ290" s="1403"/>
      <c r="AK290" s="1403"/>
      <c r="AL290" s="1403"/>
    </row>
    <row r="291" spans="3:38">
      <c r="C291" s="1432" t="s">
        <v>2010</v>
      </c>
      <c r="D291" s="1432"/>
      <c r="E291" s="1432"/>
      <c r="F291" s="1432"/>
      <c r="G291" s="1432"/>
      <c r="H291" s="1432"/>
      <c r="I291" s="1432"/>
      <c r="J291" s="1432"/>
      <c r="K291" s="1432"/>
      <c r="L291" s="1432"/>
      <c r="M291" s="1432"/>
      <c r="N291" s="1432"/>
      <c r="O291" s="1432"/>
      <c r="P291" s="1432"/>
      <c r="Q291" s="1432"/>
      <c r="R291" s="1432"/>
      <c r="S291" s="1432"/>
      <c r="T291" s="1432"/>
      <c r="U291" s="1432"/>
      <c r="V291" s="1432"/>
      <c r="W291" s="1432"/>
      <c r="X291" s="1432"/>
      <c r="Y291" s="1432"/>
      <c r="Z291" s="1432"/>
      <c r="AA291" s="1432"/>
      <c r="AB291" s="1432"/>
      <c r="AC291" s="1432"/>
      <c r="AD291" s="1403"/>
      <c r="AE291" s="1403"/>
      <c r="AF291" s="1403"/>
      <c r="AG291" s="1403"/>
      <c r="AH291" s="1403"/>
      <c r="AI291" s="1403"/>
      <c r="AJ291" s="1403"/>
      <c r="AK291" s="1403"/>
      <c r="AL291" s="1403"/>
    </row>
    <row r="292" spans="3:38" ht="33.65" customHeight="1">
      <c r="C292" s="1437" t="s">
        <v>1951</v>
      </c>
      <c r="D292" s="1438" t="s">
        <v>93</v>
      </c>
      <c r="E292" s="1438" t="s">
        <v>94</v>
      </c>
      <c r="F292" s="1438" t="s">
        <v>1957</v>
      </c>
      <c r="G292" s="1438" t="s">
        <v>1625</v>
      </c>
      <c r="H292" s="1438" t="s">
        <v>1895</v>
      </c>
      <c r="I292" s="1438" t="s">
        <v>1894</v>
      </c>
      <c r="J292" s="1438" t="s">
        <v>1893</v>
      </c>
      <c r="K292" s="1439" t="s">
        <v>1892</v>
      </c>
      <c r="L292" s="1439" t="s">
        <v>1891</v>
      </c>
      <c r="M292" s="1439" t="s">
        <v>1890</v>
      </c>
      <c r="N292" s="1439" t="s">
        <v>1889</v>
      </c>
      <c r="O292" s="1439" t="s">
        <v>2081</v>
      </c>
      <c r="P292" s="1439" t="s">
        <v>1488</v>
      </c>
      <c r="Q292" s="1439" t="s">
        <v>2083</v>
      </c>
      <c r="R292" s="1439" t="s">
        <v>1371</v>
      </c>
      <c r="S292" s="1439" t="s">
        <v>1489</v>
      </c>
      <c r="T292" s="1439" t="s">
        <v>1490</v>
      </c>
      <c r="U292" s="1439" t="s">
        <v>1491</v>
      </c>
      <c r="V292" s="1439" t="s">
        <v>1492</v>
      </c>
      <c r="W292" s="1439" t="s">
        <v>1493</v>
      </c>
      <c r="X292" s="1439" t="s">
        <v>1494</v>
      </c>
      <c r="Y292" s="1439" t="s">
        <v>1495</v>
      </c>
      <c r="Z292" s="1439" t="s">
        <v>1496</v>
      </c>
      <c r="AA292" s="1439" t="s">
        <v>1497</v>
      </c>
      <c r="AB292" s="1439" t="s">
        <v>1498</v>
      </c>
      <c r="AC292" s="1440" t="s">
        <v>2084</v>
      </c>
      <c r="AD292" s="1403"/>
      <c r="AE292" s="1403"/>
      <c r="AF292" s="1403"/>
      <c r="AG292" s="1403"/>
      <c r="AH292" s="1403"/>
      <c r="AI292" s="1403"/>
      <c r="AJ292" s="1403"/>
      <c r="AK292" s="1403"/>
      <c r="AL292" s="1403"/>
    </row>
    <row r="293" spans="3:38">
      <c r="C293" s="1420"/>
      <c r="D293" s="1421"/>
      <c r="E293" s="1421"/>
      <c r="F293" s="1422"/>
      <c r="G293" s="1422"/>
      <c r="H293" s="1422"/>
      <c r="I293" s="1422"/>
      <c r="J293" s="1422"/>
      <c r="K293" s="1422"/>
      <c r="L293" s="1422"/>
      <c r="M293" s="1422"/>
      <c r="N293" s="1422"/>
      <c r="O293" s="1422"/>
      <c r="P293" s="1422"/>
      <c r="Q293" s="1422"/>
      <c r="R293" s="1422"/>
      <c r="S293" s="1422"/>
      <c r="T293" s="1422"/>
      <c r="U293" s="1422"/>
      <c r="V293" s="1422"/>
      <c r="W293" s="1422"/>
      <c r="X293" s="1422"/>
      <c r="Y293" s="1422"/>
      <c r="Z293" s="1422"/>
      <c r="AA293" s="1422"/>
      <c r="AB293" s="1422"/>
      <c r="AC293" s="1415"/>
      <c r="AD293" s="1403"/>
      <c r="AE293" s="1403"/>
      <c r="AF293" s="1403"/>
      <c r="AG293" s="1403"/>
      <c r="AH293" s="1403"/>
      <c r="AI293" s="1403"/>
      <c r="AJ293" s="1403"/>
      <c r="AK293" s="1403"/>
      <c r="AL293" s="1403"/>
    </row>
    <row r="294" spans="3:38">
      <c r="C294" s="1406">
        <v>1</v>
      </c>
      <c r="D294" s="1423">
        <f t="shared" ref="D294:E302" si="12">D22</f>
        <v>0</v>
      </c>
      <c r="E294" s="1423" t="str">
        <f t="shared" si="12"/>
        <v>Comp 1</v>
      </c>
      <c r="F294" s="1407"/>
      <c r="G294" s="1407"/>
      <c r="H294" s="1407"/>
      <c r="I294" s="1407"/>
      <c r="J294" s="1407"/>
      <c r="K294" s="1407"/>
      <c r="L294" s="1407"/>
      <c r="M294" s="1407"/>
      <c r="N294" s="1407"/>
      <c r="O294" s="1407"/>
      <c r="P294" s="1407"/>
      <c r="Q294" s="1407"/>
      <c r="R294" s="1407"/>
      <c r="S294" s="1407"/>
      <c r="T294" s="1407"/>
      <c r="U294" s="1407"/>
      <c r="V294" s="1407"/>
      <c r="W294" s="1407"/>
      <c r="X294" s="1407"/>
      <c r="Y294" s="1407"/>
      <c r="Z294" s="1407"/>
      <c r="AA294" s="1407"/>
      <c r="AB294" s="1407"/>
      <c r="AC294" s="1408"/>
      <c r="AD294" s="1403"/>
      <c r="AE294" s="1403"/>
      <c r="AF294" s="1403"/>
      <c r="AG294" s="1403"/>
      <c r="AH294" s="1403"/>
      <c r="AI294" s="1403"/>
      <c r="AJ294" s="1403"/>
      <c r="AK294" s="1403"/>
      <c r="AL294" s="1403"/>
    </row>
    <row r="295" spans="3:38">
      <c r="C295" s="1406">
        <f>C294+1</f>
        <v>2</v>
      </c>
      <c r="D295" s="1423">
        <f t="shared" si="12"/>
        <v>0</v>
      </c>
      <c r="E295" s="1423" t="str">
        <f t="shared" si="12"/>
        <v>Comp 2</v>
      </c>
      <c r="F295" s="1407"/>
      <c r="G295" s="1407"/>
      <c r="H295" s="1407"/>
      <c r="I295" s="1407"/>
      <c r="J295" s="1407"/>
      <c r="K295" s="1407"/>
      <c r="L295" s="1407"/>
      <c r="M295" s="1407"/>
      <c r="N295" s="1407"/>
      <c r="O295" s="1407"/>
      <c r="P295" s="1407"/>
      <c r="Q295" s="1407"/>
      <c r="R295" s="1407"/>
      <c r="S295" s="1407"/>
      <c r="T295" s="1407"/>
      <c r="U295" s="1407"/>
      <c r="V295" s="1407"/>
      <c r="W295" s="1407"/>
      <c r="X295" s="1407"/>
      <c r="Y295" s="1407"/>
      <c r="Z295" s="1407"/>
      <c r="AA295" s="1407"/>
      <c r="AB295" s="1407"/>
      <c r="AC295" s="1408"/>
      <c r="AD295" s="1403"/>
      <c r="AE295" s="1403"/>
      <c r="AF295" s="1403"/>
      <c r="AG295" s="1403"/>
      <c r="AH295" s="1403"/>
      <c r="AI295" s="1403"/>
      <c r="AJ295" s="1403"/>
      <c r="AK295" s="1403"/>
      <c r="AL295" s="1403"/>
    </row>
    <row r="296" spans="3:38">
      <c r="C296" s="1406">
        <f t="shared" ref="C296:C323" si="13">C295+1</f>
        <v>3</v>
      </c>
      <c r="D296" s="1423">
        <f t="shared" si="12"/>
        <v>0</v>
      </c>
      <c r="E296" s="1423" t="str">
        <f t="shared" si="12"/>
        <v>Comp 3</v>
      </c>
      <c r="F296" s="1407"/>
      <c r="G296" s="1407"/>
      <c r="H296" s="1407"/>
      <c r="I296" s="1407"/>
      <c r="J296" s="1407"/>
      <c r="K296" s="1407"/>
      <c r="L296" s="1407"/>
      <c r="M296" s="1407"/>
      <c r="N296" s="1407"/>
      <c r="O296" s="1407"/>
      <c r="P296" s="1407"/>
      <c r="Q296" s="1407"/>
      <c r="R296" s="1407"/>
      <c r="S296" s="1407"/>
      <c r="T296" s="1407"/>
      <c r="U296" s="1407"/>
      <c r="V296" s="1407"/>
      <c r="W296" s="1407"/>
      <c r="X296" s="1407"/>
      <c r="Y296" s="1407"/>
      <c r="Z296" s="1407"/>
      <c r="AA296" s="1407"/>
      <c r="AB296" s="1407"/>
      <c r="AC296" s="1408"/>
      <c r="AD296" s="1403"/>
      <c r="AE296" s="1403"/>
      <c r="AF296" s="1403"/>
      <c r="AG296" s="1403"/>
      <c r="AH296" s="1403"/>
      <c r="AI296" s="1403"/>
      <c r="AJ296" s="1403"/>
      <c r="AK296" s="1403"/>
      <c r="AL296" s="1403"/>
    </row>
    <row r="297" spans="3:38">
      <c r="C297" s="1406">
        <f t="shared" si="13"/>
        <v>4</v>
      </c>
      <c r="D297" s="1423">
        <f t="shared" si="12"/>
        <v>0</v>
      </c>
      <c r="E297" s="1423" t="str">
        <f t="shared" si="12"/>
        <v>Comp 4</v>
      </c>
      <c r="F297" s="1407"/>
      <c r="G297" s="1407"/>
      <c r="H297" s="1407"/>
      <c r="I297" s="1407"/>
      <c r="J297" s="1407"/>
      <c r="K297" s="1407"/>
      <c r="L297" s="1407"/>
      <c r="M297" s="1407"/>
      <c r="N297" s="1407"/>
      <c r="O297" s="1407"/>
      <c r="P297" s="1407"/>
      <c r="Q297" s="1407"/>
      <c r="R297" s="1407"/>
      <c r="S297" s="1407"/>
      <c r="T297" s="1407"/>
      <c r="U297" s="1407"/>
      <c r="V297" s="1407"/>
      <c r="W297" s="1407"/>
      <c r="X297" s="1407"/>
      <c r="Y297" s="1407"/>
      <c r="Z297" s="1407"/>
      <c r="AA297" s="1407"/>
      <c r="AB297" s="1407"/>
      <c r="AC297" s="1408"/>
      <c r="AD297" s="1403"/>
      <c r="AE297" s="1403"/>
      <c r="AF297" s="1403"/>
      <c r="AG297" s="1403"/>
      <c r="AH297" s="1403"/>
      <c r="AI297" s="1403"/>
      <c r="AJ297" s="1403"/>
      <c r="AK297" s="1403"/>
      <c r="AL297" s="1403"/>
    </row>
    <row r="298" spans="3:38">
      <c r="C298" s="1406">
        <f t="shared" si="13"/>
        <v>5</v>
      </c>
      <c r="D298" s="1423">
        <f t="shared" si="12"/>
        <v>0</v>
      </c>
      <c r="E298" s="1423" t="str">
        <f t="shared" si="12"/>
        <v>Comp 5</v>
      </c>
      <c r="F298" s="1407"/>
      <c r="G298" s="1407"/>
      <c r="H298" s="1407"/>
      <c r="I298" s="1407"/>
      <c r="J298" s="1407"/>
      <c r="K298" s="1407"/>
      <c r="L298" s="1407"/>
      <c r="M298" s="1407"/>
      <c r="N298" s="1407"/>
      <c r="O298" s="1407"/>
      <c r="P298" s="1407"/>
      <c r="Q298" s="1407"/>
      <c r="R298" s="1407"/>
      <c r="S298" s="1407"/>
      <c r="T298" s="1407"/>
      <c r="U298" s="1407"/>
      <c r="V298" s="1407"/>
      <c r="W298" s="1407"/>
      <c r="X298" s="1407"/>
      <c r="Y298" s="1407"/>
      <c r="Z298" s="1407"/>
      <c r="AA298" s="1407"/>
      <c r="AB298" s="1407"/>
      <c r="AC298" s="1408"/>
      <c r="AD298" s="1403"/>
      <c r="AE298" s="1403"/>
      <c r="AF298" s="1403"/>
      <c r="AG298" s="1403"/>
      <c r="AH298" s="1403"/>
      <c r="AI298" s="1403"/>
      <c r="AJ298" s="1403"/>
      <c r="AK298" s="1403"/>
      <c r="AL298" s="1403"/>
    </row>
    <row r="299" spans="3:38">
      <c r="C299" s="1406">
        <f t="shared" si="13"/>
        <v>6</v>
      </c>
      <c r="D299" s="1423">
        <f t="shared" si="12"/>
        <v>0</v>
      </c>
      <c r="E299" s="1423" t="str">
        <f t="shared" si="12"/>
        <v>Comp 6</v>
      </c>
      <c r="F299" s="1407"/>
      <c r="G299" s="1407"/>
      <c r="H299" s="1407"/>
      <c r="I299" s="1407"/>
      <c r="J299" s="1407"/>
      <c r="K299" s="1407"/>
      <c r="L299" s="1407"/>
      <c r="M299" s="1407"/>
      <c r="N299" s="1407"/>
      <c r="O299" s="1407"/>
      <c r="P299" s="1407"/>
      <c r="Q299" s="1407"/>
      <c r="R299" s="1407"/>
      <c r="S299" s="1407"/>
      <c r="T299" s="1407"/>
      <c r="U299" s="1407"/>
      <c r="V299" s="1407"/>
      <c r="W299" s="1407"/>
      <c r="X299" s="1407"/>
      <c r="Y299" s="1407"/>
      <c r="Z299" s="1407"/>
      <c r="AA299" s="1407"/>
      <c r="AB299" s="1407"/>
      <c r="AC299" s="1408"/>
      <c r="AD299" s="1403"/>
      <c r="AE299" s="1403"/>
      <c r="AF299" s="1403"/>
      <c r="AG299" s="1403"/>
      <c r="AH299" s="1403"/>
      <c r="AI299" s="1403"/>
      <c r="AJ299" s="1403"/>
      <c r="AK299" s="1403"/>
      <c r="AL299" s="1403"/>
    </row>
    <row r="300" spans="3:38">
      <c r="C300" s="1406">
        <f t="shared" si="13"/>
        <v>7</v>
      </c>
      <c r="D300" s="1423">
        <f t="shared" si="12"/>
        <v>0</v>
      </c>
      <c r="E300" s="1423" t="str">
        <f t="shared" si="12"/>
        <v>Comp 7</v>
      </c>
      <c r="F300" s="1407"/>
      <c r="G300" s="1407"/>
      <c r="H300" s="1407"/>
      <c r="I300" s="1407"/>
      <c r="J300" s="1407"/>
      <c r="K300" s="1407"/>
      <c r="L300" s="1407"/>
      <c r="M300" s="1407"/>
      <c r="N300" s="1407"/>
      <c r="O300" s="1407"/>
      <c r="P300" s="1407"/>
      <c r="Q300" s="1407"/>
      <c r="R300" s="1407"/>
      <c r="S300" s="1407"/>
      <c r="T300" s="1407"/>
      <c r="U300" s="1407"/>
      <c r="V300" s="1407"/>
      <c r="W300" s="1407"/>
      <c r="X300" s="1407"/>
      <c r="Y300" s="1407"/>
      <c r="Z300" s="1407"/>
      <c r="AA300" s="1407"/>
      <c r="AB300" s="1407"/>
      <c r="AC300" s="1408"/>
      <c r="AD300" s="1403"/>
      <c r="AE300" s="1403"/>
      <c r="AF300" s="1403"/>
      <c r="AG300" s="1403"/>
      <c r="AH300" s="1403"/>
      <c r="AI300" s="1403"/>
      <c r="AJ300" s="1403"/>
      <c r="AK300" s="1403"/>
      <c r="AL300" s="1403"/>
    </row>
    <row r="301" spans="3:38">
      <c r="C301" s="1406">
        <f t="shared" si="13"/>
        <v>8</v>
      </c>
      <c r="D301" s="1423">
        <f t="shared" si="12"/>
        <v>0</v>
      </c>
      <c r="E301" s="1423" t="str">
        <f t="shared" si="12"/>
        <v>Comp 8</v>
      </c>
      <c r="F301" s="1407"/>
      <c r="G301" s="1407"/>
      <c r="H301" s="1407"/>
      <c r="I301" s="1407"/>
      <c r="J301" s="1407"/>
      <c r="K301" s="1407"/>
      <c r="L301" s="1407"/>
      <c r="M301" s="1407"/>
      <c r="N301" s="1407"/>
      <c r="O301" s="1407"/>
      <c r="P301" s="1407"/>
      <c r="Q301" s="1407"/>
      <c r="R301" s="1407"/>
      <c r="S301" s="1407"/>
      <c r="T301" s="1407"/>
      <c r="U301" s="1407"/>
      <c r="V301" s="1407"/>
      <c r="W301" s="1407"/>
      <c r="X301" s="1407"/>
      <c r="Y301" s="1407"/>
      <c r="Z301" s="1407"/>
      <c r="AA301" s="1407"/>
      <c r="AB301" s="1407"/>
      <c r="AC301" s="1408"/>
      <c r="AD301" s="1403"/>
      <c r="AE301" s="1403"/>
      <c r="AF301" s="1403"/>
      <c r="AG301" s="1403"/>
      <c r="AH301" s="1403"/>
      <c r="AI301" s="1403"/>
      <c r="AJ301" s="1403"/>
      <c r="AK301" s="1403"/>
      <c r="AL301" s="1403"/>
    </row>
    <row r="302" spans="3:38">
      <c r="C302" s="1406">
        <f t="shared" si="13"/>
        <v>9</v>
      </c>
      <c r="D302" s="1423">
        <f t="shared" si="12"/>
        <v>0</v>
      </c>
      <c r="E302" s="1423" t="str">
        <f t="shared" si="12"/>
        <v>Comp 9</v>
      </c>
      <c r="F302" s="1407"/>
      <c r="G302" s="1407"/>
      <c r="H302" s="1407"/>
      <c r="I302" s="1407"/>
      <c r="J302" s="1407"/>
      <c r="K302" s="1407"/>
      <c r="L302" s="1407"/>
      <c r="M302" s="1407"/>
      <c r="N302" s="1407"/>
      <c r="O302" s="1407"/>
      <c r="P302" s="1407"/>
      <c r="Q302" s="1407"/>
      <c r="R302" s="1407"/>
      <c r="S302" s="1407"/>
      <c r="T302" s="1407"/>
      <c r="U302" s="1407"/>
      <c r="V302" s="1407"/>
      <c r="W302" s="1407"/>
      <c r="X302" s="1407"/>
      <c r="Y302" s="1407"/>
      <c r="Z302" s="1407"/>
      <c r="AA302" s="1407"/>
      <c r="AB302" s="1407"/>
      <c r="AC302" s="1408"/>
      <c r="AD302" s="1403"/>
      <c r="AE302" s="1403"/>
      <c r="AF302" s="1403"/>
      <c r="AG302" s="1403"/>
      <c r="AH302" s="1403"/>
      <c r="AI302" s="1403"/>
      <c r="AJ302" s="1403"/>
      <c r="AK302" s="1403"/>
      <c r="AL302" s="1403"/>
    </row>
    <row r="303" spans="3:38">
      <c r="C303" s="1406">
        <f t="shared" si="13"/>
        <v>10</v>
      </c>
      <c r="D303" s="1423">
        <f t="shared" ref="D303:E323" si="14">D31</f>
        <v>0</v>
      </c>
      <c r="E303" s="1423" t="str">
        <f t="shared" si="14"/>
        <v>Comp 10</v>
      </c>
      <c r="F303" s="1407"/>
      <c r="G303" s="1407"/>
      <c r="H303" s="1407"/>
      <c r="I303" s="1407"/>
      <c r="J303" s="1407"/>
      <c r="K303" s="1407"/>
      <c r="L303" s="1407"/>
      <c r="M303" s="1407"/>
      <c r="N303" s="1407"/>
      <c r="O303" s="1407"/>
      <c r="P303" s="1407"/>
      <c r="Q303" s="1407"/>
      <c r="R303" s="1407"/>
      <c r="S303" s="1407"/>
      <c r="T303" s="1407"/>
      <c r="U303" s="1407"/>
      <c r="V303" s="1407"/>
      <c r="W303" s="1407"/>
      <c r="X303" s="1407"/>
      <c r="Y303" s="1407"/>
      <c r="Z303" s="1407"/>
      <c r="AA303" s="1407"/>
      <c r="AB303" s="1407"/>
      <c r="AC303" s="1408"/>
      <c r="AD303" s="1403"/>
      <c r="AE303" s="1403"/>
      <c r="AF303" s="1403"/>
      <c r="AG303" s="1403"/>
      <c r="AH303" s="1403"/>
      <c r="AI303" s="1403"/>
      <c r="AJ303" s="1403"/>
      <c r="AK303" s="1403"/>
      <c r="AL303" s="1403"/>
    </row>
    <row r="304" spans="3:38">
      <c r="C304" s="1406">
        <f t="shared" si="13"/>
        <v>11</v>
      </c>
      <c r="D304" s="1423">
        <f t="shared" si="14"/>
        <v>0</v>
      </c>
      <c r="E304" s="1423" t="str">
        <f t="shared" si="14"/>
        <v>Comp 11</v>
      </c>
      <c r="F304" s="1407"/>
      <c r="G304" s="1407"/>
      <c r="H304" s="1407"/>
      <c r="I304" s="1407"/>
      <c r="J304" s="1407"/>
      <c r="K304" s="1407"/>
      <c r="L304" s="1407"/>
      <c r="M304" s="1407"/>
      <c r="N304" s="1407"/>
      <c r="O304" s="1407"/>
      <c r="P304" s="1407"/>
      <c r="Q304" s="1407"/>
      <c r="R304" s="1407"/>
      <c r="S304" s="1407"/>
      <c r="T304" s="1407"/>
      <c r="U304" s="1407"/>
      <c r="V304" s="1407"/>
      <c r="W304" s="1407"/>
      <c r="X304" s="1407"/>
      <c r="Y304" s="1407"/>
      <c r="Z304" s="1407"/>
      <c r="AA304" s="1407"/>
      <c r="AB304" s="1407"/>
      <c r="AC304" s="1408"/>
      <c r="AD304" s="1403"/>
      <c r="AE304" s="1403"/>
      <c r="AF304" s="1403"/>
      <c r="AG304" s="1403"/>
      <c r="AH304" s="1403"/>
      <c r="AI304" s="1403"/>
      <c r="AJ304" s="1403"/>
      <c r="AK304" s="1403"/>
      <c r="AL304" s="1403"/>
    </row>
    <row r="305" spans="3:38">
      <c r="C305" s="1406">
        <f t="shared" si="13"/>
        <v>12</v>
      </c>
      <c r="D305" s="1423">
        <f t="shared" si="14"/>
        <v>0</v>
      </c>
      <c r="E305" s="1423" t="str">
        <f t="shared" si="14"/>
        <v>Comp 12</v>
      </c>
      <c r="F305" s="1407"/>
      <c r="G305" s="1407"/>
      <c r="H305" s="1407"/>
      <c r="I305" s="1407"/>
      <c r="J305" s="1407"/>
      <c r="K305" s="1407"/>
      <c r="L305" s="1407"/>
      <c r="M305" s="1407"/>
      <c r="N305" s="1407"/>
      <c r="O305" s="1407"/>
      <c r="P305" s="1407"/>
      <c r="Q305" s="1407"/>
      <c r="R305" s="1407"/>
      <c r="S305" s="1407"/>
      <c r="T305" s="1407"/>
      <c r="U305" s="1407"/>
      <c r="V305" s="1407"/>
      <c r="W305" s="1407"/>
      <c r="X305" s="1407"/>
      <c r="Y305" s="1407"/>
      <c r="Z305" s="1407"/>
      <c r="AA305" s="1407"/>
      <c r="AB305" s="1407"/>
      <c r="AC305" s="1408"/>
      <c r="AD305" s="1403"/>
      <c r="AE305" s="1403"/>
      <c r="AF305" s="1403"/>
      <c r="AG305" s="1403"/>
      <c r="AH305" s="1403"/>
      <c r="AI305" s="1403"/>
      <c r="AJ305" s="1403"/>
      <c r="AK305" s="1403"/>
      <c r="AL305" s="1403"/>
    </row>
    <row r="306" spans="3:38">
      <c r="C306" s="1406">
        <f t="shared" si="13"/>
        <v>13</v>
      </c>
      <c r="D306" s="1423">
        <f t="shared" si="14"/>
        <v>0</v>
      </c>
      <c r="E306" s="1423" t="str">
        <f t="shared" si="14"/>
        <v>Comp 13</v>
      </c>
      <c r="F306" s="1407"/>
      <c r="G306" s="1407"/>
      <c r="H306" s="1407"/>
      <c r="I306" s="1407"/>
      <c r="J306" s="1407"/>
      <c r="K306" s="1407"/>
      <c r="L306" s="1407"/>
      <c r="M306" s="1407"/>
      <c r="N306" s="1407"/>
      <c r="O306" s="1407"/>
      <c r="P306" s="1407"/>
      <c r="Q306" s="1407"/>
      <c r="R306" s="1407"/>
      <c r="S306" s="1407"/>
      <c r="T306" s="1407"/>
      <c r="U306" s="1407"/>
      <c r="V306" s="1407"/>
      <c r="W306" s="1407"/>
      <c r="X306" s="1407"/>
      <c r="Y306" s="1407"/>
      <c r="Z306" s="1407"/>
      <c r="AA306" s="1407"/>
      <c r="AB306" s="1407"/>
      <c r="AC306" s="1408"/>
      <c r="AD306" s="1403"/>
      <c r="AE306" s="1403"/>
      <c r="AF306" s="1403"/>
      <c r="AG306" s="1403"/>
      <c r="AH306" s="1403"/>
      <c r="AI306" s="1403"/>
      <c r="AJ306" s="1403"/>
      <c r="AK306" s="1403"/>
      <c r="AL306" s="1403"/>
    </row>
    <row r="307" spans="3:38">
      <c r="C307" s="1406">
        <f t="shared" si="13"/>
        <v>14</v>
      </c>
      <c r="D307" s="1423">
        <f t="shared" si="14"/>
        <v>0</v>
      </c>
      <c r="E307" s="1423" t="str">
        <f t="shared" si="14"/>
        <v>Comp 14</v>
      </c>
      <c r="F307" s="1407"/>
      <c r="G307" s="1407"/>
      <c r="H307" s="1407"/>
      <c r="I307" s="1407"/>
      <c r="J307" s="1407"/>
      <c r="K307" s="1407"/>
      <c r="L307" s="1407"/>
      <c r="M307" s="1407"/>
      <c r="N307" s="1407"/>
      <c r="O307" s="1407"/>
      <c r="P307" s="1407"/>
      <c r="Q307" s="1407"/>
      <c r="R307" s="1407"/>
      <c r="S307" s="1407"/>
      <c r="T307" s="1407"/>
      <c r="U307" s="1407"/>
      <c r="V307" s="1407"/>
      <c r="W307" s="1407"/>
      <c r="X307" s="1407"/>
      <c r="Y307" s="1407"/>
      <c r="Z307" s="1407"/>
      <c r="AA307" s="1407"/>
      <c r="AB307" s="1407"/>
      <c r="AC307" s="1408"/>
      <c r="AD307" s="1403"/>
      <c r="AE307" s="1403"/>
      <c r="AF307" s="1403"/>
      <c r="AG307" s="1403"/>
      <c r="AH307" s="1403"/>
      <c r="AI307" s="1403"/>
      <c r="AJ307" s="1403"/>
      <c r="AK307" s="1403"/>
      <c r="AL307" s="1403"/>
    </row>
    <row r="308" spans="3:38">
      <c r="C308" s="1406">
        <f t="shared" si="13"/>
        <v>15</v>
      </c>
      <c r="D308" s="1423">
        <f t="shared" si="14"/>
        <v>0</v>
      </c>
      <c r="E308" s="1423" t="str">
        <f t="shared" si="14"/>
        <v>Comp 15</v>
      </c>
      <c r="F308" s="1407"/>
      <c r="G308" s="1407"/>
      <c r="H308" s="1407"/>
      <c r="I308" s="1407"/>
      <c r="J308" s="1407"/>
      <c r="K308" s="1407"/>
      <c r="L308" s="1407"/>
      <c r="M308" s="1407"/>
      <c r="N308" s="1407"/>
      <c r="O308" s="1407"/>
      <c r="P308" s="1407"/>
      <c r="Q308" s="1407"/>
      <c r="R308" s="1407"/>
      <c r="S308" s="1407"/>
      <c r="T308" s="1407"/>
      <c r="U308" s="1407"/>
      <c r="V308" s="1407"/>
      <c r="W308" s="1407"/>
      <c r="X308" s="1407"/>
      <c r="Y308" s="1407"/>
      <c r="Z308" s="1407"/>
      <c r="AA308" s="1407"/>
      <c r="AB308" s="1407"/>
      <c r="AC308" s="1408"/>
      <c r="AD308" s="1403"/>
      <c r="AE308" s="1403"/>
      <c r="AF308" s="1403"/>
      <c r="AG308" s="1403"/>
      <c r="AH308" s="1403"/>
      <c r="AI308" s="1403"/>
      <c r="AJ308" s="1403"/>
      <c r="AK308" s="1403"/>
      <c r="AL308" s="1403"/>
    </row>
    <row r="309" spans="3:38">
      <c r="C309" s="1406">
        <f t="shared" si="13"/>
        <v>16</v>
      </c>
      <c r="D309" s="1423">
        <f t="shared" si="14"/>
        <v>0</v>
      </c>
      <c r="E309" s="1423" t="str">
        <f t="shared" si="14"/>
        <v>Comp 16</v>
      </c>
      <c r="F309" s="1407"/>
      <c r="G309" s="1407"/>
      <c r="H309" s="1407"/>
      <c r="I309" s="1407"/>
      <c r="J309" s="1407"/>
      <c r="K309" s="1407"/>
      <c r="L309" s="1407"/>
      <c r="M309" s="1407"/>
      <c r="N309" s="1407"/>
      <c r="O309" s="1407"/>
      <c r="P309" s="1407"/>
      <c r="Q309" s="1407"/>
      <c r="R309" s="1407"/>
      <c r="S309" s="1407"/>
      <c r="T309" s="1407"/>
      <c r="U309" s="1407"/>
      <c r="V309" s="1407"/>
      <c r="W309" s="1407"/>
      <c r="X309" s="1407"/>
      <c r="Y309" s="1407"/>
      <c r="Z309" s="1407"/>
      <c r="AA309" s="1407"/>
      <c r="AB309" s="1407"/>
      <c r="AC309" s="1408"/>
      <c r="AD309" s="1403"/>
      <c r="AE309" s="1403"/>
      <c r="AF309" s="1403"/>
      <c r="AG309" s="1403"/>
      <c r="AH309" s="1403"/>
      <c r="AI309" s="1403"/>
      <c r="AJ309" s="1403"/>
      <c r="AK309" s="1403"/>
      <c r="AL309" s="1403"/>
    </row>
    <row r="310" spans="3:38">
      <c r="C310" s="1406">
        <f t="shared" si="13"/>
        <v>17</v>
      </c>
      <c r="D310" s="1423">
        <f t="shared" si="14"/>
        <v>0</v>
      </c>
      <c r="E310" s="1423" t="str">
        <f t="shared" si="14"/>
        <v>Comp 17</v>
      </c>
      <c r="F310" s="1407"/>
      <c r="G310" s="1407"/>
      <c r="H310" s="1407"/>
      <c r="I310" s="1407"/>
      <c r="J310" s="1407"/>
      <c r="K310" s="1407"/>
      <c r="L310" s="1407"/>
      <c r="M310" s="1407"/>
      <c r="N310" s="1407"/>
      <c r="O310" s="1407"/>
      <c r="P310" s="1407"/>
      <c r="Q310" s="1407"/>
      <c r="R310" s="1407"/>
      <c r="S310" s="1407"/>
      <c r="T310" s="1407"/>
      <c r="U310" s="1407"/>
      <c r="V310" s="1407"/>
      <c r="W310" s="1407"/>
      <c r="X310" s="1407"/>
      <c r="Y310" s="1407"/>
      <c r="Z310" s="1407"/>
      <c r="AA310" s="1407"/>
      <c r="AB310" s="1407"/>
      <c r="AC310" s="1408"/>
      <c r="AD310" s="1403"/>
      <c r="AE310" s="1403"/>
      <c r="AF310" s="1403"/>
      <c r="AG310" s="1403"/>
      <c r="AH310" s="1403"/>
      <c r="AI310" s="1403"/>
      <c r="AJ310" s="1403"/>
      <c r="AK310" s="1403"/>
      <c r="AL310" s="1403"/>
    </row>
    <row r="311" spans="3:38">
      <c r="C311" s="1406">
        <f t="shared" si="13"/>
        <v>18</v>
      </c>
      <c r="D311" s="1423">
        <f t="shared" si="14"/>
        <v>0</v>
      </c>
      <c r="E311" s="1423" t="str">
        <f t="shared" si="14"/>
        <v>Comp 18</v>
      </c>
      <c r="F311" s="1407"/>
      <c r="G311" s="1407"/>
      <c r="H311" s="1407"/>
      <c r="I311" s="1407"/>
      <c r="J311" s="1407"/>
      <c r="K311" s="1407"/>
      <c r="L311" s="1407"/>
      <c r="M311" s="1407"/>
      <c r="N311" s="1407"/>
      <c r="O311" s="1407"/>
      <c r="P311" s="1407"/>
      <c r="Q311" s="1407"/>
      <c r="R311" s="1407"/>
      <c r="S311" s="1407"/>
      <c r="T311" s="1407"/>
      <c r="U311" s="1407"/>
      <c r="V311" s="1407"/>
      <c r="W311" s="1407"/>
      <c r="X311" s="1407"/>
      <c r="Y311" s="1407"/>
      <c r="Z311" s="1407"/>
      <c r="AA311" s="1407"/>
      <c r="AB311" s="1407"/>
      <c r="AC311" s="1408"/>
      <c r="AD311" s="1403"/>
      <c r="AE311" s="1403"/>
      <c r="AF311" s="1403"/>
      <c r="AG311" s="1403"/>
      <c r="AH311" s="1403"/>
      <c r="AI311" s="1403"/>
      <c r="AJ311" s="1403"/>
      <c r="AK311" s="1403"/>
      <c r="AL311" s="1403"/>
    </row>
    <row r="312" spans="3:38">
      <c r="C312" s="1406">
        <f t="shared" si="13"/>
        <v>19</v>
      </c>
      <c r="D312" s="1423">
        <f t="shared" si="14"/>
        <v>0</v>
      </c>
      <c r="E312" s="1423" t="str">
        <f t="shared" si="14"/>
        <v>Comp 19</v>
      </c>
      <c r="F312" s="1407"/>
      <c r="G312" s="1407"/>
      <c r="H312" s="1407"/>
      <c r="I312" s="1407"/>
      <c r="J312" s="1407"/>
      <c r="K312" s="1407"/>
      <c r="L312" s="1407"/>
      <c r="M312" s="1407"/>
      <c r="N312" s="1407"/>
      <c r="O312" s="1407"/>
      <c r="P312" s="1407"/>
      <c r="Q312" s="1407"/>
      <c r="R312" s="1407"/>
      <c r="S312" s="1407"/>
      <c r="T312" s="1407"/>
      <c r="U312" s="1407"/>
      <c r="V312" s="1407"/>
      <c r="W312" s="1407"/>
      <c r="X312" s="1407"/>
      <c r="Y312" s="1407"/>
      <c r="Z312" s="1407"/>
      <c r="AA312" s="1407"/>
      <c r="AB312" s="1407"/>
      <c r="AC312" s="1408"/>
      <c r="AD312" s="1403"/>
      <c r="AE312" s="1403"/>
      <c r="AF312" s="1403"/>
      <c r="AG312" s="1403"/>
      <c r="AH312" s="1403"/>
      <c r="AI312" s="1403"/>
      <c r="AJ312" s="1403"/>
      <c r="AK312" s="1403"/>
      <c r="AL312" s="1403"/>
    </row>
    <row r="313" spans="3:38">
      <c r="C313" s="1406">
        <f t="shared" si="13"/>
        <v>20</v>
      </c>
      <c r="D313" s="1423">
        <f t="shared" si="14"/>
        <v>0</v>
      </c>
      <c r="E313" s="1423" t="str">
        <f t="shared" si="14"/>
        <v>Comp 20</v>
      </c>
      <c r="F313" s="1407"/>
      <c r="G313" s="1407"/>
      <c r="H313" s="1407"/>
      <c r="I313" s="1407"/>
      <c r="J313" s="1407"/>
      <c r="K313" s="1407"/>
      <c r="L313" s="1407"/>
      <c r="M313" s="1407"/>
      <c r="N313" s="1407"/>
      <c r="O313" s="1407"/>
      <c r="P313" s="1407"/>
      <c r="Q313" s="1407"/>
      <c r="R313" s="1407"/>
      <c r="S313" s="1407"/>
      <c r="T313" s="1407"/>
      <c r="U313" s="1407"/>
      <c r="V313" s="1407"/>
      <c r="W313" s="1407"/>
      <c r="X313" s="1407"/>
      <c r="Y313" s="1407"/>
      <c r="Z313" s="1407"/>
      <c r="AA313" s="1407"/>
      <c r="AB313" s="1407"/>
      <c r="AC313" s="1408"/>
      <c r="AD313" s="1403"/>
      <c r="AE313" s="1403"/>
      <c r="AF313" s="1403"/>
      <c r="AG313" s="1403"/>
      <c r="AH313" s="1403"/>
      <c r="AI313" s="1403"/>
      <c r="AJ313" s="1403"/>
      <c r="AK313" s="1403"/>
      <c r="AL313" s="1403"/>
    </row>
    <row r="314" spans="3:38">
      <c r="C314" s="1406">
        <f t="shared" si="13"/>
        <v>21</v>
      </c>
      <c r="D314" s="1423">
        <f t="shared" si="14"/>
        <v>0</v>
      </c>
      <c r="E314" s="1423" t="str">
        <f t="shared" si="14"/>
        <v>Comp 21</v>
      </c>
      <c r="F314" s="1407"/>
      <c r="G314" s="1407"/>
      <c r="H314" s="1407"/>
      <c r="I314" s="1407"/>
      <c r="J314" s="1407"/>
      <c r="K314" s="1407"/>
      <c r="L314" s="1407"/>
      <c r="M314" s="1407"/>
      <c r="N314" s="1407"/>
      <c r="O314" s="1407"/>
      <c r="P314" s="1407"/>
      <c r="Q314" s="1407"/>
      <c r="R314" s="1407"/>
      <c r="S314" s="1407"/>
      <c r="T314" s="1407"/>
      <c r="U314" s="1407"/>
      <c r="V314" s="1407"/>
      <c r="W314" s="1407"/>
      <c r="X314" s="1407"/>
      <c r="Y314" s="1407"/>
      <c r="Z314" s="1407"/>
      <c r="AA314" s="1407"/>
      <c r="AB314" s="1407"/>
      <c r="AC314" s="1408"/>
      <c r="AD314" s="1403"/>
      <c r="AE314" s="1403"/>
      <c r="AF314" s="1403"/>
      <c r="AG314" s="1403"/>
      <c r="AH314" s="1403"/>
      <c r="AI314" s="1403"/>
      <c r="AJ314" s="1403"/>
      <c r="AK314" s="1403"/>
      <c r="AL314" s="1403"/>
    </row>
    <row r="315" spans="3:38">
      <c r="C315" s="1406">
        <f t="shared" si="13"/>
        <v>22</v>
      </c>
      <c r="D315" s="1423">
        <f t="shared" si="14"/>
        <v>0</v>
      </c>
      <c r="E315" s="1423" t="str">
        <f t="shared" si="14"/>
        <v>Comp 22</v>
      </c>
      <c r="F315" s="1407"/>
      <c r="G315" s="1407"/>
      <c r="H315" s="1407"/>
      <c r="I315" s="1407"/>
      <c r="J315" s="1407"/>
      <c r="K315" s="1407"/>
      <c r="L315" s="1407"/>
      <c r="M315" s="1407"/>
      <c r="N315" s="1407"/>
      <c r="O315" s="1407"/>
      <c r="P315" s="1407"/>
      <c r="Q315" s="1407"/>
      <c r="R315" s="1407"/>
      <c r="S315" s="1407"/>
      <c r="T315" s="1407"/>
      <c r="U315" s="1407"/>
      <c r="V315" s="1407"/>
      <c r="W315" s="1407"/>
      <c r="X315" s="1407"/>
      <c r="Y315" s="1407"/>
      <c r="Z315" s="1407"/>
      <c r="AA315" s="1407"/>
      <c r="AB315" s="1407"/>
      <c r="AC315" s="1408"/>
      <c r="AD315" s="1403"/>
      <c r="AE315" s="1403"/>
      <c r="AF315" s="1403"/>
      <c r="AG315" s="1403"/>
      <c r="AH315" s="1403"/>
      <c r="AI315" s="1403"/>
      <c r="AJ315" s="1403"/>
      <c r="AK315" s="1403"/>
      <c r="AL315" s="1403"/>
    </row>
    <row r="316" spans="3:38">
      <c r="C316" s="1406">
        <f t="shared" si="13"/>
        <v>23</v>
      </c>
      <c r="D316" s="1423">
        <f t="shared" si="14"/>
        <v>0</v>
      </c>
      <c r="E316" s="1423" t="str">
        <f t="shared" si="14"/>
        <v>Comp 23</v>
      </c>
      <c r="F316" s="1407"/>
      <c r="G316" s="1407"/>
      <c r="H316" s="1407"/>
      <c r="I316" s="1407"/>
      <c r="J316" s="1407"/>
      <c r="K316" s="1407"/>
      <c r="L316" s="1407"/>
      <c r="M316" s="1407"/>
      <c r="N316" s="1407"/>
      <c r="O316" s="1407"/>
      <c r="P316" s="1407"/>
      <c r="Q316" s="1407"/>
      <c r="R316" s="1407"/>
      <c r="S316" s="1407"/>
      <c r="T316" s="1407"/>
      <c r="U316" s="1407"/>
      <c r="V316" s="1407"/>
      <c r="W316" s="1407"/>
      <c r="X316" s="1407"/>
      <c r="Y316" s="1407"/>
      <c r="Z316" s="1407"/>
      <c r="AA316" s="1407"/>
      <c r="AB316" s="1407"/>
      <c r="AC316" s="1408"/>
      <c r="AD316" s="1403"/>
      <c r="AE316" s="1403"/>
      <c r="AF316" s="1403"/>
      <c r="AG316" s="1403"/>
      <c r="AH316" s="1403"/>
      <c r="AI316" s="1403"/>
      <c r="AJ316" s="1403"/>
      <c r="AK316" s="1403"/>
      <c r="AL316" s="1403"/>
    </row>
    <row r="317" spans="3:38">
      <c r="C317" s="1406">
        <f t="shared" si="13"/>
        <v>24</v>
      </c>
      <c r="D317" s="1423">
        <f t="shared" si="14"/>
        <v>0</v>
      </c>
      <c r="E317" s="1423" t="str">
        <f t="shared" si="14"/>
        <v>Comp 24</v>
      </c>
      <c r="F317" s="1407"/>
      <c r="G317" s="1407"/>
      <c r="H317" s="1407"/>
      <c r="I317" s="1407"/>
      <c r="J317" s="1407"/>
      <c r="K317" s="1407"/>
      <c r="L317" s="1407"/>
      <c r="M317" s="1407"/>
      <c r="N317" s="1407"/>
      <c r="O317" s="1407"/>
      <c r="P317" s="1407"/>
      <c r="Q317" s="1407"/>
      <c r="R317" s="1407"/>
      <c r="S317" s="1407"/>
      <c r="T317" s="1407"/>
      <c r="U317" s="1407"/>
      <c r="V317" s="1407"/>
      <c r="W317" s="1407"/>
      <c r="X317" s="1407"/>
      <c r="Y317" s="1407"/>
      <c r="Z317" s="1407"/>
      <c r="AA317" s="1407"/>
      <c r="AB317" s="1407"/>
      <c r="AC317" s="1408"/>
      <c r="AD317" s="1403"/>
      <c r="AE317" s="1403"/>
      <c r="AF317" s="1403"/>
      <c r="AG317" s="1403"/>
      <c r="AH317" s="1403"/>
      <c r="AI317" s="1403"/>
      <c r="AJ317" s="1403"/>
      <c r="AK317" s="1403"/>
      <c r="AL317" s="1403"/>
    </row>
    <row r="318" spans="3:38">
      <c r="C318" s="1406">
        <f t="shared" si="13"/>
        <v>25</v>
      </c>
      <c r="D318" s="1423">
        <f t="shared" si="14"/>
        <v>0</v>
      </c>
      <c r="E318" s="1423" t="str">
        <f t="shared" si="14"/>
        <v>Comp 25</v>
      </c>
      <c r="F318" s="1407"/>
      <c r="G318" s="1407"/>
      <c r="H318" s="1407"/>
      <c r="I318" s="1407"/>
      <c r="J318" s="1407"/>
      <c r="K318" s="1407"/>
      <c r="L318" s="1407"/>
      <c r="M318" s="1407"/>
      <c r="N318" s="1407"/>
      <c r="O318" s="1407"/>
      <c r="P318" s="1407"/>
      <c r="Q318" s="1407"/>
      <c r="R318" s="1407"/>
      <c r="S318" s="1407"/>
      <c r="T318" s="1407"/>
      <c r="U318" s="1407"/>
      <c r="V318" s="1407"/>
      <c r="W318" s="1407"/>
      <c r="X318" s="1407"/>
      <c r="Y318" s="1407"/>
      <c r="Z318" s="1407"/>
      <c r="AA318" s="1407"/>
      <c r="AB318" s="1407"/>
      <c r="AC318" s="1408"/>
      <c r="AD318" s="1403"/>
      <c r="AE318" s="1403"/>
      <c r="AF318" s="1403"/>
      <c r="AG318" s="1403"/>
      <c r="AH318" s="1403"/>
      <c r="AI318" s="1403"/>
      <c r="AJ318" s="1403"/>
      <c r="AK318" s="1403"/>
      <c r="AL318" s="1403"/>
    </row>
    <row r="319" spans="3:38">
      <c r="C319" s="1406">
        <f t="shared" si="13"/>
        <v>26</v>
      </c>
      <c r="D319" s="1423">
        <f t="shared" si="14"/>
        <v>0</v>
      </c>
      <c r="E319" s="1423" t="str">
        <f t="shared" si="14"/>
        <v>Comp 26</v>
      </c>
      <c r="F319" s="1407"/>
      <c r="G319" s="1407"/>
      <c r="H319" s="1407"/>
      <c r="I319" s="1407"/>
      <c r="J319" s="1407"/>
      <c r="K319" s="1407"/>
      <c r="L319" s="1407"/>
      <c r="M319" s="1407"/>
      <c r="N319" s="1407"/>
      <c r="O319" s="1407"/>
      <c r="P319" s="1407"/>
      <c r="Q319" s="1407"/>
      <c r="R319" s="1407"/>
      <c r="S319" s="1407"/>
      <c r="T319" s="1407"/>
      <c r="U319" s="1407"/>
      <c r="V319" s="1407"/>
      <c r="W319" s="1407"/>
      <c r="X319" s="1407"/>
      <c r="Y319" s="1407"/>
      <c r="Z319" s="1407"/>
      <c r="AA319" s="1407"/>
      <c r="AB319" s="1407"/>
      <c r="AC319" s="1408"/>
      <c r="AD319" s="1403"/>
      <c r="AE319" s="1403"/>
      <c r="AF319" s="1403"/>
      <c r="AG319" s="1403"/>
      <c r="AH319" s="1403"/>
      <c r="AI319" s="1403"/>
      <c r="AJ319" s="1403"/>
      <c r="AK319" s="1403"/>
      <c r="AL319" s="1403"/>
    </row>
    <row r="320" spans="3:38">
      <c r="C320" s="1406">
        <f t="shared" si="13"/>
        <v>27</v>
      </c>
      <c r="D320" s="1423">
        <f t="shared" si="14"/>
        <v>0</v>
      </c>
      <c r="E320" s="1423" t="str">
        <f t="shared" si="14"/>
        <v>Comp 27</v>
      </c>
      <c r="F320" s="1407"/>
      <c r="G320" s="1407"/>
      <c r="H320" s="1407"/>
      <c r="I320" s="1407"/>
      <c r="J320" s="1407"/>
      <c r="K320" s="1407"/>
      <c r="L320" s="1407"/>
      <c r="M320" s="1407"/>
      <c r="N320" s="1407"/>
      <c r="O320" s="1407"/>
      <c r="P320" s="1407"/>
      <c r="Q320" s="1407"/>
      <c r="R320" s="1407"/>
      <c r="S320" s="1407"/>
      <c r="T320" s="1407"/>
      <c r="U320" s="1407"/>
      <c r="V320" s="1407"/>
      <c r="W320" s="1407"/>
      <c r="X320" s="1407"/>
      <c r="Y320" s="1407"/>
      <c r="Z320" s="1407"/>
      <c r="AA320" s="1407"/>
      <c r="AB320" s="1407"/>
      <c r="AC320" s="1407"/>
      <c r="AD320" s="1403"/>
      <c r="AE320" s="1403"/>
      <c r="AF320" s="1403"/>
      <c r="AG320" s="1403"/>
      <c r="AH320" s="1403"/>
      <c r="AI320" s="1403"/>
      <c r="AJ320" s="1403"/>
      <c r="AK320" s="1403"/>
      <c r="AL320" s="1403"/>
    </row>
    <row r="321" spans="3:38">
      <c r="C321" s="1406">
        <f t="shared" si="13"/>
        <v>28</v>
      </c>
      <c r="D321" s="1423">
        <f t="shared" si="14"/>
        <v>0</v>
      </c>
      <c r="E321" s="1423" t="str">
        <f t="shared" si="14"/>
        <v>Comp 28</v>
      </c>
      <c r="F321" s="1407"/>
      <c r="G321" s="1407"/>
      <c r="H321" s="1407"/>
      <c r="I321" s="1407"/>
      <c r="J321" s="1407"/>
      <c r="K321" s="1407"/>
      <c r="L321" s="1407"/>
      <c r="M321" s="1407"/>
      <c r="N321" s="1407"/>
      <c r="O321" s="1407"/>
      <c r="P321" s="1407"/>
      <c r="Q321" s="1407"/>
      <c r="R321" s="1407"/>
      <c r="S321" s="1407"/>
      <c r="T321" s="1407"/>
      <c r="U321" s="1407"/>
      <c r="V321" s="1407"/>
      <c r="W321" s="1407"/>
      <c r="X321" s="1407"/>
      <c r="Y321" s="1407"/>
      <c r="Z321" s="1407"/>
      <c r="AA321" s="1407"/>
      <c r="AB321" s="1407"/>
      <c r="AC321" s="1407"/>
      <c r="AD321" s="1403"/>
      <c r="AE321" s="1403"/>
      <c r="AF321" s="1403"/>
      <c r="AG321" s="1403"/>
      <c r="AH321" s="1403"/>
      <c r="AI321" s="1403"/>
      <c r="AJ321" s="1403"/>
      <c r="AK321" s="1403"/>
      <c r="AL321" s="1403"/>
    </row>
    <row r="322" spans="3:38">
      <c r="C322" s="1406">
        <f t="shared" si="13"/>
        <v>29</v>
      </c>
      <c r="D322" s="1423">
        <f t="shared" si="14"/>
        <v>0</v>
      </c>
      <c r="E322" s="1423" t="str">
        <f t="shared" si="14"/>
        <v>Comp 29</v>
      </c>
      <c r="F322" s="1407"/>
      <c r="G322" s="1407"/>
      <c r="H322" s="1407"/>
      <c r="I322" s="1407"/>
      <c r="J322" s="1407"/>
      <c r="K322" s="1407"/>
      <c r="L322" s="1407"/>
      <c r="M322" s="1407"/>
      <c r="N322" s="1407"/>
      <c r="O322" s="1407"/>
      <c r="P322" s="1407"/>
      <c r="Q322" s="1407"/>
      <c r="R322" s="1407"/>
      <c r="S322" s="1407"/>
      <c r="T322" s="1407"/>
      <c r="U322" s="1407"/>
      <c r="V322" s="1407"/>
      <c r="W322" s="1407"/>
      <c r="X322" s="1407"/>
      <c r="Y322" s="1407"/>
      <c r="Z322" s="1407"/>
      <c r="AA322" s="1407"/>
      <c r="AB322" s="1407"/>
      <c r="AC322" s="1408"/>
      <c r="AD322" s="1403"/>
      <c r="AE322" s="1403"/>
      <c r="AF322" s="1403"/>
      <c r="AG322" s="1403"/>
      <c r="AH322" s="1403"/>
      <c r="AI322" s="1403"/>
      <c r="AJ322" s="1403"/>
      <c r="AK322" s="1403"/>
      <c r="AL322" s="1403"/>
    </row>
    <row r="323" spans="3:38">
      <c r="C323" s="1406">
        <f t="shared" si="13"/>
        <v>30</v>
      </c>
      <c r="D323" s="1423">
        <f t="shared" si="14"/>
        <v>0</v>
      </c>
      <c r="E323" s="1423" t="str">
        <f t="shared" si="14"/>
        <v>Comp 30</v>
      </c>
      <c r="F323" s="1410"/>
      <c r="G323" s="1410"/>
      <c r="H323" s="1410"/>
      <c r="I323" s="1410"/>
      <c r="J323" s="1410"/>
      <c r="K323" s="1410"/>
      <c r="L323" s="1410"/>
      <c r="M323" s="1410"/>
      <c r="N323" s="1410"/>
      <c r="O323" s="1410"/>
      <c r="P323" s="1410"/>
      <c r="Q323" s="1410"/>
      <c r="R323" s="1410"/>
      <c r="S323" s="1410"/>
      <c r="T323" s="1410"/>
      <c r="U323" s="1410"/>
      <c r="V323" s="1410"/>
      <c r="W323" s="1410"/>
      <c r="X323" s="1410"/>
      <c r="Y323" s="1410"/>
      <c r="Z323" s="1410"/>
      <c r="AA323" s="1410"/>
      <c r="AB323" s="1410"/>
      <c r="AC323" s="1411"/>
      <c r="AD323" s="1403"/>
      <c r="AE323" s="1403"/>
      <c r="AF323" s="1403"/>
      <c r="AG323" s="1403"/>
      <c r="AH323" s="1403"/>
      <c r="AI323" s="1403"/>
      <c r="AJ323" s="1403"/>
      <c r="AK323" s="1403"/>
      <c r="AL323" s="1403"/>
    </row>
    <row r="325" spans="3:38">
      <c r="C325" s="1432" t="s">
        <v>2082</v>
      </c>
      <c r="D325" s="1432" t="s">
        <v>1997</v>
      </c>
      <c r="E325" s="1432"/>
      <c r="F325" s="1432"/>
      <c r="G325" s="1432"/>
      <c r="H325" s="1432"/>
      <c r="I325" s="1432"/>
      <c r="J325" s="1432"/>
      <c r="K325" s="1432"/>
      <c r="L325" s="1432"/>
      <c r="M325" s="1432"/>
      <c r="N325" s="1432"/>
    </row>
    <row r="326" spans="3:38">
      <c r="C326" s="1437" t="s">
        <v>1951</v>
      </c>
      <c r="D326" s="1438" t="s">
        <v>1456</v>
      </c>
      <c r="E326" s="1438" t="s">
        <v>1998</v>
      </c>
      <c r="F326" s="1438" t="s">
        <v>1999</v>
      </c>
      <c r="G326" s="1438" t="s">
        <v>1459</v>
      </c>
      <c r="H326" s="1438" t="s">
        <v>1460</v>
      </c>
      <c r="I326" s="1438" t="s">
        <v>1461</v>
      </c>
      <c r="J326" s="1438" t="s">
        <v>1462</v>
      </c>
      <c r="K326" s="1439" t="s">
        <v>1463</v>
      </c>
      <c r="L326" s="1439" t="s">
        <v>1464</v>
      </c>
      <c r="M326" s="1439" t="s">
        <v>2000</v>
      </c>
      <c r="N326" s="1440" t="s">
        <v>2000</v>
      </c>
    </row>
    <row r="327" spans="3:38">
      <c r="C327" s="1420"/>
      <c r="D327" s="1421"/>
      <c r="E327" s="1421"/>
      <c r="F327" s="1422"/>
      <c r="G327" s="1422"/>
      <c r="H327" s="1422"/>
      <c r="I327" s="1422"/>
      <c r="J327" s="1422"/>
      <c r="K327" s="1422"/>
      <c r="L327" s="1422"/>
      <c r="M327" s="1422"/>
      <c r="N327" s="1415"/>
    </row>
    <row r="328" spans="3:38">
      <c r="C328" s="1406">
        <v>1</v>
      </c>
      <c r="D328" s="1428"/>
      <c r="E328" s="1428"/>
      <c r="F328" s="1407"/>
      <c r="G328" s="1407"/>
      <c r="H328" s="1407"/>
      <c r="I328" s="1407"/>
      <c r="J328" s="1407"/>
      <c r="K328" s="1407"/>
      <c r="L328" s="1407"/>
      <c r="M328" s="1407"/>
      <c r="N328" s="1408"/>
    </row>
    <row r="329" spans="3:38">
      <c r="C329" s="1406">
        <f>C328+1</f>
        <v>2</v>
      </c>
      <c r="D329" s="1428"/>
      <c r="E329" s="1428"/>
      <c r="F329" s="1407"/>
      <c r="G329" s="1407"/>
      <c r="H329" s="1407"/>
      <c r="I329" s="1407"/>
      <c r="J329" s="1407"/>
      <c r="K329" s="1407"/>
      <c r="L329" s="1407"/>
      <c r="M329" s="1407"/>
      <c r="N329" s="1408"/>
    </row>
    <row r="330" spans="3:38">
      <c r="C330" s="1406">
        <f t="shared" ref="C330:C357" si="15">C329+1</f>
        <v>3</v>
      </c>
      <c r="D330" s="1428"/>
      <c r="E330" s="1428"/>
      <c r="F330" s="1407"/>
      <c r="G330" s="1407"/>
      <c r="H330" s="1407"/>
      <c r="I330" s="1407"/>
      <c r="J330" s="1407"/>
      <c r="K330" s="1407"/>
      <c r="L330" s="1407"/>
      <c r="M330" s="1407"/>
      <c r="N330" s="1408"/>
    </row>
    <row r="331" spans="3:38">
      <c r="C331" s="1406">
        <f t="shared" si="15"/>
        <v>4</v>
      </c>
      <c r="D331" s="1428"/>
      <c r="E331" s="1428"/>
      <c r="F331" s="1407"/>
      <c r="G331" s="1407"/>
      <c r="H331" s="1407"/>
      <c r="I331" s="1407"/>
      <c r="J331" s="1407"/>
      <c r="K331" s="1407"/>
      <c r="L331" s="1407"/>
      <c r="M331" s="1407"/>
      <c r="N331" s="1408"/>
    </row>
    <row r="332" spans="3:38">
      <c r="C332" s="1406">
        <f t="shared" si="15"/>
        <v>5</v>
      </c>
      <c r="D332" s="1428"/>
      <c r="E332" s="1428"/>
      <c r="F332" s="1407"/>
      <c r="G332" s="1407"/>
      <c r="H332" s="1407"/>
      <c r="I332" s="1407"/>
      <c r="J332" s="1407"/>
      <c r="K332" s="1407"/>
      <c r="L332" s="1407"/>
      <c r="M332" s="1407"/>
      <c r="N332" s="1408"/>
    </row>
    <row r="333" spans="3:38">
      <c r="C333" s="1406">
        <f t="shared" si="15"/>
        <v>6</v>
      </c>
      <c r="D333" s="1428"/>
      <c r="E333" s="1428"/>
      <c r="F333" s="1407"/>
      <c r="G333" s="1407"/>
      <c r="H333" s="1407"/>
      <c r="I333" s="1407"/>
      <c r="J333" s="1407"/>
      <c r="K333" s="1407"/>
      <c r="L333" s="1407"/>
      <c r="M333" s="1407"/>
      <c r="N333" s="1408"/>
    </row>
    <row r="334" spans="3:38">
      <c r="C334" s="1406">
        <f t="shared" si="15"/>
        <v>7</v>
      </c>
      <c r="D334" s="1428"/>
      <c r="E334" s="1428"/>
      <c r="F334" s="1407"/>
      <c r="G334" s="1407"/>
      <c r="H334" s="1407"/>
      <c r="I334" s="1407"/>
      <c r="J334" s="1407"/>
      <c r="K334" s="1407"/>
      <c r="L334" s="1407"/>
      <c r="M334" s="1407"/>
      <c r="N334" s="1408"/>
    </row>
    <row r="335" spans="3:38">
      <c r="C335" s="1406">
        <f t="shared" si="15"/>
        <v>8</v>
      </c>
      <c r="D335" s="1428"/>
      <c r="E335" s="1428"/>
      <c r="F335" s="1407"/>
      <c r="G335" s="1407"/>
      <c r="H335" s="1407"/>
      <c r="I335" s="1407"/>
      <c r="J335" s="1407"/>
      <c r="K335" s="1407"/>
      <c r="L335" s="1407"/>
      <c r="M335" s="1407"/>
      <c r="N335" s="1408"/>
    </row>
    <row r="336" spans="3:38">
      <c r="C336" s="1406">
        <f t="shared" si="15"/>
        <v>9</v>
      </c>
      <c r="D336" s="1428"/>
      <c r="E336" s="1428"/>
      <c r="F336" s="1407"/>
      <c r="G336" s="1407"/>
      <c r="H336" s="1407"/>
      <c r="I336" s="1407"/>
      <c r="J336" s="1407"/>
      <c r="K336" s="1407"/>
      <c r="L336" s="1407"/>
      <c r="M336" s="1407"/>
      <c r="N336" s="1408"/>
    </row>
    <row r="337" spans="3:14">
      <c r="C337" s="1406">
        <f t="shared" si="15"/>
        <v>10</v>
      </c>
      <c r="D337" s="1428"/>
      <c r="E337" s="1428"/>
      <c r="F337" s="1407"/>
      <c r="G337" s="1407"/>
      <c r="H337" s="1407"/>
      <c r="I337" s="1407"/>
      <c r="J337" s="1407"/>
      <c r="K337" s="1407"/>
      <c r="L337" s="1407"/>
      <c r="M337" s="1407"/>
      <c r="N337" s="1408"/>
    </row>
    <row r="338" spans="3:14">
      <c r="C338" s="1406">
        <f t="shared" si="15"/>
        <v>11</v>
      </c>
      <c r="D338" s="1428"/>
      <c r="E338" s="1428"/>
      <c r="F338" s="1407"/>
      <c r="G338" s="1407"/>
      <c r="H338" s="1407"/>
      <c r="I338" s="1407"/>
      <c r="J338" s="1407"/>
      <c r="K338" s="1407"/>
      <c r="L338" s="1407"/>
      <c r="M338" s="1407"/>
      <c r="N338" s="1408"/>
    </row>
    <row r="339" spans="3:14">
      <c r="C339" s="1406">
        <f t="shared" si="15"/>
        <v>12</v>
      </c>
      <c r="D339" s="1428"/>
      <c r="E339" s="1428"/>
      <c r="F339" s="1407"/>
      <c r="G339" s="1407"/>
      <c r="H339" s="1407"/>
      <c r="I339" s="1407"/>
      <c r="J339" s="1407"/>
      <c r="K339" s="1407"/>
      <c r="L339" s="1407"/>
      <c r="M339" s="1407"/>
      <c r="N339" s="1408"/>
    </row>
    <row r="340" spans="3:14">
      <c r="C340" s="1406">
        <f t="shared" si="15"/>
        <v>13</v>
      </c>
      <c r="D340" s="1428"/>
      <c r="E340" s="1428"/>
      <c r="F340" s="1407"/>
      <c r="G340" s="1407"/>
      <c r="H340" s="1407"/>
      <c r="I340" s="1407"/>
      <c r="J340" s="1407"/>
      <c r="K340" s="1407"/>
      <c r="L340" s="1407"/>
      <c r="M340" s="1407"/>
      <c r="N340" s="1408"/>
    </row>
    <row r="341" spans="3:14">
      <c r="C341" s="1406">
        <f t="shared" si="15"/>
        <v>14</v>
      </c>
      <c r="D341" s="1428"/>
      <c r="E341" s="1428"/>
      <c r="F341" s="1407"/>
      <c r="G341" s="1407"/>
      <c r="H341" s="1407"/>
      <c r="I341" s="1407"/>
      <c r="J341" s="1407"/>
      <c r="K341" s="1407"/>
      <c r="L341" s="1407"/>
      <c r="M341" s="1407"/>
      <c r="N341" s="1408"/>
    </row>
    <row r="342" spans="3:14">
      <c r="C342" s="1406">
        <f t="shared" si="15"/>
        <v>15</v>
      </c>
      <c r="D342" s="1428"/>
      <c r="E342" s="1428"/>
      <c r="F342" s="1407"/>
      <c r="G342" s="1407"/>
      <c r="H342" s="1407"/>
      <c r="I342" s="1407"/>
      <c r="J342" s="1407"/>
      <c r="K342" s="1407"/>
      <c r="L342" s="1407"/>
      <c r="M342" s="1407"/>
      <c r="N342" s="1408"/>
    </row>
    <row r="343" spans="3:14">
      <c r="C343" s="1406">
        <f t="shared" si="15"/>
        <v>16</v>
      </c>
      <c r="D343" s="1428"/>
      <c r="E343" s="1428"/>
      <c r="F343" s="1407"/>
      <c r="G343" s="1407"/>
      <c r="H343" s="1407"/>
      <c r="I343" s="1407"/>
      <c r="J343" s="1407"/>
      <c r="K343" s="1407"/>
      <c r="L343" s="1407"/>
      <c r="M343" s="1407"/>
      <c r="N343" s="1408"/>
    </row>
    <row r="344" spans="3:14">
      <c r="C344" s="1406">
        <f t="shared" si="15"/>
        <v>17</v>
      </c>
      <c r="D344" s="1428"/>
      <c r="E344" s="1428"/>
      <c r="F344" s="1407"/>
      <c r="G344" s="1407"/>
      <c r="H344" s="1407"/>
      <c r="I344" s="1407"/>
      <c r="J344" s="1407"/>
      <c r="K344" s="1407"/>
      <c r="L344" s="1407"/>
      <c r="M344" s="1407"/>
      <c r="N344" s="1408"/>
    </row>
    <row r="345" spans="3:14">
      <c r="C345" s="1406">
        <f t="shared" si="15"/>
        <v>18</v>
      </c>
      <c r="D345" s="1428"/>
      <c r="E345" s="1428"/>
      <c r="F345" s="1407"/>
      <c r="G345" s="1407"/>
      <c r="H345" s="1407"/>
      <c r="I345" s="1407"/>
      <c r="J345" s="1407"/>
      <c r="K345" s="1407"/>
      <c r="L345" s="1407"/>
      <c r="M345" s="1407"/>
      <c r="N345" s="1408"/>
    </row>
    <row r="346" spans="3:14">
      <c r="C346" s="1406">
        <f t="shared" si="15"/>
        <v>19</v>
      </c>
      <c r="D346" s="1428"/>
      <c r="E346" s="1428"/>
      <c r="F346" s="1407"/>
      <c r="G346" s="1407"/>
      <c r="H346" s="1407"/>
      <c r="I346" s="1407"/>
      <c r="J346" s="1407"/>
      <c r="K346" s="1407"/>
      <c r="L346" s="1407"/>
      <c r="M346" s="1407"/>
      <c r="N346" s="1408"/>
    </row>
    <row r="347" spans="3:14">
      <c r="C347" s="1406">
        <f t="shared" si="15"/>
        <v>20</v>
      </c>
      <c r="D347" s="1428"/>
      <c r="E347" s="1428"/>
      <c r="F347" s="1407"/>
      <c r="G347" s="1407"/>
      <c r="H347" s="1407"/>
      <c r="I347" s="1407"/>
      <c r="J347" s="1407"/>
      <c r="K347" s="1407"/>
      <c r="L347" s="1407"/>
      <c r="M347" s="1407"/>
      <c r="N347" s="1408"/>
    </row>
    <row r="348" spans="3:14">
      <c r="C348" s="1406">
        <f t="shared" si="15"/>
        <v>21</v>
      </c>
      <c r="D348" s="1428"/>
      <c r="E348" s="1428"/>
      <c r="F348" s="1407"/>
      <c r="G348" s="1407"/>
      <c r="H348" s="1407"/>
      <c r="I348" s="1407"/>
      <c r="J348" s="1407"/>
      <c r="K348" s="1407"/>
      <c r="L348" s="1407"/>
      <c r="M348" s="1407"/>
      <c r="N348" s="1408"/>
    </row>
    <row r="349" spans="3:14">
      <c r="C349" s="1406">
        <f t="shared" si="15"/>
        <v>22</v>
      </c>
      <c r="D349" s="1428"/>
      <c r="E349" s="1428"/>
      <c r="F349" s="1407"/>
      <c r="G349" s="1407"/>
      <c r="H349" s="1407"/>
      <c r="I349" s="1407"/>
      <c r="J349" s="1407"/>
      <c r="K349" s="1407"/>
      <c r="L349" s="1407"/>
      <c r="M349" s="1407"/>
      <c r="N349" s="1408"/>
    </row>
    <row r="350" spans="3:14">
      <c r="C350" s="1406">
        <f t="shared" si="15"/>
        <v>23</v>
      </c>
      <c r="D350" s="1428"/>
      <c r="E350" s="1428"/>
      <c r="F350" s="1407"/>
      <c r="G350" s="1407"/>
      <c r="H350" s="1407"/>
      <c r="I350" s="1407"/>
      <c r="J350" s="1407"/>
      <c r="K350" s="1407"/>
      <c r="L350" s="1407"/>
      <c r="M350" s="1407"/>
      <c r="N350" s="1408"/>
    </row>
    <row r="351" spans="3:14">
      <c r="C351" s="1406">
        <f t="shared" si="15"/>
        <v>24</v>
      </c>
      <c r="D351" s="1428"/>
      <c r="E351" s="1428"/>
      <c r="F351" s="1407"/>
      <c r="G351" s="1407"/>
      <c r="H351" s="1407"/>
      <c r="I351" s="1407"/>
      <c r="J351" s="1407"/>
      <c r="K351" s="1407"/>
      <c r="L351" s="1407"/>
      <c r="M351" s="1407"/>
      <c r="N351" s="1408"/>
    </row>
    <row r="352" spans="3:14">
      <c r="C352" s="1406">
        <f t="shared" si="15"/>
        <v>25</v>
      </c>
      <c r="D352" s="1428"/>
      <c r="E352" s="1428"/>
      <c r="F352" s="1407"/>
      <c r="G352" s="1407"/>
      <c r="H352" s="1407"/>
      <c r="I352" s="1407"/>
      <c r="J352" s="1407"/>
      <c r="K352" s="1407"/>
      <c r="L352" s="1407"/>
      <c r="M352" s="1407"/>
      <c r="N352" s="1408"/>
    </row>
    <row r="353" spans="3:14">
      <c r="C353" s="1406">
        <f t="shared" si="15"/>
        <v>26</v>
      </c>
      <c r="D353" s="1428"/>
      <c r="E353" s="1428"/>
      <c r="F353" s="1407"/>
      <c r="G353" s="1407"/>
      <c r="H353" s="1407"/>
      <c r="I353" s="1407"/>
      <c r="J353" s="1407"/>
      <c r="K353" s="1407"/>
      <c r="L353" s="1407"/>
      <c r="M353" s="1407"/>
      <c r="N353" s="1408"/>
    </row>
    <row r="354" spans="3:14">
      <c r="C354" s="1406">
        <f t="shared" si="15"/>
        <v>27</v>
      </c>
      <c r="D354" s="1428"/>
      <c r="E354" s="1428"/>
      <c r="F354" s="1407"/>
      <c r="G354" s="1407"/>
      <c r="H354" s="1407"/>
      <c r="I354" s="1407"/>
      <c r="J354" s="1407"/>
      <c r="K354" s="1407"/>
      <c r="L354" s="1407"/>
      <c r="M354" s="1407"/>
      <c r="N354" s="1408"/>
    </row>
    <row r="355" spans="3:14">
      <c r="C355" s="1406">
        <f t="shared" si="15"/>
        <v>28</v>
      </c>
      <c r="D355" s="1428"/>
      <c r="E355" s="1428"/>
      <c r="F355" s="1407"/>
      <c r="G355" s="1407"/>
      <c r="H355" s="1407"/>
      <c r="I355" s="1407"/>
      <c r="J355" s="1407"/>
      <c r="K355" s="1407"/>
      <c r="L355" s="1407"/>
      <c r="M355" s="1407"/>
      <c r="N355" s="1408"/>
    </row>
    <row r="356" spans="3:14">
      <c r="C356" s="1406">
        <f t="shared" si="15"/>
        <v>29</v>
      </c>
      <c r="D356" s="1428"/>
      <c r="E356" s="1428"/>
      <c r="F356" s="1407"/>
      <c r="G356" s="1407"/>
      <c r="H356" s="1407"/>
      <c r="I356" s="1407"/>
      <c r="J356" s="1407"/>
      <c r="K356" s="1407"/>
      <c r="L356" s="1407"/>
      <c r="M356" s="1407"/>
      <c r="N356" s="1408"/>
    </row>
    <row r="357" spans="3:14">
      <c r="C357" s="1409">
        <f t="shared" si="15"/>
        <v>30</v>
      </c>
      <c r="D357" s="1429"/>
      <c r="E357" s="1429"/>
      <c r="F357" s="1410"/>
      <c r="G357" s="1410"/>
      <c r="H357" s="1410"/>
      <c r="I357" s="1410"/>
      <c r="J357" s="1410"/>
      <c r="K357" s="1410"/>
      <c r="L357" s="1410"/>
      <c r="M357" s="1410"/>
      <c r="N357" s="1411"/>
    </row>
  </sheetData>
  <mergeCells count="26">
    <mergeCell ref="F258:K258"/>
    <mergeCell ref="L258:Q258"/>
    <mergeCell ref="R258:W258"/>
    <mergeCell ref="F190:K190"/>
    <mergeCell ref="L190:T190"/>
    <mergeCell ref="U190:AC190"/>
    <mergeCell ref="F122:M122"/>
    <mergeCell ref="N122:U122"/>
    <mergeCell ref="F156:K156"/>
    <mergeCell ref="L156:Q156"/>
    <mergeCell ref="V122:AA122"/>
    <mergeCell ref="R156:Y156"/>
    <mergeCell ref="Z156:AG156"/>
    <mergeCell ref="AN224:AP224"/>
    <mergeCell ref="AH156:AL156"/>
    <mergeCell ref="AE224:AG224"/>
    <mergeCell ref="AH224:AJ224"/>
    <mergeCell ref="AK224:AM224"/>
    <mergeCell ref="AD190:AI190"/>
    <mergeCell ref="N88:U88"/>
    <mergeCell ref="V88:AC88"/>
    <mergeCell ref="AD88:AK88"/>
    <mergeCell ref="AL88:AS88"/>
    <mergeCell ref="I54:O54"/>
    <mergeCell ref="P54:V54"/>
    <mergeCell ref="F88:M88"/>
  </mergeCells>
  <phoneticPr fontId="1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B2CB6C812D16045AED75F443849D7BB" ma:contentTypeVersion="22" ma:contentTypeDescription="Create a new document." ma:contentTypeScope="" ma:versionID="e9ea0095b186397fd06c92bb972e316c">
  <xsd:schema xmlns:xsd="http://www.w3.org/2001/XMLSchema" xmlns:xs="http://www.w3.org/2001/XMLSchema" xmlns:p="http://schemas.microsoft.com/office/2006/metadata/properties" xmlns:ns1="http://schemas.microsoft.com/sharepoint/v3" xmlns:ns2="4d15f376-9a54-4a7f-8398-4d36b29fec2d" xmlns:ns3="1a0d2482-af94-4a55-9733-fa0647237748" targetNamespace="http://schemas.microsoft.com/office/2006/metadata/properties" ma:root="true" ma:fieldsID="01320f8e0ab291fab39fbcca4d55a6ce" ns1:_="" ns2:_="" ns3:_="">
    <xsd:import namespace="http://schemas.microsoft.com/sharepoint/v3"/>
    <xsd:import namespace="4d15f376-9a54-4a7f-8398-4d36b29fec2d"/>
    <xsd:import namespace="1a0d2482-af94-4a55-9733-fa064723774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d15f376-9a54-4a7f-8398-4d36b29fec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7" nillable="true" ma:displayName="Taxonomy Catch All Column" ma:hidden="true" ma:list="{ff013ce0-ce85-40f9-b784-c26736f73574}" ma:internalName="TaxCatchAll" ma:showField="CatchAllData" ma:web="4d15f376-9a54-4a7f-8398-4d36b29fec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a0d2482-af94-4a55-9733-fa064723774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673fa8f4-abb8-42fa-a77b-edc5bc29ea4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1a0d2482-af94-4a55-9733-fa0647237748">
      <Terms xmlns="http://schemas.microsoft.com/office/infopath/2007/PartnerControls"/>
    </lcf76f155ced4ddcb4097134ff3c332f>
    <TaxCatchAll xmlns="4d15f376-9a54-4a7f-8398-4d36b29fec2d"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2853B02-065A-4E7B-9116-545C7C198B95}">
  <ds:schemaRefs>
    <ds:schemaRef ds:uri="http://schemas.microsoft.com/sharepoint/v3/contenttype/forms"/>
  </ds:schemaRefs>
</ds:datastoreItem>
</file>

<file path=customXml/itemProps2.xml><?xml version="1.0" encoding="utf-8"?>
<ds:datastoreItem xmlns:ds="http://schemas.openxmlformats.org/officeDocument/2006/customXml" ds:itemID="{1CC32F9E-F48A-4D18-B043-50D5C131A1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d15f376-9a54-4a7f-8398-4d36b29fec2d"/>
    <ds:schemaRef ds:uri="1a0d2482-af94-4a55-9733-fa064723774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7F84D1-85FC-4A55-A9E3-E22F45B6A916}">
  <ds:schemaRefs>
    <ds:schemaRef ds:uri="1a0d2482-af94-4a55-9733-fa064723774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schemas.microsoft.com/office/2006/metadata/properties"/>
    <ds:schemaRef ds:uri="4d15f376-9a54-4a7f-8398-4d36b29fec2d"/>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38</vt:i4>
      </vt:variant>
    </vt:vector>
  </HeadingPairs>
  <TitlesOfParts>
    <vt:vector size="83" baseType="lpstr">
      <vt:lpstr>Cover</vt:lpstr>
      <vt:lpstr>Form</vt:lpstr>
      <vt:lpstr>Hist.Fin</vt:lpstr>
      <vt:lpstr>Inputs</vt:lpstr>
      <vt:lpstr>WACC</vt:lpstr>
      <vt:lpstr>Notes</vt:lpstr>
      <vt:lpstr>Summary&gt;&gt;</vt:lpstr>
      <vt:lpstr>Key Outputs</vt:lpstr>
      <vt:lpstr>ReportData</vt:lpstr>
      <vt:lpstr>Log</vt:lpstr>
      <vt:lpstr>Report</vt:lpstr>
      <vt:lpstr>Sensitivities</vt:lpstr>
      <vt:lpstr>Sheet4</vt:lpstr>
      <vt:lpstr>Val_Sum2</vt:lpstr>
      <vt:lpstr>Flags</vt:lpstr>
      <vt:lpstr>Outputs&gt;&gt;</vt:lpstr>
      <vt:lpstr>ValSum</vt:lpstr>
      <vt:lpstr>IS</vt:lpstr>
      <vt:lpstr>BS</vt:lpstr>
      <vt:lpstr>CFS</vt:lpstr>
      <vt:lpstr>DCF</vt:lpstr>
      <vt:lpstr>Workings&gt;&gt;</vt:lpstr>
      <vt:lpstr>IS_Calcs</vt:lpstr>
      <vt:lpstr>BS_Calc</vt:lpstr>
      <vt:lpstr>GPC Analysis &gt;</vt:lpstr>
      <vt:lpstr>PubCoValue</vt:lpstr>
      <vt:lpstr>NCDFWC</vt:lpstr>
      <vt:lpstr>Multiples</vt:lpstr>
      <vt:lpstr>Transact</vt:lpstr>
      <vt:lpstr>Growth</vt:lpstr>
      <vt:lpstr>Margins</vt:lpstr>
      <vt:lpstr>Capex, Dep, WC</vt:lpstr>
      <vt:lpstr>CapXDepTax</vt:lpstr>
      <vt:lpstr>GPCDes</vt:lpstr>
      <vt:lpstr>D|E</vt:lpstr>
      <vt:lpstr>GPCRatios</vt:lpstr>
      <vt:lpstr>PBC&gt;&gt;</vt:lpstr>
      <vt:lpstr>FS</vt:lpstr>
      <vt:lpstr>Sources&gt;</vt:lpstr>
      <vt:lpstr>DamodaranCRP</vt:lpstr>
      <vt:lpstr>Industry Beta</vt:lpstr>
      <vt:lpstr>SizePremia</vt:lpstr>
      <vt:lpstr>GPCTradingData</vt:lpstr>
      <vt:lpstr>Tax</vt:lpstr>
      <vt:lpstr>GPC Data</vt:lpstr>
      <vt:lpstr>client.company.short</vt:lpstr>
      <vt:lpstr>client.name.long</vt:lpstr>
      <vt:lpstr>currency.denomination</vt:lpstr>
      <vt:lpstr>currency.heading1</vt:lpstr>
      <vt:lpstr>currency.type</vt:lpstr>
      <vt:lpstr>effective.taxrate</vt:lpstr>
      <vt:lpstr>growth.assumption</vt:lpstr>
      <vt:lpstr>long.term.growth</vt:lpstr>
      <vt:lpstr>'Capex, Dep, WC'!Print_Area</vt:lpstr>
      <vt:lpstr>CapXDepTax!Print_Area</vt:lpstr>
      <vt:lpstr>DCF!Print_Area</vt:lpstr>
      <vt:lpstr>Growth!Print_Area</vt:lpstr>
      <vt:lpstr>'Key Outputs'!Print_Area</vt:lpstr>
      <vt:lpstr>Margins!Print_Area</vt:lpstr>
      <vt:lpstr>Multiples!Print_Area</vt:lpstr>
      <vt:lpstr>NCDFWC!Print_Area</vt:lpstr>
      <vt:lpstr>PubCoValue!Print_Area</vt:lpstr>
      <vt:lpstr>Report!Print_Area</vt:lpstr>
      <vt:lpstr>SizePremia!Print_Area</vt:lpstr>
      <vt:lpstr>Transact!Print_Area</vt:lpstr>
      <vt:lpstr>Val_Sum2!Print_Area</vt:lpstr>
      <vt:lpstr>WACC!Print_Area</vt:lpstr>
      <vt:lpstr>project.title</vt:lpstr>
      <vt:lpstr>projected.year1.end</vt:lpstr>
      <vt:lpstr>stub.period</vt:lpstr>
      <vt:lpstr>stub.toggle</vt:lpstr>
      <vt:lpstr>subject.name</vt:lpstr>
      <vt:lpstr>target.name</vt:lpstr>
      <vt:lpstr>tax.rate</vt:lpstr>
      <vt:lpstr>Form!val.date</vt:lpstr>
      <vt:lpstr>valuation.date</vt:lpstr>
      <vt:lpstr>valuation.date.header</vt:lpstr>
      <vt:lpstr>value.premise</vt:lpstr>
      <vt:lpstr>wc.toggle</vt:lpstr>
      <vt:lpstr>ytd.months</vt:lpstr>
      <vt:lpstr>ytg.actual</vt:lpstr>
      <vt:lpstr>ytg.approach</vt:lpstr>
      <vt:lpstr>ytg.mgt</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keywords/>
  <cp:lastModifiedBy>Lenovo</cp:lastModifiedBy>
  <cp:lastPrinted>2024-11-04T10:50:03Z</cp:lastPrinted>
  <dcterms:created xsi:type="dcterms:W3CDTF">1998-05-21T07:40:42Z</dcterms:created>
  <dcterms:modified xsi:type="dcterms:W3CDTF">2024-11-21T15:27:46Z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Brent Sloan</vt:lpwstr>
  </property>
  <property fmtid="{D5CDD505-2E9C-101B-9397-08002B2CF9AE}" pid="3" name="{A44787D4-0540-4523-9961-78E4036D8C6D}">
    <vt:lpwstr>{EC5C4320-BA04-4243-A2F8-90E78652F40F}</vt:lpwstr>
  </property>
  <property fmtid="{D5CDD505-2E9C-101B-9397-08002B2CF9AE}" pid="4" name="MSIP_Label_6aa6c647-222b-4d41-8d37-745db9563e7e_Enabled">
    <vt:lpwstr>True</vt:lpwstr>
  </property>
  <property fmtid="{D5CDD505-2E9C-101B-9397-08002B2CF9AE}" pid="5" name="MSIP_Label_6aa6c647-222b-4d41-8d37-745db9563e7e_SiteId">
    <vt:lpwstr>b723253f-7281-4adc-bc1c-fc9ef3674d78</vt:lpwstr>
  </property>
  <property fmtid="{D5CDD505-2E9C-101B-9397-08002B2CF9AE}" pid="6" name="MSIP_Label_6aa6c647-222b-4d41-8d37-745db9563e7e_Owner">
    <vt:lpwstr>Samuel.J.Beesley@uk.gt.com</vt:lpwstr>
  </property>
  <property fmtid="{D5CDD505-2E9C-101B-9397-08002B2CF9AE}" pid="7" name="MSIP_Label_6aa6c647-222b-4d41-8d37-745db9563e7e_SetDate">
    <vt:lpwstr>2018-10-31T10:08:23.6030887Z</vt:lpwstr>
  </property>
  <property fmtid="{D5CDD505-2E9C-101B-9397-08002B2CF9AE}" pid="8" name="MSIP_Label_6aa6c647-222b-4d41-8d37-745db9563e7e_Name">
    <vt:lpwstr>Confidential</vt:lpwstr>
  </property>
  <property fmtid="{D5CDD505-2E9C-101B-9397-08002B2CF9AE}" pid="9" name="MSIP_Label_6aa6c647-222b-4d41-8d37-745db9563e7e_Application">
    <vt:lpwstr>Microsoft Azure Information Protection</vt:lpwstr>
  </property>
  <property fmtid="{D5CDD505-2E9C-101B-9397-08002B2CF9AE}" pid="10" name="MSIP_Label_6aa6c647-222b-4d41-8d37-745db9563e7e_Extended_MSFT_Method">
    <vt:lpwstr>Manual</vt:lpwstr>
  </property>
  <property fmtid="{D5CDD505-2E9C-101B-9397-08002B2CF9AE}" pid="11" name="Sensitivity">
    <vt:lpwstr>Confidential</vt:lpwstr>
  </property>
  <property fmtid="{D5CDD505-2E9C-101B-9397-08002B2CF9AE}" pid="12" name="ContentTypeId">
    <vt:lpwstr>0x0101007B2CB6C812D16045AED75F443849D7BB</vt:lpwstr>
  </property>
  <property fmtid="{D5CDD505-2E9C-101B-9397-08002B2CF9AE}" pid="13" name="MediaServiceImageTags">
    <vt:lpwstr/>
  </property>
</Properties>
</file>