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Element Resistance" sheetId="7" r:id="rId1"/>
    <sheet name="DFT" sheetId="4" r:id="rId2"/>
    <sheet name="Wattage L1" sheetId="6" r:id="rId3"/>
    <sheet name="Wattage L2" sheetId="5" r:id="rId4"/>
    <sheet name="Sheet1" sheetId="3" r:id="rId5"/>
  </sheets>
  <externalReferences>
    <externalReference r:id="rId6"/>
    <externalReference r:id="rId7"/>
    <externalReference r:id="rId8"/>
  </externalReferences>
  <definedNames>
    <definedName name="_Fill" localSheetId="1" hidden="1">DFT!$P$21:$P$30</definedName>
    <definedName name="_Fill" localSheetId="0" hidden="1">'Element Resistance'!$P$21:$P$30</definedName>
    <definedName name="_Fill" localSheetId="2" hidden="1">'Wattage L1'!$P$21:$P$30</definedName>
    <definedName name="_Fill" localSheetId="3" hidden="1">'Wattage L2'!$P$21:$P$30</definedName>
    <definedName name="_Fill" hidden="1">'[1]SHEET 1'!$P$21:$P$30</definedName>
    <definedName name="_xlnm.Print_Area" localSheetId="1">DFT!$A$1:$R$39</definedName>
    <definedName name="_xlnm.Print_Area" localSheetId="0">'Element Resistance'!$A$1:$R$39</definedName>
    <definedName name="_xlnm.Print_Area" localSheetId="2">'Wattage L1'!$A$1:$R$39</definedName>
    <definedName name="_xlnm.Print_Area" localSheetId="3">'Wattage L2'!$A$1:$R$39</definedName>
    <definedName name="readings">#REF!</definedName>
    <definedName name="Supp_Logo" localSheetId="1">'[2]PPAP Info'!#REF!</definedName>
    <definedName name="Supp_Logo" localSheetId="0">'[2]PPAP Info'!#REF!</definedName>
    <definedName name="Supp_Logo" localSheetId="2">'[2]PPAP Info'!#REF!</definedName>
    <definedName name="Supp_Logo" localSheetId="3">'[2]PPAP Info'!#REF!</definedName>
    <definedName name="Supp_Logo">'[3]PPAP Info'!#REF!</definedName>
    <definedName name="Wattage">'[3]PPAP Info'!#REF!</definedName>
    <definedName name="Z_38235CC0_A1D3_11D4_BDA6_0020352770F9_.wvu.PrintArea" localSheetId="1" hidden="1">DFT!$A$2:$R$39</definedName>
    <definedName name="Z_38235CC0_A1D3_11D4_BDA6_0020352770F9_.wvu.PrintArea" localSheetId="0" hidden="1">'Element Resistance'!$A$2:$R$39</definedName>
    <definedName name="Z_38235CC0_A1D3_11D4_BDA6_0020352770F9_.wvu.PrintArea" localSheetId="2" hidden="1">'Wattage L1'!$A$2:$R$39</definedName>
    <definedName name="Z_38235CC0_A1D3_11D4_BDA6_0020352770F9_.wvu.PrintArea" localSheetId="3" hidden="1">'Wattage L2'!$A$2:$R$39</definedName>
    <definedName name="Z_743D464C_9EBC_11D4_87C7_002035271A36_.wvu.PrintArea" localSheetId="1" hidden="1">DFT!$A$2:$R$39</definedName>
    <definedName name="Z_743D464C_9EBC_11D4_87C7_002035271A36_.wvu.PrintArea" localSheetId="0" hidden="1">'Element Resistance'!$A$2:$R$39</definedName>
    <definedName name="Z_743D464C_9EBC_11D4_87C7_002035271A36_.wvu.PrintArea" localSheetId="2" hidden="1">'Wattage L1'!$A$2:$R$39</definedName>
    <definedName name="Z_743D464C_9EBC_11D4_87C7_002035271A36_.wvu.PrintArea" localSheetId="3" hidden="1">'Wattage L2'!$A$2:$R$39</definedName>
    <definedName name="Z_BA715C6C_7BC9_11D2_80E9_0020352770F9_.wvu.PrintArea" localSheetId="1" hidden="1">DFT!$A$2:$R$39</definedName>
    <definedName name="Z_BA715C6C_7BC9_11D2_80E9_0020352770F9_.wvu.PrintArea" localSheetId="0" hidden="1">'Element Resistance'!$A$2:$R$39</definedName>
    <definedName name="Z_BA715C6C_7BC9_11D2_80E9_0020352770F9_.wvu.PrintArea" localSheetId="2" hidden="1">'Wattage L1'!$A$2:$R$39</definedName>
    <definedName name="Z_BA715C6C_7BC9_11D2_80E9_0020352770F9_.wvu.PrintArea" localSheetId="3" hidden="1">'Wattage L2'!$A$2:$R$39</definedName>
    <definedName name="Z_EA212840_1C84_11D5_B0CC_002035272DB3_.wvu.PrintArea" localSheetId="1" hidden="1">DFT!$A$2:$R$39</definedName>
    <definedName name="Z_EA212840_1C84_11D5_B0CC_002035272DB3_.wvu.PrintArea" localSheetId="0" hidden="1">'Element Resistance'!$A$2:$R$39</definedName>
    <definedName name="Z_EA212840_1C84_11D5_B0CC_002035272DB3_.wvu.PrintArea" localSheetId="2" hidden="1">'Wattage L1'!$A$2:$R$39</definedName>
    <definedName name="Z_EA212840_1C84_11D5_B0CC_002035272DB3_.wvu.PrintArea" localSheetId="3" hidden="1">'Wattage L2'!$A$2:$R$39</definedName>
  </definedNames>
  <calcPr calcId="124519"/>
</workbook>
</file>

<file path=xl/calcChain.xml><?xml version="1.0" encoding="utf-8"?>
<calcChain xmlns="http://schemas.openxmlformats.org/spreadsheetml/2006/main">
  <c r="Q36" i="7"/>
  <c r="K27"/>
  <c r="J27"/>
  <c r="I27"/>
  <c r="H27"/>
  <c r="G27"/>
  <c r="F27"/>
  <c r="E27"/>
  <c r="D27"/>
  <c r="C27"/>
  <c r="B27"/>
  <c r="I21"/>
  <c r="N20" s="1"/>
  <c r="D20"/>
  <c r="I19"/>
  <c r="Q18"/>
  <c r="M18"/>
  <c r="K18"/>
  <c r="J18"/>
  <c r="I18"/>
  <c r="H18"/>
  <c r="G18"/>
  <c r="F18"/>
  <c r="E18"/>
  <c r="D18"/>
  <c r="C18"/>
  <c r="B18"/>
  <c r="Q17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Q36" i="6"/>
  <c r="K27"/>
  <c r="J27"/>
  <c r="I27"/>
  <c r="H27"/>
  <c r="G27"/>
  <c r="F27"/>
  <c r="E27"/>
  <c r="D27"/>
  <c r="C27"/>
  <c r="B27"/>
  <c r="I21"/>
  <c r="N20" s="1"/>
  <c r="D20"/>
  <c r="I19"/>
  <c r="Q18"/>
  <c r="M18"/>
  <c r="K18"/>
  <c r="J18"/>
  <c r="I18"/>
  <c r="H18"/>
  <c r="G18"/>
  <c r="F18"/>
  <c r="E18"/>
  <c r="D18"/>
  <c r="C18"/>
  <c r="B18"/>
  <c r="Q17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Q36" i="5"/>
  <c r="K27"/>
  <c r="J27"/>
  <c r="I27"/>
  <c r="H27"/>
  <c r="G27"/>
  <c r="F27"/>
  <c r="E27"/>
  <c r="D27"/>
  <c r="C27"/>
  <c r="B27"/>
  <c r="I21"/>
  <c r="N20" s="1"/>
  <c r="D20"/>
  <c r="I19"/>
  <c r="Q18"/>
  <c r="M18"/>
  <c r="K18"/>
  <c r="J18"/>
  <c r="I18"/>
  <c r="H18"/>
  <c r="G18"/>
  <c r="F18"/>
  <c r="E18"/>
  <c r="D18"/>
  <c r="C18"/>
  <c r="B18"/>
  <c r="Q17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Q36" i="4"/>
  <c r="K27"/>
  <c r="J27"/>
  <c r="I27"/>
  <c r="H27"/>
  <c r="G27"/>
  <c r="F27"/>
  <c r="E27"/>
  <c r="D27"/>
  <c r="C27"/>
  <c r="B27"/>
  <c r="I21"/>
  <c r="N20" s="1"/>
  <c r="D20"/>
  <c r="I19"/>
  <c r="Q18"/>
  <c r="M18"/>
  <c r="K18"/>
  <c r="J18"/>
  <c r="I18"/>
  <c r="H18"/>
  <c r="G18"/>
  <c r="F18"/>
  <c r="E18"/>
  <c r="D18"/>
  <c r="C18"/>
  <c r="B18"/>
  <c r="Q17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Q37" i="5" l="1"/>
  <c r="Q37" i="6"/>
  <c r="K28"/>
  <c r="M15" i="7"/>
  <c r="M15" i="6"/>
  <c r="J28"/>
  <c r="M16"/>
  <c r="D21" s="1"/>
  <c r="O24" s="1"/>
  <c r="M15" i="4"/>
  <c r="Q37"/>
  <c r="I28"/>
  <c r="F28"/>
  <c r="M16"/>
  <c r="D21" s="1"/>
  <c r="O24" s="1"/>
  <c r="J28"/>
  <c r="Q15" i="5"/>
  <c r="Q15" i="4"/>
  <c r="Q15" i="6"/>
  <c r="E28" i="5"/>
  <c r="M16"/>
  <c r="D21" s="1"/>
  <c r="P23" s="1"/>
  <c r="J28"/>
  <c r="M15"/>
  <c r="Q15" i="7"/>
  <c r="K28"/>
  <c r="Q37"/>
  <c r="M16"/>
  <c r="D21" s="1"/>
  <c r="P23" s="1"/>
  <c r="J28"/>
  <c r="G28"/>
  <c r="N21"/>
  <c r="N19" s="1"/>
  <c r="Q38" s="1"/>
  <c r="C38" s="1"/>
  <c r="D28"/>
  <c r="H28"/>
  <c r="I28"/>
  <c r="E28"/>
  <c r="M17"/>
  <c r="B28"/>
  <c r="F28"/>
  <c r="C28"/>
  <c r="C28" i="6"/>
  <c r="G28"/>
  <c r="N21"/>
  <c r="N19" s="1"/>
  <c r="Q38" s="1"/>
  <c r="C38" s="1"/>
  <c r="D28"/>
  <c r="H28"/>
  <c r="I28"/>
  <c r="E28"/>
  <c r="M17"/>
  <c r="B28"/>
  <c r="F28"/>
  <c r="C28" i="5"/>
  <c r="G28"/>
  <c r="K28"/>
  <c r="N21"/>
  <c r="N19" s="1"/>
  <c r="Q38" s="1"/>
  <c r="C38" s="1"/>
  <c r="D28"/>
  <c r="H28"/>
  <c r="I28"/>
  <c r="M17"/>
  <c r="B28"/>
  <c r="F28"/>
  <c r="C28" i="4"/>
  <c r="G28"/>
  <c r="K28"/>
  <c r="M17"/>
  <c r="Q32" s="1"/>
  <c r="B28"/>
  <c r="N21"/>
  <c r="N19" s="1"/>
  <c r="Q38" s="1"/>
  <c r="C38" s="1"/>
  <c r="D28"/>
  <c r="H28"/>
  <c r="E28"/>
  <c r="O24" i="5" l="1"/>
  <c r="D19"/>
  <c r="I20" s="1"/>
  <c r="P22" s="1"/>
  <c r="D19" i="7"/>
  <c r="I20" s="1"/>
  <c r="O25" s="1"/>
  <c r="D19" i="6"/>
  <c r="I20" s="1"/>
  <c r="P23"/>
  <c r="P23" i="4"/>
  <c r="Q33"/>
  <c r="H24" s="1"/>
  <c r="D19"/>
  <c r="I20" s="1"/>
  <c r="O25" s="1"/>
  <c r="O24" i="7"/>
  <c r="Q35"/>
  <c r="Q34"/>
  <c r="Q33"/>
  <c r="Q32"/>
  <c r="Q34" i="6"/>
  <c r="Q33"/>
  <c r="Q35"/>
  <c r="Q32"/>
  <c r="Q34" i="5"/>
  <c r="Q33"/>
  <c r="Q35"/>
  <c r="Q32"/>
  <c r="J23" i="4"/>
  <c r="F23"/>
  <c r="B23"/>
  <c r="I23"/>
  <c r="E23"/>
  <c r="K23"/>
  <c r="G23"/>
  <c r="C23"/>
  <c r="H23"/>
  <c r="D23"/>
  <c r="Q34"/>
  <c r="Q35"/>
  <c r="P24" i="5" l="1"/>
  <c r="O26" s="1"/>
  <c r="O23"/>
  <c r="O25"/>
  <c r="P22" i="7"/>
  <c r="O22" s="1"/>
  <c r="P24"/>
  <c r="R23" s="1"/>
  <c r="O23"/>
  <c r="O23" i="6"/>
  <c r="P24"/>
  <c r="P25" s="1"/>
  <c r="P22"/>
  <c r="P21" s="1"/>
  <c r="O25"/>
  <c r="I24" i="4"/>
  <c r="K24"/>
  <c r="B24"/>
  <c r="D24"/>
  <c r="P24"/>
  <c r="R23" s="1"/>
  <c r="E24"/>
  <c r="P22"/>
  <c r="R22" s="1"/>
  <c r="J24"/>
  <c r="G24"/>
  <c r="O23"/>
  <c r="F24"/>
  <c r="C24"/>
  <c r="I26" i="7"/>
  <c r="E26"/>
  <c r="D26"/>
  <c r="H26"/>
  <c r="K26"/>
  <c r="G26"/>
  <c r="C26"/>
  <c r="J26"/>
  <c r="F26"/>
  <c r="B26"/>
  <c r="D23"/>
  <c r="K23"/>
  <c r="G23"/>
  <c r="C23"/>
  <c r="J23"/>
  <c r="B23"/>
  <c r="F23"/>
  <c r="I23"/>
  <c r="E23"/>
  <c r="H23"/>
  <c r="F24"/>
  <c r="I24"/>
  <c r="E24"/>
  <c r="H24"/>
  <c r="D24"/>
  <c r="K24"/>
  <c r="G24"/>
  <c r="C24"/>
  <c r="J24"/>
  <c r="B24"/>
  <c r="O26"/>
  <c r="D25"/>
  <c r="K25"/>
  <c r="G25"/>
  <c r="C25"/>
  <c r="J25"/>
  <c r="B25"/>
  <c r="F25"/>
  <c r="I25"/>
  <c r="E25"/>
  <c r="H25"/>
  <c r="K25" i="6"/>
  <c r="G25"/>
  <c r="C25"/>
  <c r="J25"/>
  <c r="B25"/>
  <c r="F25"/>
  <c r="I25"/>
  <c r="E25"/>
  <c r="H25"/>
  <c r="D25"/>
  <c r="D23"/>
  <c r="K23"/>
  <c r="G23"/>
  <c r="C23"/>
  <c r="F23"/>
  <c r="J23"/>
  <c r="B23"/>
  <c r="I23"/>
  <c r="E23"/>
  <c r="H23"/>
  <c r="I26"/>
  <c r="E26"/>
  <c r="D26"/>
  <c r="H26"/>
  <c r="K26"/>
  <c r="G26"/>
  <c r="C26"/>
  <c r="J26"/>
  <c r="F26"/>
  <c r="B26"/>
  <c r="B24"/>
  <c r="I24"/>
  <c r="E24"/>
  <c r="D24"/>
  <c r="H24"/>
  <c r="K24"/>
  <c r="G24"/>
  <c r="C24"/>
  <c r="J24"/>
  <c r="F24"/>
  <c r="J24" i="5"/>
  <c r="I24"/>
  <c r="E24"/>
  <c r="D24"/>
  <c r="H24"/>
  <c r="K24"/>
  <c r="G24"/>
  <c r="C24"/>
  <c r="F24"/>
  <c r="B24"/>
  <c r="P21"/>
  <c r="O22"/>
  <c r="R22"/>
  <c r="D23"/>
  <c r="K23"/>
  <c r="G23"/>
  <c r="C23"/>
  <c r="J23"/>
  <c r="B23"/>
  <c r="F23"/>
  <c r="I23"/>
  <c r="E23"/>
  <c r="H23"/>
  <c r="I26"/>
  <c r="E26"/>
  <c r="H26"/>
  <c r="D26"/>
  <c r="K26"/>
  <c r="G26"/>
  <c r="C26"/>
  <c r="J26"/>
  <c r="F26"/>
  <c r="B26"/>
  <c r="K25"/>
  <c r="G25"/>
  <c r="C25"/>
  <c r="J25"/>
  <c r="F25"/>
  <c r="B25"/>
  <c r="I25"/>
  <c r="E25"/>
  <c r="H25"/>
  <c r="D25"/>
  <c r="J25" i="4"/>
  <c r="F25"/>
  <c r="B25"/>
  <c r="I25"/>
  <c r="E25"/>
  <c r="K25"/>
  <c r="G25"/>
  <c r="C25"/>
  <c r="H25"/>
  <c r="D25"/>
  <c r="H26"/>
  <c r="D26"/>
  <c r="K26"/>
  <c r="G26"/>
  <c r="C26"/>
  <c r="I26"/>
  <c r="E26"/>
  <c r="J26"/>
  <c r="F26"/>
  <c r="B26"/>
  <c r="R23" i="5" l="1"/>
  <c r="Q23" s="1"/>
  <c r="P25"/>
  <c r="R24" s="1"/>
  <c r="P25" i="7"/>
  <c r="R24" s="1"/>
  <c r="Q24" s="1"/>
  <c r="P21"/>
  <c r="O21" s="1"/>
  <c r="R22"/>
  <c r="Q23" s="1"/>
  <c r="R24" i="6"/>
  <c r="O26"/>
  <c r="R22"/>
  <c r="R23"/>
  <c r="O22"/>
  <c r="O26" i="4"/>
  <c r="O22"/>
  <c r="P25"/>
  <c r="O27" s="1"/>
  <c r="P21"/>
  <c r="P20" s="1"/>
  <c r="Q23"/>
  <c r="P20" i="6"/>
  <c r="O21"/>
  <c r="R21"/>
  <c r="O27"/>
  <c r="P26"/>
  <c r="R25" s="1"/>
  <c r="P20" i="5"/>
  <c r="O21"/>
  <c r="R21"/>
  <c r="Q22" s="1"/>
  <c r="Q24" l="1"/>
  <c r="P26"/>
  <c r="R25" s="1"/>
  <c r="Q25" s="1"/>
  <c r="O27"/>
  <c r="O27" i="7"/>
  <c r="P26"/>
  <c r="R25" s="1"/>
  <c r="Q25" s="1"/>
  <c r="P20"/>
  <c r="R20" s="1"/>
  <c r="Q20" s="1"/>
  <c r="R21"/>
  <c r="Q22" s="1"/>
  <c r="Q22" i="6"/>
  <c r="Q23"/>
  <c r="Q25"/>
  <c r="Q24"/>
  <c r="O21" i="4"/>
  <c r="R21"/>
  <c r="Q22" s="1"/>
  <c r="R24"/>
  <c r="Q24" s="1"/>
  <c r="P26"/>
  <c r="R25" s="1"/>
  <c r="O20" i="6"/>
  <c r="R20"/>
  <c r="Q20" s="1"/>
  <c r="P27"/>
  <c r="R26" s="1"/>
  <c r="O28"/>
  <c r="O20" i="5"/>
  <c r="R20"/>
  <c r="Q20" s="1"/>
  <c r="R20" i="4"/>
  <c r="Q20" s="1"/>
  <c r="O20"/>
  <c r="P27" i="5" l="1"/>
  <c r="R26" s="1"/>
  <c r="O28"/>
  <c r="O20" i="7"/>
  <c r="O28"/>
  <c r="P27"/>
  <c r="R26" s="1"/>
  <c r="Q21" i="6"/>
  <c r="O28" i="4"/>
  <c r="Q25"/>
  <c r="P27"/>
  <c r="R26" s="1"/>
  <c r="Q21" i="7"/>
  <c r="P28" i="6"/>
  <c r="O29"/>
  <c r="Q21" i="5"/>
  <c r="Q21" i="4"/>
  <c r="P28" i="5" l="1"/>
  <c r="R27" s="1"/>
  <c r="Q27" s="1"/>
  <c r="O29"/>
  <c r="O29" i="7"/>
  <c r="P28"/>
  <c r="R27" s="1"/>
  <c r="Q27" s="1"/>
  <c r="P28" i="4"/>
  <c r="R27" s="1"/>
  <c r="Q27" s="1"/>
  <c r="O29"/>
  <c r="P29" i="6"/>
  <c r="O30"/>
  <c r="R27"/>
  <c r="Q27" s="1"/>
  <c r="O30" i="5" l="1"/>
  <c r="P29"/>
  <c r="R28" s="1"/>
  <c r="Q28" s="1"/>
  <c r="O30" i="7"/>
  <c r="P29"/>
  <c r="R28" s="1"/>
  <c r="Q28" s="1"/>
  <c r="P29" i="4"/>
  <c r="R28" s="1"/>
  <c r="Q28" s="1"/>
  <c r="O30"/>
  <c r="P30" i="6"/>
  <c r="O31"/>
  <c r="R28"/>
  <c r="Q28" s="1"/>
  <c r="O31" i="5" l="1"/>
  <c r="P30"/>
  <c r="R29" s="1"/>
  <c r="Q29" s="1"/>
  <c r="O31" i="7"/>
  <c r="P30"/>
  <c r="P31" s="1"/>
  <c r="R31" s="1"/>
  <c r="O31" i="4"/>
  <c r="P30"/>
  <c r="R29" s="1"/>
  <c r="Q29" s="1"/>
  <c r="P31" i="6"/>
  <c r="R31" s="1"/>
  <c r="R29"/>
  <c r="Q29" s="1"/>
  <c r="P31" i="5" l="1"/>
  <c r="R31" s="1"/>
  <c r="R29" i="7"/>
  <c r="Q29" s="1"/>
  <c r="P31" i="4"/>
  <c r="R31" s="1"/>
  <c r="R30" i="7"/>
  <c r="R30" i="6"/>
  <c r="Q30" s="1"/>
  <c r="R30" i="5" l="1"/>
  <c r="Q30" s="1"/>
  <c r="Q30" i="7"/>
  <c r="R30" i="4"/>
  <c r="Q30" s="1"/>
  <c r="Q31" i="7"/>
  <c r="Q31" i="6"/>
  <c r="Q31" i="5" l="1"/>
  <c r="Q31" i="4"/>
</calcChain>
</file>

<file path=xl/sharedStrings.xml><?xml version="1.0" encoding="utf-8"?>
<sst xmlns="http://schemas.openxmlformats.org/spreadsheetml/2006/main" count="367" uniqueCount="100">
  <si>
    <t>ONKAR ENGINE &amp; GENERATOR (P) LTD.</t>
  </si>
  <si>
    <t>STATISTICAL PROCESS CONTROL STUDY</t>
  </si>
  <si>
    <t>PART NAME:</t>
  </si>
  <si>
    <t>INSTRUMENT:</t>
  </si>
  <si>
    <t>Wattage</t>
  </si>
  <si>
    <t>L.COUNT:</t>
  </si>
  <si>
    <t>1 kw</t>
  </si>
  <si>
    <t>PART NO.:</t>
  </si>
  <si>
    <t>NA</t>
  </si>
  <si>
    <t>SPECIFIC:</t>
  </si>
  <si>
    <t>2000+5%/-10%</t>
  </si>
  <si>
    <t>MACHINE:</t>
  </si>
  <si>
    <t>Testing Panel</t>
  </si>
  <si>
    <t>SAMPLE SIZE:</t>
  </si>
  <si>
    <t>50NOS.</t>
  </si>
  <si>
    <t>OPERATION:</t>
  </si>
  <si>
    <t>TESTING</t>
  </si>
  <si>
    <t>NO.OF DECIMALS:</t>
  </si>
  <si>
    <t>Date</t>
  </si>
  <si>
    <t xml:space="preserve">DATA COLLECTION: - </t>
  </si>
  <si>
    <t>ALL DIMENSIONS ARE IN INCHES / MM</t>
  </si>
  <si>
    <t>MM</t>
  </si>
  <si>
    <t>SNO.</t>
  </si>
  <si>
    <t>SAMPLE</t>
  </si>
  <si>
    <t>D2</t>
  </si>
  <si>
    <t>A2</t>
  </si>
  <si>
    <t>D4</t>
  </si>
  <si>
    <t>1</t>
  </si>
  <si>
    <t>2.560</t>
  </si>
  <si>
    <t>3.270</t>
  </si>
  <si>
    <t>2</t>
  </si>
  <si>
    <t>1.880</t>
  </si>
  <si>
    <t>3</t>
  </si>
  <si>
    <t>1.020</t>
  </si>
  <si>
    <t>2.570</t>
  </si>
  <si>
    <t xml:space="preserve"> </t>
  </si>
  <si>
    <t>4</t>
  </si>
  <si>
    <t>0.730</t>
  </si>
  <si>
    <t>2.230</t>
  </si>
  <si>
    <t>5</t>
  </si>
  <si>
    <t>0.590</t>
  </si>
  <si>
    <t>2.110</t>
  </si>
  <si>
    <t>FOR HISTOGRAM</t>
  </si>
  <si>
    <r>
      <t>X</t>
    </r>
    <r>
      <rPr>
        <sz val="6"/>
        <rFont val="Arial"/>
        <family val="2"/>
      </rPr>
      <t>LARGE</t>
    </r>
  </si>
  <si>
    <t>Xmax.=</t>
  </si>
  <si>
    <t>NO.OF NON CONFORMING PART =</t>
  </si>
  <si>
    <t>NOS.</t>
  </si>
  <si>
    <r>
      <t>X</t>
    </r>
    <r>
      <rPr>
        <sz val="6"/>
        <rFont val="Arial"/>
        <family val="2"/>
      </rPr>
      <t>SMALL</t>
    </r>
  </si>
  <si>
    <t>Xmin.=</t>
  </si>
  <si>
    <t>RANGE</t>
  </si>
  <si>
    <r>
      <t xml:space="preserve">2 </t>
    </r>
    <r>
      <rPr>
        <b/>
        <sz val="10"/>
        <color indexed="10"/>
        <rFont val="Arial"/>
        <family val="2"/>
      </rPr>
      <t>=</t>
    </r>
  </si>
  <si>
    <t xml:space="preserve">NO. OF PARTS ABOVE U.T.L. = </t>
  </si>
  <si>
    <t>AVG.</t>
  </si>
  <si>
    <r>
      <t xml:space="preserve">8 </t>
    </r>
    <r>
      <rPr>
        <b/>
        <sz val="10"/>
        <color indexed="10"/>
        <rFont val="Arial"/>
        <family val="2"/>
      </rPr>
      <t>=</t>
    </r>
  </si>
  <si>
    <t xml:space="preserve">NO. OF PARTS BELOW L.T.L. = </t>
  </si>
  <si>
    <t>Process Width ( P ) =</t>
  </si>
  <si>
    <t>Specification Width(S) =</t>
  </si>
  <si>
    <r>
      <t>Index (K)={2 x (D-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) / S}=</t>
    </r>
  </si>
  <si>
    <t>INTERVAL</t>
  </si>
  <si>
    <t>FREQ.</t>
  </si>
  <si>
    <t>CU. FREQ.</t>
  </si>
  <si>
    <t>Design Centre ( D ) =</t>
  </si>
  <si>
    <t>Interval =</t>
  </si>
  <si>
    <t>Selecting no. of classes =</t>
  </si>
  <si>
    <t>Starting Point =</t>
  </si>
  <si>
    <t>No. of readings=</t>
  </si>
  <si>
    <r>
      <t>Shift Of '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' from 'D' =</t>
    </r>
  </si>
  <si>
    <r>
      <t>U.C.L.</t>
    </r>
    <r>
      <rPr>
        <b/>
        <sz val="10"/>
        <color indexed="10"/>
        <rFont val="Arial"/>
        <family val="2"/>
      </rPr>
      <t xml:space="preserve"> </t>
    </r>
  </si>
  <si>
    <t>L.C.L.</t>
  </si>
  <si>
    <t>U.C.L.</t>
  </si>
  <si>
    <r>
      <t>X-BAR</t>
    </r>
    <r>
      <rPr>
        <b/>
        <sz val="10"/>
        <color indexed="10"/>
        <rFont val="Arial"/>
        <family val="2"/>
      </rPr>
      <t xml:space="preserve"> </t>
    </r>
  </si>
  <si>
    <t>R-BAR</t>
  </si>
  <si>
    <t>MINIMUM DECIMAL VALUE</t>
  </si>
  <si>
    <t>M4 VALUE</t>
  </si>
  <si>
    <r>
      <t>U.C.L.</t>
    </r>
    <r>
      <rPr>
        <sz val="6"/>
        <rFont val="Bookshelf Symbol 5"/>
        <charset val="2"/>
      </rPr>
      <t xml:space="preserve">8 </t>
    </r>
    <r>
      <rPr>
        <sz val="10"/>
        <rFont val="Arial"/>
        <family val="2"/>
      </rPr>
      <t>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+A2x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</si>
  <si>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L.C.L.</t>
    </r>
    <r>
      <rPr>
        <sz val="6"/>
        <rFont val="Bookshelf Symbol 5"/>
        <charset val="2"/>
      </rPr>
      <t>8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-A2x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</si>
  <si>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U.C.L.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D4}</t>
    </r>
  </si>
  <si>
    <r>
      <t>L.C.L.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D3}</t>
    </r>
  </si>
  <si>
    <r>
      <t>Std.Dev."σ"=</t>
    </r>
    <r>
      <rPr>
        <b/>
        <sz val="10"/>
        <color indexed="10"/>
        <rFont val="Bookshelf Symbol 5"/>
        <charset val="2"/>
      </rPr>
      <t/>
    </r>
  </si>
  <si>
    <t>REMARKS: -</t>
  </si>
  <si>
    <t>PREPARED BY</t>
  </si>
  <si>
    <t>Qube</t>
  </si>
  <si>
    <t>U.S.L.</t>
  </si>
  <si>
    <t>L.S.L</t>
  </si>
  <si>
    <t>Element</t>
  </si>
  <si>
    <t>Resistance</t>
  </si>
  <si>
    <t>0.1 mΩ</t>
  </si>
  <si>
    <t>Resistancemeter</t>
  </si>
  <si>
    <r>
      <t>25.2~29.4 m</t>
    </r>
    <r>
      <rPr>
        <sz val="10"/>
        <rFont val="Calibri"/>
        <family val="2"/>
      </rPr>
      <t>Ω</t>
    </r>
  </si>
  <si>
    <t>Amica/Qube</t>
  </si>
  <si>
    <t>DFT Meter</t>
  </si>
  <si>
    <t>100~400 µ</t>
  </si>
  <si>
    <t>APPROVED BY</t>
  </si>
  <si>
    <t>Cpk={1-K}xCp)=</t>
  </si>
  <si>
    <r>
      <t>Cp=(S/6</t>
    </r>
    <r>
      <rPr>
        <b/>
        <sz val="10"/>
        <color indexed="10"/>
        <rFont val="Bookman Old Style"/>
        <family val="1"/>
      </rPr>
      <t>σ</t>
    </r>
    <r>
      <rPr>
        <b/>
        <sz val="10"/>
        <color indexed="10"/>
        <rFont val="Arial"/>
        <family val="2"/>
      </rPr>
      <t>)=</t>
    </r>
  </si>
  <si>
    <t>1µ</t>
  </si>
  <si>
    <t>04.10.2021</t>
  </si>
  <si>
    <t>25.10.2021</t>
  </si>
  <si>
    <t>11.10.2021</t>
  </si>
  <si>
    <t>18.10.2021</t>
  </si>
</sst>
</file>

<file path=xl/styles.xml><?xml version="1.0" encoding="utf-8"?>
<styleSheet xmlns="http://schemas.openxmlformats.org/spreadsheetml/2006/main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00"/>
    <numFmt numFmtId="166" formatCode="0.000000"/>
    <numFmt numFmtId="167" formatCode="&quot;$&quot;#,##0.0000"/>
    <numFmt numFmtId="168" formatCode="\$#,##0.00;[Red]\-\$#,##0.00"/>
    <numFmt numFmtId="169" formatCode="0.00_)"/>
    <numFmt numFmtId="170" formatCode="0.0"/>
  </numFmts>
  <fonts count="25">
    <font>
      <sz val="11"/>
      <color theme="1"/>
      <name val="Calibri"/>
      <family val="2"/>
      <scheme val="minor"/>
    </font>
    <font>
      <sz val="10"/>
      <name val="Arial"/>
    </font>
    <font>
      <b/>
      <sz val="20"/>
      <name val="Bookman Old Style"/>
      <family val="1"/>
    </font>
    <font>
      <sz val="6"/>
      <name val="Arial"/>
      <family val="2"/>
    </font>
    <font>
      <sz val="18"/>
      <name val="Arial Black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Bookshelf Symbol 5"/>
      <charset val="2"/>
    </font>
    <font>
      <sz val="10"/>
      <name val="Bookshelf Symbol 5"/>
      <charset val="2"/>
    </font>
    <font>
      <b/>
      <sz val="8"/>
      <name val="Arial"/>
      <family val="2"/>
    </font>
    <font>
      <sz val="6"/>
      <name val="Bookshelf Symbol 5"/>
      <charset val="2"/>
    </font>
    <font>
      <b/>
      <i/>
      <sz val="6"/>
      <name val="Arial"/>
      <family val="2"/>
    </font>
    <font>
      <b/>
      <sz val="10"/>
      <color indexed="10"/>
      <name val="Bookman Old Style"/>
      <family val="1"/>
    </font>
    <font>
      <b/>
      <i/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Helv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8" fontId="17" fillId="0" borderId="0" applyFont="0" applyFill="0" applyBorder="0" applyAlignment="0" applyProtection="0"/>
    <xf numFmtId="6" fontId="17" fillId="0" borderId="0" applyFont="0" applyFill="0" applyBorder="0" applyAlignment="0" applyProtection="0"/>
    <xf numFmtId="0" fontId="17" fillId="0" borderId="0"/>
    <xf numFmtId="0" fontId="18" fillId="0" borderId="0"/>
    <xf numFmtId="168" fontId="19" fillId="0" borderId="0">
      <alignment horizontal="center"/>
    </xf>
    <xf numFmtId="38" fontId="5" fillId="3" borderId="0" applyNumberFormat="0" applyBorder="0" applyAlignment="0" applyProtection="0"/>
    <xf numFmtId="0" fontId="20" fillId="0" borderId="0">
      <alignment horizontal="left"/>
    </xf>
    <xf numFmtId="10" fontId="5" fillId="3" borderId="4" applyNumberFormat="0" applyBorder="0" applyAlignment="0" applyProtection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0" fontId="21" fillId="0" borderId="16"/>
    <xf numFmtId="6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6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169" fontId="22" fillId="0" borderId="0"/>
    <xf numFmtId="10" fontId="6" fillId="0" borderId="0" applyFont="0" applyFill="0" applyBorder="0" applyAlignment="0" applyProtection="0"/>
    <xf numFmtId="0" fontId="21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23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</cellStyleXfs>
  <cellXfs count="199">
    <xf numFmtId="0" fontId="0" fillId="0" borderId="0" xfId="0"/>
    <xf numFmtId="0" fontId="3" fillId="3" borderId="0" xfId="1" applyFont="1" applyFill="1" applyAlignment="1" applyProtection="1">
      <alignment horizontal="center" vertical="center"/>
      <protection hidden="1"/>
    </xf>
    <xf numFmtId="0" fontId="5" fillId="3" borderId="0" xfId="1" applyFont="1" applyFill="1" applyAlignment="1" applyProtection="1">
      <alignment horizontal="center" vertical="center"/>
      <protection hidden="1"/>
    </xf>
    <xf numFmtId="0" fontId="6" fillId="4" borderId="5" xfId="1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Alignment="1" applyProtection="1">
      <alignment horizontal="center" vertical="center"/>
      <protection hidden="1"/>
    </xf>
    <xf numFmtId="0" fontId="6" fillId="4" borderId="1" xfId="1" applyFont="1" applyFill="1" applyBorder="1" applyAlignment="1" applyProtection="1">
      <alignment horizontal="center" vertical="center"/>
      <protection locked="0"/>
    </xf>
    <xf numFmtId="0" fontId="6" fillId="3" borderId="4" xfId="1" applyFont="1" applyFill="1" applyBorder="1" applyAlignment="1" applyProtection="1">
      <alignment horizontal="center" vertical="center"/>
      <protection hidden="1"/>
    </xf>
    <xf numFmtId="164" fontId="6" fillId="4" borderId="4" xfId="1" applyNumberFormat="1" applyFont="1" applyFill="1" applyBorder="1" applyAlignment="1" applyProtection="1">
      <alignment horizontal="left" vertical="center"/>
      <protection locked="0" hidden="1"/>
    </xf>
    <xf numFmtId="0" fontId="1" fillId="4" borderId="4" xfId="1" applyFill="1" applyBorder="1" applyAlignment="1" applyProtection="1">
      <alignment vertical="center"/>
      <protection locked="0"/>
    </xf>
    <xf numFmtId="0" fontId="6" fillId="3" borderId="4" xfId="1" applyFont="1" applyFill="1" applyBorder="1" applyAlignment="1" applyProtection="1">
      <alignment horizontal="center" vertical="center" shrinkToFit="1"/>
      <protection hidden="1"/>
    </xf>
    <xf numFmtId="0" fontId="7" fillId="3" borderId="4" xfId="1" applyFont="1" applyFill="1" applyBorder="1" applyAlignment="1" applyProtection="1">
      <alignment horizontal="center" vertical="center" shrinkToFit="1"/>
      <protection hidden="1"/>
    </xf>
    <xf numFmtId="0" fontId="7" fillId="3" borderId="4" xfId="1" applyFont="1" applyFill="1" applyBorder="1" applyAlignment="1" applyProtection="1">
      <alignment horizontal="center" vertical="center"/>
      <protection hidden="1"/>
    </xf>
    <xf numFmtId="1" fontId="6" fillId="4" borderId="4" xfId="1" applyNumberFormat="1" applyFont="1" applyFill="1" applyBorder="1" applyAlignment="1" applyProtection="1">
      <alignment horizontal="center" vertical="center"/>
      <protection locked="0"/>
    </xf>
    <xf numFmtId="49" fontId="6" fillId="3" borderId="4" xfId="1" applyNumberFormat="1" applyFont="1" applyFill="1" applyBorder="1" applyAlignment="1" applyProtection="1">
      <alignment horizontal="center" vertical="center"/>
      <protection hidden="1"/>
    </xf>
    <xf numFmtId="49" fontId="6" fillId="3" borderId="0" xfId="1" applyNumberFormat="1" applyFont="1" applyFill="1" applyBorder="1" applyAlignment="1" applyProtection="1">
      <alignment horizontal="left" vertical="center"/>
      <protection hidden="1"/>
    </xf>
    <xf numFmtId="0" fontId="6" fillId="3" borderId="0" xfId="1" applyFont="1" applyFill="1" applyBorder="1" applyAlignment="1" applyProtection="1">
      <alignment horizontal="center" vertical="center"/>
      <protection hidden="1"/>
    </xf>
    <xf numFmtId="0" fontId="6" fillId="3" borderId="5" xfId="1" applyFont="1" applyFill="1" applyBorder="1" applyAlignment="1" applyProtection="1">
      <alignment horizontal="center" vertical="center" shrinkToFit="1"/>
      <protection hidden="1"/>
    </xf>
    <xf numFmtId="49" fontId="6" fillId="3" borderId="12" xfId="1" applyNumberFormat="1" applyFont="1" applyFill="1" applyBorder="1" applyAlignment="1" applyProtection="1">
      <alignment horizontal="center" vertical="center"/>
      <protection hidden="1"/>
    </xf>
    <xf numFmtId="0" fontId="6" fillId="3" borderId="12" xfId="1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 applyProtection="1">
      <alignment horizontal="center" vertical="center" shrinkToFit="1"/>
      <protection hidden="1"/>
    </xf>
    <xf numFmtId="164" fontId="6" fillId="3" borderId="0" xfId="1" applyNumberFormat="1" applyFont="1" applyFill="1" applyBorder="1" applyAlignment="1" applyProtection="1">
      <alignment horizontal="center" vertical="center"/>
      <protection hidden="1"/>
    </xf>
    <xf numFmtId="0" fontId="6" fillId="3" borderId="9" xfId="1" applyFont="1" applyFill="1" applyBorder="1" applyAlignment="1" applyProtection="1">
      <alignment horizontal="center" vertical="center" shrinkToFit="1"/>
      <protection hidden="1"/>
    </xf>
    <xf numFmtId="49" fontId="6" fillId="3" borderId="13" xfId="1" applyNumberFormat="1" applyFont="1" applyFill="1" applyBorder="1" applyAlignment="1" applyProtection="1">
      <alignment horizontal="center" vertical="center"/>
      <protection hidden="1"/>
    </xf>
    <xf numFmtId="0" fontId="6" fillId="3" borderId="13" xfId="1" applyFont="1" applyFill="1" applyBorder="1" applyAlignment="1" applyProtection="1">
      <alignment horizontal="center" vertical="center"/>
      <protection hidden="1"/>
    </xf>
    <xf numFmtId="0" fontId="6" fillId="3" borderId="5" xfId="1" applyFont="1" applyFill="1" applyBorder="1" applyAlignment="1" applyProtection="1">
      <alignment horizontal="center" vertical="center"/>
      <protection hidden="1"/>
    </xf>
    <xf numFmtId="0" fontId="6" fillId="3" borderId="5" xfId="1" applyNumberFormat="1" applyFont="1" applyFill="1" applyBorder="1" applyAlignment="1" applyProtection="1">
      <alignment horizontal="center" vertical="center"/>
      <protection hidden="1"/>
    </xf>
    <xf numFmtId="0" fontId="6" fillId="3" borderId="4" xfId="1" applyNumberFormat="1" applyFont="1" applyFill="1" applyBorder="1" applyAlignment="1" applyProtection="1">
      <alignment horizontal="center" vertical="center"/>
      <protection hidden="1"/>
    </xf>
    <xf numFmtId="164" fontId="6" fillId="3" borderId="4" xfId="1" applyNumberFormat="1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0" fontId="6" fillId="3" borderId="9" xfId="1" applyFont="1" applyFill="1" applyBorder="1" applyAlignment="1" applyProtection="1">
      <alignment horizontal="center" vertical="center"/>
      <protection hidden="1"/>
    </xf>
    <xf numFmtId="0" fontId="6" fillId="3" borderId="13" xfId="1" applyNumberFormat="1" applyFont="1" applyFill="1" applyBorder="1" applyAlignment="1" applyProtection="1">
      <alignment horizontal="center" vertical="center"/>
      <protection hidden="1"/>
    </xf>
    <xf numFmtId="0" fontId="9" fillId="3" borderId="4" xfId="1" applyFont="1" applyFill="1" applyBorder="1" applyAlignment="1" applyProtection="1">
      <alignment horizontal="center" vertical="center"/>
      <protection hidden="1"/>
    </xf>
    <xf numFmtId="165" fontId="8" fillId="3" borderId="4" xfId="1" applyNumberFormat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right" vertical="center"/>
      <protection hidden="1"/>
    </xf>
    <xf numFmtId="0" fontId="8" fillId="0" borderId="11" xfId="1" applyFont="1" applyBorder="1" applyAlignment="1" applyProtection="1">
      <alignment horizontal="left" vertical="center"/>
      <protection hidden="1"/>
    </xf>
    <xf numFmtId="20" fontId="6" fillId="3" borderId="0" xfId="1" applyNumberFormat="1" applyFont="1" applyFill="1" applyAlignment="1" applyProtection="1">
      <alignment horizontal="center" vertical="center"/>
      <protection hidden="1"/>
    </xf>
    <xf numFmtId="164" fontId="8" fillId="3" borderId="4" xfId="1" applyNumberFormat="1" applyFont="1" applyFill="1" applyBorder="1" applyAlignment="1" applyProtection="1">
      <alignment horizontal="center" vertical="center"/>
      <protection hidden="1"/>
    </xf>
    <xf numFmtId="0" fontId="8" fillId="0" borderId="1" xfId="1" applyFont="1" applyBorder="1" applyAlignment="1" applyProtection="1">
      <alignment horizontal="right" vertical="center"/>
      <protection hidden="1"/>
    </xf>
    <xf numFmtId="0" fontId="8" fillId="0" borderId="3" xfId="1" applyFont="1" applyBorder="1" applyAlignment="1" applyProtection="1">
      <alignment horizontal="left" vertical="center"/>
      <protection hidden="1"/>
    </xf>
    <xf numFmtId="164" fontId="6" fillId="3" borderId="3" xfId="1" applyNumberFormat="1" applyFont="1" applyFill="1" applyBorder="1" applyAlignment="1" applyProtection="1">
      <alignment horizontal="center" vertical="center"/>
      <protection hidden="1"/>
    </xf>
    <xf numFmtId="164" fontId="11" fillId="3" borderId="12" xfId="1" applyNumberFormat="1" applyFont="1" applyFill="1" applyBorder="1" applyAlignment="1" applyProtection="1">
      <alignment horizontal="center" vertical="center"/>
      <protection hidden="1"/>
    </xf>
    <xf numFmtId="0" fontId="6" fillId="3" borderId="3" xfId="1" applyFont="1" applyFill="1" applyBorder="1" applyAlignment="1" applyProtection="1">
      <alignment horizontal="center" vertical="center"/>
      <protection hidden="1"/>
    </xf>
    <xf numFmtId="2" fontId="6" fillId="3" borderId="4" xfId="1" applyNumberFormat="1" applyFont="1" applyFill="1" applyBorder="1" applyAlignment="1" applyProtection="1">
      <alignment horizontal="center" vertical="center"/>
      <protection hidden="1"/>
    </xf>
    <xf numFmtId="166" fontId="6" fillId="3" borderId="3" xfId="1" applyNumberFormat="1" applyFont="1" applyFill="1" applyBorder="1" applyAlignment="1" applyProtection="1">
      <alignment horizontal="center" vertical="center"/>
      <protection hidden="1"/>
    </xf>
    <xf numFmtId="0" fontId="7" fillId="3" borderId="0" xfId="1" applyFont="1" applyFill="1" applyBorder="1" applyAlignment="1" applyProtection="1">
      <alignment horizontal="left" vertical="center"/>
      <protection hidden="1"/>
    </xf>
    <xf numFmtId="0" fontId="8" fillId="3" borderId="4" xfId="1" applyFont="1" applyFill="1" applyBorder="1" applyAlignment="1" applyProtection="1">
      <alignment horizontal="center" vertical="center"/>
      <protection hidden="1"/>
    </xf>
    <xf numFmtId="0" fontId="6" fillId="0" borderId="4" xfId="1" applyFont="1" applyBorder="1" applyAlignment="1" applyProtection="1">
      <alignment horizontal="center" vertical="center"/>
      <protection hidden="1"/>
    </xf>
    <xf numFmtId="0" fontId="11" fillId="3" borderId="0" xfId="1" applyFont="1" applyFill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/>
      <protection hidden="1"/>
    </xf>
    <xf numFmtId="0" fontId="5" fillId="3" borderId="0" xfId="1" applyFont="1" applyFill="1" applyBorder="1" applyAlignment="1" applyProtection="1">
      <alignment horizontal="center" vertical="center"/>
      <protection hidden="1"/>
    </xf>
    <xf numFmtId="164" fontId="6" fillId="0" borderId="4" xfId="1" applyNumberFormat="1" applyFont="1" applyBorder="1" applyAlignment="1" applyProtection="1">
      <alignment horizontal="center" vertical="center"/>
      <protection hidden="1"/>
    </xf>
    <xf numFmtId="49" fontId="5" fillId="3" borderId="0" xfId="1" applyNumberFormat="1" applyFont="1" applyFill="1" applyAlignment="1" applyProtection="1">
      <alignment horizontal="center" vertical="center"/>
      <protection hidden="1"/>
    </xf>
    <xf numFmtId="0" fontId="6" fillId="0" borderId="0" xfId="1" applyFont="1" applyBorder="1" applyAlignment="1" applyProtection="1">
      <alignment horizontal="center" vertical="center"/>
      <protection hidden="1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6" fillId="3" borderId="0" xfId="1" applyNumberFormat="1" applyFont="1" applyFill="1" applyBorder="1" applyAlignment="1" applyProtection="1">
      <alignment horizontal="center" vertical="center"/>
      <protection hidden="1"/>
    </xf>
    <xf numFmtId="49" fontId="3" fillId="3" borderId="0" xfId="1" applyNumberFormat="1" applyFont="1" applyFill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  <xf numFmtId="0" fontId="13" fillId="3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Border="1" applyAlignment="1" applyProtection="1">
      <alignment vertical="center"/>
      <protection hidden="1"/>
    </xf>
    <xf numFmtId="0" fontId="1" fillId="0" borderId="0" xfId="1" applyFont="1" applyBorder="1" applyAlignment="1" applyProtection="1">
      <alignment horizontal="center" vertical="center"/>
      <protection hidden="1"/>
    </xf>
    <xf numFmtId="0" fontId="13" fillId="3" borderId="0" xfId="1" applyFont="1" applyFill="1" applyAlignment="1" applyProtection="1">
      <alignment horizontal="center" vertical="center"/>
      <protection hidden="1"/>
    </xf>
    <xf numFmtId="164" fontId="1" fillId="0" borderId="0" xfId="1" applyNumberFormat="1" applyFont="1" applyBorder="1" applyAlignment="1" applyProtection="1">
      <alignment horizontal="center" vertical="center"/>
      <protection hidden="1"/>
    </xf>
    <xf numFmtId="0" fontId="3" fillId="3" borderId="14" xfId="1" applyFont="1" applyFill="1" applyBorder="1" applyAlignment="1" applyProtection="1">
      <alignment horizontal="center" vertical="center"/>
      <protection hidden="1"/>
    </xf>
    <xf numFmtId="0" fontId="3" fillId="3" borderId="0" xfId="1" applyFont="1" applyFill="1" applyAlignment="1" applyProtection="1">
      <alignment horizontal="left" vertical="center"/>
      <protection hidden="1"/>
    </xf>
    <xf numFmtId="164" fontId="3" fillId="3" borderId="0" xfId="1" applyNumberFormat="1" applyFont="1" applyFill="1" applyAlignment="1" applyProtection="1">
      <alignment horizontal="center" vertical="center"/>
      <protection hidden="1"/>
    </xf>
    <xf numFmtId="170" fontId="6" fillId="4" borderId="4" xfId="0" applyNumberFormat="1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2" fontId="6" fillId="3" borderId="3" xfId="1" applyNumberFormat="1" applyFont="1" applyFill="1" applyBorder="1" applyAlignment="1" applyProtection="1">
      <alignment horizontal="center" vertical="center"/>
      <protection hidden="1"/>
    </xf>
    <xf numFmtId="0" fontId="15" fillId="3" borderId="4" xfId="1" applyFont="1" applyFill="1" applyBorder="1" applyAlignment="1" applyProtection="1">
      <alignment horizontal="center" vertical="center"/>
      <protection hidden="1"/>
    </xf>
    <xf numFmtId="0" fontId="16" fillId="3" borderId="9" xfId="1" applyFont="1" applyFill="1" applyBorder="1" applyAlignment="1" applyProtection="1">
      <alignment horizontal="center" vertical="center"/>
      <protection hidden="1"/>
    </xf>
    <xf numFmtId="0" fontId="16" fillId="3" borderId="10" xfId="1" applyFont="1" applyFill="1" applyBorder="1" applyAlignment="1" applyProtection="1">
      <alignment horizontal="center" vertical="center"/>
      <protection hidden="1"/>
    </xf>
    <xf numFmtId="0" fontId="16" fillId="3" borderId="11" xfId="1" applyFont="1" applyFill="1" applyBorder="1" applyAlignment="1" applyProtection="1">
      <alignment horizontal="center" vertical="center"/>
      <protection hidden="1"/>
    </xf>
    <xf numFmtId="0" fontId="16" fillId="3" borderId="14" xfId="1" applyFont="1" applyFill="1" applyBorder="1" applyAlignment="1" applyProtection="1">
      <alignment horizontal="center" vertical="center"/>
      <protection hidden="1"/>
    </xf>
    <xf numFmtId="0" fontId="16" fillId="3" borderId="0" xfId="1" applyFont="1" applyFill="1" applyBorder="1" applyAlignment="1" applyProtection="1">
      <alignment horizontal="center" vertical="center"/>
      <protection hidden="1"/>
    </xf>
    <xf numFmtId="0" fontId="16" fillId="3" borderId="15" xfId="1" applyFont="1" applyFill="1" applyBorder="1" applyAlignment="1" applyProtection="1">
      <alignment horizontal="center" vertical="center"/>
      <protection hidden="1"/>
    </xf>
    <xf numFmtId="0" fontId="16" fillId="3" borderId="5" xfId="1" applyFont="1" applyFill="1" applyBorder="1" applyAlignment="1" applyProtection="1">
      <alignment horizontal="center" vertical="center"/>
      <protection hidden="1"/>
    </xf>
    <xf numFmtId="0" fontId="16" fillId="3" borderId="7" xfId="1" applyFont="1" applyFill="1" applyBorder="1" applyAlignment="1" applyProtection="1">
      <alignment horizontal="center" vertical="center"/>
      <protection hidden="1"/>
    </xf>
    <xf numFmtId="0" fontId="16" fillId="3" borderId="6" xfId="1" applyFont="1" applyFill="1" applyBorder="1" applyAlignment="1" applyProtection="1">
      <alignment horizontal="center" vertical="center"/>
      <protection hidden="1"/>
    </xf>
    <xf numFmtId="0" fontId="6" fillId="3" borderId="4" xfId="1" applyFont="1" applyFill="1" applyBorder="1" applyAlignment="1" applyProtection="1">
      <alignment horizontal="center" vertical="center"/>
      <protection hidden="1"/>
    </xf>
    <xf numFmtId="167" fontId="8" fillId="3" borderId="1" xfId="1" applyNumberFormat="1" applyFont="1" applyFill="1" applyBorder="1" applyAlignment="1" applyProtection="1">
      <alignment horizontal="center" vertical="center"/>
      <protection hidden="1"/>
    </xf>
    <xf numFmtId="167" fontId="8" fillId="3" borderId="3" xfId="1" applyNumberFormat="1" applyFont="1" applyFill="1" applyBorder="1" applyAlignment="1" applyProtection="1">
      <alignment horizontal="center" vertical="center"/>
      <protection hidden="1"/>
    </xf>
    <xf numFmtId="165" fontId="8" fillId="3" borderId="1" xfId="1" applyNumberFormat="1" applyFont="1" applyFill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center" vertical="center"/>
      <protection hidden="1"/>
    </xf>
    <xf numFmtId="0" fontId="8" fillId="3" borderId="1" xfId="1" applyFont="1" applyFill="1" applyBorder="1" applyAlignment="1" applyProtection="1">
      <alignment horizontal="center" vertical="center"/>
      <protection hidden="1"/>
    </xf>
    <xf numFmtId="0" fontId="8" fillId="3" borderId="3" xfId="1" applyFont="1" applyFill="1" applyBorder="1" applyAlignment="1" applyProtection="1">
      <alignment horizontal="center" vertical="center"/>
      <protection hidden="1"/>
    </xf>
    <xf numFmtId="0" fontId="1" fillId="0" borderId="3" xfId="1" applyFont="1" applyBorder="1" applyAlignment="1" applyProtection="1">
      <alignment horizontal="center" vertical="center"/>
      <protection hidden="1"/>
    </xf>
    <xf numFmtId="164" fontId="6" fillId="3" borderId="1" xfId="1" applyNumberFormat="1" applyFont="1" applyFill="1" applyBorder="1" applyAlignment="1" applyProtection="1">
      <alignment horizontal="center" vertical="center"/>
      <protection hidden="1"/>
    </xf>
    <xf numFmtId="164" fontId="6" fillId="3" borderId="2" xfId="1" applyNumberFormat="1" applyFont="1" applyFill="1" applyBorder="1" applyAlignment="1" applyProtection="1">
      <alignment horizontal="center" vertical="center"/>
      <protection hidden="1"/>
    </xf>
    <xf numFmtId="164" fontId="6" fillId="3" borderId="3" xfId="1" applyNumberFormat="1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 applyProtection="1">
      <alignment horizontal="left" vertical="center"/>
      <protection hidden="1"/>
    </xf>
    <xf numFmtId="0" fontId="1" fillId="0" borderId="3" xfId="1" applyFont="1" applyBorder="1" applyAlignment="1" applyProtection="1">
      <alignment horizontal="left" vertical="center"/>
      <protection hidden="1"/>
    </xf>
    <xf numFmtId="49" fontId="6" fillId="3" borderId="1" xfId="1" applyNumberFormat="1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6" fillId="0" borderId="1" xfId="1" applyFont="1" applyBorder="1" applyAlignment="1" applyProtection="1">
      <alignment horizontal="left" vertical="center"/>
      <protection hidden="1"/>
    </xf>
    <xf numFmtId="165" fontId="6" fillId="3" borderId="1" xfId="1" applyNumberFormat="1" applyFont="1" applyFill="1" applyBorder="1" applyAlignment="1" applyProtection="1">
      <alignment horizontal="center" vertical="center"/>
      <protection hidden="1"/>
    </xf>
    <xf numFmtId="0" fontId="6" fillId="3" borderId="2" xfId="1" applyFont="1" applyFill="1" applyBorder="1" applyAlignment="1" applyProtection="1">
      <alignment horizontal="left" vertical="center"/>
      <protection hidden="1"/>
    </xf>
    <xf numFmtId="166" fontId="6" fillId="3" borderId="2" xfId="1" applyNumberFormat="1" applyFont="1" applyFill="1" applyBorder="1" applyAlignment="1" applyProtection="1">
      <alignment horizontal="center" vertical="center"/>
      <protection hidden="1"/>
    </xf>
    <xf numFmtId="166" fontId="6" fillId="3" borderId="3" xfId="1" applyNumberFormat="1" applyFont="1" applyFill="1" applyBorder="1" applyAlignment="1" applyProtection="1">
      <alignment horizontal="center" vertical="center"/>
      <protection hidden="1"/>
    </xf>
    <xf numFmtId="0" fontId="8" fillId="0" borderId="1" xfId="1" applyFont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164" fontId="11" fillId="3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0" fontId="8" fillId="0" borderId="2" xfId="1" applyFont="1" applyBorder="1" applyAlignment="1" applyProtection="1">
      <alignment horizontal="center" vertical="center" shrinkToFit="1"/>
      <protection hidden="1"/>
    </xf>
    <xf numFmtId="0" fontId="6" fillId="3" borderId="4" xfId="1" applyNumberFormat="1" applyFont="1" applyFill="1" applyBorder="1" applyAlignment="1" applyProtection="1">
      <alignment horizontal="center" vertical="center"/>
      <protection locked="0"/>
    </xf>
    <xf numFmtId="0" fontId="1" fillId="3" borderId="4" xfId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left" vertical="center"/>
      <protection hidden="1"/>
    </xf>
    <xf numFmtId="0" fontId="7" fillId="3" borderId="2" xfId="1" applyFont="1" applyFill="1" applyBorder="1" applyAlignment="1" applyProtection="1">
      <alignment horizontal="left" vertical="center"/>
      <protection hidden="1"/>
    </xf>
    <xf numFmtId="0" fontId="7" fillId="3" borderId="3" xfId="1" applyFont="1" applyFill="1" applyBorder="1" applyAlignment="1" applyProtection="1">
      <alignment horizontal="left" vertical="center"/>
      <protection hidden="1"/>
    </xf>
    <xf numFmtId="0" fontId="6" fillId="0" borderId="1" xfId="1" applyFont="1" applyBorder="1" applyAlignment="1" applyProtection="1">
      <alignment horizontal="center" vertical="center"/>
      <protection hidden="1"/>
    </xf>
    <xf numFmtId="0" fontId="6" fillId="0" borderId="2" xfId="1" applyFont="1" applyBorder="1" applyAlignment="1" applyProtection="1">
      <alignment horizontal="center" vertical="center"/>
      <protection hidden="1"/>
    </xf>
    <xf numFmtId="0" fontId="8" fillId="3" borderId="13" xfId="1" applyFont="1" applyFill="1" applyBorder="1" applyAlignment="1" applyProtection="1">
      <alignment horizontal="center" vertical="center"/>
      <protection hidden="1"/>
    </xf>
    <xf numFmtId="0" fontId="1" fillId="0" borderId="8" xfId="1" applyBorder="1" applyProtection="1">
      <protection hidden="1"/>
    </xf>
    <xf numFmtId="0" fontId="1" fillId="0" borderId="12" xfId="1" applyBorder="1" applyProtection="1">
      <protection hidden="1"/>
    </xf>
    <xf numFmtId="2" fontId="8" fillId="4" borderId="9" xfId="1" applyNumberFormat="1" applyFont="1" applyFill="1" applyBorder="1" applyAlignment="1" applyProtection="1">
      <alignment horizontal="center" vertical="center"/>
      <protection locked="0"/>
    </xf>
    <xf numFmtId="2" fontId="8" fillId="4" borderId="11" xfId="1" applyNumberFormat="1" applyFont="1" applyFill="1" applyBorder="1" applyAlignment="1" applyProtection="1">
      <alignment horizontal="center" vertical="center"/>
      <protection locked="0"/>
    </xf>
    <xf numFmtId="2" fontId="8" fillId="4" borderId="14" xfId="1" applyNumberFormat="1" applyFont="1" applyFill="1" applyBorder="1" applyAlignment="1" applyProtection="1">
      <alignment horizontal="center" vertical="center"/>
      <protection locked="0"/>
    </xf>
    <xf numFmtId="2" fontId="8" fillId="4" borderId="15" xfId="1" applyNumberFormat="1" applyFont="1" applyFill="1" applyBorder="1" applyAlignment="1" applyProtection="1">
      <alignment horizontal="center" vertical="center"/>
      <protection locked="0"/>
    </xf>
    <xf numFmtId="2" fontId="8" fillId="4" borderId="5" xfId="1" applyNumberFormat="1" applyFont="1" applyFill="1" applyBorder="1" applyAlignment="1" applyProtection="1">
      <alignment horizontal="center" vertical="center"/>
      <protection locked="0"/>
    </xf>
    <xf numFmtId="2" fontId="8" fillId="4" borderId="6" xfId="1" applyNumberFormat="1" applyFont="1" applyFill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hidden="1"/>
    </xf>
    <xf numFmtId="0" fontId="1" fillId="0" borderId="12" xfId="1" applyBorder="1" applyAlignment="1" applyProtection="1">
      <alignment horizontal="center" vertical="center"/>
      <protection hidden="1"/>
    </xf>
    <xf numFmtId="0" fontId="6" fillId="0" borderId="2" xfId="1" applyFont="1" applyBorder="1" applyAlignment="1" applyProtection="1">
      <alignment horizontal="left" vertical="center"/>
      <protection hidden="1"/>
    </xf>
    <xf numFmtId="0" fontId="1" fillId="0" borderId="3" xfId="1" applyBorder="1" applyAlignment="1" applyProtection="1">
      <alignment horizontal="left" vertical="center"/>
      <protection hidden="1"/>
    </xf>
    <xf numFmtId="0" fontId="7" fillId="3" borderId="4" xfId="1" applyFont="1" applyFill="1" applyBorder="1" applyAlignment="1" applyProtection="1">
      <alignment horizontal="left" vertical="center"/>
      <protection hidden="1"/>
    </xf>
    <xf numFmtId="0" fontId="6" fillId="0" borderId="4" xfId="1" applyFont="1" applyBorder="1" applyAlignment="1" applyProtection="1">
      <alignment vertical="center"/>
      <protection hidden="1"/>
    </xf>
    <xf numFmtId="0" fontId="1" fillId="0" borderId="4" xfId="1" applyBorder="1" applyAlignment="1" applyProtection="1">
      <alignment vertical="center"/>
      <protection hidden="1"/>
    </xf>
    <xf numFmtId="0" fontId="8" fillId="0" borderId="9" xfId="1" applyFont="1" applyBorder="1" applyAlignment="1" applyProtection="1">
      <alignment horizontal="center" vertical="center" shrinkToFit="1"/>
      <protection hidden="1"/>
    </xf>
    <xf numFmtId="0" fontId="8" fillId="0" borderId="10" xfId="1" applyFont="1" applyBorder="1" applyAlignment="1" applyProtection="1">
      <alignment horizontal="center" vertical="center" shrinkToFit="1"/>
      <protection hidden="1"/>
    </xf>
    <xf numFmtId="0" fontId="8" fillId="0" borderId="11" xfId="1" applyFont="1" applyBorder="1" applyAlignment="1" applyProtection="1">
      <alignment horizontal="center" vertical="center" shrinkToFit="1"/>
      <protection hidden="1"/>
    </xf>
    <xf numFmtId="0" fontId="8" fillId="0" borderId="5" xfId="1" applyFont="1" applyBorder="1" applyAlignment="1" applyProtection="1">
      <alignment horizontal="center" vertical="center" shrinkToFit="1"/>
      <protection hidden="1"/>
    </xf>
    <xf numFmtId="0" fontId="8" fillId="0" borderId="7" xfId="1" applyFont="1" applyBorder="1" applyAlignment="1" applyProtection="1">
      <alignment horizontal="center" vertical="center" shrinkToFit="1"/>
      <protection hidden="1"/>
    </xf>
    <xf numFmtId="0" fontId="8" fillId="0" borderId="6" xfId="1" applyFont="1" applyBorder="1" applyAlignment="1" applyProtection="1">
      <alignment horizontal="center" vertical="center" shrinkToFit="1"/>
      <protection hidden="1"/>
    </xf>
    <xf numFmtId="0" fontId="8" fillId="0" borderId="9" xfId="1" applyFont="1" applyBorder="1" applyAlignment="1" applyProtection="1">
      <alignment horizontal="right" vertical="center"/>
      <protection hidden="1"/>
    </xf>
    <xf numFmtId="0" fontId="8" fillId="0" borderId="14" xfId="1" applyFont="1" applyBorder="1" applyAlignment="1" applyProtection="1">
      <alignment horizontal="right" vertical="center"/>
      <protection hidden="1"/>
    </xf>
    <xf numFmtId="0" fontId="8" fillId="0" borderId="11" xfId="1" applyFont="1" applyBorder="1" applyAlignment="1" applyProtection="1">
      <alignment horizontal="left" vertical="center"/>
      <protection hidden="1"/>
    </xf>
    <xf numFmtId="0" fontId="8" fillId="0" borderId="15" xfId="1" applyFont="1" applyBorder="1" applyAlignment="1" applyProtection="1">
      <alignment horizontal="left" vertical="center"/>
      <protection hidden="1"/>
    </xf>
    <xf numFmtId="0" fontId="6" fillId="0" borderId="3" xfId="1" applyFont="1" applyBorder="1" applyAlignment="1" applyProtection="1">
      <alignment vertical="center"/>
      <protection hidden="1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/>
      <protection hidden="1"/>
    </xf>
    <xf numFmtId="0" fontId="2" fillId="2" borderId="1" xfId="1" applyFont="1" applyFill="1" applyBorder="1" applyAlignment="1" applyProtection="1">
      <alignment horizontal="center" vertical="center"/>
      <protection hidden="1"/>
    </xf>
    <xf numFmtId="0" fontId="2" fillId="2" borderId="2" xfId="1" applyFont="1" applyFill="1" applyBorder="1" applyAlignment="1" applyProtection="1">
      <alignment horizontal="center" vertical="center"/>
      <protection hidden="1"/>
    </xf>
    <xf numFmtId="0" fontId="2" fillId="2" borderId="3" xfId="1" applyFont="1" applyFill="1" applyBorder="1" applyAlignment="1" applyProtection="1">
      <alignment horizontal="center" vertical="center"/>
      <protection hidden="1"/>
    </xf>
    <xf numFmtId="0" fontId="4" fillId="3" borderId="4" xfId="1" applyFont="1" applyFill="1" applyBorder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/>
      <protection hidden="1"/>
    </xf>
    <xf numFmtId="0" fontId="1" fillId="0" borderId="4" xfId="1" applyBorder="1" applyAlignment="1" applyProtection="1">
      <alignment horizontal="center"/>
      <protection hidden="1"/>
    </xf>
    <xf numFmtId="0" fontId="6" fillId="3" borderId="5" xfId="1" applyFont="1" applyFill="1" applyBorder="1" applyAlignment="1" applyProtection="1">
      <alignment horizontal="left" vertical="center"/>
      <protection hidden="1"/>
    </xf>
    <xf numFmtId="0" fontId="6" fillId="0" borderId="6" xfId="1" applyFont="1" applyBorder="1" applyAlignment="1" applyProtection="1">
      <alignment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left"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3" borderId="7" xfId="0" applyFont="1" applyFill="1" applyBorder="1" applyAlignment="1" applyProtection="1">
      <alignment horizontal="left"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3" borderId="8" xfId="1" applyFont="1" applyFill="1" applyBorder="1" applyAlignment="1" applyProtection="1">
      <alignment horizontal="center" vertical="center"/>
      <protection hidden="1"/>
    </xf>
    <xf numFmtId="0" fontId="6" fillId="3" borderId="12" xfId="1" applyFont="1" applyFill="1" applyBorder="1" applyAlignment="1" applyProtection="1">
      <alignment horizontal="center" vertical="center"/>
      <protection hidden="1"/>
    </xf>
    <xf numFmtId="0" fontId="7" fillId="3" borderId="9" xfId="1" applyFont="1" applyFill="1" applyBorder="1" applyAlignment="1" applyProtection="1">
      <alignment horizontal="center" vertical="center" wrapText="1"/>
      <protection locked="0"/>
    </xf>
    <xf numFmtId="0" fontId="7" fillId="3" borderId="10" xfId="1" applyFont="1" applyFill="1" applyBorder="1" applyAlignment="1" applyProtection="1">
      <alignment horizontal="center" vertical="center" wrapText="1"/>
      <protection locked="0"/>
    </xf>
    <xf numFmtId="0" fontId="7" fillId="3" borderId="11" xfId="1" applyFont="1" applyFill="1" applyBorder="1" applyAlignment="1" applyProtection="1">
      <alignment horizontal="center" vertical="center" wrapText="1"/>
      <protection locked="0"/>
    </xf>
    <xf numFmtId="0" fontId="7" fillId="3" borderId="5" xfId="1" applyFont="1" applyFill="1" applyBorder="1" applyAlignment="1" applyProtection="1">
      <alignment horizontal="center" vertical="center" wrapText="1"/>
      <protection locked="0"/>
    </xf>
    <xf numFmtId="0" fontId="7" fillId="3" borderId="7" xfId="1" applyFont="1" applyFill="1" applyBorder="1" applyAlignment="1" applyProtection="1">
      <alignment horizontal="center" vertical="center" wrapText="1"/>
      <protection locked="0"/>
    </xf>
    <xf numFmtId="0" fontId="7" fillId="3" borderId="6" xfId="1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left"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0" fontId="5" fillId="4" borderId="1" xfId="1" applyFont="1" applyFill="1" applyBorder="1" applyAlignment="1" applyProtection="1">
      <alignment horizontal="left" vertical="center"/>
    </xf>
    <xf numFmtId="0" fontId="5" fillId="4" borderId="3" xfId="1" applyFont="1" applyFill="1" applyBorder="1" applyAlignment="1" applyProtection="1">
      <alignment horizontal="left" vertical="center"/>
    </xf>
    <xf numFmtId="15" fontId="6" fillId="4" borderId="1" xfId="1" applyNumberFormat="1" applyFont="1" applyFill="1" applyBorder="1" applyAlignment="1" applyProtection="1">
      <alignment horizontal="center" vertical="center"/>
    </xf>
    <xf numFmtId="15" fontId="6" fillId="4" borderId="3" xfId="1" applyNumberFormat="1" applyFont="1" applyFill="1" applyBorder="1" applyAlignment="1" applyProtection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  <protection hidden="1"/>
    </xf>
    <xf numFmtId="1" fontId="8" fillId="4" borderId="9" xfId="1" applyNumberFormat="1" applyFont="1" applyFill="1" applyBorder="1" applyAlignment="1" applyProtection="1">
      <alignment horizontal="center" vertical="center"/>
      <protection locked="0"/>
    </xf>
    <xf numFmtId="1" fontId="8" fillId="0" borderId="11" xfId="1" applyNumberFormat="1" applyFont="1" applyBorder="1" applyAlignment="1" applyProtection="1">
      <alignment horizontal="center" vertical="center"/>
      <protection locked="0"/>
    </xf>
    <xf numFmtId="1" fontId="8" fillId="0" borderId="14" xfId="1" applyNumberFormat="1" applyFont="1" applyBorder="1" applyAlignment="1" applyProtection="1">
      <alignment horizontal="center" vertical="center"/>
      <protection locked="0"/>
    </xf>
    <xf numFmtId="1" fontId="8" fillId="0" borderId="15" xfId="1" applyNumberFormat="1" applyFont="1" applyBorder="1" applyAlignment="1" applyProtection="1">
      <alignment horizontal="center" vertical="center"/>
      <protection locked="0"/>
    </xf>
    <xf numFmtId="1" fontId="8" fillId="0" borderId="5" xfId="1" applyNumberFormat="1" applyFont="1" applyBorder="1" applyAlignment="1" applyProtection="1">
      <alignment horizontal="center" vertical="center"/>
      <protection locked="0"/>
    </xf>
    <xf numFmtId="1" fontId="8" fillId="0" borderId="6" xfId="1" applyNumberFormat="1" applyFont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 applyProtection="1">
      <alignment horizontal="center" vertical="center"/>
      <protection hidden="1"/>
    </xf>
    <xf numFmtId="0" fontId="6" fillId="3" borderId="3" xfId="1" applyFont="1" applyFill="1" applyBorder="1" applyAlignment="1" applyProtection="1">
      <alignment horizontal="center" vertical="center"/>
      <protection hidden="1"/>
    </xf>
    <xf numFmtId="0" fontId="6" fillId="0" borderId="2" xfId="1" applyFont="1" applyBorder="1" applyAlignment="1" applyProtection="1">
      <alignment vertical="center"/>
      <protection hidden="1"/>
    </xf>
    <xf numFmtId="0" fontId="6" fillId="4" borderId="1" xfId="1" applyFont="1" applyFill="1" applyBorder="1" applyAlignment="1" applyProtection="1">
      <alignment horizontal="center" vertical="center"/>
      <protection locked="0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left" vertical="center"/>
      <protection hidden="1"/>
    </xf>
    <xf numFmtId="0" fontId="6" fillId="4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vertical="center"/>
      <protection hidden="1"/>
    </xf>
    <xf numFmtId="0" fontId="6" fillId="3" borderId="7" xfId="1" applyFont="1" applyFill="1" applyBorder="1" applyAlignment="1" applyProtection="1">
      <alignment horizontal="left" vertical="center"/>
      <protection hidden="1"/>
    </xf>
    <xf numFmtId="0" fontId="8" fillId="3" borderId="4" xfId="1" applyFont="1" applyFill="1" applyBorder="1" applyAlignment="1" applyProtection="1">
      <alignment horizontal="center" vertical="center"/>
      <protection hidden="1"/>
    </xf>
    <xf numFmtId="165" fontId="8" fillId="3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</cellXfs>
  <cellStyles count="26">
    <cellStyle name="=C:\WINNT\SYSTEM32\COMMAND.COM" xfId="2"/>
    <cellStyle name="ÊÝ [0.00]_¸@pR" xfId="3"/>
    <cellStyle name="ÊÝ_¸@pR" xfId="4"/>
    <cellStyle name="W_¸@pR" xfId="5"/>
    <cellStyle name="category" xfId="6"/>
    <cellStyle name="Currency $" xfId="7"/>
    <cellStyle name="Grey" xfId="8"/>
    <cellStyle name="HEADER" xfId="9"/>
    <cellStyle name="Input [yellow]" xfId="10"/>
    <cellStyle name="Milliers [0]_AR1194" xfId="11"/>
    <cellStyle name="Milliers_AR1194" xfId="12"/>
    <cellStyle name="Model" xfId="13"/>
    <cellStyle name="Monétaire [0]_AR1194" xfId="14"/>
    <cellStyle name="Monétaire_AR1194" xfId="15"/>
    <cellStyle name="Mon騁aire [0]_AR1194" xfId="16"/>
    <cellStyle name="Mon騁aire_AR1194" xfId="17"/>
    <cellStyle name="Normal" xfId="0" builtinId="0"/>
    <cellStyle name="Normal - Style1" xfId="18"/>
    <cellStyle name="Normal 2" xfId="1"/>
    <cellStyle name="Percent [2]" xfId="19"/>
    <cellStyle name="subhead" xfId="20"/>
    <cellStyle name="桁区切り [0.00]_2.6 - PFMEA" xfId="21"/>
    <cellStyle name="桁区切り_2.6 - PFMEA" xfId="22"/>
    <cellStyle name="標準_2.6 - PFMEA" xfId="23"/>
    <cellStyle name="通貨 [0.00]_2.6 - PFMEA" xfId="24"/>
    <cellStyle name="通貨_2.6 - PFMEA" xf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097"/>
          <c:y val="3.4090909090909088E-2"/>
        </c:manualLayout>
      </c:layout>
      <c:spPr>
        <a:solidFill>
          <a:srgbClr val="FFFFFF"/>
        </a:solidFill>
        <a:ln w="25400">
          <a:noFill/>
        </a:ln>
      </c:spPr>
    </c:title>
    <c:view3D>
      <c:perspective val="30"/>
    </c:view3D>
    <c:side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07E-2"/>
          <c:w val="0.90889370932754876"/>
          <c:h val="0.77556925765889206"/>
        </c:manualLayout>
      </c:layout>
      <c:bar3DChart>
        <c:barDir val="col"/>
        <c:grouping val="clustered"/>
        <c:ser>
          <c:idx val="1"/>
          <c:order val="0"/>
          <c:tx>
            <c:strRef>
              <c:f>'Element Resistance'!$Q$19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'Element Resistance'!$O$20:$P$30</c:f>
              <c:multiLvlStrCache>
                <c:ptCount val="11"/>
                <c:lvl>
                  <c:pt idx="0">
                    <c:v>25.40</c:v>
                  </c:pt>
                  <c:pt idx="1">
                    <c:v>25.70</c:v>
                  </c:pt>
                  <c:pt idx="2">
                    <c:v>26.00</c:v>
                  </c:pt>
                  <c:pt idx="3">
                    <c:v>26.30</c:v>
                  </c:pt>
                  <c:pt idx="4">
                    <c:v>26.60</c:v>
                  </c:pt>
                  <c:pt idx="5">
                    <c:v>26.90</c:v>
                  </c:pt>
                  <c:pt idx="6">
                    <c:v>27.20</c:v>
                  </c:pt>
                  <c:pt idx="7">
                    <c:v>27.50</c:v>
                  </c:pt>
                  <c:pt idx="8">
                    <c:v>27.80</c:v>
                  </c:pt>
                  <c:pt idx="9">
                    <c:v>28.10</c:v>
                  </c:pt>
                  <c:pt idx="10">
                    <c:v>28.40</c:v>
                  </c:pt>
                </c:lvl>
                <c:lvl>
                  <c:pt idx="0">
                    <c:v>25.10</c:v>
                  </c:pt>
                  <c:pt idx="1">
                    <c:v>25.40</c:v>
                  </c:pt>
                  <c:pt idx="2">
                    <c:v>25.70</c:v>
                  </c:pt>
                  <c:pt idx="3">
                    <c:v>26.00</c:v>
                  </c:pt>
                  <c:pt idx="4">
                    <c:v>26.30</c:v>
                  </c:pt>
                  <c:pt idx="5">
                    <c:v>26.60</c:v>
                  </c:pt>
                  <c:pt idx="6">
                    <c:v>26.90</c:v>
                  </c:pt>
                  <c:pt idx="7">
                    <c:v>27.20</c:v>
                  </c:pt>
                  <c:pt idx="8">
                    <c:v>27.50</c:v>
                  </c:pt>
                  <c:pt idx="9">
                    <c:v>27.80</c:v>
                  </c:pt>
                  <c:pt idx="10">
                    <c:v>28.10</c:v>
                  </c:pt>
                </c:lvl>
              </c:multiLvlStrCache>
            </c:multiLvlStrRef>
          </c:cat>
          <c:val>
            <c:numRef>
              <c:f>'Element Resistance'!$Q$20:$Q$30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9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/>
        <c:gapWidth val="0"/>
        <c:shape val="cylinder"/>
        <c:axId val="77113600"/>
        <c:axId val="77115776"/>
        <c:axId val="0"/>
      </c:bar3DChart>
      <c:catAx>
        <c:axId val="7711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7115776"/>
        <c:crosses val="autoZero"/>
        <c:auto val="1"/>
        <c:lblAlgn val="ctr"/>
        <c:lblOffset val="100"/>
        <c:tickLblSkip val="1"/>
        <c:tickMarkSkip val="1"/>
      </c:catAx>
      <c:valAx>
        <c:axId val="77115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77113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097"/>
          <c:y val="3.4090909090909088E-2"/>
        </c:manualLayout>
      </c:layout>
      <c:spPr>
        <a:solidFill>
          <a:srgbClr val="FFFFFF"/>
        </a:solidFill>
        <a:ln w="25400">
          <a:noFill/>
        </a:ln>
      </c:spPr>
    </c:title>
    <c:view3D>
      <c:perspective val="30"/>
    </c:view3D>
    <c:side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07E-2"/>
          <c:w val="0.90889370932754876"/>
          <c:h val="0.77556925765889206"/>
        </c:manualLayout>
      </c:layout>
      <c:bar3DChart>
        <c:barDir val="col"/>
        <c:grouping val="clustered"/>
        <c:ser>
          <c:idx val="1"/>
          <c:order val="0"/>
          <c:tx>
            <c:strRef>
              <c:f>'Wattage L2'!$Q$19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'Wattage L2'!$O$20:$P$30</c:f>
              <c:multiLvlStrCache>
                <c:ptCount val="11"/>
                <c:lvl>
                  <c:pt idx="0">
                    <c:v>1840.70</c:v>
                  </c:pt>
                  <c:pt idx="1">
                    <c:v>1856.10</c:v>
                  </c:pt>
                  <c:pt idx="2">
                    <c:v>1871.50</c:v>
                  </c:pt>
                  <c:pt idx="3">
                    <c:v>1886.90</c:v>
                  </c:pt>
                  <c:pt idx="4">
                    <c:v>1902.30</c:v>
                  </c:pt>
                  <c:pt idx="5">
                    <c:v>1917.70</c:v>
                  </c:pt>
                  <c:pt idx="6">
                    <c:v>1933.10</c:v>
                  </c:pt>
                  <c:pt idx="7">
                    <c:v>1948.50</c:v>
                  </c:pt>
                  <c:pt idx="8">
                    <c:v>1963.90</c:v>
                  </c:pt>
                  <c:pt idx="9">
                    <c:v>1979.30</c:v>
                  </c:pt>
                  <c:pt idx="10">
                    <c:v>1994.70</c:v>
                  </c:pt>
                </c:lvl>
                <c:lvl>
                  <c:pt idx="0">
                    <c:v>1825.30</c:v>
                  </c:pt>
                  <c:pt idx="1">
                    <c:v>1840.70</c:v>
                  </c:pt>
                  <c:pt idx="2">
                    <c:v>1856.10</c:v>
                  </c:pt>
                  <c:pt idx="3">
                    <c:v>1871.50</c:v>
                  </c:pt>
                  <c:pt idx="4">
                    <c:v>1886.90</c:v>
                  </c:pt>
                  <c:pt idx="5">
                    <c:v>1902.30</c:v>
                  </c:pt>
                  <c:pt idx="6">
                    <c:v>1917.70</c:v>
                  </c:pt>
                  <c:pt idx="7">
                    <c:v>1933.10</c:v>
                  </c:pt>
                  <c:pt idx="8">
                    <c:v>1948.50</c:v>
                  </c:pt>
                  <c:pt idx="9">
                    <c:v>1963.90</c:v>
                  </c:pt>
                  <c:pt idx="10">
                    <c:v>1979.30</c:v>
                  </c:pt>
                </c:lvl>
              </c:multiLvlStrCache>
            </c:multiLvlStrRef>
          </c:cat>
          <c:val>
            <c:numRef>
              <c:f>'Wattage L2'!$Q$20:$Q$30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33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/>
        <c:gapWidth val="0"/>
        <c:shape val="cylinder"/>
        <c:axId val="85920384"/>
        <c:axId val="85934848"/>
        <c:axId val="0"/>
      </c:bar3DChart>
      <c:catAx>
        <c:axId val="8592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5934848"/>
        <c:crosses val="autoZero"/>
        <c:auto val="1"/>
        <c:lblAlgn val="ctr"/>
        <c:lblOffset val="100"/>
        <c:tickLblSkip val="1"/>
        <c:tickMarkSkip val="1"/>
      </c:catAx>
      <c:valAx>
        <c:axId val="859348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592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ser>
          <c:idx val="1"/>
          <c:order val="0"/>
          <c:tx>
            <c:strRef>
              <c:f>'Wattage L2'!$A$18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L2'!$B$18:$K$18</c:f>
              <c:numCache>
                <c:formatCode>General</c:formatCode>
                <c:ptCount val="10"/>
                <c:pt idx="0">
                  <c:v>1946</c:v>
                </c:pt>
                <c:pt idx="1">
                  <c:v>1941.4</c:v>
                </c:pt>
                <c:pt idx="2">
                  <c:v>1933</c:v>
                </c:pt>
                <c:pt idx="3">
                  <c:v>1937.4</c:v>
                </c:pt>
                <c:pt idx="4">
                  <c:v>1938.2</c:v>
                </c:pt>
                <c:pt idx="5">
                  <c:v>1937.4</c:v>
                </c:pt>
                <c:pt idx="6">
                  <c:v>1933</c:v>
                </c:pt>
                <c:pt idx="7">
                  <c:v>1933</c:v>
                </c:pt>
                <c:pt idx="8">
                  <c:v>1937</c:v>
                </c:pt>
                <c:pt idx="9">
                  <c:v>1938.6</c:v>
                </c:pt>
              </c:numCache>
            </c:numRef>
          </c:val>
        </c:ser>
        <c:ser>
          <c:idx val="2"/>
          <c:order val="1"/>
          <c:tx>
            <c:strRef>
              <c:f>'Wattage L2'!$A$23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L2'!$B$23:$K$23</c:f>
              <c:numCache>
                <c:formatCode>General</c:formatCode>
                <c:ptCount val="10"/>
                <c:pt idx="0">
                  <c:v>1958.681</c:v>
                </c:pt>
                <c:pt idx="1">
                  <c:v>1958.681</c:v>
                </c:pt>
                <c:pt idx="2">
                  <c:v>1958.681</c:v>
                </c:pt>
                <c:pt idx="3">
                  <c:v>1958.681</c:v>
                </c:pt>
                <c:pt idx="4">
                  <c:v>1958.681</c:v>
                </c:pt>
                <c:pt idx="5">
                  <c:v>1958.681</c:v>
                </c:pt>
                <c:pt idx="6">
                  <c:v>1958.681</c:v>
                </c:pt>
                <c:pt idx="7">
                  <c:v>1958.681</c:v>
                </c:pt>
                <c:pt idx="8">
                  <c:v>1958.681</c:v>
                </c:pt>
                <c:pt idx="9" formatCode="0.0000">
                  <c:v>1958.681</c:v>
                </c:pt>
              </c:numCache>
            </c:numRef>
          </c:val>
        </c:ser>
        <c:ser>
          <c:idx val="3"/>
          <c:order val="2"/>
          <c:tx>
            <c:strRef>
              <c:f>'Wattage L2'!$A$24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L2'!$B$24:$K$24</c:f>
              <c:numCache>
                <c:formatCode>0.0000</c:formatCode>
                <c:ptCount val="10"/>
                <c:pt idx="0">
                  <c:v>1916.319</c:v>
                </c:pt>
                <c:pt idx="1">
                  <c:v>1916.319</c:v>
                </c:pt>
                <c:pt idx="2">
                  <c:v>1916.319</c:v>
                </c:pt>
                <c:pt idx="3">
                  <c:v>1916.319</c:v>
                </c:pt>
                <c:pt idx="4">
                  <c:v>1916.319</c:v>
                </c:pt>
                <c:pt idx="5">
                  <c:v>1916.319</c:v>
                </c:pt>
                <c:pt idx="6">
                  <c:v>1916.319</c:v>
                </c:pt>
                <c:pt idx="7">
                  <c:v>1916.319</c:v>
                </c:pt>
                <c:pt idx="8">
                  <c:v>1916.319</c:v>
                </c:pt>
                <c:pt idx="9">
                  <c:v>1916.319</c:v>
                </c:pt>
              </c:numCache>
            </c:numRef>
          </c:val>
        </c:ser>
        <c:ser>
          <c:idx val="4"/>
          <c:order val="3"/>
          <c:tx>
            <c:strRef>
              <c:f>'Wattage L2'!$A$27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L2'!$B$27:$K$27</c:f>
              <c:numCache>
                <c:formatCode>0.0000</c:formatCode>
                <c:ptCount val="10"/>
                <c:pt idx="0">
                  <c:v>1937.5</c:v>
                </c:pt>
                <c:pt idx="1">
                  <c:v>1937.5</c:v>
                </c:pt>
                <c:pt idx="2">
                  <c:v>1937.5</c:v>
                </c:pt>
                <c:pt idx="3">
                  <c:v>1937.5</c:v>
                </c:pt>
                <c:pt idx="4">
                  <c:v>1937.5</c:v>
                </c:pt>
                <c:pt idx="5">
                  <c:v>1937.5</c:v>
                </c:pt>
                <c:pt idx="6">
                  <c:v>1937.5</c:v>
                </c:pt>
                <c:pt idx="7">
                  <c:v>1937.5</c:v>
                </c:pt>
                <c:pt idx="8">
                  <c:v>1937.5</c:v>
                </c:pt>
                <c:pt idx="9">
                  <c:v>1937.5</c:v>
                </c:pt>
              </c:numCache>
            </c:numRef>
          </c:val>
        </c:ser>
        <c:dLbls/>
        <c:marker val="1"/>
        <c:axId val="83517824"/>
        <c:axId val="83519744"/>
      </c:lineChart>
      <c:catAx>
        <c:axId val="8351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19744"/>
        <c:crosses val="autoZero"/>
        <c:auto val="1"/>
        <c:lblAlgn val="ctr"/>
        <c:lblOffset val="100"/>
        <c:tickLblSkip val="1"/>
        <c:tickMarkSkip val="1"/>
      </c:catAx>
      <c:valAx>
        <c:axId val="835197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178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21"/>
          <c:y val="0.48863636363636381"/>
          <c:w val="0.17067307692307537"/>
          <c:h val="0.2784090909090913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69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ser>
          <c:idx val="1"/>
          <c:order val="0"/>
          <c:tx>
            <c:strRef>
              <c:f>'Wattage L2'!$A$17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L2'!$B$17:$K$17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71</c:v>
                </c:pt>
                <c:pt idx="3">
                  <c:v>56</c:v>
                </c:pt>
                <c:pt idx="4">
                  <c:v>36</c:v>
                </c:pt>
                <c:pt idx="5">
                  <c:v>23</c:v>
                </c:pt>
                <c:pt idx="6">
                  <c:v>35</c:v>
                </c:pt>
                <c:pt idx="7">
                  <c:v>47</c:v>
                </c:pt>
                <c:pt idx="8">
                  <c:v>16</c:v>
                </c:pt>
                <c:pt idx="9">
                  <c:v>25</c:v>
                </c:pt>
              </c:numCache>
            </c:numRef>
          </c:val>
        </c:ser>
        <c:ser>
          <c:idx val="2"/>
          <c:order val="1"/>
          <c:tx>
            <c:strRef>
              <c:f>'Wattage L2'!$A$25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L2'!$B$25:$K$25</c:f>
              <c:numCache>
                <c:formatCode>0.0000</c:formatCode>
                <c:ptCount val="10"/>
                <c:pt idx="0">
                  <c:v>75.748999999999995</c:v>
                </c:pt>
                <c:pt idx="1">
                  <c:v>75.748999999999995</c:v>
                </c:pt>
                <c:pt idx="2">
                  <c:v>75.748999999999995</c:v>
                </c:pt>
                <c:pt idx="3">
                  <c:v>75.748999999999995</c:v>
                </c:pt>
                <c:pt idx="4">
                  <c:v>75.748999999999995</c:v>
                </c:pt>
                <c:pt idx="5">
                  <c:v>75.748999999999995</c:v>
                </c:pt>
                <c:pt idx="6">
                  <c:v>75.748999999999995</c:v>
                </c:pt>
                <c:pt idx="7">
                  <c:v>75.748999999999995</c:v>
                </c:pt>
                <c:pt idx="8">
                  <c:v>75.748999999999995</c:v>
                </c:pt>
                <c:pt idx="9">
                  <c:v>75.748999999999995</c:v>
                </c:pt>
              </c:numCache>
            </c:numRef>
          </c:val>
        </c:ser>
        <c:ser>
          <c:idx val="3"/>
          <c:order val="2"/>
          <c:tx>
            <c:strRef>
              <c:f>'Wattage L2'!$A$26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L2'!$B$26:$K$26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3"/>
          <c:tx>
            <c:strRef>
              <c:f>'Wattage L2'!$A$28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L2'!$B$28:$K$28</c:f>
              <c:numCache>
                <c:formatCode>0.0000</c:formatCode>
                <c:ptCount val="10"/>
                <c:pt idx="0">
                  <c:v>35.9</c:v>
                </c:pt>
                <c:pt idx="1">
                  <c:v>35.9</c:v>
                </c:pt>
                <c:pt idx="2">
                  <c:v>35.9</c:v>
                </c:pt>
                <c:pt idx="3">
                  <c:v>35.9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  <c:pt idx="7">
                  <c:v>35.9</c:v>
                </c:pt>
                <c:pt idx="8">
                  <c:v>35.9</c:v>
                </c:pt>
                <c:pt idx="9">
                  <c:v>35.9</c:v>
                </c:pt>
              </c:numCache>
            </c:numRef>
          </c:val>
        </c:ser>
        <c:dLbls/>
        <c:marker val="1"/>
        <c:axId val="83556608"/>
        <c:axId val="86004096"/>
      </c:lineChart>
      <c:catAx>
        <c:axId val="8355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84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4096"/>
        <c:crosses val="autoZero"/>
        <c:auto val="1"/>
        <c:lblAlgn val="ctr"/>
        <c:lblOffset val="100"/>
        <c:tickLblSkip val="1"/>
        <c:tickMarkSkip val="1"/>
      </c:catAx>
      <c:valAx>
        <c:axId val="86004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7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56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ser>
          <c:idx val="1"/>
          <c:order val="0"/>
          <c:tx>
            <c:strRef>
              <c:f>'Element Resistance'!$A$18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Resistance'!$B$18:$K$18</c:f>
              <c:numCache>
                <c:formatCode>General</c:formatCode>
                <c:ptCount val="10"/>
                <c:pt idx="0">
                  <c:v>27.28</c:v>
                </c:pt>
                <c:pt idx="1">
                  <c:v>27.220000000000006</c:v>
                </c:pt>
                <c:pt idx="2">
                  <c:v>27.259999999999998</c:v>
                </c:pt>
                <c:pt idx="3">
                  <c:v>27.18</c:v>
                </c:pt>
                <c:pt idx="4">
                  <c:v>27.4</c:v>
                </c:pt>
                <c:pt idx="5">
                  <c:v>27.559999999999995</c:v>
                </c:pt>
                <c:pt idx="6">
                  <c:v>27.580000000000002</c:v>
                </c:pt>
                <c:pt idx="7">
                  <c:v>27.339999999999996</c:v>
                </c:pt>
                <c:pt idx="8">
                  <c:v>27.059999999999995</c:v>
                </c:pt>
                <c:pt idx="9">
                  <c:v>27.240000000000002</c:v>
                </c:pt>
              </c:numCache>
            </c:numRef>
          </c:val>
        </c:ser>
        <c:ser>
          <c:idx val="2"/>
          <c:order val="1"/>
          <c:tx>
            <c:strRef>
              <c:f>'Element Resistance'!$A$23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Resistance'!$B$23:$K$23</c:f>
              <c:numCache>
                <c:formatCode>General</c:formatCode>
                <c:ptCount val="10"/>
                <c:pt idx="0">
                  <c:v>27.7958</c:v>
                </c:pt>
                <c:pt idx="1">
                  <c:v>27.7958</c:v>
                </c:pt>
                <c:pt idx="2">
                  <c:v>27.7958</c:v>
                </c:pt>
                <c:pt idx="3">
                  <c:v>27.7958</c:v>
                </c:pt>
                <c:pt idx="4">
                  <c:v>27.7958</c:v>
                </c:pt>
                <c:pt idx="5">
                  <c:v>27.7958</c:v>
                </c:pt>
                <c:pt idx="6">
                  <c:v>27.7958</c:v>
                </c:pt>
                <c:pt idx="7">
                  <c:v>27.7958</c:v>
                </c:pt>
                <c:pt idx="8">
                  <c:v>27.7958</c:v>
                </c:pt>
                <c:pt idx="9" formatCode="0.0000">
                  <c:v>27.7958</c:v>
                </c:pt>
              </c:numCache>
            </c:numRef>
          </c:val>
        </c:ser>
        <c:ser>
          <c:idx val="3"/>
          <c:order val="2"/>
          <c:tx>
            <c:strRef>
              <c:f>'Element Resistance'!$A$24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Resistance'!$B$24:$K$24</c:f>
              <c:numCache>
                <c:formatCode>0.0000</c:formatCode>
                <c:ptCount val="10"/>
                <c:pt idx="0">
                  <c:v>26.828200000000002</c:v>
                </c:pt>
                <c:pt idx="1">
                  <c:v>26.828200000000002</c:v>
                </c:pt>
                <c:pt idx="2">
                  <c:v>26.828200000000002</c:v>
                </c:pt>
                <c:pt idx="3">
                  <c:v>26.828200000000002</c:v>
                </c:pt>
                <c:pt idx="4">
                  <c:v>26.828200000000002</c:v>
                </c:pt>
                <c:pt idx="5">
                  <c:v>26.828200000000002</c:v>
                </c:pt>
                <c:pt idx="6">
                  <c:v>26.828200000000002</c:v>
                </c:pt>
                <c:pt idx="7">
                  <c:v>26.828200000000002</c:v>
                </c:pt>
                <c:pt idx="8">
                  <c:v>26.828200000000002</c:v>
                </c:pt>
                <c:pt idx="9">
                  <c:v>26.828200000000002</c:v>
                </c:pt>
              </c:numCache>
            </c:numRef>
          </c:val>
        </c:ser>
        <c:ser>
          <c:idx val="4"/>
          <c:order val="3"/>
          <c:tx>
            <c:strRef>
              <c:f>'Element Resistance'!$A$27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Resistance'!$B$27:$K$27</c:f>
              <c:numCache>
                <c:formatCode>0.0000</c:formatCode>
                <c:ptCount val="10"/>
                <c:pt idx="0">
                  <c:v>27.312000000000001</c:v>
                </c:pt>
                <c:pt idx="1">
                  <c:v>27.312000000000001</c:v>
                </c:pt>
                <c:pt idx="2">
                  <c:v>27.312000000000001</c:v>
                </c:pt>
                <c:pt idx="3">
                  <c:v>27.312000000000001</c:v>
                </c:pt>
                <c:pt idx="4">
                  <c:v>27.312000000000001</c:v>
                </c:pt>
                <c:pt idx="5">
                  <c:v>27.312000000000001</c:v>
                </c:pt>
                <c:pt idx="6">
                  <c:v>27.312000000000001</c:v>
                </c:pt>
                <c:pt idx="7">
                  <c:v>27.312000000000001</c:v>
                </c:pt>
                <c:pt idx="8">
                  <c:v>27.312000000000001</c:v>
                </c:pt>
                <c:pt idx="9">
                  <c:v>27.312000000000001</c:v>
                </c:pt>
              </c:numCache>
            </c:numRef>
          </c:val>
        </c:ser>
        <c:dLbls/>
        <c:marker val="1"/>
        <c:axId val="77422592"/>
        <c:axId val="77424512"/>
      </c:lineChart>
      <c:catAx>
        <c:axId val="7742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424512"/>
        <c:crosses val="autoZero"/>
        <c:auto val="1"/>
        <c:lblAlgn val="ctr"/>
        <c:lblOffset val="100"/>
        <c:tickLblSkip val="1"/>
        <c:tickMarkSkip val="1"/>
      </c:catAx>
      <c:valAx>
        <c:axId val="77424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422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21"/>
          <c:y val="0.48863636363636381"/>
          <c:w val="0.17067307692307537"/>
          <c:h val="0.2784090909090913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69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ser>
          <c:idx val="1"/>
          <c:order val="0"/>
          <c:tx>
            <c:strRef>
              <c:f>'Element Resistance'!$A$17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Resistance'!$B$17:$K$17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0.80000000000000071</c:v>
                </c:pt>
                <c:pt idx="2">
                  <c:v>0.5</c:v>
                </c:pt>
                <c:pt idx="3">
                  <c:v>0.5</c:v>
                </c:pt>
                <c:pt idx="4">
                  <c:v>0.90000000000000213</c:v>
                </c:pt>
                <c:pt idx="5">
                  <c:v>0.79999999999999716</c:v>
                </c:pt>
                <c:pt idx="6">
                  <c:v>0.59999999999999787</c:v>
                </c:pt>
                <c:pt idx="7">
                  <c:v>0.90000000000000213</c:v>
                </c:pt>
                <c:pt idx="8">
                  <c:v>1.4000000000000021</c:v>
                </c:pt>
                <c:pt idx="9">
                  <c:v>1.4000000000000021</c:v>
                </c:pt>
              </c:numCache>
            </c:numRef>
          </c:val>
        </c:ser>
        <c:ser>
          <c:idx val="2"/>
          <c:order val="1"/>
          <c:tx>
            <c:strRef>
              <c:f>'Element Resistance'!$A$25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Resistance'!$B$25:$K$25</c:f>
              <c:numCache>
                <c:formatCode>0.0000</c:formatCode>
                <c:ptCount val="10"/>
                <c:pt idx="0">
                  <c:v>1.7302000000000004</c:v>
                </c:pt>
                <c:pt idx="1">
                  <c:v>1.7302000000000004</c:v>
                </c:pt>
                <c:pt idx="2">
                  <c:v>1.7302000000000004</c:v>
                </c:pt>
                <c:pt idx="3">
                  <c:v>1.7302000000000004</c:v>
                </c:pt>
                <c:pt idx="4">
                  <c:v>1.7302000000000004</c:v>
                </c:pt>
                <c:pt idx="5">
                  <c:v>1.7302000000000004</c:v>
                </c:pt>
                <c:pt idx="6">
                  <c:v>1.7302000000000004</c:v>
                </c:pt>
                <c:pt idx="7">
                  <c:v>1.7302000000000004</c:v>
                </c:pt>
                <c:pt idx="8">
                  <c:v>1.7302000000000004</c:v>
                </c:pt>
                <c:pt idx="9">
                  <c:v>1.7302000000000004</c:v>
                </c:pt>
              </c:numCache>
            </c:numRef>
          </c:val>
        </c:ser>
        <c:ser>
          <c:idx val="3"/>
          <c:order val="2"/>
          <c:tx>
            <c:strRef>
              <c:f>'Element Resistance'!$A$26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Resistance'!$B$26:$K$26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3"/>
          <c:tx>
            <c:strRef>
              <c:f>'Element Resistance'!$A$28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Resistance'!$B$28:$K$28</c:f>
              <c:numCache>
                <c:formatCode>0.0000</c:formatCode>
                <c:ptCount val="10"/>
                <c:pt idx="0">
                  <c:v>0.82000000000000028</c:v>
                </c:pt>
                <c:pt idx="1">
                  <c:v>0.82000000000000028</c:v>
                </c:pt>
                <c:pt idx="2">
                  <c:v>0.82000000000000028</c:v>
                </c:pt>
                <c:pt idx="3">
                  <c:v>0.82000000000000028</c:v>
                </c:pt>
                <c:pt idx="4">
                  <c:v>0.82000000000000028</c:v>
                </c:pt>
                <c:pt idx="5">
                  <c:v>0.82000000000000028</c:v>
                </c:pt>
                <c:pt idx="6">
                  <c:v>0.82000000000000028</c:v>
                </c:pt>
                <c:pt idx="7">
                  <c:v>0.82000000000000028</c:v>
                </c:pt>
                <c:pt idx="8">
                  <c:v>0.82000000000000028</c:v>
                </c:pt>
                <c:pt idx="9">
                  <c:v>0.82000000000000028</c:v>
                </c:pt>
              </c:numCache>
            </c:numRef>
          </c:val>
        </c:ser>
        <c:dLbls/>
        <c:marker val="1"/>
        <c:axId val="76760960"/>
        <c:axId val="76775424"/>
      </c:lineChart>
      <c:catAx>
        <c:axId val="7676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84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75424"/>
        <c:crosses val="autoZero"/>
        <c:auto val="1"/>
        <c:lblAlgn val="ctr"/>
        <c:lblOffset val="100"/>
        <c:tickLblSkip val="1"/>
        <c:tickMarkSkip val="1"/>
      </c:catAx>
      <c:valAx>
        <c:axId val="76775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7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609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097"/>
          <c:y val="3.4090909090909088E-2"/>
        </c:manualLayout>
      </c:layout>
      <c:spPr>
        <a:solidFill>
          <a:srgbClr val="FFFFFF"/>
        </a:solidFill>
        <a:ln w="25400">
          <a:noFill/>
        </a:ln>
      </c:spPr>
    </c:title>
    <c:view3D>
      <c:perspective val="30"/>
    </c:view3D>
    <c:side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07E-2"/>
          <c:w val="0.90889370932754876"/>
          <c:h val="0.77556925765889206"/>
        </c:manualLayout>
      </c:layout>
      <c:bar3DChart>
        <c:barDir val="col"/>
        <c:grouping val="clustered"/>
        <c:ser>
          <c:idx val="1"/>
          <c:order val="0"/>
          <c:tx>
            <c:strRef>
              <c:f>DFT!$Q$19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DFT!$O$20:$P$30</c:f>
              <c:multiLvlStrCache>
                <c:ptCount val="11"/>
                <c:lvl>
                  <c:pt idx="0">
                    <c:v>191.10</c:v>
                  </c:pt>
                  <c:pt idx="1">
                    <c:v>203.70</c:v>
                  </c:pt>
                  <c:pt idx="2">
                    <c:v>216.30</c:v>
                  </c:pt>
                  <c:pt idx="3">
                    <c:v>228.90</c:v>
                  </c:pt>
                  <c:pt idx="4">
                    <c:v>241.50</c:v>
                  </c:pt>
                  <c:pt idx="5">
                    <c:v>254.10</c:v>
                  </c:pt>
                  <c:pt idx="6">
                    <c:v>266.70</c:v>
                  </c:pt>
                  <c:pt idx="7">
                    <c:v>279.30</c:v>
                  </c:pt>
                  <c:pt idx="8">
                    <c:v>291.90</c:v>
                  </c:pt>
                  <c:pt idx="9">
                    <c:v>304.50</c:v>
                  </c:pt>
                  <c:pt idx="10">
                    <c:v>317.10</c:v>
                  </c:pt>
                </c:lvl>
                <c:lvl>
                  <c:pt idx="0">
                    <c:v>178.50</c:v>
                  </c:pt>
                  <c:pt idx="1">
                    <c:v>191.10</c:v>
                  </c:pt>
                  <c:pt idx="2">
                    <c:v>203.70</c:v>
                  </c:pt>
                  <c:pt idx="3">
                    <c:v>216.30</c:v>
                  </c:pt>
                  <c:pt idx="4">
                    <c:v>228.90</c:v>
                  </c:pt>
                  <c:pt idx="5">
                    <c:v>241.50</c:v>
                  </c:pt>
                  <c:pt idx="6">
                    <c:v>254.10</c:v>
                  </c:pt>
                  <c:pt idx="7">
                    <c:v>266.70</c:v>
                  </c:pt>
                  <c:pt idx="8">
                    <c:v>279.30</c:v>
                  </c:pt>
                  <c:pt idx="9">
                    <c:v>291.90</c:v>
                  </c:pt>
                  <c:pt idx="10">
                    <c:v>304.50</c:v>
                  </c:pt>
                </c:lvl>
              </c:multiLvlStrCache>
            </c:multiLvlStrRef>
          </c:cat>
          <c:val>
            <c:numRef>
              <c:f>DFT!$Q$20:$Q$30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12</c:v>
                </c:pt>
                <c:pt idx="6">
                  <c:v>0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/>
        <c:gapWidth val="0"/>
        <c:shape val="cylinder"/>
        <c:axId val="82195584"/>
        <c:axId val="82197504"/>
        <c:axId val="0"/>
      </c:bar3DChart>
      <c:catAx>
        <c:axId val="8219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2197504"/>
        <c:crosses val="autoZero"/>
        <c:auto val="1"/>
        <c:lblAlgn val="ctr"/>
        <c:lblOffset val="100"/>
        <c:tickLblSkip val="1"/>
        <c:tickMarkSkip val="1"/>
      </c:catAx>
      <c:valAx>
        <c:axId val="82197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219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ser>
          <c:idx val="1"/>
          <c:order val="0"/>
          <c:tx>
            <c:strRef>
              <c:f>DFT!$A$18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DFT!$B$18:$K$18</c:f>
              <c:numCache>
                <c:formatCode>General</c:formatCode>
                <c:ptCount val="10"/>
                <c:pt idx="0">
                  <c:v>254.6</c:v>
                </c:pt>
                <c:pt idx="1">
                  <c:v>252</c:v>
                </c:pt>
                <c:pt idx="2">
                  <c:v>267.2</c:v>
                </c:pt>
                <c:pt idx="3">
                  <c:v>255.4</c:v>
                </c:pt>
                <c:pt idx="4">
                  <c:v>254.8</c:v>
                </c:pt>
                <c:pt idx="5">
                  <c:v>270.60000000000002</c:v>
                </c:pt>
                <c:pt idx="6">
                  <c:v>267.60000000000002</c:v>
                </c:pt>
                <c:pt idx="7">
                  <c:v>267.8</c:v>
                </c:pt>
                <c:pt idx="8">
                  <c:v>269.39999999999998</c:v>
                </c:pt>
                <c:pt idx="9">
                  <c:v>249.8</c:v>
                </c:pt>
              </c:numCache>
            </c:numRef>
          </c:val>
        </c:ser>
        <c:ser>
          <c:idx val="2"/>
          <c:order val="1"/>
          <c:tx>
            <c:strRef>
              <c:f>DFT!$A$23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DFT!$B$23:$K$23</c:f>
              <c:numCache>
                <c:formatCode>General</c:formatCode>
                <c:ptCount val="10"/>
                <c:pt idx="0">
                  <c:v>276.31900000000002</c:v>
                </c:pt>
                <c:pt idx="1">
                  <c:v>276.31900000000002</c:v>
                </c:pt>
                <c:pt idx="2">
                  <c:v>276.31900000000002</c:v>
                </c:pt>
                <c:pt idx="3">
                  <c:v>276.31900000000002</c:v>
                </c:pt>
                <c:pt idx="4">
                  <c:v>276.31900000000002</c:v>
                </c:pt>
                <c:pt idx="5">
                  <c:v>276.31900000000002</c:v>
                </c:pt>
                <c:pt idx="6">
                  <c:v>276.31900000000002</c:v>
                </c:pt>
                <c:pt idx="7">
                  <c:v>276.31900000000002</c:v>
                </c:pt>
                <c:pt idx="8">
                  <c:v>276.31900000000002</c:v>
                </c:pt>
                <c:pt idx="9" formatCode="0.0000">
                  <c:v>276.31900000000002</c:v>
                </c:pt>
              </c:numCache>
            </c:numRef>
          </c:val>
        </c:ser>
        <c:ser>
          <c:idx val="3"/>
          <c:order val="2"/>
          <c:tx>
            <c:strRef>
              <c:f>DFT!$A$24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DFT!$B$24:$K$24</c:f>
              <c:numCache>
                <c:formatCode>0.0000</c:formatCode>
                <c:ptCount val="10"/>
                <c:pt idx="0">
                  <c:v>245.52100000000002</c:v>
                </c:pt>
                <c:pt idx="1">
                  <c:v>245.52100000000002</c:v>
                </c:pt>
                <c:pt idx="2">
                  <c:v>245.52100000000002</c:v>
                </c:pt>
                <c:pt idx="3">
                  <c:v>245.52100000000002</c:v>
                </c:pt>
                <c:pt idx="4">
                  <c:v>245.52100000000002</c:v>
                </c:pt>
                <c:pt idx="5">
                  <c:v>245.52100000000002</c:v>
                </c:pt>
                <c:pt idx="6">
                  <c:v>245.52100000000002</c:v>
                </c:pt>
                <c:pt idx="7">
                  <c:v>245.52100000000002</c:v>
                </c:pt>
                <c:pt idx="8">
                  <c:v>245.52100000000002</c:v>
                </c:pt>
                <c:pt idx="9">
                  <c:v>245.52100000000002</c:v>
                </c:pt>
              </c:numCache>
            </c:numRef>
          </c:val>
        </c:ser>
        <c:ser>
          <c:idx val="4"/>
          <c:order val="3"/>
          <c:tx>
            <c:strRef>
              <c:f>DFT!$A$27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DFT!$B$27:$K$27</c:f>
              <c:numCache>
                <c:formatCode>0.0000</c:formatCode>
                <c:ptCount val="10"/>
                <c:pt idx="0">
                  <c:v>260.92</c:v>
                </c:pt>
                <c:pt idx="1">
                  <c:v>260.92</c:v>
                </c:pt>
                <c:pt idx="2">
                  <c:v>260.92</c:v>
                </c:pt>
                <c:pt idx="3">
                  <c:v>260.92</c:v>
                </c:pt>
                <c:pt idx="4">
                  <c:v>260.92</c:v>
                </c:pt>
                <c:pt idx="5">
                  <c:v>260.92</c:v>
                </c:pt>
                <c:pt idx="6">
                  <c:v>260.92</c:v>
                </c:pt>
                <c:pt idx="7">
                  <c:v>260.92</c:v>
                </c:pt>
                <c:pt idx="8">
                  <c:v>260.92</c:v>
                </c:pt>
                <c:pt idx="9">
                  <c:v>260.92</c:v>
                </c:pt>
              </c:numCache>
            </c:numRef>
          </c:val>
        </c:ser>
        <c:dLbls/>
        <c:marker val="1"/>
        <c:axId val="82242176"/>
        <c:axId val="83366656"/>
      </c:lineChart>
      <c:catAx>
        <c:axId val="8224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66656"/>
        <c:crosses val="autoZero"/>
        <c:auto val="1"/>
        <c:lblAlgn val="ctr"/>
        <c:lblOffset val="100"/>
        <c:tickLblSkip val="1"/>
        <c:tickMarkSkip val="1"/>
      </c:catAx>
      <c:valAx>
        <c:axId val="83366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42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21"/>
          <c:y val="0.48863636363636381"/>
          <c:w val="0.17067307692307537"/>
          <c:h val="0.2784090909090913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69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ser>
          <c:idx val="1"/>
          <c:order val="0"/>
          <c:tx>
            <c:strRef>
              <c:f>DFT!$A$17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DFT!$B$17:$K$17</c:f>
              <c:numCache>
                <c:formatCode>General</c:formatCode>
                <c:ptCount val="10"/>
                <c:pt idx="0">
                  <c:v>31</c:v>
                </c:pt>
                <c:pt idx="1">
                  <c:v>35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38</c:v>
                </c:pt>
                <c:pt idx="6">
                  <c:v>25</c:v>
                </c:pt>
                <c:pt idx="7">
                  <c:v>38</c:v>
                </c:pt>
                <c:pt idx="8">
                  <c:v>43</c:v>
                </c:pt>
                <c:pt idx="9">
                  <c:v>23</c:v>
                </c:pt>
              </c:numCache>
            </c:numRef>
          </c:val>
        </c:ser>
        <c:ser>
          <c:idx val="2"/>
          <c:order val="1"/>
          <c:tx>
            <c:strRef>
              <c:f>DFT!$A$25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DFT!$B$25:$K$25</c:f>
              <c:numCache>
                <c:formatCode>0.0000</c:formatCode>
                <c:ptCount val="10"/>
                <c:pt idx="0">
                  <c:v>55.070999999999998</c:v>
                </c:pt>
                <c:pt idx="1">
                  <c:v>55.070999999999998</c:v>
                </c:pt>
                <c:pt idx="2">
                  <c:v>55.070999999999998</c:v>
                </c:pt>
                <c:pt idx="3">
                  <c:v>55.070999999999998</c:v>
                </c:pt>
                <c:pt idx="4">
                  <c:v>55.070999999999998</c:v>
                </c:pt>
                <c:pt idx="5">
                  <c:v>55.070999999999998</c:v>
                </c:pt>
                <c:pt idx="6">
                  <c:v>55.070999999999998</c:v>
                </c:pt>
                <c:pt idx="7">
                  <c:v>55.070999999999998</c:v>
                </c:pt>
                <c:pt idx="8">
                  <c:v>55.070999999999998</c:v>
                </c:pt>
                <c:pt idx="9">
                  <c:v>55.070999999999998</c:v>
                </c:pt>
              </c:numCache>
            </c:numRef>
          </c:val>
        </c:ser>
        <c:ser>
          <c:idx val="3"/>
          <c:order val="2"/>
          <c:tx>
            <c:strRef>
              <c:f>DFT!$A$26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DFT!$B$26:$K$26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3"/>
          <c:tx>
            <c:strRef>
              <c:f>DFT!$A$28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DFT!$B$28:$K$28</c:f>
              <c:numCache>
                <c:formatCode>0.0000</c:formatCode>
                <c:ptCount val="10"/>
                <c:pt idx="0">
                  <c:v>26.1</c:v>
                </c:pt>
                <c:pt idx="1">
                  <c:v>26.1</c:v>
                </c:pt>
                <c:pt idx="2">
                  <c:v>26.1</c:v>
                </c:pt>
                <c:pt idx="3">
                  <c:v>26.1</c:v>
                </c:pt>
                <c:pt idx="4">
                  <c:v>26.1</c:v>
                </c:pt>
                <c:pt idx="5">
                  <c:v>26.1</c:v>
                </c:pt>
                <c:pt idx="6">
                  <c:v>26.1</c:v>
                </c:pt>
                <c:pt idx="7">
                  <c:v>26.1</c:v>
                </c:pt>
                <c:pt idx="8">
                  <c:v>26.1</c:v>
                </c:pt>
                <c:pt idx="9">
                  <c:v>26.1</c:v>
                </c:pt>
              </c:numCache>
            </c:numRef>
          </c:val>
        </c:ser>
        <c:dLbls/>
        <c:marker val="1"/>
        <c:axId val="83432192"/>
        <c:axId val="83434112"/>
      </c:lineChart>
      <c:catAx>
        <c:axId val="8343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84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34112"/>
        <c:crosses val="autoZero"/>
        <c:auto val="1"/>
        <c:lblAlgn val="ctr"/>
        <c:lblOffset val="100"/>
        <c:tickLblSkip val="1"/>
        <c:tickMarkSkip val="1"/>
      </c:catAx>
      <c:valAx>
        <c:axId val="83434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7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321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097"/>
          <c:y val="3.4090909090909088E-2"/>
        </c:manualLayout>
      </c:layout>
      <c:spPr>
        <a:solidFill>
          <a:srgbClr val="FFFFFF"/>
        </a:solidFill>
        <a:ln w="25400">
          <a:noFill/>
        </a:ln>
      </c:spPr>
    </c:title>
    <c:view3D>
      <c:perspective val="30"/>
    </c:view3D>
    <c:side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07E-2"/>
          <c:w val="0.90889370932754876"/>
          <c:h val="0.77556925765889206"/>
        </c:manualLayout>
      </c:layout>
      <c:bar3DChart>
        <c:barDir val="col"/>
        <c:grouping val="clustered"/>
        <c:ser>
          <c:idx val="1"/>
          <c:order val="0"/>
          <c:tx>
            <c:strRef>
              <c:f>'Wattage L1'!$Q$19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'Wattage L1'!$O$20:$P$30</c:f>
              <c:multiLvlStrCache>
                <c:ptCount val="11"/>
                <c:lvl>
                  <c:pt idx="0">
                    <c:v>1888.90</c:v>
                  </c:pt>
                  <c:pt idx="1">
                    <c:v>1900.90</c:v>
                  </c:pt>
                  <c:pt idx="2">
                    <c:v>1912.90</c:v>
                  </c:pt>
                  <c:pt idx="3">
                    <c:v>1924.90</c:v>
                  </c:pt>
                  <c:pt idx="4">
                    <c:v>1936.90</c:v>
                  </c:pt>
                  <c:pt idx="5">
                    <c:v>1948.90</c:v>
                  </c:pt>
                  <c:pt idx="6">
                    <c:v>1960.90</c:v>
                  </c:pt>
                  <c:pt idx="7">
                    <c:v>1972.90</c:v>
                  </c:pt>
                  <c:pt idx="8">
                    <c:v>1984.90</c:v>
                  </c:pt>
                  <c:pt idx="9">
                    <c:v>1996.90</c:v>
                  </c:pt>
                  <c:pt idx="10">
                    <c:v>2008.90</c:v>
                  </c:pt>
                </c:lvl>
                <c:lvl>
                  <c:pt idx="0">
                    <c:v>1876.90</c:v>
                  </c:pt>
                  <c:pt idx="1">
                    <c:v>1888.90</c:v>
                  </c:pt>
                  <c:pt idx="2">
                    <c:v>1900.90</c:v>
                  </c:pt>
                  <c:pt idx="3">
                    <c:v>1912.90</c:v>
                  </c:pt>
                  <c:pt idx="4">
                    <c:v>1924.90</c:v>
                  </c:pt>
                  <c:pt idx="5">
                    <c:v>1936.90</c:v>
                  </c:pt>
                  <c:pt idx="6">
                    <c:v>1948.90</c:v>
                  </c:pt>
                  <c:pt idx="7">
                    <c:v>1960.90</c:v>
                  </c:pt>
                  <c:pt idx="8">
                    <c:v>1972.90</c:v>
                  </c:pt>
                  <c:pt idx="9">
                    <c:v>1984.90</c:v>
                  </c:pt>
                  <c:pt idx="10">
                    <c:v>1996.90</c:v>
                  </c:pt>
                </c:lvl>
              </c:multiLvlStrCache>
            </c:multiLvlStrRef>
          </c:cat>
          <c:val>
            <c:numRef>
              <c:f>'Wattage L1'!$Q$20:$Q$30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18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/>
        <c:gapWidth val="0"/>
        <c:shape val="cylinder"/>
        <c:axId val="83599360"/>
        <c:axId val="83601280"/>
        <c:axId val="0"/>
      </c:bar3DChart>
      <c:catAx>
        <c:axId val="8359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3601280"/>
        <c:crosses val="autoZero"/>
        <c:auto val="1"/>
        <c:lblAlgn val="ctr"/>
        <c:lblOffset val="100"/>
        <c:tickLblSkip val="1"/>
        <c:tickMarkSkip val="1"/>
      </c:catAx>
      <c:valAx>
        <c:axId val="83601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3599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ser>
          <c:idx val="1"/>
          <c:order val="0"/>
          <c:tx>
            <c:strRef>
              <c:f>'Wattage L1'!$A$18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L1'!$B$18:$K$18</c:f>
              <c:numCache>
                <c:formatCode>General</c:formatCode>
                <c:ptCount val="10"/>
                <c:pt idx="0">
                  <c:v>1938.6</c:v>
                </c:pt>
                <c:pt idx="1">
                  <c:v>1942.6</c:v>
                </c:pt>
                <c:pt idx="2">
                  <c:v>1949.6</c:v>
                </c:pt>
                <c:pt idx="3">
                  <c:v>1952</c:v>
                </c:pt>
                <c:pt idx="4">
                  <c:v>1940.4</c:v>
                </c:pt>
                <c:pt idx="5">
                  <c:v>1941.4</c:v>
                </c:pt>
                <c:pt idx="6">
                  <c:v>1948.2</c:v>
                </c:pt>
                <c:pt idx="7">
                  <c:v>1944</c:v>
                </c:pt>
                <c:pt idx="8">
                  <c:v>1946</c:v>
                </c:pt>
                <c:pt idx="9">
                  <c:v>1940.4</c:v>
                </c:pt>
              </c:numCache>
            </c:numRef>
          </c:val>
        </c:ser>
        <c:ser>
          <c:idx val="2"/>
          <c:order val="1"/>
          <c:tx>
            <c:strRef>
              <c:f>'Wattage L1'!$A$23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L1'!$B$23:$K$23</c:f>
              <c:numCache>
                <c:formatCode>General</c:formatCode>
                <c:ptCount val="10"/>
                <c:pt idx="0">
                  <c:v>1965.383</c:v>
                </c:pt>
                <c:pt idx="1">
                  <c:v>1965.383</c:v>
                </c:pt>
                <c:pt idx="2">
                  <c:v>1965.383</c:v>
                </c:pt>
                <c:pt idx="3">
                  <c:v>1965.383</c:v>
                </c:pt>
                <c:pt idx="4">
                  <c:v>1965.383</c:v>
                </c:pt>
                <c:pt idx="5">
                  <c:v>1965.383</c:v>
                </c:pt>
                <c:pt idx="6">
                  <c:v>1965.383</c:v>
                </c:pt>
                <c:pt idx="7">
                  <c:v>1965.383</c:v>
                </c:pt>
                <c:pt idx="8">
                  <c:v>1965.383</c:v>
                </c:pt>
                <c:pt idx="9" formatCode="0.0000">
                  <c:v>1965.383</c:v>
                </c:pt>
              </c:numCache>
            </c:numRef>
          </c:val>
        </c:ser>
        <c:ser>
          <c:idx val="3"/>
          <c:order val="2"/>
          <c:tx>
            <c:strRef>
              <c:f>'Wattage L1'!$A$24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L1'!$B$24:$K$24</c:f>
              <c:numCache>
                <c:formatCode>0.0000</c:formatCode>
                <c:ptCount val="10"/>
                <c:pt idx="0">
                  <c:v>1923.2569999999998</c:v>
                </c:pt>
                <c:pt idx="1">
                  <c:v>1923.2569999999998</c:v>
                </c:pt>
                <c:pt idx="2">
                  <c:v>1923.2569999999998</c:v>
                </c:pt>
                <c:pt idx="3">
                  <c:v>1923.2569999999998</c:v>
                </c:pt>
                <c:pt idx="4">
                  <c:v>1923.2569999999998</c:v>
                </c:pt>
                <c:pt idx="5">
                  <c:v>1923.2569999999998</c:v>
                </c:pt>
                <c:pt idx="6">
                  <c:v>1923.2569999999998</c:v>
                </c:pt>
                <c:pt idx="7">
                  <c:v>1923.2569999999998</c:v>
                </c:pt>
                <c:pt idx="8">
                  <c:v>1923.2569999999998</c:v>
                </c:pt>
                <c:pt idx="9">
                  <c:v>1923.2569999999998</c:v>
                </c:pt>
              </c:numCache>
            </c:numRef>
          </c:val>
        </c:ser>
        <c:ser>
          <c:idx val="4"/>
          <c:order val="3"/>
          <c:tx>
            <c:strRef>
              <c:f>'Wattage L1'!$A$27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L1'!$B$27:$K$27</c:f>
              <c:numCache>
                <c:formatCode>0.0000</c:formatCode>
                <c:ptCount val="10"/>
                <c:pt idx="0">
                  <c:v>1944.32</c:v>
                </c:pt>
                <c:pt idx="1">
                  <c:v>1944.32</c:v>
                </c:pt>
                <c:pt idx="2">
                  <c:v>1944.32</c:v>
                </c:pt>
                <c:pt idx="3">
                  <c:v>1944.32</c:v>
                </c:pt>
                <c:pt idx="4">
                  <c:v>1944.32</c:v>
                </c:pt>
                <c:pt idx="5">
                  <c:v>1944.32</c:v>
                </c:pt>
                <c:pt idx="6">
                  <c:v>1944.32</c:v>
                </c:pt>
                <c:pt idx="7">
                  <c:v>1944.32</c:v>
                </c:pt>
                <c:pt idx="8">
                  <c:v>1944.32</c:v>
                </c:pt>
                <c:pt idx="9">
                  <c:v>1944.32</c:v>
                </c:pt>
              </c:numCache>
            </c:numRef>
          </c:val>
        </c:ser>
        <c:dLbls/>
        <c:marker val="1"/>
        <c:axId val="83641856"/>
        <c:axId val="83643776"/>
      </c:lineChart>
      <c:catAx>
        <c:axId val="8364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43776"/>
        <c:crosses val="autoZero"/>
        <c:auto val="1"/>
        <c:lblAlgn val="ctr"/>
        <c:lblOffset val="100"/>
        <c:tickLblSkip val="1"/>
        <c:tickMarkSkip val="1"/>
      </c:catAx>
      <c:valAx>
        <c:axId val="83643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418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21"/>
          <c:y val="0.48863636363636381"/>
          <c:w val="0.17067307692307537"/>
          <c:h val="0.2784090909090913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69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ser>
          <c:idx val="1"/>
          <c:order val="0"/>
          <c:tx>
            <c:strRef>
              <c:f>'Wattage L1'!$A$17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L1'!$B$17:$K$17</c:f>
              <c:numCache>
                <c:formatCode>General</c:formatCode>
                <c:ptCount val="10"/>
                <c:pt idx="0">
                  <c:v>20</c:v>
                </c:pt>
                <c:pt idx="1">
                  <c:v>43</c:v>
                </c:pt>
                <c:pt idx="2">
                  <c:v>47</c:v>
                </c:pt>
                <c:pt idx="3">
                  <c:v>59</c:v>
                </c:pt>
                <c:pt idx="4">
                  <c:v>13</c:v>
                </c:pt>
                <c:pt idx="5">
                  <c:v>29</c:v>
                </c:pt>
                <c:pt idx="6">
                  <c:v>22</c:v>
                </c:pt>
                <c:pt idx="7">
                  <c:v>44</c:v>
                </c:pt>
                <c:pt idx="8">
                  <c:v>57</c:v>
                </c:pt>
                <c:pt idx="9">
                  <c:v>23</c:v>
                </c:pt>
              </c:numCache>
            </c:numRef>
          </c:val>
        </c:ser>
        <c:ser>
          <c:idx val="2"/>
          <c:order val="1"/>
          <c:tx>
            <c:strRef>
              <c:f>'Wattage L1'!$A$25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L1'!$B$25:$K$25</c:f>
              <c:numCache>
                <c:formatCode>0.0000</c:formatCode>
                <c:ptCount val="10"/>
                <c:pt idx="0">
                  <c:v>75.326999999999998</c:v>
                </c:pt>
                <c:pt idx="1">
                  <c:v>75.326999999999998</c:v>
                </c:pt>
                <c:pt idx="2">
                  <c:v>75.326999999999998</c:v>
                </c:pt>
                <c:pt idx="3">
                  <c:v>75.326999999999998</c:v>
                </c:pt>
                <c:pt idx="4">
                  <c:v>75.326999999999998</c:v>
                </c:pt>
                <c:pt idx="5">
                  <c:v>75.326999999999998</c:v>
                </c:pt>
                <c:pt idx="6">
                  <c:v>75.326999999999998</c:v>
                </c:pt>
                <c:pt idx="7">
                  <c:v>75.326999999999998</c:v>
                </c:pt>
                <c:pt idx="8">
                  <c:v>75.326999999999998</c:v>
                </c:pt>
                <c:pt idx="9">
                  <c:v>75.326999999999998</c:v>
                </c:pt>
              </c:numCache>
            </c:numRef>
          </c:val>
        </c:ser>
        <c:ser>
          <c:idx val="3"/>
          <c:order val="2"/>
          <c:tx>
            <c:strRef>
              <c:f>'Wattage L1'!$A$26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L1'!$B$26:$K$26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3"/>
          <c:tx>
            <c:strRef>
              <c:f>'Wattage L1'!$A$28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L1'!$B$28:$K$28</c:f>
              <c:numCache>
                <c:formatCode>0.0000</c:formatCode>
                <c:ptCount val="10"/>
                <c:pt idx="0">
                  <c:v>35.700000000000003</c:v>
                </c:pt>
                <c:pt idx="1">
                  <c:v>35.700000000000003</c:v>
                </c:pt>
                <c:pt idx="2">
                  <c:v>35.700000000000003</c:v>
                </c:pt>
                <c:pt idx="3">
                  <c:v>35.700000000000003</c:v>
                </c:pt>
                <c:pt idx="4">
                  <c:v>35.700000000000003</c:v>
                </c:pt>
                <c:pt idx="5">
                  <c:v>35.700000000000003</c:v>
                </c:pt>
                <c:pt idx="6">
                  <c:v>35.700000000000003</c:v>
                </c:pt>
                <c:pt idx="7">
                  <c:v>35.700000000000003</c:v>
                </c:pt>
                <c:pt idx="8">
                  <c:v>35.700000000000003</c:v>
                </c:pt>
                <c:pt idx="9">
                  <c:v>35.700000000000003</c:v>
                </c:pt>
              </c:numCache>
            </c:numRef>
          </c:val>
        </c:ser>
        <c:dLbls/>
        <c:marker val="1"/>
        <c:axId val="83709312"/>
        <c:axId val="83731968"/>
      </c:lineChart>
      <c:catAx>
        <c:axId val="8370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84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31968"/>
        <c:crosses val="autoZero"/>
        <c:auto val="1"/>
        <c:lblAlgn val="ctr"/>
        <c:lblOffset val="100"/>
        <c:tickLblSkip val="1"/>
        <c:tickMarkSkip val="1"/>
      </c:catAx>
      <c:valAx>
        <c:axId val="83731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7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093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29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29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29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29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jender/Mr%20Bijender/SPC%20M%20&amp;%20M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Hand%20mould/PLASTIC%20COV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Bobbin%20JCB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XXX"/>
      <sheetName val="SHEET 1"/>
      <sheetName val="SHEET 1 (2)"/>
      <sheetName val="SHEET 1 (3)"/>
    </sheetNames>
    <sheetDataSet>
      <sheetData sheetId="0"/>
      <sheetData sheetId="1">
        <row r="21">
          <cell r="P21">
            <v>8.0009999999999994</v>
          </cell>
        </row>
        <row r="22">
          <cell r="P22">
            <v>8.0050000000000008</v>
          </cell>
        </row>
        <row r="23">
          <cell r="P23">
            <v>8.0090000000000003</v>
          </cell>
        </row>
        <row r="24">
          <cell r="P24">
            <v>8.0129999999999999</v>
          </cell>
        </row>
        <row r="25">
          <cell r="P25">
            <v>8.0169999999999995</v>
          </cell>
        </row>
        <row r="26">
          <cell r="P26">
            <v>8.0210000000000008</v>
          </cell>
        </row>
        <row r="27">
          <cell r="P27">
            <v>8.0250000000000004</v>
          </cell>
        </row>
        <row r="28">
          <cell r="P28">
            <v>8.0289999999999999</v>
          </cell>
        </row>
        <row r="29">
          <cell r="P29">
            <v>8.0329999999999995</v>
          </cell>
        </row>
        <row r="30">
          <cell r="P30">
            <v>8.0370000000000008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PFD1"/>
      <sheetName val="PFMEA "/>
      <sheetName val="CONTROL PLAN"/>
      <sheetName val="CA"/>
      <sheetName val="Packing 1"/>
      <sheetName val="SP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BOBBIN 727300100 pfd"/>
      <sheetName val="PFMEA bobbin"/>
      <sheetName val="CONTROL PLAN"/>
      <sheetName val="CA"/>
      <sheetName val="Packing 1"/>
      <sheetName val="PCS"/>
      <sheetName val="SPC "/>
      <sheetName val="GRR-Att"/>
      <sheetName val="QLI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40"/>
  <sheetViews>
    <sheetView showGridLines="0" tabSelected="1" zoomScale="115" zoomScaleNormal="115" zoomScaleSheetLayoutView="100" workbookViewId="0">
      <selection activeCell="P10" sqref="P10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7" width="7.140625" style="1" bestFit="1" customWidth="1"/>
    <col min="18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65.25" customHeight="1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50"/>
    </row>
    <row r="2" spans="1:32" s="2" customFormat="1" ht="35.1" customHeight="1">
      <c r="A2" s="151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spans="1:32" s="4" customFormat="1" ht="15" customHeight="1">
      <c r="A3" s="154" t="s">
        <v>2</v>
      </c>
      <c r="B3" s="155"/>
      <c r="C3" s="156" t="s">
        <v>84</v>
      </c>
      <c r="D3" s="157"/>
      <c r="E3" s="158"/>
      <c r="F3" s="159" t="s">
        <v>3</v>
      </c>
      <c r="G3" s="160"/>
      <c r="H3" s="156" t="s">
        <v>85</v>
      </c>
      <c r="I3" s="157"/>
      <c r="J3" s="158"/>
      <c r="K3" s="161" t="s">
        <v>5</v>
      </c>
      <c r="L3" s="162"/>
      <c r="M3" s="66" t="s">
        <v>86</v>
      </c>
      <c r="N3" s="163"/>
      <c r="O3" s="165"/>
      <c r="P3" s="166"/>
      <c r="Q3" s="166"/>
      <c r="R3" s="167"/>
    </row>
    <row r="4" spans="1:32" s="4" customFormat="1" ht="15" customHeight="1">
      <c r="A4" s="90" t="s">
        <v>7</v>
      </c>
      <c r="B4" s="138"/>
      <c r="C4" s="144" t="s">
        <v>8</v>
      </c>
      <c r="D4" s="145"/>
      <c r="E4" s="146"/>
      <c r="F4" s="142" t="s">
        <v>9</v>
      </c>
      <c r="G4" s="143"/>
      <c r="H4" s="144" t="s">
        <v>88</v>
      </c>
      <c r="I4" s="145"/>
      <c r="J4" s="146"/>
      <c r="K4" s="171" t="s">
        <v>11</v>
      </c>
      <c r="L4" s="172"/>
      <c r="M4" s="67" t="s">
        <v>87</v>
      </c>
      <c r="N4" s="164"/>
      <c r="O4" s="168"/>
      <c r="P4" s="169"/>
      <c r="Q4" s="169"/>
      <c r="R4" s="170"/>
    </row>
    <row r="5" spans="1:32" s="4" customFormat="1" ht="15" customHeight="1">
      <c r="A5" s="90" t="s">
        <v>13</v>
      </c>
      <c r="B5" s="138"/>
      <c r="C5" s="139" t="s">
        <v>14</v>
      </c>
      <c r="D5" s="140"/>
      <c r="E5" s="141"/>
      <c r="F5" s="142" t="s">
        <v>15</v>
      </c>
      <c r="G5" s="143"/>
      <c r="H5" s="144" t="s">
        <v>16</v>
      </c>
      <c r="I5" s="145"/>
      <c r="J5" s="146"/>
      <c r="K5" s="142" t="s">
        <v>17</v>
      </c>
      <c r="L5" s="147"/>
      <c r="M5" s="67">
        <v>1</v>
      </c>
      <c r="N5" s="6"/>
      <c r="O5" s="105"/>
      <c r="P5" s="106"/>
      <c r="Q5" s="6" t="s">
        <v>18</v>
      </c>
      <c r="R5" s="7" t="s">
        <v>96</v>
      </c>
    </row>
    <row r="6" spans="1:32" s="4" customFormat="1" ht="15" customHeight="1">
      <c r="A6" s="107" t="s">
        <v>19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9"/>
      <c r="M6" s="110" t="s">
        <v>20</v>
      </c>
      <c r="N6" s="111"/>
      <c r="O6" s="111"/>
      <c r="P6" s="111"/>
      <c r="Q6" s="83"/>
      <c r="R6" s="8" t="s">
        <v>21</v>
      </c>
    </row>
    <row r="7" spans="1:32" s="4" customFormat="1" ht="15" customHeight="1">
      <c r="A7" s="9" t="s">
        <v>22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112" t="s">
        <v>82</v>
      </c>
      <c r="M7" s="115">
        <v>29.4</v>
      </c>
      <c r="N7" s="116"/>
      <c r="O7" s="10" t="s">
        <v>23</v>
      </c>
      <c r="P7" s="11" t="s">
        <v>24</v>
      </c>
      <c r="Q7" s="11" t="s">
        <v>25</v>
      </c>
      <c r="R7" s="11" t="s">
        <v>26</v>
      </c>
    </row>
    <row r="8" spans="1:32" s="4" customFormat="1" ht="15" customHeight="1">
      <c r="A8" s="9">
        <v>1</v>
      </c>
      <c r="B8" s="65">
        <v>27.2</v>
      </c>
      <c r="C8" s="65">
        <v>27.3</v>
      </c>
      <c r="D8" s="65">
        <v>27.1</v>
      </c>
      <c r="E8" s="65">
        <v>26.9</v>
      </c>
      <c r="F8" s="65">
        <v>27.8</v>
      </c>
      <c r="G8" s="65">
        <v>27.8</v>
      </c>
      <c r="H8" s="65">
        <v>27.5</v>
      </c>
      <c r="I8" s="65">
        <v>27.2</v>
      </c>
      <c r="J8" s="65">
        <v>26.4</v>
      </c>
      <c r="K8" s="65">
        <v>27.8</v>
      </c>
      <c r="L8" s="113"/>
      <c r="M8" s="117"/>
      <c r="N8" s="118"/>
      <c r="O8" s="13" t="s">
        <v>27</v>
      </c>
      <c r="P8" s="6">
        <v>1.123</v>
      </c>
      <c r="Q8" s="13" t="s">
        <v>28</v>
      </c>
      <c r="R8" s="13" t="s">
        <v>29</v>
      </c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s="4" customFormat="1" ht="15" customHeight="1">
      <c r="A9" s="9">
        <v>2</v>
      </c>
      <c r="B9" s="65">
        <v>27.5</v>
      </c>
      <c r="C9" s="65">
        <v>27.6</v>
      </c>
      <c r="D9" s="65">
        <v>27.3</v>
      </c>
      <c r="E9" s="65">
        <v>27.3</v>
      </c>
      <c r="F9" s="65">
        <v>27.4</v>
      </c>
      <c r="G9" s="65">
        <v>27.9</v>
      </c>
      <c r="H9" s="65">
        <v>27.4</v>
      </c>
      <c r="I9" s="65">
        <v>27.3</v>
      </c>
      <c r="J9" s="65">
        <v>26.9</v>
      </c>
      <c r="K9" s="65">
        <v>27.1</v>
      </c>
      <c r="L9" s="114"/>
      <c r="M9" s="119"/>
      <c r="N9" s="120"/>
      <c r="O9" s="13" t="s">
        <v>30</v>
      </c>
      <c r="P9" s="6">
        <v>1.1279999999999999</v>
      </c>
      <c r="Q9" s="13" t="s">
        <v>31</v>
      </c>
      <c r="R9" s="13" t="s">
        <v>29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16">
        <v>3</v>
      </c>
      <c r="B10" s="65">
        <v>27.1</v>
      </c>
      <c r="C10" s="65">
        <v>27.5</v>
      </c>
      <c r="D10" s="65">
        <v>27.6</v>
      </c>
      <c r="E10" s="65">
        <v>27.1</v>
      </c>
      <c r="F10" s="65">
        <v>27.4</v>
      </c>
      <c r="G10" s="65">
        <v>27.4</v>
      </c>
      <c r="H10" s="65">
        <v>27.9</v>
      </c>
      <c r="I10" s="65">
        <v>27.8</v>
      </c>
      <c r="J10" s="65">
        <v>26.8</v>
      </c>
      <c r="K10" s="65">
        <v>27.4</v>
      </c>
      <c r="L10" s="112" t="s">
        <v>83</v>
      </c>
      <c r="M10" s="115">
        <v>25.2</v>
      </c>
      <c r="N10" s="116"/>
      <c r="O10" s="17" t="s">
        <v>32</v>
      </c>
      <c r="P10" s="18">
        <v>1.6930000000000001</v>
      </c>
      <c r="Q10" s="13" t="s">
        <v>33</v>
      </c>
      <c r="R10" s="13" t="s">
        <v>34</v>
      </c>
      <c r="T10" s="15" t="s">
        <v>35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19">
        <v>4</v>
      </c>
      <c r="B11" s="65">
        <v>27.3</v>
      </c>
      <c r="C11" s="65">
        <v>26.9</v>
      </c>
      <c r="D11" s="65">
        <v>27.1</v>
      </c>
      <c r="E11" s="65">
        <v>27.4</v>
      </c>
      <c r="F11" s="65">
        <v>27.5</v>
      </c>
      <c r="G11" s="65">
        <v>27.6</v>
      </c>
      <c r="H11" s="65">
        <v>27.8</v>
      </c>
      <c r="I11" s="65">
        <v>26.9</v>
      </c>
      <c r="J11" s="65">
        <v>27.8</v>
      </c>
      <c r="K11" s="65">
        <v>26.4</v>
      </c>
      <c r="L11" s="121"/>
      <c r="M11" s="117"/>
      <c r="N11" s="118"/>
      <c r="O11" s="13" t="s">
        <v>36</v>
      </c>
      <c r="P11" s="6">
        <v>2.0590000000000002</v>
      </c>
      <c r="Q11" s="13" t="s">
        <v>37</v>
      </c>
      <c r="R11" s="13" t="s">
        <v>38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5"/>
      <c r="AE11" s="15"/>
      <c r="AF11" s="15"/>
    </row>
    <row r="12" spans="1:32" s="4" customFormat="1" ht="15" customHeight="1">
      <c r="A12" s="21">
        <v>5</v>
      </c>
      <c r="B12" s="65">
        <v>27.3</v>
      </c>
      <c r="C12" s="65">
        <v>26.8</v>
      </c>
      <c r="D12" s="65">
        <v>27.2</v>
      </c>
      <c r="E12" s="65">
        <v>27.2</v>
      </c>
      <c r="F12" s="65">
        <v>26.9</v>
      </c>
      <c r="G12" s="65">
        <v>27.1</v>
      </c>
      <c r="H12" s="65">
        <v>27.3</v>
      </c>
      <c r="I12" s="65">
        <v>27.5</v>
      </c>
      <c r="J12" s="65">
        <v>27.4</v>
      </c>
      <c r="K12" s="65">
        <v>27.5</v>
      </c>
      <c r="L12" s="122"/>
      <c r="M12" s="119"/>
      <c r="N12" s="120"/>
      <c r="O12" s="22" t="s">
        <v>39</v>
      </c>
      <c r="P12" s="23">
        <v>2.3260000000000001</v>
      </c>
      <c r="Q12" s="13" t="s">
        <v>40</v>
      </c>
      <c r="R12" s="13" t="s">
        <v>41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107">
        <v>11.99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4"/>
      <c r="S13" s="15"/>
      <c r="T13" s="15"/>
      <c r="U13" s="15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s="4" customFormat="1" ht="15" customHeight="1">
      <c r="A14" s="125" t="s">
        <v>42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7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24" t="s">
        <v>43</v>
      </c>
      <c r="B15" s="25">
        <f t="shared" ref="B15:K15" si="0">MAX(B8:B12)</f>
        <v>27.5</v>
      </c>
      <c r="C15" s="25">
        <f t="shared" si="0"/>
        <v>27.6</v>
      </c>
      <c r="D15" s="25">
        <f t="shared" si="0"/>
        <v>27.6</v>
      </c>
      <c r="E15" s="25">
        <f t="shared" si="0"/>
        <v>27.4</v>
      </c>
      <c r="F15" s="25">
        <f t="shared" si="0"/>
        <v>27.8</v>
      </c>
      <c r="G15" s="25">
        <f t="shared" si="0"/>
        <v>27.9</v>
      </c>
      <c r="H15" s="25">
        <f t="shared" si="0"/>
        <v>27.9</v>
      </c>
      <c r="I15" s="25">
        <f>MAX(I8:I12)</f>
        <v>27.8</v>
      </c>
      <c r="J15" s="25">
        <f t="shared" si="0"/>
        <v>27.8</v>
      </c>
      <c r="K15" s="26">
        <f t="shared" si="0"/>
        <v>27.8</v>
      </c>
      <c r="L15" s="6" t="s">
        <v>44</v>
      </c>
      <c r="M15" s="27">
        <f>(MAX(B15:K15))</f>
        <v>27.9</v>
      </c>
      <c r="N15" s="128" t="s">
        <v>45</v>
      </c>
      <c r="O15" s="129"/>
      <c r="P15" s="130"/>
      <c r="Q15" s="134">
        <f>SUM(Q17:R18)</f>
        <v>0</v>
      </c>
      <c r="R15" s="136" t="s">
        <v>46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5"/>
      <c r="AE15" s="15"/>
      <c r="AF15" s="15"/>
    </row>
    <row r="16" spans="1:32" s="4" customFormat="1" ht="15" customHeight="1">
      <c r="A16" s="28" t="s">
        <v>47</v>
      </c>
      <c r="B16" s="26">
        <f t="shared" ref="B16:J16" si="1">MIN(B8:B12)</f>
        <v>27.1</v>
      </c>
      <c r="C16" s="25">
        <f>MIN(C8:C12)</f>
        <v>26.8</v>
      </c>
      <c r="D16" s="26">
        <f t="shared" si="1"/>
        <v>27.1</v>
      </c>
      <c r="E16" s="26">
        <f t="shared" si="1"/>
        <v>26.9</v>
      </c>
      <c r="F16" s="26">
        <f t="shared" si="1"/>
        <v>26.9</v>
      </c>
      <c r="G16" s="26">
        <f>MIN(G8:G12)</f>
        <v>27.1</v>
      </c>
      <c r="H16" s="26">
        <f t="shared" si="1"/>
        <v>27.3</v>
      </c>
      <c r="I16" s="25">
        <f>MIN(I8:I12)</f>
        <v>26.9</v>
      </c>
      <c r="J16" s="26">
        <f t="shared" si="1"/>
        <v>26.4</v>
      </c>
      <c r="K16" s="26">
        <f>MIN(K8:K12)</f>
        <v>26.4</v>
      </c>
      <c r="L16" s="6" t="s">
        <v>48</v>
      </c>
      <c r="M16" s="27">
        <f>MIN(B16:K16)</f>
        <v>26.4</v>
      </c>
      <c r="N16" s="131"/>
      <c r="O16" s="132"/>
      <c r="P16" s="133"/>
      <c r="Q16" s="135"/>
      <c r="R16" s="137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21" s="4" customFormat="1" ht="15" customHeight="1">
      <c r="A17" s="29" t="s">
        <v>49</v>
      </c>
      <c r="B17" s="30">
        <f t="shared" ref="B17:K17" si="2">SUM(MAX(B8:B12)-MIN(B8:B12))</f>
        <v>0.39999999999999858</v>
      </c>
      <c r="C17" s="30">
        <f t="shared" si="2"/>
        <v>0.80000000000000071</v>
      </c>
      <c r="D17" s="30">
        <f t="shared" si="2"/>
        <v>0.5</v>
      </c>
      <c r="E17" s="30">
        <f t="shared" si="2"/>
        <v>0.5</v>
      </c>
      <c r="F17" s="30">
        <f t="shared" si="2"/>
        <v>0.90000000000000213</v>
      </c>
      <c r="G17" s="30">
        <f>SUM(MAX(G8:G12)-MIN(G8:G12))</f>
        <v>0.79999999999999716</v>
      </c>
      <c r="H17" s="30">
        <f t="shared" si="2"/>
        <v>0.59999999999999787</v>
      </c>
      <c r="I17" s="30">
        <f t="shared" si="2"/>
        <v>0.90000000000000213</v>
      </c>
      <c r="J17" s="30">
        <f t="shared" si="2"/>
        <v>1.4000000000000021</v>
      </c>
      <c r="K17" s="26">
        <f t="shared" si="2"/>
        <v>1.4000000000000021</v>
      </c>
      <c r="L17" s="31" t="s">
        <v>50</v>
      </c>
      <c r="M17" s="32">
        <f>AVERAGE(B17:K17)</f>
        <v>0.82000000000000028</v>
      </c>
      <c r="N17" s="100" t="s">
        <v>51</v>
      </c>
      <c r="O17" s="104"/>
      <c r="P17" s="104"/>
      <c r="Q17" s="33">
        <f>COUNTIF(B8:K12,"&gt;"&amp;TEXT(M7,"0.000000"))</f>
        <v>0</v>
      </c>
      <c r="R17" s="34" t="s">
        <v>46</v>
      </c>
      <c r="U17" s="35"/>
    </row>
    <row r="18" spans="1:21" s="4" customFormat="1" ht="15" customHeight="1">
      <c r="A18" s="6" t="s">
        <v>52</v>
      </c>
      <c r="B18" s="26">
        <f>(AVERAGE(B8:B12))</f>
        <v>27.28</v>
      </c>
      <c r="C18" s="26">
        <f t="shared" ref="C18:K18" si="3">AVERAGE(C8:C12)</f>
        <v>27.220000000000006</v>
      </c>
      <c r="D18" s="26">
        <f t="shared" si="3"/>
        <v>27.259999999999998</v>
      </c>
      <c r="E18" s="26">
        <f t="shared" si="3"/>
        <v>27.18</v>
      </c>
      <c r="F18" s="26">
        <f t="shared" si="3"/>
        <v>27.4</v>
      </c>
      <c r="G18" s="26">
        <f>AVERAGE(G8:G12)</f>
        <v>27.559999999999995</v>
      </c>
      <c r="H18" s="26">
        <f t="shared" si="3"/>
        <v>27.580000000000002</v>
      </c>
      <c r="I18" s="26">
        <f t="shared" si="3"/>
        <v>27.339999999999996</v>
      </c>
      <c r="J18" s="26">
        <f t="shared" si="3"/>
        <v>27.059999999999995</v>
      </c>
      <c r="K18" s="26">
        <f t="shared" si="3"/>
        <v>27.240000000000002</v>
      </c>
      <c r="L18" s="31" t="s">
        <v>53</v>
      </c>
      <c r="M18" s="36">
        <f>ROUNDUP(AVERAGE(B8:K12),4)</f>
        <v>27.312000000000001</v>
      </c>
      <c r="N18" s="100" t="s">
        <v>54</v>
      </c>
      <c r="O18" s="101"/>
      <c r="P18" s="101"/>
      <c r="Q18" s="37">
        <f>COUNTIF(B8:K12,"&lt;"&amp;TEXT(M10,"0.000000"))</f>
        <v>0</v>
      </c>
      <c r="R18" s="38" t="s">
        <v>46</v>
      </c>
    </row>
    <row r="19" spans="1:21" s="4" customFormat="1" ht="15" customHeight="1">
      <c r="A19" s="90" t="s">
        <v>55</v>
      </c>
      <c r="B19" s="97"/>
      <c r="C19" s="97"/>
      <c r="D19" s="88">
        <f>ROUNDUP(SUM(M15-M16),4)</f>
        <v>1.5</v>
      </c>
      <c r="E19" s="89"/>
      <c r="F19" s="90" t="s">
        <v>56</v>
      </c>
      <c r="G19" s="97"/>
      <c r="H19" s="97"/>
      <c r="I19" s="88">
        <f>ROUNDUP(ABS(SUM(M7-M10)),4)</f>
        <v>4.2</v>
      </c>
      <c r="J19" s="89"/>
      <c r="K19" s="90" t="s">
        <v>57</v>
      </c>
      <c r="L19" s="97"/>
      <c r="M19" s="97"/>
      <c r="N19" s="39">
        <f>ROUNDUP(SUM((2*(N21))/I19),4)</f>
        <v>5.8000000000000005E-3</v>
      </c>
      <c r="O19" s="102" t="s">
        <v>58</v>
      </c>
      <c r="P19" s="103"/>
      <c r="Q19" s="40" t="s">
        <v>59</v>
      </c>
      <c r="R19" s="40" t="s">
        <v>60</v>
      </c>
    </row>
    <row r="20" spans="1:21" s="4" customFormat="1" ht="15" customHeight="1">
      <c r="A20" s="90" t="s">
        <v>61</v>
      </c>
      <c r="B20" s="97"/>
      <c r="C20" s="97"/>
      <c r="D20" s="88">
        <f>ROUNDUP(AVERAGE(M7:M10),4)</f>
        <v>27.3</v>
      </c>
      <c r="E20" s="89"/>
      <c r="F20" s="90" t="s">
        <v>62</v>
      </c>
      <c r="G20" s="97"/>
      <c r="H20" s="97"/>
      <c r="I20" s="98">
        <f>ROUNDUP(SUM(D19/N20),4)</f>
        <v>0.3</v>
      </c>
      <c r="J20" s="99"/>
      <c r="K20" s="90" t="s">
        <v>63</v>
      </c>
      <c r="L20" s="97"/>
      <c r="M20" s="97"/>
      <c r="N20" s="41" t="str">
        <f>IF(I21/10&lt;=5,"5",IF(I21/10&lt;=6,"6",IF(I21/10&lt;=7,"7","8")))</f>
        <v>5</v>
      </c>
      <c r="O20" s="42">
        <f>ROUNDUP(SUM(P20-I20),4)</f>
        <v>25.1</v>
      </c>
      <c r="P20" s="42">
        <f>ROUNDUP(SUM(P21-I20),4)</f>
        <v>25.4</v>
      </c>
      <c r="Q20" s="26">
        <f>SUM(R20)</f>
        <v>0</v>
      </c>
      <c r="R20" s="26">
        <f>FREQUENCY(B8:K12,P20:P21)</f>
        <v>0</v>
      </c>
    </row>
    <row r="21" spans="1:21" s="4" customFormat="1" ht="15" customHeight="1">
      <c r="A21" s="90" t="s">
        <v>64</v>
      </c>
      <c r="B21" s="97"/>
      <c r="C21" s="97"/>
      <c r="D21" s="88">
        <f>ROUNDUP(SUM(M16-(IF(M5=M32,J32,IF(M5=M33,J33,IF(M5=M34,J34,IF(M5=M35,J35,IF(M5=M36,J36))))))),4)</f>
        <v>26.3</v>
      </c>
      <c r="E21" s="89"/>
      <c r="F21" s="90" t="s">
        <v>65</v>
      </c>
      <c r="G21" s="97"/>
      <c r="H21" s="97"/>
      <c r="I21" s="88">
        <f>COUNTIF((B8:K12),"&gt;0")</f>
        <v>50</v>
      </c>
      <c r="J21" s="88"/>
      <c r="K21" s="90" t="s">
        <v>66</v>
      </c>
      <c r="L21" s="97"/>
      <c r="M21" s="97"/>
      <c r="N21" s="43">
        <f>(ABS(SUM(M18-D20)))</f>
        <v>1.2000000000000455E-2</v>
      </c>
      <c r="O21" s="42">
        <f>ROUNDUP(SUM(P21-I20),4)</f>
        <v>25.4</v>
      </c>
      <c r="P21" s="42">
        <f>ROUNDUP(SUM(P22-I20),4)</f>
        <v>25.7</v>
      </c>
      <c r="Q21" s="26">
        <f t="shared" ref="Q21:Q31" si="4">SUM(R21-R20)</f>
        <v>0</v>
      </c>
      <c r="R21" s="26">
        <f>FREQUENCY(B8:K12,P21:P22)</f>
        <v>0</v>
      </c>
    </row>
    <row r="22" spans="1:21" s="2" customFormat="1" ht="17.100000000000001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2">
        <f>ROUNDUP(SUM(P22-I20),4)</f>
        <v>25.7</v>
      </c>
      <c r="P22" s="42">
        <f>ROUNDUP(SUM(P23-I20),4)</f>
        <v>26</v>
      </c>
      <c r="Q22" s="26">
        <f t="shared" si="4"/>
        <v>0</v>
      </c>
      <c r="R22" s="26">
        <f>FREQUENCY(B8:K12,P22:P23)</f>
        <v>0</v>
      </c>
    </row>
    <row r="23" spans="1:21" s="2" customFormat="1" ht="17.100000000000001" customHeight="1">
      <c r="A23" s="45" t="s">
        <v>67</v>
      </c>
      <c r="B23" s="6">
        <f>Q32</f>
        <v>27.7958</v>
      </c>
      <c r="C23" s="6">
        <f>Q32</f>
        <v>27.7958</v>
      </c>
      <c r="D23" s="6">
        <f>Q32</f>
        <v>27.7958</v>
      </c>
      <c r="E23" s="6">
        <f>Q32</f>
        <v>27.7958</v>
      </c>
      <c r="F23" s="46">
        <f>Q32</f>
        <v>27.7958</v>
      </c>
      <c r="G23" s="46">
        <f>Q32</f>
        <v>27.7958</v>
      </c>
      <c r="H23" s="46">
        <f>Q32</f>
        <v>27.7958</v>
      </c>
      <c r="I23" s="6">
        <f>Q32</f>
        <v>27.7958</v>
      </c>
      <c r="J23" s="6">
        <f>Q32</f>
        <v>27.7958</v>
      </c>
      <c r="K23" s="27">
        <f>Q32</f>
        <v>27.7958</v>
      </c>
      <c r="M23" s="47"/>
      <c r="N23" s="47"/>
      <c r="O23" s="42">
        <f>ROUNDUP(SUM(P23-I20),4)</f>
        <v>26</v>
      </c>
      <c r="P23" s="42">
        <f>ROUNDUP((D21),4)</f>
        <v>26.3</v>
      </c>
      <c r="Q23" s="26">
        <f t="shared" si="4"/>
        <v>0</v>
      </c>
      <c r="R23" s="26">
        <f>FREQUENCY(B8:K12,P23:P24)</f>
        <v>0</v>
      </c>
    </row>
    <row r="24" spans="1:21" s="2" customFormat="1" ht="17.100000000000001" customHeight="1">
      <c r="A24" s="48" t="s">
        <v>68</v>
      </c>
      <c r="B24" s="27">
        <f>Q33</f>
        <v>26.828200000000002</v>
      </c>
      <c r="C24" s="27">
        <f>Q33</f>
        <v>26.828200000000002</v>
      </c>
      <c r="D24" s="27">
        <f>Q33</f>
        <v>26.828200000000002</v>
      </c>
      <c r="E24" s="27">
        <f>Q33</f>
        <v>26.828200000000002</v>
      </c>
      <c r="F24" s="27">
        <f>Q33</f>
        <v>26.828200000000002</v>
      </c>
      <c r="G24" s="27">
        <f>Q33</f>
        <v>26.828200000000002</v>
      </c>
      <c r="H24" s="27">
        <f>Q33</f>
        <v>26.828200000000002</v>
      </c>
      <c r="I24" s="27">
        <f>Q33</f>
        <v>26.828200000000002</v>
      </c>
      <c r="J24" s="27">
        <f>Q33</f>
        <v>26.828200000000002</v>
      </c>
      <c r="K24" s="27">
        <f>Q33</f>
        <v>26.828200000000002</v>
      </c>
      <c r="M24" s="49"/>
      <c r="N24" s="49"/>
      <c r="O24" s="42">
        <f>ROUNDUP((D21),4)</f>
        <v>26.3</v>
      </c>
      <c r="P24" s="42">
        <f>ROUNDUP(SUM(P23+I20),4)</f>
        <v>26.6</v>
      </c>
      <c r="Q24" s="26">
        <f t="shared" si="4"/>
        <v>2</v>
      </c>
      <c r="R24" s="26">
        <f>FREQUENCY(B8:K12,P24:P25)</f>
        <v>2</v>
      </c>
    </row>
    <row r="25" spans="1:21" s="2" customFormat="1" ht="17.100000000000001" customHeight="1">
      <c r="A25" s="45" t="s">
        <v>69</v>
      </c>
      <c r="B25" s="27">
        <f>Q34</f>
        <v>1.7302000000000004</v>
      </c>
      <c r="C25" s="27">
        <f>Q34</f>
        <v>1.7302000000000004</v>
      </c>
      <c r="D25" s="27">
        <f>Q34</f>
        <v>1.7302000000000004</v>
      </c>
      <c r="E25" s="50">
        <f>Q34</f>
        <v>1.7302000000000004</v>
      </c>
      <c r="F25" s="50">
        <f>Q34</f>
        <v>1.7302000000000004</v>
      </c>
      <c r="G25" s="50">
        <f>Q34</f>
        <v>1.7302000000000004</v>
      </c>
      <c r="H25" s="27">
        <f>Q34</f>
        <v>1.7302000000000004</v>
      </c>
      <c r="I25" s="27">
        <f>Q34</f>
        <v>1.7302000000000004</v>
      </c>
      <c r="J25" s="27">
        <f>Q34</f>
        <v>1.7302000000000004</v>
      </c>
      <c r="K25" s="27">
        <f>Q34</f>
        <v>1.7302000000000004</v>
      </c>
      <c r="M25" s="49"/>
      <c r="N25" s="49"/>
      <c r="O25" s="42">
        <f>ROUNDUP(SUM(P23+I20),4)</f>
        <v>26.6</v>
      </c>
      <c r="P25" s="42">
        <f>ROUNDUP(SUM(P24+I20),4)</f>
        <v>26.9</v>
      </c>
      <c r="Q25" s="26">
        <f t="shared" si="4"/>
        <v>7</v>
      </c>
      <c r="R25" s="26">
        <f>FREQUENCY(B8:K12,P25:P26)</f>
        <v>9</v>
      </c>
    </row>
    <row r="26" spans="1:21" s="2" customFormat="1" ht="17.100000000000001" customHeight="1">
      <c r="A26" s="45" t="s">
        <v>68</v>
      </c>
      <c r="B26" s="50">
        <f>Q35</f>
        <v>0</v>
      </c>
      <c r="C26" s="50">
        <f>Q35</f>
        <v>0</v>
      </c>
      <c r="D26" s="50">
        <f>Q35</f>
        <v>0</v>
      </c>
      <c r="E26" s="50">
        <f>Q35</f>
        <v>0</v>
      </c>
      <c r="F26" s="50">
        <f>Q35</f>
        <v>0</v>
      </c>
      <c r="G26" s="50">
        <f>Q35</f>
        <v>0</v>
      </c>
      <c r="H26" s="50">
        <f>Q35</f>
        <v>0</v>
      </c>
      <c r="I26" s="50">
        <f>Q35</f>
        <v>0</v>
      </c>
      <c r="J26" s="50">
        <f>Q35</f>
        <v>0</v>
      </c>
      <c r="K26" s="27">
        <f>Q35</f>
        <v>0</v>
      </c>
      <c r="M26" s="49"/>
      <c r="N26" s="49"/>
      <c r="O26" s="42">
        <f>ROUNDUP(SUM(P24+I20),4)</f>
        <v>26.9</v>
      </c>
      <c r="P26" s="42">
        <f>ROUNDUP(SUM(P25+I20),4)</f>
        <v>27.2</v>
      </c>
      <c r="Q26" s="26">
        <v>0</v>
      </c>
      <c r="R26" s="26">
        <f>FREQUENCY(B8:K12,P26:P27)</f>
        <v>19</v>
      </c>
    </row>
    <row r="27" spans="1:21" s="2" customFormat="1" ht="17.100000000000001" customHeight="1">
      <c r="A27" s="45" t="s">
        <v>70</v>
      </c>
      <c r="B27" s="27">
        <f>ROUNDUP(AVERAGE(B8:K12),4)</f>
        <v>27.312000000000001</v>
      </c>
      <c r="C27" s="27">
        <f>ROUNDUP(AVERAGE(B8:K12),4)</f>
        <v>27.312000000000001</v>
      </c>
      <c r="D27" s="27">
        <f>ROUNDUP(AVERAGE(B8:K12),4)</f>
        <v>27.312000000000001</v>
      </c>
      <c r="E27" s="50">
        <f>ROUNDUP(AVERAGE(B8:K12),4)</f>
        <v>27.312000000000001</v>
      </c>
      <c r="F27" s="50">
        <f>ROUNDUP(AVERAGE(B8:K12),4)</f>
        <v>27.312000000000001</v>
      </c>
      <c r="G27" s="50">
        <f>ROUNDUP(AVERAGE(B8:K12),4)</f>
        <v>27.312000000000001</v>
      </c>
      <c r="H27" s="27">
        <f>ROUNDUP(AVERAGE(B8:K12),4)</f>
        <v>27.312000000000001</v>
      </c>
      <c r="I27" s="27">
        <f>ROUNDUP(AVERAGE(B8:K12),4)</f>
        <v>27.312000000000001</v>
      </c>
      <c r="J27" s="27">
        <f>ROUNDUP(AVERAGE(B8:K12),4)</f>
        <v>27.312000000000001</v>
      </c>
      <c r="K27" s="27">
        <f>ROUNDUP(AVERAGE(B8:K12),4)</f>
        <v>27.312000000000001</v>
      </c>
      <c r="M27" s="49"/>
      <c r="N27" s="49"/>
      <c r="O27" s="42">
        <f>ROUNDUP(SUM(P25+I20),4)</f>
        <v>27.2</v>
      </c>
      <c r="P27" s="42">
        <f>ROUNDUP(SUM(P26+I20),4)</f>
        <v>27.5</v>
      </c>
      <c r="Q27" s="6">
        <f t="shared" si="4"/>
        <v>20</v>
      </c>
      <c r="R27" s="26">
        <f>FREQUENCY(B8:K12,P27:P28)</f>
        <v>39</v>
      </c>
    </row>
    <row r="28" spans="1:21" ht="17.100000000000001" customHeight="1">
      <c r="A28" s="45" t="s">
        <v>71</v>
      </c>
      <c r="B28" s="27">
        <f>AVERAGE(B17:K17)</f>
        <v>0.82000000000000028</v>
      </c>
      <c r="C28" s="27">
        <f>AVERAGE(B17:K17)</f>
        <v>0.82000000000000028</v>
      </c>
      <c r="D28" s="27">
        <f>AVERAGE(B17:K17)</f>
        <v>0.82000000000000028</v>
      </c>
      <c r="E28" s="27">
        <f>AVERAGE(B17:K17)</f>
        <v>0.82000000000000028</v>
      </c>
      <c r="F28" s="27">
        <f>AVERAGE(B17:K17)</f>
        <v>0.82000000000000028</v>
      </c>
      <c r="G28" s="27">
        <f>AVERAGE(B17:K17)</f>
        <v>0.82000000000000028</v>
      </c>
      <c r="H28" s="27">
        <f>AVERAGE(B17:K17)</f>
        <v>0.82000000000000028</v>
      </c>
      <c r="I28" s="27">
        <f>AVERAGE(B17:K17)</f>
        <v>0.82000000000000028</v>
      </c>
      <c r="J28" s="27">
        <f>AVERAGE(B17:K17)</f>
        <v>0.82000000000000028</v>
      </c>
      <c r="K28" s="27">
        <f>AVERAGE(B17:K17)</f>
        <v>0.82000000000000028</v>
      </c>
      <c r="M28" s="49"/>
      <c r="N28" s="49"/>
      <c r="O28" s="42">
        <f>ROUNDUP(SUM(P26+I20),4)</f>
        <v>27.5</v>
      </c>
      <c r="P28" s="42">
        <f>ROUNDUP(SUM(P27+I20),4)</f>
        <v>27.8</v>
      </c>
      <c r="Q28" s="6">
        <f t="shared" si="4"/>
        <v>9</v>
      </c>
      <c r="R28" s="26">
        <f>FREQUENCY(B8:K12,P28:P29)</f>
        <v>48</v>
      </c>
    </row>
    <row r="29" spans="1:21" ht="17.100000000000001" customHeight="1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49"/>
      <c r="M29" s="49"/>
      <c r="N29" s="49"/>
      <c r="O29" s="42">
        <f>ROUNDUP(SUM(P27+I20),4)</f>
        <v>27.8</v>
      </c>
      <c r="P29" s="42">
        <f>ROUNDUP(SUM(P28+I20),4)</f>
        <v>28.1</v>
      </c>
      <c r="Q29" s="6">
        <f t="shared" si="4"/>
        <v>2</v>
      </c>
      <c r="R29" s="26">
        <f>FREQUENCY(B8:K12,P29:P30)</f>
        <v>50</v>
      </c>
    </row>
    <row r="30" spans="1:21" ht="17.100000000000001" customHeight="1">
      <c r="A30" s="44"/>
      <c r="B30" s="44"/>
      <c r="C30" s="2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2">
        <f>ROUNDUP(SUM(P28+I20),4)</f>
        <v>28.1</v>
      </c>
      <c r="P30" s="42">
        <f>ROUNDUP(SUM(P29+I20),4)</f>
        <v>28.4</v>
      </c>
      <c r="Q30" s="6">
        <f t="shared" si="4"/>
        <v>0</v>
      </c>
      <c r="R30" s="26">
        <f>FREQUENCY(B8:K12,P30:P31)</f>
        <v>50</v>
      </c>
    </row>
    <row r="31" spans="1:21" ht="17.100000000000001" customHeight="1">
      <c r="A31" s="15"/>
      <c r="B31" s="15"/>
      <c r="C31" s="15"/>
      <c r="D31" s="15"/>
      <c r="E31" s="15"/>
      <c r="F31" s="52"/>
      <c r="G31" s="52"/>
      <c r="H31" s="52"/>
      <c r="I31" s="15"/>
      <c r="J31" s="87" t="s">
        <v>72</v>
      </c>
      <c r="K31" s="88"/>
      <c r="L31" s="89"/>
      <c r="M31" s="53" t="s">
        <v>73</v>
      </c>
      <c r="N31" s="47"/>
      <c r="O31" s="42">
        <f>ROUNDUP(SUM(P29+I20),4)</f>
        <v>28.4</v>
      </c>
      <c r="P31" s="42">
        <f>ROUNDUP(SUM(P30+I20),4)</f>
        <v>28.7</v>
      </c>
      <c r="Q31" s="6">
        <f t="shared" si="4"/>
        <v>0</v>
      </c>
      <c r="R31" s="26">
        <f>FREQUENCY(B8:K12,P31:P31)</f>
        <v>50</v>
      </c>
    </row>
    <row r="32" spans="1:21" ht="17.100000000000001" customHeight="1">
      <c r="A32" s="15"/>
      <c r="B32" s="20"/>
      <c r="C32" s="20"/>
      <c r="D32" s="20"/>
      <c r="E32" s="20"/>
      <c r="F32" s="20"/>
      <c r="G32" s="20"/>
      <c r="H32" s="20"/>
      <c r="I32" s="20"/>
      <c r="J32" s="87">
        <v>1</v>
      </c>
      <c r="K32" s="88"/>
      <c r="L32" s="89"/>
      <c r="M32" s="53">
        <v>0</v>
      </c>
      <c r="N32" s="49"/>
      <c r="O32" s="90" t="s">
        <v>74</v>
      </c>
      <c r="P32" s="91"/>
      <c r="Q32" s="94">
        <f>(M18+(Q12*M17))</f>
        <v>27.7958</v>
      </c>
      <c r="R32" s="86"/>
      <c r="S32" s="54"/>
    </row>
    <row r="33" spans="1:18" ht="17.100000000000001" customHeight="1">
      <c r="A33" s="15"/>
      <c r="B33" s="20"/>
      <c r="C33" s="20"/>
      <c r="D33" s="20"/>
      <c r="E33" s="20"/>
      <c r="F33" s="20"/>
      <c r="G33" s="20"/>
      <c r="H33" s="20"/>
      <c r="I33" s="20"/>
      <c r="J33" s="87">
        <v>0.1</v>
      </c>
      <c r="K33" s="88"/>
      <c r="L33" s="89"/>
      <c r="M33" s="53">
        <v>1</v>
      </c>
      <c r="N33" s="49"/>
      <c r="O33" s="95" t="s">
        <v>75</v>
      </c>
      <c r="P33" s="91"/>
      <c r="Q33" s="96">
        <f>(M18-(Q12*M17))</f>
        <v>26.828200000000002</v>
      </c>
      <c r="R33" s="86"/>
    </row>
    <row r="34" spans="1:18" ht="17.100000000000001" customHeight="1">
      <c r="A34" s="15"/>
      <c r="B34" s="20"/>
      <c r="C34" s="20"/>
      <c r="D34" s="20"/>
      <c r="E34" s="20"/>
      <c r="F34" s="20"/>
      <c r="G34" s="20"/>
      <c r="H34" s="20"/>
      <c r="I34" s="20"/>
      <c r="J34" s="87">
        <v>0.01</v>
      </c>
      <c r="K34" s="88"/>
      <c r="L34" s="89"/>
      <c r="M34" s="53">
        <v>2</v>
      </c>
      <c r="N34" s="49"/>
      <c r="O34" s="90" t="s">
        <v>76</v>
      </c>
      <c r="P34" s="91"/>
      <c r="Q34" s="92">
        <f>M17*R12</f>
        <v>1.7302000000000004</v>
      </c>
      <c r="R34" s="86"/>
    </row>
    <row r="35" spans="1:18" ht="17.100000000000001" customHeight="1">
      <c r="A35" s="15"/>
      <c r="B35" s="20"/>
      <c r="C35" s="20"/>
      <c r="D35" s="20"/>
      <c r="E35" s="20"/>
      <c r="F35" s="20"/>
      <c r="G35" s="20"/>
      <c r="H35" s="20"/>
      <c r="I35" s="20"/>
      <c r="J35" s="87">
        <v>1E-3</v>
      </c>
      <c r="K35" s="88"/>
      <c r="L35" s="89"/>
      <c r="M35" s="56">
        <v>3</v>
      </c>
      <c r="N35" s="49"/>
      <c r="O35" s="90" t="s">
        <v>77</v>
      </c>
      <c r="P35" s="91"/>
      <c r="Q35" s="93">
        <f>M17*0</f>
        <v>0</v>
      </c>
      <c r="R35" s="83"/>
    </row>
    <row r="36" spans="1:18" s="60" customFormat="1" ht="17.100000000000001" customHeight="1">
      <c r="A36" s="57"/>
      <c r="B36" s="58"/>
      <c r="C36" s="57"/>
      <c r="D36" s="59"/>
      <c r="E36" s="59"/>
      <c r="F36" s="59"/>
      <c r="G36" s="59"/>
      <c r="H36" s="59"/>
      <c r="I36" s="59"/>
      <c r="J36" s="79">
        <v>1E-4</v>
      </c>
      <c r="K36" s="79"/>
      <c r="L36" s="79"/>
      <c r="M36" s="56">
        <v>4</v>
      </c>
      <c r="N36" s="59"/>
      <c r="O36" s="80" t="s">
        <v>78</v>
      </c>
      <c r="P36" s="81"/>
      <c r="Q36" s="82">
        <f>STDEV(B8:K12)</f>
        <v>0.34971708682394009</v>
      </c>
      <c r="R36" s="83"/>
    </row>
    <row r="37" spans="1:18" ht="17.100000000000001" customHeight="1">
      <c r="A37" s="58"/>
      <c r="B37" s="58"/>
      <c r="C37" s="59"/>
      <c r="D37" s="59"/>
      <c r="E37" s="59"/>
      <c r="F37" s="59"/>
      <c r="G37" s="59"/>
      <c r="H37" s="59"/>
      <c r="I37" s="59"/>
      <c r="J37" s="61"/>
      <c r="K37" s="59"/>
      <c r="L37" s="59"/>
      <c r="N37" s="59"/>
      <c r="O37" s="84" t="s">
        <v>94</v>
      </c>
      <c r="P37" s="85"/>
      <c r="Q37" s="82">
        <f>ROUNDUP(SUM(I19/(6*Q36)),4)</f>
        <v>2.0017</v>
      </c>
      <c r="R37" s="86"/>
    </row>
    <row r="38" spans="1:18" ht="15.75" customHeight="1">
      <c r="A38" s="69" t="s">
        <v>79</v>
      </c>
      <c r="B38" s="69"/>
      <c r="C38" s="70" t="str">
        <f>IF(OR(AND(Q37&gt;=0,Q37&lt;=0.5),AND(Q38&gt;=0,Q38&lt;=0.5)),"PROCESS IS VERY POOR TAKE IMMEDIATE ACTION",IF(OR(AND(Q37&gt;0.5,Q37&lt;=1.33),AND(Q38&gt;0.5,Q38&lt;=1.33)),"PROCESS NEEDS CORRECTION ,Cp &amp; Cpk SHOULD BE &gt;=1.33",IF(OR(AND(Q37&gt;1,Q37&lt;=1.67),AND(Q38&gt;1,Q38&lt;=1.67)),"PROCESS IS GOOD BUT STILL IMPROVEMENT IS REQIURED","PROCESS IS EXCELLENT")))</f>
        <v>PROCESS IS EXCELLENT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  <c r="O38" s="84" t="s">
        <v>93</v>
      </c>
      <c r="P38" s="85"/>
      <c r="Q38" s="82">
        <f>ROUNDUP(SUM((1-N19)*Q37),4)</f>
        <v>1.9901</v>
      </c>
      <c r="R38" s="86"/>
    </row>
    <row r="39" spans="1:18" ht="15.75" customHeight="1">
      <c r="A39" s="69"/>
      <c r="B39" s="69"/>
      <c r="C39" s="7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5"/>
      <c r="O39" s="173" t="s">
        <v>80</v>
      </c>
      <c r="P39" s="174"/>
      <c r="Q39" s="175"/>
      <c r="R39" s="176"/>
    </row>
    <row r="40" spans="1:18" ht="15.75" customHeight="1">
      <c r="A40" s="69"/>
      <c r="B40" s="69"/>
      <c r="C40" s="7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8"/>
      <c r="O40" s="173" t="s">
        <v>92</v>
      </c>
      <c r="P40" s="174"/>
      <c r="Q40" s="175"/>
      <c r="R40" s="176"/>
    </row>
  </sheetData>
  <mergeCells count="75">
    <mergeCell ref="H5:J5"/>
    <mergeCell ref="K5:L5"/>
    <mergeCell ref="A1:R1"/>
    <mergeCell ref="A2:R2"/>
    <mergeCell ref="A3:B3"/>
    <mergeCell ref="C3:E3"/>
    <mergeCell ref="F3:G3"/>
    <mergeCell ref="H3:J3"/>
    <mergeCell ref="K3:L3"/>
    <mergeCell ref="N3:N4"/>
    <mergeCell ref="O3:R4"/>
    <mergeCell ref="A4:B4"/>
    <mergeCell ref="C4:E4"/>
    <mergeCell ref="F4:G4"/>
    <mergeCell ref="H4:J4"/>
    <mergeCell ref="K4:L4"/>
    <mergeCell ref="N17:P17"/>
    <mergeCell ref="O5:P5"/>
    <mergeCell ref="A6:L6"/>
    <mergeCell ref="M6:Q6"/>
    <mergeCell ref="L7:L9"/>
    <mergeCell ref="M7:N9"/>
    <mergeCell ref="L10:L12"/>
    <mergeCell ref="M10:N12"/>
    <mergeCell ref="A13:R13"/>
    <mergeCell ref="A14:R14"/>
    <mergeCell ref="N15:P16"/>
    <mergeCell ref="Q15:Q16"/>
    <mergeCell ref="R15:R16"/>
    <mergeCell ref="A5:B5"/>
    <mergeCell ref="C5:E5"/>
    <mergeCell ref="F5:G5"/>
    <mergeCell ref="N18:P18"/>
    <mergeCell ref="A19:C19"/>
    <mergeCell ref="D19:E19"/>
    <mergeCell ref="F19:H19"/>
    <mergeCell ref="I19:J19"/>
    <mergeCell ref="K19:M19"/>
    <mergeCell ref="O19:P19"/>
    <mergeCell ref="A21:C21"/>
    <mergeCell ref="D21:E21"/>
    <mergeCell ref="F21:H21"/>
    <mergeCell ref="I21:J21"/>
    <mergeCell ref="K21:M21"/>
    <mergeCell ref="A20:C20"/>
    <mergeCell ref="D20:E20"/>
    <mergeCell ref="F20:H20"/>
    <mergeCell ref="I20:J20"/>
    <mergeCell ref="K20:M20"/>
    <mergeCell ref="J31:L31"/>
    <mergeCell ref="J32:L32"/>
    <mergeCell ref="O32:P32"/>
    <mergeCell ref="Q32:R32"/>
    <mergeCell ref="J33:L33"/>
    <mergeCell ref="O33:P33"/>
    <mergeCell ref="Q33:R33"/>
    <mergeCell ref="J34:L34"/>
    <mergeCell ref="O34:P34"/>
    <mergeCell ref="Q34:R34"/>
    <mergeCell ref="J35:L35"/>
    <mergeCell ref="O35:P35"/>
    <mergeCell ref="Q35:R35"/>
    <mergeCell ref="A38:B40"/>
    <mergeCell ref="C38:N40"/>
    <mergeCell ref="J36:L36"/>
    <mergeCell ref="O36:P36"/>
    <mergeCell ref="Q36:R36"/>
    <mergeCell ref="O37:P37"/>
    <mergeCell ref="Q37:R37"/>
    <mergeCell ref="O38:P38"/>
    <mergeCell ref="Q38:R38"/>
    <mergeCell ref="O39:P39"/>
    <mergeCell ref="Q39:R39"/>
    <mergeCell ref="O40:P40"/>
    <mergeCell ref="Q40:R40"/>
  </mergeCells>
  <printOptions horizontalCentered="1"/>
  <pageMargins left="0.3" right="0.14000000000000001" top="0.43" bottom="0.37" header="0.37" footer="0.28999999999999998"/>
  <pageSetup scale="82" orientation="landscape" horizontalDpi="300" verticalDpi="300" r:id="rId1"/>
  <headerFooter alignWithMargins="0">
    <oddFooter>&amp;CPage &amp;P&amp;R&amp;Z&amp;F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41"/>
  <sheetViews>
    <sheetView showGridLines="0" topLeftCell="A22" zoomScaleSheetLayoutView="100" workbookViewId="0">
      <selection activeCell="O39" sqref="O39:R40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1" style="1" customWidth="1"/>
    <col min="15" max="15" width="8.5703125" style="1" customWidth="1"/>
    <col min="16" max="16" width="9.28515625" style="1" customWidth="1"/>
    <col min="17" max="17" width="7.140625" style="1" bestFit="1" customWidth="1"/>
    <col min="18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65.25" customHeight="1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50"/>
    </row>
    <row r="2" spans="1:32" s="2" customFormat="1" ht="35.1" customHeight="1">
      <c r="A2" s="151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spans="1:32" s="4" customFormat="1" ht="15" customHeight="1">
      <c r="A3" s="154" t="s">
        <v>2</v>
      </c>
      <c r="B3" s="155"/>
      <c r="C3" s="191" t="s">
        <v>89</v>
      </c>
      <c r="D3" s="192"/>
      <c r="E3" s="193"/>
      <c r="F3" s="154" t="s">
        <v>3</v>
      </c>
      <c r="G3" s="194"/>
      <c r="H3" s="191" t="s">
        <v>90</v>
      </c>
      <c r="I3" s="192"/>
      <c r="J3" s="193"/>
      <c r="K3" s="195" t="s">
        <v>5</v>
      </c>
      <c r="L3" s="155"/>
      <c r="M3" s="3" t="s">
        <v>95</v>
      </c>
      <c r="N3" s="163"/>
      <c r="O3" s="165"/>
      <c r="P3" s="166"/>
      <c r="Q3" s="166"/>
      <c r="R3" s="167"/>
    </row>
    <row r="4" spans="1:32" s="4" customFormat="1" ht="15" customHeight="1">
      <c r="A4" s="90" t="s">
        <v>7</v>
      </c>
      <c r="B4" s="138"/>
      <c r="C4" s="187" t="s">
        <v>8</v>
      </c>
      <c r="D4" s="188"/>
      <c r="E4" s="189"/>
      <c r="F4" s="90" t="s">
        <v>9</v>
      </c>
      <c r="G4" s="186"/>
      <c r="H4" s="187" t="s">
        <v>91</v>
      </c>
      <c r="I4" s="188"/>
      <c r="J4" s="189"/>
      <c r="K4" s="97" t="s">
        <v>11</v>
      </c>
      <c r="L4" s="138"/>
      <c r="M4" s="5"/>
      <c r="N4" s="164"/>
      <c r="O4" s="168"/>
      <c r="P4" s="169"/>
      <c r="Q4" s="169"/>
      <c r="R4" s="170"/>
    </row>
    <row r="5" spans="1:32" s="4" customFormat="1" ht="15" customHeight="1">
      <c r="A5" s="90" t="s">
        <v>13</v>
      </c>
      <c r="B5" s="138"/>
      <c r="C5" s="93" t="s">
        <v>14</v>
      </c>
      <c r="D5" s="184"/>
      <c r="E5" s="185"/>
      <c r="F5" s="90" t="s">
        <v>15</v>
      </c>
      <c r="G5" s="186"/>
      <c r="H5" s="187" t="s">
        <v>16</v>
      </c>
      <c r="I5" s="188"/>
      <c r="J5" s="189"/>
      <c r="K5" s="90" t="s">
        <v>17</v>
      </c>
      <c r="L5" s="190"/>
      <c r="M5" s="5">
        <v>1</v>
      </c>
      <c r="N5" s="6"/>
      <c r="O5" s="105"/>
      <c r="P5" s="106"/>
      <c r="Q5" s="6" t="s">
        <v>18</v>
      </c>
      <c r="R5" s="7" t="s">
        <v>98</v>
      </c>
    </row>
    <row r="6" spans="1:32" s="4" customFormat="1" ht="15" customHeight="1">
      <c r="A6" s="107" t="s">
        <v>19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9"/>
      <c r="M6" s="110" t="s">
        <v>20</v>
      </c>
      <c r="N6" s="111"/>
      <c r="O6" s="111"/>
      <c r="P6" s="111"/>
      <c r="Q6" s="83"/>
      <c r="R6" s="8" t="s">
        <v>21</v>
      </c>
    </row>
    <row r="7" spans="1:32" s="4" customFormat="1" ht="15" customHeight="1">
      <c r="A7" s="9" t="s">
        <v>22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112" t="s">
        <v>82</v>
      </c>
      <c r="M7" s="178">
        <v>400</v>
      </c>
      <c r="N7" s="179"/>
      <c r="O7" s="10" t="s">
        <v>23</v>
      </c>
      <c r="P7" s="11" t="s">
        <v>24</v>
      </c>
      <c r="Q7" s="11" t="s">
        <v>25</v>
      </c>
      <c r="R7" s="11" t="s">
        <v>26</v>
      </c>
    </row>
    <row r="8" spans="1:32" s="4" customFormat="1" ht="15" customHeight="1">
      <c r="A8" s="9">
        <v>1</v>
      </c>
      <c r="B8" s="12">
        <v>251</v>
      </c>
      <c r="C8" s="12">
        <v>255</v>
      </c>
      <c r="D8" s="12">
        <v>263</v>
      </c>
      <c r="E8" s="12">
        <v>257</v>
      </c>
      <c r="F8" s="12">
        <v>254</v>
      </c>
      <c r="G8" s="12">
        <v>258</v>
      </c>
      <c r="H8" s="12">
        <v>259</v>
      </c>
      <c r="I8" s="12">
        <v>258</v>
      </c>
      <c r="J8" s="12">
        <v>262</v>
      </c>
      <c r="K8" s="12">
        <v>261</v>
      </c>
      <c r="L8" s="113"/>
      <c r="M8" s="180"/>
      <c r="N8" s="181"/>
      <c r="O8" s="13" t="s">
        <v>27</v>
      </c>
      <c r="P8" s="6">
        <v>1.123</v>
      </c>
      <c r="Q8" s="13" t="s">
        <v>28</v>
      </c>
      <c r="R8" s="13" t="s">
        <v>29</v>
      </c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s="4" customFormat="1" ht="15" customHeight="1">
      <c r="A9" s="9">
        <v>2</v>
      </c>
      <c r="B9" s="12">
        <v>238</v>
      </c>
      <c r="C9" s="12">
        <v>229</v>
      </c>
      <c r="D9" s="12">
        <v>274</v>
      </c>
      <c r="E9" s="12">
        <v>251</v>
      </c>
      <c r="F9" s="12">
        <v>250</v>
      </c>
      <c r="G9" s="12">
        <v>292</v>
      </c>
      <c r="H9" s="12">
        <v>284</v>
      </c>
      <c r="I9" s="12">
        <v>271</v>
      </c>
      <c r="J9" s="12">
        <v>290</v>
      </c>
      <c r="K9" s="12">
        <v>248</v>
      </c>
      <c r="L9" s="114"/>
      <c r="M9" s="182"/>
      <c r="N9" s="183"/>
      <c r="O9" s="13" t="s">
        <v>30</v>
      </c>
      <c r="P9" s="6">
        <v>1.1279999999999999</v>
      </c>
      <c r="Q9" s="13" t="s">
        <v>31</v>
      </c>
      <c r="R9" s="13" t="s">
        <v>29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16">
        <v>3</v>
      </c>
      <c r="B10" s="12">
        <v>268</v>
      </c>
      <c r="C10" s="12">
        <v>264</v>
      </c>
      <c r="D10" s="12">
        <v>263</v>
      </c>
      <c r="E10" s="12">
        <v>260</v>
      </c>
      <c r="F10" s="12">
        <v>258</v>
      </c>
      <c r="G10" s="12">
        <v>254</v>
      </c>
      <c r="H10" s="12">
        <v>261</v>
      </c>
      <c r="I10" s="12">
        <v>264</v>
      </c>
      <c r="J10" s="12">
        <v>268</v>
      </c>
      <c r="K10" s="12">
        <v>261</v>
      </c>
      <c r="L10" s="112" t="s">
        <v>83</v>
      </c>
      <c r="M10" s="178">
        <v>100</v>
      </c>
      <c r="N10" s="179"/>
      <c r="O10" s="17" t="s">
        <v>32</v>
      </c>
      <c r="P10" s="18">
        <v>1.6930000000000001</v>
      </c>
      <c r="Q10" s="13" t="s">
        <v>33</v>
      </c>
      <c r="R10" s="13" t="s">
        <v>34</v>
      </c>
      <c r="T10" s="15" t="s">
        <v>35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19">
        <v>4</v>
      </c>
      <c r="B11" s="12">
        <v>247</v>
      </c>
      <c r="C11" s="12">
        <v>258</v>
      </c>
      <c r="D11" s="12">
        <v>264</v>
      </c>
      <c r="E11" s="12">
        <v>251</v>
      </c>
      <c r="F11" s="12">
        <v>258</v>
      </c>
      <c r="G11" s="12">
        <v>274</v>
      </c>
      <c r="H11" s="12">
        <v>269</v>
      </c>
      <c r="I11" s="12">
        <v>254</v>
      </c>
      <c r="J11" s="12">
        <v>280</v>
      </c>
      <c r="K11" s="12">
        <v>241</v>
      </c>
      <c r="L11" s="121"/>
      <c r="M11" s="180"/>
      <c r="N11" s="181"/>
      <c r="O11" s="13" t="s">
        <v>36</v>
      </c>
      <c r="P11" s="6">
        <v>2.0590000000000002</v>
      </c>
      <c r="Q11" s="13" t="s">
        <v>37</v>
      </c>
      <c r="R11" s="13" t="s">
        <v>38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5"/>
      <c r="AE11" s="15"/>
      <c r="AF11" s="15"/>
    </row>
    <row r="12" spans="1:32" s="4" customFormat="1" ht="15" customHeight="1">
      <c r="A12" s="21">
        <v>5</v>
      </c>
      <c r="B12" s="12">
        <v>269</v>
      </c>
      <c r="C12" s="12">
        <v>254</v>
      </c>
      <c r="D12" s="12">
        <v>272</v>
      </c>
      <c r="E12" s="12">
        <v>258</v>
      </c>
      <c r="F12" s="12">
        <v>254</v>
      </c>
      <c r="G12" s="12">
        <v>275</v>
      </c>
      <c r="H12" s="12">
        <v>265</v>
      </c>
      <c r="I12" s="12">
        <v>292</v>
      </c>
      <c r="J12" s="12">
        <v>247</v>
      </c>
      <c r="K12" s="12">
        <v>238</v>
      </c>
      <c r="L12" s="122"/>
      <c r="M12" s="182"/>
      <c r="N12" s="183"/>
      <c r="O12" s="22" t="s">
        <v>39</v>
      </c>
      <c r="P12" s="23">
        <v>2.3260000000000001</v>
      </c>
      <c r="Q12" s="13" t="s">
        <v>40</v>
      </c>
      <c r="R12" s="13" t="s">
        <v>41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107">
        <v>11.99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4"/>
      <c r="S13" s="15"/>
      <c r="T13" s="15"/>
      <c r="U13" s="15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s="4" customFormat="1" ht="15" customHeight="1">
      <c r="A14" s="125" t="s">
        <v>42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7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24" t="s">
        <v>43</v>
      </c>
      <c r="B15" s="25">
        <f t="shared" ref="B15:K15" si="0">MAX(B8:B12)</f>
        <v>269</v>
      </c>
      <c r="C15" s="25">
        <f t="shared" si="0"/>
        <v>264</v>
      </c>
      <c r="D15" s="25">
        <f t="shared" si="0"/>
        <v>274</v>
      </c>
      <c r="E15" s="25">
        <f t="shared" si="0"/>
        <v>260</v>
      </c>
      <c r="F15" s="25">
        <f t="shared" si="0"/>
        <v>258</v>
      </c>
      <c r="G15" s="25">
        <f t="shared" si="0"/>
        <v>292</v>
      </c>
      <c r="H15" s="25">
        <f t="shared" si="0"/>
        <v>284</v>
      </c>
      <c r="I15" s="25">
        <f>MAX(I8:I12)</f>
        <v>292</v>
      </c>
      <c r="J15" s="25">
        <f t="shared" si="0"/>
        <v>290</v>
      </c>
      <c r="K15" s="26">
        <f t="shared" si="0"/>
        <v>261</v>
      </c>
      <c r="L15" s="6" t="s">
        <v>44</v>
      </c>
      <c r="M15" s="27">
        <f>(MAX(B15:K15))</f>
        <v>292</v>
      </c>
      <c r="N15" s="128" t="s">
        <v>45</v>
      </c>
      <c r="O15" s="129"/>
      <c r="P15" s="130"/>
      <c r="Q15" s="134">
        <f>SUM(Q17:R18)</f>
        <v>0</v>
      </c>
      <c r="R15" s="136" t="s">
        <v>46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5"/>
      <c r="AE15" s="15"/>
      <c r="AF15" s="15"/>
    </row>
    <row r="16" spans="1:32" s="4" customFormat="1" ht="15" customHeight="1">
      <c r="A16" s="28" t="s">
        <v>47</v>
      </c>
      <c r="B16" s="26">
        <f t="shared" ref="B16:J16" si="1">MIN(B8:B12)</f>
        <v>238</v>
      </c>
      <c r="C16" s="25">
        <f>MIN(C8:C12)</f>
        <v>229</v>
      </c>
      <c r="D16" s="26">
        <f t="shared" si="1"/>
        <v>263</v>
      </c>
      <c r="E16" s="26">
        <f t="shared" si="1"/>
        <v>251</v>
      </c>
      <c r="F16" s="26">
        <f t="shared" si="1"/>
        <v>250</v>
      </c>
      <c r="G16" s="26">
        <f>MIN(G8:G12)</f>
        <v>254</v>
      </c>
      <c r="H16" s="26">
        <f t="shared" si="1"/>
        <v>259</v>
      </c>
      <c r="I16" s="25">
        <f>MIN(I8:I12)</f>
        <v>254</v>
      </c>
      <c r="J16" s="26">
        <f t="shared" si="1"/>
        <v>247</v>
      </c>
      <c r="K16" s="26">
        <f>MIN(K8:K12)</f>
        <v>238</v>
      </c>
      <c r="L16" s="6" t="s">
        <v>48</v>
      </c>
      <c r="M16" s="27">
        <f>MIN(B16:K16)</f>
        <v>229</v>
      </c>
      <c r="N16" s="131"/>
      <c r="O16" s="132"/>
      <c r="P16" s="133"/>
      <c r="Q16" s="135"/>
      <c r="R16" s="137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21" s="4" customFormat="1" ht="15" customHeight="1">
      <c r="A17" s="29" t="s">
        <v>49</v>
      </c>
      <c r="B17" s="30">
        <f t="shared" ref="B17:K17" si="2">SUM(MAX(B8:B12)-MIN(B8:B12))</f>
        <v>31</v>
      </c>
      <c r="C17" s="30">
        <f t="shared" si="2"/>
        <v>35</v>
      </c>
      <c r="D17" s="30">
        <f t="shared" si="2"/>
        <v>11</v>
      </c>
      <c r="E17" s="30">
        <f t="shared" si="2"/>
        <v>9</v>
      </c>
      <c r="F17" s="30">
        <f t="shared" si="2"/>
        <v>8</v>
      </c>
      <c r="G17" s="30">
        <f>SUM(MAX(G8:G12)-MIN(G8:G12))</f>
        <v>38</v>
      </c>
      <c r="H17" s="30">
        <f t="shared" si="2"/>
        <v>25</v>
      </c>
      <c r="I17" s="30">
        <f t="shared" si="2"/>
        <v>38</v>
      </c>
      <c r="J17" s="30">
        <f t="shared" si="2"/>
        <v>43</v>
      </c>
      <c r="K17" s="26">
        <f t="shared" si="2"/>
        <v>23</v>
      </c>
      <c r="L17" s="31" t="s">
        <v>50</v>
      </c>
      <c r="M17" s="32">
        <f>AVERAGE(B17:K17)</f>
        <v>26.1</v>
      </c>
      <c r="N17" s="100" t="s">
        <v>51</v>
      </c>
      <c r="O17" s="104"/>
      <c r="P17" s="104"/>
      <c r="Q17" s="33">
        <f>COUNTIF(B8:K12,"&gt;"&amp;TEXT(M7,"0.000000"))</f>
        <v>0</v>
      </c>
      <c r="R17" s="34" t="s">
        <v>46</v>
      </c>
      <c r="U17" s="35"/>
    </row>
    <row r="18" spans="1:21" s="4" customFormat="1" ht="15" customHeight="1">
      <c r="A18" s="6" t="s">
        <v>52</v>
      </c>
      <c r="B18" s="26">
        <f>(AVERAGE(B8:B12))</f>
        <v>254.6</v>
      </c>
      <c r="C18" s="26">
        <f t="shared" ref="C18:K18" si="3">AVERAGE(C8:C12)</f>
        <v>252</v>
      </c>
      <c r="D18" s="26">
        <f t="shared" si="3"/>
        <v>267.2</v>
      </c>
      <c r="E18" s="26">
        <f t="shared" si="3"/>
        <v>255.4</v>
      </c>
      <c r="F18" s="26">
        <f t="shared" si="3"/>
        <v>254.8</v>
      </c>
      <c r="G18" s="26">
        <f>AVERAGE(G8:G12)</f>
        <v>270.60000000000002</v>
      </c>
      <c r="H18" s="26">
        <f t="shared" si="3"/>
        <v>267.60000000000002</v>
      </c>
      <c r="I18" s="26">
        <f t="shared" si="3"/>
        <v>267.8</v>
      </c>
      <c r="J18" s="26">
        <f t="shared" si="3"/>
        <v>269.39999999999998</v>
      </c>
      <c r="K18" s="26">
        <f t="shared" si="3"/>
        <v>249.8</v>
      </c>
      <c r="L18" s="31" t="s">
        <v>53</v>
      </c>
      <c r="M18" s="36">
        <f>ROUNDUP(AVERAGE(B8:K12),4)</f>
        <v>260.92</v>
      </c>
      <c r="N18" s="100" t="s">
        <v>54</v>
      </c>
      <c r="O18" s="101"/>
      <c r="P18" s="101"/>
      <c r="Q18" s="37">
        <f>COUNTIF(B8:K12,"&lt;"&amp;TEXT(M10,"0.000000"))</f>
        <v>0</v>
      </c>
      <c r="R18" s="38" t="s">
        <v>46</v>
      </c>
    </row>
    <row r="19" spans="1:21" s="4" customFormat="1" ht="15" customHeight="1">
      <c r="A19" s="90" t="s">
        <v>55</v>
      </c>
      <c r="B19" s="97"/>
      <c r="C19" s="97"/>
      <c r="D19" s="88">
        <f>ROUNDUP(SUM(M15-M16),4)</f>
        <v>63</v>
      </c>
      <c r="E19" s="89"/>
      <c r="F19" s="90" t="s">
        <v>56</v>
      </c>
      <c r="G19" s="97"/>
      <c r="H19" s="97"/>
      <c r="I19" s="88">
        <f>ROUNDUP(ABS(SUM(M7-M10)),4)</f>
        <v>300</v>
      </c>
      <c r="J19" s="89"/>
      <c r="K19" s="90" t="s">
        <v>57</v>
      </c>
      <c r="L19" s="97"/>
      <c r="M19" s="97"/>
      <c r="N19" s="39">
        <f>ROUNDUP(SUM((2*(N21))/I19),4)</f>
        <v>7.2900000000000006E-2</v>
      </c>
      <c r="O19" s="102" t="s">
        <v>58</v>
      </c>
      <c r="P19" s="103"/>
      <c r="Q19" s="40" t="s">
        <v>59</v>
      </c>
      <c r="R19" s="40" t="s">
        <v>60</v>
      </c>
    </row>
    <row r="20" spans="1:21" s="4" customFormat="1" ht="15" customHeight="1">
      <c r="A20" s="90" t="s">
        <v>61</v>
      </c>
      <c r="B20" s="97"/>
      <c r="C20" s="97"/>
      <c r="D20" s="88">
        <f>ROUNDUP(AVERAGE(M7:M10),4)</f>
        <v>250</v>
      </c>
      <c r="E20" s="89"/>
      <c r="F20" s="90" t="s">
        <v>62</v>
      </c>
      <c r="G20" s="97"/>
      <c r="H20" s="97"/>
      <c r="I20" s="98">
        <f>ROUNDUP(SUM(D19/N20),4)</f>
        <v>12.6</v>
      </c>
      <c r="J20" s="99"/>
      <c r="K20" s="90" t="s">
        <v>63</v>
      </c>
      <c r="L20" s="97"/>
      <c r="M20" s="97"/>
      <c r="N20" s="41" t="str">
        <f>IF(I21/10&lt;=5,"5",IF(I21/10&lt;=6,"6",IF(I21/10&lt;=7,"7","8")))</f>
        <v>5</v>
      </c>
      <c r="O20" s="42">
        <f>ROUNDUP(SUM(P20-I20),4)</f>
        <v>178.5</v>
      </c>
      <c r="P20" s="42">
        <f>ROUNDUP(SUM(P21-I20),4)</f>
        <v>191.1</v>
      </c>
      <c r="Q20" s="26">
        <f>SUM(R20)</f>
        <v>0</v>
      </c>
      <c r="R20" s="26">
        <f>FREQUENCY(B8:K12,P20:P21)</f>
        <v>0</v>
      </c>
    </row>
    <row r="21" spans="1:21" s="4" customFormat="1" ht="15" customHeight="1">
      <c r="A21" s="90" t="s">
        <v>64</v>
      </c>
      <c r="B21" s="97"/>
      <c r="C21" s="97"/>
      <c r="D21" s="88">
        <f>ROUNDUP(SUM(M16-(IF(M5=M32,J32,IF(M5=M33,J33,IF(M5=M34,J34,IF(M5=M35,J35,IF(M5=M36,J36))))))),4)</f>
        <v>228.9</v>
      </c>
      <c r="E21" s="89"/>
      <c r="F21" s="90" t="s">
        <v>65</v>
      </c>
      <c r="G21" s="97"/>
      <c r="H21" s="97"/>
      <c r="I21" s="88">
        <f>COUNTIF((B8:K12),"&gt;0")</f>
        <v>50</v>
      </c>
      <c r="J21" s="88"/>
      <c r="K21" s="90" t="s">
        <v>66</v>
      </c>
      <c r="L21" s="97"/>
      <c r="M21" s="97"/>
      <c r="N21" s="68">
        <f>(ABS(SUM(M18-D20)))</f>
        <v>10.920000000000016</v>
      </c>
      <c r="O21" s="42">
        <f>ROUNDUP(SUM(P21-I20),4)</f>
        <v>191.1</v>
      </c>
      <c r="P21" s="42">
        <f>ROUNDUP(SUM(P22-I20),4)</f>
        <v>203.7</v>
      </c>
      <c r="Q21" s="26">
        <f t="shared" ref="Q21:Q31" si="4">SUM(R21-R20)</f>
        <v>0</v>
      </c>
      <c r="R21" s="26">
        <f>FREQUENCY(B8:K12,P21:P22)</f>
        <v>0</v>
      </c>
    </row>
    <row r="22" spans="1:21" s="2" customFormat="1" ht="17.100000000000001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2">
        <f>ROUNDUP(SUM(P22-I20),4)</f>
        <v>203.7</v>
      </c>
      <c r="P22" s="42">
        <f>ROUNDUP(SUM(P23-I20),4)</f>
        <v>216.3</v>
      </c>
      <c r="Q22" s="26">
        <f t="shared" si="4"/>
        <v>0</v>
      </c>
      <c r="R22" s="26">
        <f>FREQUENCY(B8:K12,P22:P23)</f>
        <v>0</v>
      </c>
    </row>
    <row r="23" spans="1:21" s="2" customFormat="1" ht="17.100000000000001" customHeight="1">
      <c r="A23" s="45" t="s">
        <v>67</v>
      </c>
      <c r="B23" s="6">
        <f>Q32</f>
        <v>276.31900000000002</v>
      </c>
      <c r="C23" s="6">
        <f>Q32</f>
        <v>276.31900000000002</v>
      </c>
      <c r="D23" s="6">
        <f>Q32</f>
        <v>276.31900000000002</v>
      </c>
      <c r="E23" s="6">
        <f>Q32</f>
        <v>276.31900000000002</v>
      </c>
      <c r="F23" s="46">
        <f>Q32</f>
        <v>276.31900000000002</v>
      </c>
      <c r="G23" s="46">
        <f>Q32</f>
        <v>276.31900000000002</v>
      </c>
      <c r="H23" s="46">
        <f>Q32</f>
        <v>276.31900000000002</v>
      </c>
      <c r="I23" s="6">
        <f>Q32</f>
        <v>276.31900000000002</v>
      </c>
      <c r="J23" s="6">
        <f>Q32</f>
        <v>276.31900000000002</v>
      </c>
      <c r="K23" s="27">
        <f>Q32</f>
        <v>276.31900000000002</v>
      </c>
      <c r="M23" s="47"/>
      <c r="N23" s="47"/>
      <c r="O23" s="42">
        <f>ROUNDUP(SUM(P23-I20),4)</f>
        <v>216.3</v>
      </c>
      <c r="P23" s="42">
        <f>ROUNDUP((D21),4)</f>
        <v>228.9</v>
      </c>
      <c r="Q23" s="26">
        <f t="shared" si="4"/>
        <v>0</v>
      </c>
      <c r="R23" s="26">
        <f>FREQUENCY(B8:K12,P23:P24)</f>
        <v>0</v>
      </c>
    </row>
    <row r="24" spans="1:21" s="2" customFormat="1" ht="17.100000000000001" customHeight="1">
      <c r="A24" s="48" t="s">
        <v>68</v>
      </c>
      <c r="B24" s="27">
        <f>Q33</f>
        <v>245.52100000000002</v>
      </c>
      <c r="C24" s="27">
        <f>Q33</f>
        <v>245.52100000000002</v>
      </c>
      <c r="D24" s="27">
        <f>Q33</f>
        <v>245.52100000000002</v>
      </c>
      <c r="E24" s="27">
        <f>Q33</f>
        <v>245.52100000000002</v>
      </c>
      <c r="F24" s="27">
        <f>Q33</f>
        <v>245.52100000000002</v>
      </c>
      <c r="G24" s="27">
        <f>Q33</f>
        <v>245.52100000000002</v>
      </c>
      <c r="H24" s="27">
        <f>Q33</f>
        <v>245.52100000000002</v>
      </c>
      <c r="I24" s="27">
        <f>Q33</f>
        <v>245.52100000000002</v>
      </c>
      <c r="J24" s="27">
        <f>Q33</f>
        <v>245.52100000000002</v>
      </c>
      <c r="K24" s="27">
        <f>Q33</f>
        <v>245.52100000000002</v>
      </c>
      <c r="M24" s="49"/>
      <c r="N24" s="49"/>
      <c r="O24" s="42">
        <f>ROUNDUP((D21),4)</f>
        <v>228.9</v>
      </c>
      <c r="P24" s="42">
        <f>ROUNDUP(SUM(P23+I20),4)</f>
        <v>241.5</v>
      </c>
      <c r="Q24" s="26">
        <f t="shared" si="4"/>
        <v>4</v>
      </c>
      <c r="R24" s="26">
        <f>FREQUENCY(B8:K12,P24:P25)</f>
        <v>4</v>
      </c>
    </row>
    <row r="25" spans="1:21" s="2" customFormat="1" ht="17.100000000000001" customHeight="1">
      <c r="A25" s="45" t="s">
        <v>69</v>
      </c>
      <c r="B25" s="27">
        <f>Q34</f>
        <v>55.070999999999998</v>
      </c>
      <c r="C25" s="27">
        <f>Q34</f>
        <v>55.070999999999998</v>
      </c>
      <c r="D25" s="27">
        <f>Q34</f>
        <v>55.070999999999998</v>
      </c>
      <c r="E25" s="50">
        <f>Q34</f>
        <v>55.070999999999998</v>
      </c>
      <c r="F25" s="50">
        <f>Q34</f>
        <v>55.070999999999998</v>
      </c>
      <c r="G25" s="50">
        <f>Q34</f>
        <v>55.070999999999998</v>
      </c>
      <c r="H25" s="27">
        <f>Q34</f>
        <v>55.070999999999998</v>
      </c>
      <c r="I25" s="27">
        <f>Q34</f>
        <v>55.070999999999998</v>
      </c>
      <c r="J25" s="27">
        <f>Q34</f>
        <v>55.070999999999998</v>
      </c>
      <c r="K25" s="27">
        <f>Q34</f>
        <v>55.070999999999998</v>
      </c>
      <c r="M25" s="49"/>
      <c r="N25" s="49"/>
      <c r="O25" s="42">
        <f>ROUNDUP(SUM(P23+I20),4)</f>
        <v>241.5</v>
      </c>
      <c r="P25" s="42">
        <f>ROUNDUP(SUM(P24+I20),4)</f>
        <v>254.1</v>
      </c>
      <c r="Q25" s="26">
        <f t="shared" si="4"/>
        <v>12</v>
      </c>
      <c r="R25" s="26">
        <f>FREQUENCY(B8:K12,P25:P26)</f>
        <v>16</v>
      </c>
    </row>
    <row r="26" spans="1:21" s="2" customFormat="1" ht="17.100000000000001" customHeight="1">
      <c r="A26" s="45" t="s">
        <v>68</v>
      </c>
      <c r="B26" s="50">
        <f>Q35</f>
        <v>0</v>
      </c>
      <c r="C26" s="50">
        <f>Q35</f>
        <v>0</v>
      </c>
      <c r="D26" s="50">
        <f>Q35</f>
        <v>0</v>
      </c>
      <c r="E26" s="50">
        <f>Q35</f>
        <v>0</v>
      </c>
      <c r="F26" s="50">
        <f>Q35</f>
        <v>0</v>
      </c>
      <c r="G26" s="50">
        <f>Q35</f>
        <v>0</v>
      </c>
      <c r="H26" s="50">
        <f>Q35</f>
        <v>0</v>
      </c>
      <c r="I26" s="50">
        <f>Q35</f>
        <v>0</v>
      </c>
      <c r="J26" s="50">
        <f>Q35</f>
        <v>0</v>
      </c>
      <c r="K26" s="27">
        <f>Q35</f>
        <v>0</v>
      </c>
      <c r="M26" s="49"/>
      <c r="N26" s="49"/>
      <c r="O26" s="42">
        <f>ROUNDUP(SUM(P24+I20),4)</f>
        <v>254.1</v>
      </c>
      <c r="P26" s="42">
        <f>ROUNDUP(SUM(P25+I20),4)</f>
        <v>266.7</v>
      </c>
      <c r="Q26" s="26">
        <v>0</v>
      </c>
      <c r="R26" s="26">
        <f>FREQUENCY(B8:K12,P26:P27)</f>
        <v>36</v>
      </c>
      <c r="T26" s="51"/>
    </row>
    <row r="27" spans="1:21" s="2" customFormat="1" ht="17.100000000000001" customHeight="1">
      <c r="A27" s="45" t="s">
        <v>70</v>
      </c>
      <c r="B27" s="27">
        <f>ROUNDUP(AVERAGE(B8:K12),4)</f>
        <v>260.92</v>
      </c>
      <c r="C27" s="27">
        <f>ROUNDUP(AVERAGE(B8:K12),4)</f>
        <v>260.92</v>
      </c>
      <c r="D27" s="27">
        <f>ROUNDUP(AVERAGE(B8:K12),4)</f>
        <v>260.92</v>
      </c>
      <c r="E27" s="50">
        <f>ROUNDUP(AVERAGE(B8:K12),4)</f>
        <v>260.92</v>
      </c>
      <c r="F27" s="50">
        <f>ROUNDUP(AVERAGE(B8:K12),4)</f>
        <v>260.92</v>
      </c>
      <c r="G27" s="50">
        <f>ROUNDUP(AVERAGE(B8:K12),4)</f>
        <v>260.92</v>
      </c>
      <c r="H27" s="27">
        <f>ROUNDUP(AVERAGE(B8:K12),4)</f>
        <v>260.92</v>
      </c>
      <c r="I27" s="27">
        <f>ROUNDUP(AVERAGE(B8:K12),4)</f>
        <v>260.92</v>
      </c>
      <c r="J27" s="27">
        <f>ROUNDUP(AVERAGE(B8:K12),4)</f>
        <v>260.92</v>
      </c>
      <c r="K27" s="27">
        <f>ROUNDUP(AVERAGE(B8:K12),4)</f>
        <v>260.92</v>
      </c>
      <c r="M27" s="49"/>
      <c r="N27" s="49"/>
      <c r="O27" s="42">
        <f>ROUNDUP(SUM(P25+I20),4)</f>
        <v>266.7</v>
      </c>
      <c r="P27" s="42">
        <f>ROUNDUP(SUM(P26+I20),4)</f>
        <v>279.3</v>
      </c>
      <c r="Q27" s="6">
        <f t="shared" si="4"/>
        <v>9</v>
      </c>
      <c r="R27" s="26">
        <f>FREQUENCY(B8:K12,P27:P28)</f>
        <v>45</v>
      </c>
    </row>
    <row r="28" spans="1:21" ht="17.100000000000001" customHeight="1">
      <c r="A28" s="45" t="s">
        <v>71</v>
      </c>
      <c r="B28" s="27">
        <f>AVERAGE(B17:K17)</f>
        <v>26.1</v>
      </c>
      <c r="C28" s="27">
        <f>AVERAGE(B17:K17)</f>
        <v>26.1</v>
      </c>
      <c r="D28" s="27">
        <f>AVERAGE(B17:K17)</f>
        <v>26.1</v>
      </c>
      <c r="E28" s="27">
        <f>AVERAGE(B17:K17)</f>
        <v>26.1</v>
      </c>
      <c r="F28" s="27">
        <f>AVERAGE(B17:K17)</f>
        <v>26.1</v>
      </c>
      <c r="G28" s="27">
        <f>AVERAGE(B17:K17)</f>
        <v>26.1</v>
      </c>
      <c r="H28" s="27">
        <f>AVERAGE(B17:K17)</f>
        <v>26.1</v>
      </c>
      <c r="I28" s="27">
        <f>AVERAGE(B17:K17)</f>
        <v>26.1</v>
      </c>
      <c r="J28" s="27">
        <f>AVERAGE(B17:K17)</f>
        <v>26.1</v>
      </c>
      <c r="K28" s="27">
        <f>AVERAGE(B17:K17)</f>
        <v>26.1</v>
      </c>
      <c r="M28" s="49"/>
      <c r="N28" s="49"/>
      <c r="O28" s="42">
        <f>ROUNDUP(SUM(P26+I20),4)</f>
        <v>279.3</v>
      </c>
      <c r="P28" s="42">
        <f>ROUNDUP(SUM(P27+I20),4)</f>
        <v>291.89999999999998</v>
      </c>
      <c r="Q28" s="6">
        <f t="shared" si="4"/>
        <v>3</v>
      </c>
      <c r="R28" s="26">
        <f>FREQUENCY(B8:K12,P28:P29)</f>
        <v>48</v>
      </c>
    </row>
    <row r="29" spans="1:21" ht="17.100000000000001" customHeight="1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49"/>
      <c r="M29" s="49"/>
      <c r="N29" s="49"/>
      <c r="O29" s="42">
        <f>ROUNDUP(SUM(P27+I20),4)</f>
        <v>291.89999999999998</v>
      </c>
      <c r="P29" s="42">
        <f>ROUNDUP(SUM(P28+I20),4)</f>
        <v>304.5</v>
      </c>
      <c r="Q29" s="6">
        <f t="shared" si="4"/>
        <v>2</v>
      </c>
      <c r="R29" s="26">
        <f>FREQUENCY(B8:K12,P29:P30)</f>
        <v>50</v>
      </c>
    </row>
    <row r="30" spans="1:21" ht="17.100000000000001" customHeight="1">
      <c r="A30" s="44"/>
      <c r="B30" s="44"/>
      <c r="C30" s="2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2">
        <f>ROUNDUP(SUM(P28+I20),4)</f>
        <v>304.5</v>
      </c>
      <c r="P30" s="42">
        <f>ROUNDUP(SUM(P29+I20),4)</f>
        <v>317.10000000000002</v>
      </c>
      <c r="Q30" s="6">
        <f t="shared" si="4"/>
        <v>0</v>
      </c>
      <c r="R30" s="26">
        <f>FREQUENCY(B8:K12,P30:P31)</f>
        <v>50</v>
      </c>
    </row>
    <row r="31" spans="1:21" ht="17.100000000000001" customHeight="1">
      <c r="A31" s="15"/>
      <c r="B31" s="15"/>
      <c r="C31" s="15"/>
      <c r="D31" s="15"/>
      <c r="E31" s="15"/>
      <c r="F31" s="52"/>
      <c r="G31" s="52"/>
      <c r="H31" s="52"/>
      <c r="I31" s="15"/>
      <c r="J31" s="87" t="s">
        <v>72</v>
      </c>
      <c r="K31" s="88"/>
      <c r="L31" s="89"/>
      <c r="M31" s="53" t="s">
        <v>73</v>
      </c>
      <c r="N31" s="47"/>
      <c r="O31" s="42">
        <f>ROUNDUP(SUM(P29+I20),4)</f>
        <v>317.10000000000002</v>
      </c>
      <c r="P31" s="42">
        <f>ROUNDUP(SUM(P30+I20),4)</f>
        <v>329.7</v>
      </c>
      <c r="Q31" s="6">
        <f t="shared" si="4"/>
        <v>0</v>
      </c>
      <c r="R31" s="26">
        <f>FREQUENCY(B8:K12,P31:P31)</f>
        <v>50</v>
      </c>
    </row>
    <row r="32" spans="1:21" ht="17.100000000000001" customHeight="1">
      <c r="A32" s="15"/>
      <c r="B32" s="20"/>
      <c r="C32" s="20"/>
      <c r="D32" s="20"/>
      <c r="E32" s="20"/>
      <c r="F32" s="20"/>
      <c r="G32" s="20"/>
      <c r="H32" s="20"/>
      <c r="I32" s="20"/>
      <c r="J32" s="87">
        <v>1</v>
      </c>
      <c r="K32" s="88"/>
      <c r="L32" s="89"/>
      <c r="M32" s="53">
        <v>0</v>
      </c>
      <c r="N32" s="49"/>
      <c r="O32" s="90" t="s">
        <v>74</v>
      </c>
      <c r="P32" s="91"/>
      <c r="Q32" s="94">
        <f>(M18+(Q12*M17))</f>
        <v>276.31900000000002</v>
      </c>
      <c r="R32" s="86"/>
      <c r="S32" s="54"/>
    </row>
    <row r="33" spans="1:20" ht="17.100000000000001" customHeight="1">
      <c r="A33" s="15"/>
      <c r="B33" s="20"/>
      <c r="C33" s="20"/>
      <c r="D33" s="20"/>
      <c r="E33" s="20"/>
      <c r="F33" s="20"/>
      <c r="G33" s="20"/>
      <c r="H33" s="20"/>
      <c r="I33" s="20"/>
      <c r="J33" s="87">
        <v>0.1</v>
      </c>
      <c r="K33" s="88"/>
      <c r="L33" s="89"/>
      <c r="M33" s="53">
        <v>1</v>
      </c>
      <c r="N33" s="49"/>
      <c r="O33" s="95" t="s">
        <v>75</v>
      </c>
      <c r="P33" s="91"/>
      <c r="Q33" s="96">
        <f>(M18-(Q12*M17))</f>
        <v>245.52100000000002</v>
      </c>
      <c r="R33" s="86"/>
      <c r="T33" s="55"/>
    </row>
    <row r="34" spans="1:20" ht="17.100000000000001" customHeight="1">
      <c r="A34" s="15"/>
      <c r="B34" s="20"/>
      <c r="C34" s="20"/>
      <c r="D34" s="20"/>
      <c r="E34" s="20"/>
      <c r="F34" s="20"/>
      <c r="G34" s="20"/>
      <c r="H34" s="20"/>
      <c r="I34" s="20"/>
      <c r="J34" s="87">
        <v>0.01</v>
      </c>
      <c r="K34" s="88"/>
      <c r="L34" s="89"/>
      <c r="M34" s="53">
        <v>2</v>
      </c>
      <c r="N34" s="49"/>
      <c r="O34" s="90" t="s">
        <v>76</v>
      </c>
      <c r="P34" s="91"/>
      <c r="Q34" s="92">
        <f>M17*R12</f>
        <v>55.070999999999998</v>
      </c>
      <c r="R34" s="86"/>
    </row>
    <row r="35" spans="1:20" ht="17.100000000000001" customHeight="1">
      <c r="A35" s="15"/>
      <c r="B35" s="20"/>
      <c r="C35" s="20"/>
      <c r="D35" s="20"/>
      <c r="E35" s="20"/>
      <c r="F35" s="20"/>
      <c r="G35" s="20"/>
      <c r="H35" s="20"/>
      <c r="I35" s="20"/>
      <c r="J35" s="87">
        <v>1E-3</v>
      </c>
      <c r="K35" s="88"/>
      <c r="L35" s="89"/>
      <c r="M35" s="56">
        <v>3</v>
      </c>
      <c r="N35" s="49"/>
      <c r="O35" s="90" t="s">
        <v>77</v>
      </c>
      <c r="P35" s="91"/>
      <c r="Q35" s="93">
        <f>M17*0</f>
        <v>0</v>
      </c>
      <c r="R35" s="83"/>
    </row>
    <row r="36" spans="1:20" s="60" customFormat="1" ht="17.100000000000001" customHeight="1">
      <c r="A36" s="57"/>
      <c r="B36" s="58"/>
      <c r="C36" s="57"/>
      <c r="D36" s="59"/>
      <c r="E36" s="59"/>
      <c r="F36" s="59"/>
      <c r="G36" s="59"/>
      <c r="H36" s="59"/>
      <c r="I36" s="59"/>
      <c r="J36" s="79">
        <v>1E-4</v>
      </c>
      <c r="K36" s="79"/>
      <c r="L36" s="79"/>
      <c r="M36" s="56">
        <v>4</v>
      </c>
      <c r="N36" s="59"/>
      <c r="O36" s="80" t="s">
        <v>78</v>
      </c>
      <c r="P36" s="81"/>
      <c r="Q36" s="82">
        <f>STDEV(B8:K12)</f>
        <v>13.175177650508131</v>
      </c>
      <c r="R36" s="83"/>
    </row>
    <row r="37" spans="1:20" ht="17.100000000000001" customHeight="1">
      <c r="A37" s="58"/>
      <c r="B37" s="58"/>
      <c r="C37" s="59"/>
      <c r="D37" s="59"/>
      <c r="E37" s="59"/>
      <c r="F37" s="59"/>
      <c r="G37" s="59"/>
      <c r="H37" s="59"/>
      <c r="I37" s="59"/>
      <c r="J37" s="61"/>
      <c r="K37" s="59"/>
      <c r="L37" s="59"/>
      <c r="N37" s="59"/>
      <c r="O37" s="84" t="s">
        <v>94</v>
      </c>
      <c r="P37" s="85"/>
      <c r="Q37" s="82">
        <f>ROUNDUP(SUM(I19/(6*Q36)),4)</f>
        <v>3.7951000000000001</v>
      </c>
      <c r="R37" s="86"/>
    </row>
    <row r="38" spans="1:20" ht="15" customHeight="1">
      <c r="A38" s="69" t="s">
        <v>79</v>
      </c>
      <c r="B38" s="69"/>
      <c r="C38" s="70" t="str">
        <f>IF(OR(AND(Q37&gt;=0,Q37&lt;=0.5),AND(Q38&gt;=0,Q38&lt;=0.5)),"PROCESS IS VERY POOR TAKE IMMEDIATE ACTION",IF(OR(AND(Q37&gt;0.5,Q37&lt;=1.33),AND(Q38&gt;0.5,Q38&lt;=1.33)),"PROCESS NEEDS CORRECTION ,Cp &amp; Cpk SHOULD BE &gt;=1.33",IF(OR(AND(Q37&gt;1,Q37&lt;=1.67),AND(Q38&gt;1,Q38&lt;=1.67)),"PROCESS IS GOOD BUT STILL IMPROVEMENT IS REQIURED","PROCESS IS EXCELLENT")))</f>
        <v>PROCESS IS EXCELLENT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  <c r="O38" s="177" t="s">
        <v>93</v>
      </c>
      <c r="P38" s="85"/>
      <c r="Q38" s="82">
        <f>ROUNDUP(SUM((1-N19)*Q37),4)</f>
        <v>3.5185000000000004</v>
      </c>
      <c r="R38" s="86"/>
    </row>
    <row r="39" spans="1:20" ht="15" customHeight="1">
      <c r="A39" s="69"/>
      <c r="B39" s="69"/>
      <c r="C39" s="7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5"/>
      <c r="O39" s="173" t="s">
        <v>80</v>
      </c>
      <c r="P39" s="174"/>
      <c r="Q39" s="175"/>
      <c r="R39" s="176"/>
    </row>
    <row r="40" spans="1:20" ht="15" customHeight="1">
      <c r="A40" s="69"/>
      <c r="B40" s="69"/>
      <c r="C40" s="7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8"/>
      <c r="O40" s="173" t="s">
        <v>92</v>
      </c>
      <c r="P40" s="174"/>
      <c r="Q40" s="175"/>
      <c r="R40" s="176"/>
    </row>
    <row r="41" spans="1:20" ht="15.75" customHeight="1">
      <c r="M41" s="63"/>
      <c r="P41" s="64"/>
    </row>
  </sheetData>
  <mergeCells count="75">
    <mergeCell ref="H5:J5"/>
    <mergeCell ref="K5:L5"/>
    <mergeCell ref="A1:R1"/>
    <mergeCell ref="A2:R2"/>
    <mergeCell ref="A3:B3"/>
    <mergeCell ref="C3:E3"/>
    <mergeCell ref="F3:G3"/>
    <mergeCell ref="H3:J3"/>
    <mergeCell ref="K3:L3"/>
    <mergeCell ref="N3:N4"/>
    <mergeCell ref="O3:R4"/>
    <mergeCell ref="A4:B4"/>
    <mergeCell ref="C4:E4"/>
    <mergeCell ref="F4:G4"/>
    <mergeCell ref="H4:J4"/>
    <mergeCell ref="K4:L4"/>
    <mergeCell ref="N17:P17"/>
    <mergeCell ref="O5:P5"/>
    <mergeCell ref="A6:L6"/>
    <mergeCell ref="M6:Q6"/>
    <mergeCell ref="L7:L9"/>
    <mergeCell ref="M7:N9"/>
    <mergeCell ref="L10:L12"/>
    <mergeCell ref="M10:N12"/>
    <mergeCell ref="A13:R13"/>
    <mergeCell ref="A14:R14"/>
    <mergeCell ref="N15:P16"/>
    <mergeCell ref="Q15:Q16"/>
    <mergeCell ref="R15:R16"/>
    <mergeCell ref="A5:B5"/>
    <mergeCell ref="C5:E5"/>
    <mergeCell ref="F5:G5"/>
    <mergeCell ref="N18:P18"/>
    <mergeCell ref="A19:C19"/>
    <mergeCell ref="D19:E19"/>
    <mergeCell ref="F19:H19"/>
    <mergeCell ref="I19:J19"/>
    <mergeCell ref="K19:M19"/>
    <mergeCell ref="O19:P19"/>
    <mergeCell ref="A21:C21"/>
    <mergeCell ref="D21:E21"/>
    <mergeCell ref="F21:H21"/>
    <mergeCell ref="I21:J21"/>
    <mergeCell ref="K21:M21"/>
    <mergeCell ref="A20:C20"/>
    <mergeCell ref="D20:E20"/>
    <mergeCell ref="F20:H20"/>
    <mergeCell ref="I20:J20"/>
    <mergeCell ref="K20:M20"/>
    <mergeCell ref="J31:L31"/>
    <mergeCell ref="J32:L32"/>
    <mergeCell ref="O32:P32"/>
    <mergeCell ref="Q32:R32"/>
    <mergeCell ref="J33:L33"/>
    <mergeCell ref="O33:P33"/>
    <mergeCell ref="Q33:R33"/>
    <mergeCell ref="J36:L36"/>
    <mergeCell ref="O36:P36"/>
    <mergeCell ref="Q36:R36"/>
    <mergeCell ref="O37:P37"/>
    <mergeCell ref="Q37:R37"/>
    <mergeCell ref="J34:L34"/>
    <mergeCell ref="O34:P34"/>
    <mergeCell ref="Q34:R34"/>
    <mergeCell ref="J35:L35"/>
    <mergeCell ref="O35:P35"/>
    <mergeCell ref="Q35:R35"/>
    <mergeCell ref="O40:P40"/>
    <mergeCell ref="Q40:R40"/>
    <mergeCell ref="C38:N40"/>
    <mergeCell ref="A38:B40"/>
    <mergeCell ref="O38:P38"/>
    <mergeCell ref="Q38:R38"/>
    <mergeCell ref="Q39:R39"/>
    <mergeCell ref="O39:P39"/>
  </mergeCells>
  <printOptions horizontalCentered="1"/>
  <pageMargins left="0.3" right="0.14000000000000001" top="0.43" bottom="0.37" header="0.37" footer="0.28999999999999998"/>
  <pageSetup scale="82" orientation="landscape" horizontalDpi="300" verticalDpi="300" r:id="rId1"/>
  <headerFooter alignWithMargins="0">
    <oddFooter>&amp;CPage &amp;P&amp;R&amp;Z&amp;F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41"/>
  <sheetViews>
    <sheetView showGridLines="0" topLeftCell="A19" zoomScaleSheetLayoutView="100" workbookViewId="0">
      <selection activeCell="O39" sqref="O39:R40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7" width="7.140625" style="1" bestFit="1" customWidth="1"/>
    <col min="18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65.25" customHeight="1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50"/>
    </row>
    <row r="2" spans="1:32" s="2" customFormat="1" ht="35.1" customHeight="1">
      <c r="A2" s="151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spans="1:32" s="4" customFormat="1" ht="15" customHeight="1">
      <c r="A3" s="154" t="s">
        <v>2</v>
      </c>
      <c r="B3" s="155"/>
      <c r="C3" s="191" t="s">
        <v>81</v>
      </c>
      <c r="D3" s="192"/>
      <c r="E3" s="193"/>
      <c r="F3" s="154" t="s">
        <v>3</v>
      </c>
      <c r="G3" s="194"/>
      <c r="H3" s="191" t="s">
        <v>4</v>
      </c>
      <c r="I3" s="192"/>
      <c r="J3" s="193"/>
      <c r="K3" s="195" t="s">
        <v>5</v>
      </c>
      <c r="L3" s="155"/>
      <c r="M3" s="3" t="s">
        <v>6</v>
      </c>
      <c r="N3" s="163"/>
      <c r="O3" s="165"/>
      <c r="P3" s="166"/>
      <c r="Q3" s="166"/>
      <c r="R3" s="167"/>
    </row>
    <row r="4" spans="1:32" s="4" customFormat="1" ht="15" customHeight="1">
      <c r="A4" s="90" t="s">
        <v>7</v>
      </c>
      <c r="B4" s="138"/>
      <c r="C4" s="187" t="s">
        <v>8</v>
      </c>
      <c r="D4" s="188"/>
      <c r="E4" s="189"/>
      <c r="F4" s="90" t="s">
        <v>9</v>
      </c>
      <c r="G4" s="186"/>
      <c r="H4" s="187" t="s">
        <v>10</v>
      </c>
      <c r="I4" s="188"/>
      <c r="J4" s="189"/>
      <c r="K4" s="97" t="s">
        <v>11</v>
      </c>
      <c r="L4" s="138"/>
      <c r="M4" s="5" t="s">
        <v>12</v>
      </c>
      <c r="N4" s="164"/>
      <c r="O4" s="168"/>
      <c r="P4" s="169"/>
      <c r="Q4" s="169"/>
      <c r="R4" s="170"/>
    </row>
    <row r="5" spans="1:32" s="4" customFormat="1" ht="15" customHeight="1">
      <c r="A5" s="90" t="s">
        <v>13</v>
      </c>
      <c r="B5" s="138"/>
      <c r="C5" s="93" t="s">
        <v>14</v>
      </c>
      <c r="D5" s="184"/>
      <c r="E5" s="185"/>
      <c r="F5" s="90" t="s">
        <v>15</v>
      </c>
      <c r="G5" s="186"/>
      <c r="H5" s="187" t="s">
        <v>16</v>
      </c>
      <c r="I5" s="188"/>
      <c r="J5" s="189"/>
      <c r="K5" s="90" t="s">
        <v>17</v>
      </c>
      <c r="L5" s="190"/>
      <c r="M5" s="5">
        <v>1</v>
      </c>
      <c r="N5" s="6"/>
      <c r="O5" s="105"/>
      <c r="P5" s="106"/>
      <c r="Q5" s="6" t="s">
        <v>18</v>
      </c>
      <c r="R5" s="7" t="s">
        <v>99</v>
      </c>
    </row>
    <row r="6" spans="1:32" s="4" customFormat="1" ht="15" customHeight="1">
      <c r="A6" s="107" t="s">
        <v>19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9"/>
      <c r="M6" s="110" t="s">
        <v>20</v>
      </c>
      <c r="N6" s="111"/>
      <c r="O6" s="111"/>
      <c r="P6" s="111"/>
      <c r="Q6" s="83"/>
      <c r="R6" s="8" t="s">
        <v>21</v>
      </c>
    </row>
    <row r="7" spans="1:32" s="4" customFormat="1" ht="15" customHeight="1">
      <c r="A7" s="9" t="s">
        <v>22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112" t="s">
        <v>82</v>
      </c>
      <c r="M7" s="178">
        <v>2100</v>
      </c>
      <c r="N7" s="179"/>
      <c r="O7" s="10" t="s">
        <v>23</v>
      </c>
      <c r="P7" s="11" t="s">
        <v>24</v>
      </c>
      <c r="Q7" s="11" t="s">
        <v>25</v>
      </c>
      <c r="R7" s="11" t="s">
        <v>26</v>
      </c>
    </row>
    <row r="8" spans="1:32" s="4" customFormat="1" ht="15" customHeight="1">
      <c r="A8" s="9">
        <v>1</v>
      </c>
      <c r="B8" s="12">
        <v>1934</v>
      </c>
      <c r="C8" s="12">
        <v>1958</v>
      </c>
      <c r="D8" s="12">
        <v>1962</v>
      </c>
      <c r="E8" s="12">
        <v>1967</v>
      </c>
      <c r="F8" s="12">
        <v>1947</v>
      </c>
      <c r="G8" s="12">
        <v>1954</v>
      </c>
      <c r="H8" s="12">
        <v>1960</v>
      </c>
      <c r="I8" s="12">
        <v>1972</v>
      </c>
      <c r="J8" s="12">
        <v>1928</v>
      </c>
      <c r="K8" s="12">
        <v>1934</v>
      </c>
      <c r="L8" s="113"/>
      <c r="M8" s="180"/>
      <c r="N8" s="181"/>
      <c r="O8" s="13" t="s">
        <v>27</v>
      </c>
      <c r="P8" s="6">
        <v>1.123</v>
      </c>
      <c r="Q8" s="13" t="s">
        <v>28</v>
      </c>
      <c r="R8" s="13" t="s">
        <v>29</v>
      </c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s="4" customFormat="1" ht="15" customHeight="1">
      <c r="A9" s="9">
        <v>2</v>
      </c>
      <c r="B9" s="12">
        <v>1928</v>
      </c>
      <c r="C9" s="12">
        <v>1934</v>
      </c>
      <c r="D9" s="12">
        <v>1928</v>
      </c>
      <c r="E9" s="12">
        <v>1936</v>
      </c>
      <c r="F9" s="12">
        <v>1937</v>
      </c>
      <c r="G9" s="12">
        <v>1948</v>
      </c>
      <c r="H9" s="12">
        <v>1955</v>
      </c>
      <c r="I9" s="12">
        <v>1940</v>
      </c>
      <c r="J9" s="12">
        <v>1985</v>
      </c>
      <c r="K9" s="12">
        <v>1942</v>
      </c>
      <c r="L9" s="114"/>
      <c r="M9" s="182"/>
      <c r="N9" s="183"/>
      <c r="O9" s="13" t="s">
        <v>30</v>
      </c>
      <c r="P9" s="6">
        <v>1.1279999999999999</v>
      </c>
      <c r="Q9" s="13" t="s">
        <v>31</v>
      </c>
      <c r="R9" s="13" t="s">
        <v>29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16">
        <v>3</v>
      </c>
      <c r="B10" s="12">
        <v>1948</v>
      </c>
      <c r="C10" s="12">
        <v>1925</v>
      </c>
      <c r="D10" s="12">
        <v>1938</v>
      </c>
      <c r="E10" s="12">
        <v>1984</v>
      </c>
      <c r="F10" s="12">
        <v>1935</v>
      </c>
      <c r="G10" s="12">
        <v>1928</v>
      </c>
      <c r="H10" s="12">
        <v>1938</v>
      </c>
      <c r="I10" s="12">
        <v>1945</v>
      </c>
      <c r="J10" s="12">
        <v>1938</v>
      </c>
      <c r="K10" s="12">
        <v>1957</v>
      </c>
      <c r="L10" s="112" t="s">
        <v>83</v>
      </c>
      <c r="M10" s="178">
        <v>1800</v>
      </c>
      <c r="N10" s="179"/>
      <c r="O10" s="17" t="s">
        <v>32</v>
      </c>
      <c r="P10" s="18">
        <v>1.6930000000000001</v>
      </c>
      <c r="Q10" s="13" t="s">
        <v>33</v>
      </c>
      <c r="R10" s="13" t="s">
        <v>34</v>
      </c>
      <c r="T10" s="15" t="s">
        <v>35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19">
        <v>4</v>
      </c>
      <c r="B11" s="12">
        <v>1948</v>
      </c>
      <c r="C11" s="12">
        <v>1968</v>
      </c>
      <c r="D11" s="12">
        <v>1975</v>
      </c>
      <c r="E11" s="12">
        <v>1925</v>
      </c>
      <c r="F11" s="12">
        <v>1948</v>
      </c>
      <c r="G11" s="12">
        <v>1952</v>
      </c>
      <c r="H11" s="12">
        <v>1948</v>
      </c>
      <c r="I11" s="12">
        <v>1935</v>
      </c>
      <c r="J11" s="12">
        <v>1942</v>
      </c>
      <c r="K11" s="12">
        <v>1935</v>
      </c>
      <c r="L11" s="121"/>
      <c r="M11" s="180"/>
      <c r="N11" s="181"/>
      <c r="O11" s="13" t="s">
        <v>36</v>
      </c>
      <c r="P11" s="6">
        <v>2.0590000000000002</v>
      </c>
      <c r="Q11" s="13" t="s">
        <v>37</v>
      </c>
      <c r="R11" s="13" t="s">
        <v>38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5"/>
      <c r="AE11" s="15"/>
      <c r="AF11" s="15"/>
    </row>
    <row r="12" spans="1:32" s="4" customFormat="1" ht="15" customHeight="1">
      <c r="A12" s="21">
        <v>5</v>
      </c>
      <c r="B12" s="12">
        <v>1935</v>
      </c>
      <c r="C12" s="12">
        <v>1928</v>
      </c>
      <c r="D12" s="12">
        <v>1945</v>
      </c>
      <c r="E12" s="12">
        <v>1948</v>
      </c>
      <c r="F12" s="12">
        <v>1935</v>
      </c>
      <c r="G12" s="12">
        <v>1925</v>
      </c>
      <c r="H12" s="12">
        <v>1940</v>
      </c>
      <c r="I12" s="12">
        <v>1928</v>
      </c>
      <c r="J12" s="12">
        <v>1937</v>
      </c>
      <c r="K12" s="12">
        <v>1934</v>
      </c>
      <c r="L12" s="122"/>
      <c r="M12" s="182"/>
      <c r="N12" s="183"/>
      <c r="O12" s="22" t="s">
        <v>39</v>
      </c>
      <c r="P12" s="23">
        <v>2.3260000000000001</v>
      </c>
      <c r="Q12" s="13" t="s">
        <v>40</v>
      </c>
      <c r="R12" s="13" t="s">
        <v>41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107">
        <v>11.99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4"/>
      <c r="S13" s="15"/>
      <c r="T13" s="15"/>
      <c r="U13" s="15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s="4" customFormat="1" ht="15" customHeight="1">
      <c r="A14" s="125" t="s">
        <v>42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7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24" t="s">
        <v>43</v>
      </c>
      <c r="B15" s="25">
        <f t="shared" ref="B15:K15" si="0">MAX(B8:B12)</f>
        <v>1948</v>
      </c>
      <c r="C15" s="25">
        <f t="shared" si="0"/>
        <v>1968</v>
      </c>
      <c r="D15" s="25">
        <f t="shared" si="0"/>
        <v>1975</v>
      </c>
      <c r="E15" s="25">
        <f t="shared" si="0"/>
        <v>1984</v>
      </c>
      <c r="F15" s="25">
        <f t="shared" si="0"/>
        <v>1948</v>
      </c>
      <c r="G15" s="25">
        <f t="shared" si="0"/>
        <v>1954</v>
      </c>
      <c r="H15" s="25">
        <f t="shared" si="0"/>
        <v>1960</v>
      </c>
      <c r="I15" s="25">
        <f>MAX(I8:I12)</f>
        <v>1972</v>
      </c>
      <c r="J15" s="25">
        <f t="shared" si="0"/>
        <v>1985</v>
      </c>
      <c r="K15" s="26">
        <f t="shared" si="0"/>
        <v>1957</v>
      </c>
      <c r="L15" s="6" t="s">
        <v>44</v>
      </c>
      <c r="M15" s="27">
        <f>(MAX(B15:K15))</f>
        <v>1985</v>
      </c>
      <c r="N15" s="128" t="s">
        <v>45</v>
      </c>
      <c r="O15" s="129"/>
      <c r="P15" s="130"/>
      <c r="Q15" s="134">
        <f>SUM(Q17:R18)</f>
        <v>0</v>
      </c>
      <c r="R15" s="136" t="s">
        <v>46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5"/>
      <c r="AE15" s="15"/>
      <c r="AF15" s="15"/>
    </row>
    <row r="16" spans="1:32" s="4" customFormat="1" ht="15" customHeight="1">
      <c r="A16" s="28" t="s">
        <v>47</v>
      </c>
      <c r="B16" s="26">
        <f t="shared" ref="B16:J16" si="1">MIN(B8:B12)</f>
        <v>1928</v>
      </c>
      <c r="C16" s="25">
        <f>MIN(C8:C12)</f>
        <v>1925</v>
      </c>
      <c r="D16" s="26">
        <f t="shared" si="1"/>
        <v>1928</v>
      </c>
      <c r="E16" s="26">
        <f t="shared" si="1"/>
        <v>1925</v>
      </c>
      <c r="F16" s="26">
        <f t="shared" si="1"/>
        <v>1935</v>
      </c>
      <c r="G16" s="26">
        <f>MIN(G8:G12)</f>
        <v>1925</v>
      </c>
      <c r="H16" s="26">
        <f t="shared" si="1"/>
        <v>1938</v>
      </c>
      <c r="I16" s="25">
        <f>MIN(I8:I12)</f>
        <v>1928</v>
      </c>
      <c r="J16" s="26">
        <f t="shared" si="1"/>
        <v>1928</v>
      </c>
      <c r="K16" s="26">
        <f>MIN(K8:K12)</f>
        <v>1934</v>
      </c>
      <c r="L16" s="6" t="s">
        <v>48</v>
      </c>
      <c r="M16" s="27">
        <f>MIN(B16:K16)</f>
        <v>1925</v>
      </c>
      <c r="N16" s="131"/>
      <c r="O16" s="132"/>
      <c r="P16" s="133"/>
      <c r="Q16" s="135"/>
      <c r="R16" s="137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21" s="4" customFormat="1" ht="15" customHeight="1">
      <c r="A17" s="29" t="s">
        <v>49</v>
      </c>
      <c r="B17" s="30">
        <f t="shared" ref="B17:K17" si="2">SUM(MAX(B8:B12)-MIN(B8:B12))</f>
        <v>20</v>
      </c>
      <c r="C17" s="30">
        <f t="shared" si="2"/>
        <v>43</v>
      </c>
      <c r="D17" s="30">
        <f t="shared" si="2"/>
        <v>47</v>
      </c>
      <c r="E17" s="30">
        <f t="shared" si="2"/>
        <v>59</v>
      </c>
      <c r="F17" s="30">
        <f t="shared" si="2"/>
        <v>13</v>
      </c>
      <c r="G17" s="30">
        <f>SUM(MAX(G8:G12)-MIN(G8:G12))</f>
        <v>29</v>
      </c>
      <c r="H17" s="30">
        <f t="shared" si="2"/>
        <v>22</v>
      </c>
      <c r="I17" s="30">
        <f t="shared" si="2"/>
        <v>44</v>
      </c>
      <c r="J17" s="30">
        <f t="shared" si="2"/>
        <v>57</v>
      </c>
      <c r="K17" s="26">
        <f t="shared" si="2"/>
        <v>23</v>
      </c>
      <c r="L17" s="31" t="s">
        <v>50</v>
      </c>
      <c r="M17" s="32">
        <f>AVERAGE(B17:K17)</f>
        <v>35.700000000000003</v>
      </c>
      <c r="N17" s="100" t="s">
        <v>51</v>
      </c>
      <c r="O17" s="104"/>
      <c r="P17" s="104"/>
      <c r="Q17" s="33">
        <f>COUNTIF(B8:K12,"&gt;"&amp;TEXT(M7,"0.000000"))</f>
        <v>0</v>
      </c>
      <c r="R17" s="34" t="s">
        <v>46</v>
      </c>
      <c r="U17" s="35"/>
    </row>
    <row r="18" spans="1:21" s="4" customFormat="1" ht="15" customHeight="1">
      <c r="A18" s="6" t="s">
        <v>52</v>
      </c>
      <c r="B18" s="26">
        <f>(AVERAGE(B8:B12))</f>
        <v>1938.6</v>
      </c>
      <c r="C18" s="26">
        <f t="shared" ref="C18:K18" si="3">AVERAGE(C8:C12)</f>
        <v>1942.6</v>
      </c>
      <c r="D18" s="26">
        <f t="shared" si="3"/>
        <v>1949.6</v>
      </c>
      <c r="E18" s="26">
        <f t="shared" si="3"/>
        <v>1952</v>
      </c>
      <c r="F18" s="26">
        <f t="shared" si="3"/>
        <v>1940.4</v>
      </c>
      <c r="G18" s="26">
        <f>AVERAGE(G8:G12)</f>
        <v>1941.4</v>
      </c>
      <c r="H18" s="26">
        <f t="shared" si="3"/>
        <v>1948.2</v>
      </c>
      <c r="I18" s="26">
        <f t="shared" si="3"/>
        <v>1944</v>
      </c>
      <c r="J18" s="26">
        <f t="shared" si="3"/>
        <v>1946</v>
      </c>
      <c r="K18" s="26">
        <f t="shared" si="3"/>
        <v>1940.4</v>
      </c>
      <c r="L18" s="31" t="s">
        <v>53</v>
      </c>
      <c r="M18" s="36">
        <f>ROUNDUP(AVERAGE(B8:K12),4)</f>
        <v>1944.32</v>
      </c>
      <c r="N18" s="100" t="s">
        <v>54</v>
      </c>
      <c r="O18" s="101"/>
      <c r="P18" s="101"/>
      <c r="Q18" s="37">
        <f>COUNTIF(B8:K12,"&lt;"&amp;TEXT(M10,"0.000000"))</f>
        <v>0</v>
      </c>
      <c r="R18" s="38" t="s">
        <v>46</v>
      </c>
    </row>
    <row r="19" spans="1:21" s="4" customFormat="1" ht="15" customHeight="1">
      <c r="A19" s="90" t="s">
        <v>55</v>
      </c>
      <c r="B19" s="97"/>
      <c r="C19" s="97"/>
      <c r="D19" s="88">
        <f>ROUNDUP(SUM(M15-M16),4)</f>
        <v>60</v>
      </c>
      <c r="E19" s="89"/>
      <c r="F19" s="90" t="s">
        <v>56</v>
      </c>
      <c r="G19" s="97"/>
      <c r="H19" s="97"/>
      <c r="I19" s="88">
        <f>ROUNDUP(ABS(SUM(M7-M10)),4)</f>
        <v>300</v>
      </c>
      <c r="J19" s="89"/>
      <c r="K19" s="90" t="s">
        <v>57</v>
      </c>
      <c r="L19" s="97"/>
      <c r="M19" s="97"/>
      <c r="N19" s="39">
        <f>ROUNDUP(SUM((2*(N21))/I19),4)</f>
        <v>3.7900000000000003E-2</v>
      </c>
      <c r="O19" s="102" t="s">
        <v>58</v>
      </c>
      <c r="P19" s="103"/>
      <c r="Q19" s="40" t="s">
        <v>59</v>
      </c>
      <c r="R19" s="40" t="s">
        <v>60</v>
      </c>
    </row>
    <row r="20" spans="1:21" s="4" customFormat="1" ht="15" customHeight="1">
      <c r="A20" s="90" t="s">
        <v>61</v>
      </c>
      <c r="B20" s="97"/>
      <c r="C20" s="97"/>
      <c r="D20" s="88">
        <f>ROUNDUP(AVERAGE(M7:M10),4)</f>
        <v>1950</v>
      </c>
      <c r="E20" s="89"/>
      <c r="F20" s="90" t="s">
        <v>62</v>
      </c>
      <c r="G20" s="97"/>
      <c r="H20" s="97"/>
      <c r="I20" s="98">
        <f>ROUNDUP(SUM(D19/N20),4)</f>
        <v>12</v>
      </c>
      <c r="J20" s="99"/>
      <c r="K20" s="90" t="s">
        <v>63</v>
      </c>
      <c r="L20" s="97"/>
      <c r="M20" s="97"/>
      <c r="N20" s="41" t="str">
        <f>IF(I21/10&lt;=5,"5",IF(I21/10&lt;=6,"6",IF(I21/10&lt;=7,"7","8")))</f>
        <v>5</v>
      </c>
      <c r="O20" s="42">
        <f>ROUNDUP(SUM(P20-I20),4)</f>
        <v>1876.9</v>
      </c>
      <c r="P20" s="42">
        <f>ROUNDUP(SUM(P21-I20),4)</f>
        <v>1888.9</v>
      </c>
      <c r="Q20" s="26">
        <f>SUM(R20)</f>
        <v>0</v>
      </c>
      <c r="R20" s="26">
        <f>FREQUENCY(B8:K12,P20:P21)</f>
        <v>0</v>
      </c>
    </row>
    <row r="21" spans="1:21" s="4" customFormat="1" ht="15" customHeight="1">
      <c r="A21" s="90" t="s">
        <v>64</v>
      </c>
      <c r="B21" s="97"/>
      <c r="C21" s="97"/>
      <c r="D21" s="88">
        <f>ROUNDUP(SUM(M16-(IF(M5=M32,J32,IF(M5=M33,J33,IF(M5=M34,J34,IF(M5=M35,J35,IF(M5=M36,J36))))))),4)</f>
        <v>1924.9</v>
      </c>
      <c r="E21" s="89"/>
      <c r="F21" s="90" t="s">
        <v>65</v>
      </c>
      <c r="G21" s="97"/>
      <c r="H21" s="97"/>
      <c r="I21" s="88">
        <f>COUNTIF((B8:K12),"&gt;0")</f>
        <v>50</v>
      </c>
      <c r="J21" s="88"/>
      <c r="K21" s="90" t="s">
        <v>66</v>
      </c>
      <c r="L21" s="97"/>
      <c r="M21" s="97"/>
      <c r="N21" s="43">
        <f>(ABS(SUM(M18-D20)))</f>
        <v>5.6800000000000637</v>
      </c>
      <c r="O21" s="42">
        <f>ROUNDUP(SUM(P21-I20),4)</f>
        <v>1888.9</v>
      </c>
      <c r="P21" s="42">
        <f>ROUNDUP(SUM(P22-I20),4)</f>
        <v>1900.9</v>
      </c>
      <c r="Q21" s="26">
        <f t="shared" ref="Q21:Q31" si="4">SUM(R21-R20)</f>
        <v>0</v>
      </c>
      <c r="R21" s="26">
        <f>FREQUENCY(B8:K12,P21:P22)</f>
        <v>0</v>
      </c>
    </row>
    <row r="22" spans="1:21" s="2" customFormat="1" ht="17.100000000000001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2">
        <f>ROUNDUP(SUM(P22-I20),4)</f>
        <v>1900.9</v>
      </c>
      <c r="P22" s="42">
        <f>ROUNDUP(SUM(P23-I20),4)</f>
        <v>1912.9</v>
      </c>
      <c r="Q22" s="26">
        <f t="shared" si="4"/>
        <v>0</v>
      </c>
      <c r="R22" s="26">
        <f>FREQUENCY(B8:K12,P22:P23)</f>
        <v>0</v>
      </c>
    </row>
    <row r="23" spans="1:21" s="2" customFormat="1" ht="17.100000000000001" customHeight="1">
      <c r="A23" s="45" t="s">
        <v>67</v>
      </c>
      <c r="B23" s="6">
        <f>Q32</f>
        <v>1965.383</v>
      </c>
      <c r="C23" s="6">
        <f>Q32</f>
        <v>1965.383</v>
      </c>
      <c r="D23" s="6">
        <f>Q32</f>
        <v>1965.383</v>
      </c>
      <c r="E23" s="6">
        <f>Q32</f>
        <v>1965.383</v>
      </c>
      <c r="F23" s="46">
        <f>Q32</f>
        <v>1965.383</v>
      </c>
      <c r="G23" s="46">
        <f>Q32</f>
        <v>1965.383</v>
      </c>
      <c r="H23" s="46">
        <f>Q32</f>
        <v>1965.383</v>
      </c>
      <c r="I23" s="6">
        <f>Q32</f>
        <v>1965.383</v>
      </c>
      <c r="J23" s="6">
        <f>Q32</f>
        <v>1965.383</v>
      </c>
      <c r="K23" s="27">
        <f>Q32</f>
        <v>1965.383</v>
      </c>
      <c r="M23" s="47"/>
      <c r="N23" s="47"/>
      <c r="O23" s="42">
        <f>ROUNDUP(SUM(P23-I20),4)</f>
        <v>1912.9</v>
      </c>
      <c r="P23" s="42">
        <f>ROUNDUP((D21),4)</f>
        <v>1924.9</v>
      </c>
      <c r="Q23" s="26">
        <f t="shared" si="4"/>
        <v>0</v>
      </c>
      <c r="R23" s="26">
        <f>FREQUENCY(B8:K12,P23:P24)</f>
        <v>0</v>
      </c>
    </row>
    <row r="24" spans="1:21" s="2" customFormat="1" ht="17.100000000000001" customHeight="1">
      <c r="A24" s="48" t="s">
        <v>68</v>
      </c>
      <c r="B24" s="27">
        <f>Q33</f>
        <v>1923.2569999999998</v>
      </c>
      <c r="C24" s="27">
        <f>Q33</f>
        <v>1923.2569999999998</v>
      </c>
      <c r="D24" s="27">
        <f>Q33</f>
        <v>1923.2569999999998</v>
      </c>
      <c r="E24" s="27">
        <f>Q33</f>
        <v>1923.2569999999998</v>
      </c>
      <c r="F24" s="27">
        <f>Q33</f>
        <v>1923.2569999999998</v>
      </c>
      <c r="G24" s="27">
        <f>Q33</f>
        <v>1923.2569999999998</v>
      </c>
      <c r="H24" s="27">
        <f>Q33</f>
        <v>1923.2569999999998</v>
      </c>
      <c r="I24" s="27">
        <f>Q33</f>
        <v>1923.2569999999998</v>
      </c>
      <c r="J24" s="27">
        <f>Q33</f>
        <v>1923.2569999999998</v>
      </c>
      <c r="K24" s="27">
        <f>Q33</f>
        <v>1923.2569999999998</v>
      </c>
      <c r="M24" s="49"/>
      <c r="N24" s="49"/>
      <c r="O24" s="42">
        <f>ROUNDUP((D21),4)</f>
        <v>1924.9</v>
      </c>
      <c r="P24" s="42">
        <f>ROUNDUP(SUM(P23+I20),4)</f>
        <v>1936.9</v>
      </c>
      <c r="Q24" s="26">
        <f t="shared" si="4"/>
        <v>19</v>
      </c>
      <c r="R24" s="26">
        <f>FREQUENCY(B8:K12,P24:P25)</f>
        <v>19</v>
      </c>
    </row>
    <row r="25" spans="1:21" s="2" customFormat="1" ht="17.100000000000001" customHeight="1">
      <c r="A25" s="45" t="s">
        <v>69</v>
      </c>
      <c r="B25" s="27">
        <f>Q34</f>
        <v>75.326999999999998</v>
      </c>
      <c r="C25" s="27">
        <f>Q34</f>
        <v>75.326999999999998</v>
      </c>
      <c r="D25" s="27">
        <f>Q34</f>
        <v>75.326999999999998</v>
      </c>
      <c r="E25" s="50">
        <f>Q34</f>
        <v>75.326999999999998</v>
      </c>
      <c r="F25" s="50">
        <f>Q34</f>
        <v>75.326999999999998</v>
      </c>
      <c r="G25" s="50">
        <f>Q34</f>
        <v>75.326999999999998</v>
      </c>
      <c r="H25" s="27">
        <f>Q34</f>
        <v>75.326999999999998</v>
      </c>
      <c r="I25" s="27">
        <f>Q34</f>
        <v>75.326999999999998</v>
      </c>
      <c r="J25" s="27">
        <f>Q34</f>
        <v>75.326999999999998</v>
      </c>
      <c r="K25" s="27">
        <f>Q34</f>
        <v>75.326999999999998</v>
      </c>
      <c r="M25" s="49"/>
      <c r="N25" s="49"/>
      <c r="O25" s="42">
        <f>ROUNDUP(SUM(P23+I20),4)</f>
        <v>1936.9</v>
      </c>
      <c r="P25" s="42">
        <f>ROUNDUP(SUM(P24+I20),4)</f>
        <v>1948.9</v>
      </c>
      <c r="Q25" s="26">
        <f t="shared" si="4"/>
        <v>18</v>
      </c>
      <c r="R25" s="26">
        <f>FREQUENCY(B8:K12,P25:P26)</f>
        <v>37</v>
      </c>
    </row>
    <row r="26" spans="1:21" s="2" customFormat="1" ht="17.100000000000001" customHeight="1">
      <c r="A26" s="45" t="s">
        <v>68</v>
      </c>
      <c r="B26" s="50">
        <f>Q35</f>
        <v>0</v>
      </c>
      <c r="C26" s="50">
        <f>Q35</f>
        <v>0</v>
      </c>
      <c r="D26" s="50">
        <f>Q35</f>
        <v>0</v>
      </c>
      <c r="E26" s="50">
        <f>Q35</f>
        <v>0</v>
      </c>
      <c r="F26" s="50">
        <f>Q35</f>
        <v>0</v>
      </c>
      <c r="G26" s="50">
        <f>Q35</f>
        <v>0</v>
      </c>
      <c r="H26" s="50">
        <f>Q35</f>
        <v>0</v>
      </c>
      <c r="I26" s="50">
        <f>Q35</f>
        <v>0</v>
      </c>
      <c r="J26" s="50">
        <f>Q35</f>
        <v>0</v>
      </c>
      <c r="K26" s="27">
        <f>Q35</f>
        <v>0</v>
      </c>
      <c r="M26" s="49"/>
      <c r="N26" s="49"/>
      <c r="O26" s="42">
        <f>ROUNDUP(SUM(P24+I20),4)</f>
        <v>1948.9</v>
      </c>
      <c r="P26" s="42">
        <f>ROUNDUP(SUM(P25+I20),4)</f>
        <v>1960.9</v>
      </c>
      <c r="Q26" s="26">
        <v>0</v>
      </c>
      <c r="R26" s="26">
        <f>FREQUENCY(B8:K12,P26:P27)</f>
        <v>43</v>
      </c>
    </row>
    <row r="27" spans="1:21" s="2" customFormat="1" ht="17.100000000000001" customHeight="1">
      <c r="A27" s="45" t="s">
        <v>70</v>
      </c>
      <c r="B27" s="27">
        <f>ROUNDUP(AVERAGE(B8:K12),4)</f>
        <v>1944.32</v>
      </c>
      <c r="C27" s="27">
        <f>ROUNDUP(AVERAGE(B8:K12),4)</f>
        <v>1944.32</v>
      </c>
      <c r="D27" s="27">
        <f>ROUNDUP(AVERAGE(B8:K12),4)</f>
        <v>1944.32</v>
      </c>
      <c r="E27" s="50">
        <f>ROUNDUP(AVERAGE(B8:K12),4)</f>
        <v>1944.32</v>
      </c>
      <c r="F27" s="50">
        <f>ROUNDUP(AVERAGE(B8:K12),4)</f>
        <v>1944.32</v>
      </c>
      <c r="G27" s="50">
        <f>ROUNDUP(AVERAGE(B8:K12),4)</f>
        <v>1944.32</v>
      </c>
      <c r="H27" s="27">
        <f>ROUNDUP(AVERAGE(B8:K12),4)</f>
        <v>1944.32</v>
      </c>
      <c r="I27" s="27">
        <f>ROUNDUP(AVERAGE(B8:K12),4)</f>
        <v>1944.32</v>
      </c>
      <c r="J27" s="27">
        <f>ROUNDUP(AVERAGE(B8:K12),4)</f>
        <v>1944.32</v>
      </c>
      <c r="K27" s="27">
        <f>ROUNDUP(AVERAGE(B8:K12),4)</f>
        <v>1944.32</v>
      </c>
      <c r="M27" s="49"/>
      <c r="N27" s="49"/>
      <c r="O27" s="42">
        <f>ROUNDUP(SUM(P25+I20),4)</f>
        <v>1960.9</v>
      </c>
      <c r="P27" s="42">
        <f>ROUNDUP(SUM(P26+I20),4)</f>
        <v>1972.9</v>
      </c>
      <c r="Q27" s="6">
        <f t="shared" si="4"/>
        <v>4</v>
      </c>
      <c r="R27" s="26">
        <f>FREQUENCY(B8:K12,P27:P28)</f>
        <v>47</v>
      </c>
    </row>
    <row r="28" spans="1:21" ht="17.100000000000001" customHeight="1">
      <c r="A28" s="45" t="s">
        <v>71</v>
      </c>
      <c r="B28" s="27">
        <f>AVERAGE(B17:K17)</f>
        <v>35.700000000000003</v>
      </c>
      <c r="C28" s="27">
        <f>AVERAGE(B17:K17)</f>
        <v>35.700000000000003</v>
      </c>
      <c r="D28" s="27">
        <f>AVERAGE(B17:K17)</f>
        <v>35.700000000000003</v>
      </c>
      <c r="E28" s="27">
        <f>AVERAGE(B17:K17)</f>
        <v>35.700000000000003</v>
      </c>
      <c r="F28" s="27">
        <f>AVERAGE(B17:K17)</f>
        <v>35.700000000000003</v>
      </c>
      <c r="G28" s="27">
        <f>AVERAGE(B17:K17)</f>
        <v>35.700000000000003</v>
      </c>
      <c r="H28" s="27">
        <f>AVERAGE(B17:K17)</f>
        <v>35.700000000000003</v>
      </c>
      <c r="I28" s="27">
        <f>AVERAGE(B17:K17)</f>
        <v>35.700000000000003</v>
      </c>
      <c r="J28" s="27">
        <f>AVERAGE(B17:K17)</f>
        <v>35.700000000000003</v>
      </c>
      <c r="K28" s="27">
        <f>AVERAGE(B17:K17)</f>
        <v>35.700000000000003</v>
      </c>
      <c r="M28" s="49"/>
      <c r="N28" s="49"/>
      <c r="O28" s="42">
        <f>ROUNDUP(SUM(P26+I20),4)</f>
        <v>1972.9</v>
      </c>
      <c r="P28" s="42">
        <f>ROUNDUP(SUM(P27+I20),4)</f>
        <v>1984.9</v>
      </c>
      <c r="Q28" s="6">
        <f t="shared" si="4"/>
        <v>2</v>
      </c>
      <c r="R28" s="26">
        <f>FREQUENCY(B8:K12,P28:P29)</f>
        <v>49</v>
      </c>
    </row>
    <row r="29" spans="1:21" ht="17.100000000000001" customHeight="1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49"/>
      <c r="M29" s="49"/>
      <c r="N29" s="49"/>
      <c r="O29" s="42">
        <f>ROUNDUP(SUM(P27+I20),4)</f>
        <v>1984.9</v>
      </c>
      <c r="P29" s="42">
        <f>ROUNDUP(SUM(P28+I20),4)</f>
        <v>1996.9</v>
      </c>
      <c r="Q29" s="6">
        <f t="shared" si="4"/>
        <v>1</v>
      </c>
      <c r="R29" s="26">
        <f>FREQUENCY(B8:K12,P29:P30)</f>
        <v>50</v>
      </c>
    </row>
    <row r="30" spans="1:21" ht="17.100000000000001" customHeight="1">
      <c r="A30" s="44"/>
      <c r="B30" s="44"/>
      <c r="C30" s="2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2">
        <f>ROUNDUP(SUM(P28+I20),4)</f>
        <v>1996.9</v>
      </c>
      <c r="P30" s="42">
        <f>ROUNDUP(SUM(P29+I20),4)</f>
        <v>2008.9</v>
      </c>
      <c r="Q30" s="6">
        <f t="shared" si="4"/>
        <v>0</v>
      </c>
      <c r="R30" s="26">
        <f>FREQUENCY(B8:K12,P30:P31)</f>
        <v>50</v>
      </c>
    </row>
    <row r="31" spans="1:21" ht="17.100000000000001" customHeight="1">
      <c r="A31" s="15"/>
      <c r="B31" s="15"/>
      <c r="C31" s="15"/>
      <c r="D31" s="15"/>
      <c r="E31" s="15"/>
      <c r="F31" s="52"/>
      <c r="G31" s="52"/>
      <c r="H31" s="52"/>
      <c r="I31" s="15"/>
      <c r="J31" s="87" t="s">
        <v>72</v>
      </c>
      <c r="K31" s="88"/>
      <c r="L31" s="89"/>
      <c r="M31" s="53" t="s">
        <v>73</v>
      </c>
      <c r="N31" s="47"/>
      <c r="O31" s="42">
        <f>ROUNDUP(SUM(P29+I20),4)</f>
        <v>2008.9</v>
      </c>
      <c r="P31" s="42">
        <f>ROUNDUP(SUM(P30+I20),4)</f>
        <v>2020.9</v>
      </c>
      <c r="Q31" s="6">
        <f t="shared" si="4"/>
        <v>0</v>
      </c>
      <c r="R31" s="26">
        <f>FREQUENCY(B8:K12,P31:P31)</f>
        <v>50</v>
      </c>
    </row>
    <row r="32" spans="1:21" ht="17.100000000000001" customHeight="1">
      <c r="A32" s="15"/>
      <c r="B32" s="20"/>
      <c r="C32" s="20"/>
      <c r="D32" s="20"/>
      <c r="E32" s="20"/>
      <c r="F32" s="20"/>
      <c r="G32" s="20"/>
      <c r="H32" s="20"/>
      <c r="I32" s="20"/>
      <c r="J32" s="87">
        <v>1</v>
      </c>
      <c r="K32" s="88"/>
      <c r="L32" s="89"/>
      <c r="M32" s="53">
        <v>0</v>
      </c>
      <c r="N32" s="49"/>
      <c r="O32" s="90" t="s">
        <v>74</v>
      </c>
      <c r="P32" s="91"/>
      <c r="Q32" s="94">
        <f>(M18+(Q12*M17))</f>
        <v>1965.383</v>
      </c>
      <c r="R32" s="86"/>
      <c r="S32" s="54"/>
    </row>
    <row r="33" spans="1:18" ht="17.100000000000001" customHeight="1">
      <c r="A33" s="15"/>
      <c r="B33" s="20"/>
      <c r="C33" s="20"/>
      <c r="D33" s="20"/>
      <c r="E33" s="20"/>
      <c r="F33" s="20"/>
      <c r="G33" s="20"/>
      <c r="H33" s="20"/>
      <c r="I33" s="20"/>
      <c r="J33" s="87">
        <v>0.1</v>
      </c>
      <c r="K33" s="88"/>
      <c r="L33" s="89"/>
      <c r="M33" s="53">
        <v>1</v>
      </c>
      <c r="N33" s="49"/>
      <c r="O33" s="95" t="s">
        <v>75</v>
      </c>
      <c r="P33" s="91"/>
      <c r="Q33" s="96">
        <f>(M18-(Q12*M17))</f>
        <v>1923.2569999999998</v>
      </c>
      <c r="R33" s="86"/>
    </row>
    <row r="34" spans="1:18" ht="17.100000000000001" customHeight="1">
      <c r="A34" s="15"/>
      <c r="B34" s="20"/>
      <c r="C34" s="20"/>
      <c r="D34" s="20"/>
      <c r="E34" s="20"/>
      <c r="F34" s="20"/>
      <c r="G34" s="20"/>
      <c r="H34" s="20"/>
      <c r="I34" s="20"/>
      <c r="J34" s="87">
        <v>0.01</v>
      </c>
      <c r="K34" s="88"/>
      <c r="L34" s="89"/>
      <c r="M34" s="53">
        <v>2</v>
      </c>
      <c r="N34" s="49"/>
      <c r="O34" s="90" t="s">
        <v>76</v>
      </c>
      <c r="P34" s="91"/>
      <c r="Q34" s="92">
        <f>M17*R12</f>
        <v>75.326999999999998</v>
      </c>
      <c r="R34" s="86"/>
    </row>
    <row r="35" spans="1:18" ht="17.100000000000001" customHeight="1">
      <c r="A35" s="15"/>
      <c r="B35" s="20"/>
      <c r="C35" s="20"/>
      <c r="D35" s="20"/>
      <c r="E35" s="20"/>
      <c r="F35" s="20"/>
      <c r="G35" s="20"/>
      <c r="H35" s="20"/>
      <c r="I35" s="20"/>
      <c r="J35" s="87">
        <v>1E-3</v>
      </c>
      <c r="K35" s="88"/>
      <c r="L35" s="89"/>
      <c r="M35" s="56">
        <v>3</v>
      </c>
      <c r="N35" s="49"/>
      <c r="O35" s="90" t="s">
        <v>77</v>
      </c>
      <c r="P35" s="91"/>
      <c r="Q35" s="93">
        <f>M17*0</f>
        <v>0</v>
      </c>
      <c r="R35" s="83"/>
    </row>
    <row r="36" spans="1:18" s="60" customFormat="1" ht="17.100000000000001" customHeight="1">
      <c r="A36" s="57"/>
      <c r="B36" s="58"/>
      <c r="C36" s="57"/>
      <c r="D36" s="59"/>
      <c r="E36" s="59"/>
      <c r="F36" s="59"/>
      <c r="G36" s="59"/>
      <c r="H36" s="59"/>
      <c r="I36" s="59"/>
      <c r="J36" s="79">
        <v>1E-4</v>
      </c>
      <c r="K36" s="79"/>
      <c r="L36" s="79"/>
      <c r="M36" s="56">
        <v>4</v>
      </c>
      <c r="N36" s="59"/>
      <c r="O36" s="80" t="s">
        <v>78</v>
      </c>
      <c r="P36" s="81"/>
      <c r="Q36" s="82">
        <f>STDEV(B8:K12)</f>
        <v>15.116472971630674</v>
      </c>
      <c r="R36" s="83"/>
    </row>
    <row r="37" spans="1:18" ht="17.100000000000001" customHeight="1">
      <c r="A37" s="58"/>
      <c r="B37" s="58"/>
      <c r="C37" s="59"/>
      <c r="D37" s="59"/>
      <c r="E37" s="59"/>
      <c r="F37" s="59"/>
      <c r="G37" s="59"/>
      <c r="H37" s="59"/>
      <c r="I37" s="59"/>
      <c r="J37" s="61"/>
      <c r="K37" s="59"/>
      <c r="L37" s="59"/>
      <c r="N37" s="59"/>
      <c r="O37" s="84" t="s">
        <v>94</v>
      </c>
      <c r="P37" s="85"/>
      <c r="Q37" s="82">
        <f>ROUNDUP(SUM(I19/(6*Q36)),4)</f>
        <v>3.3077000000000001</v>
      </c>
      <c r="R37" s="86"/>
    </row>
    <row r="38" spans="1:18" ht="14.25" customHeight="1">
      <c r="A38" s="69" t="s">
        <v>79</v>
      </c>
      <c r="B38" s="69"/>
      <c r="C38" s="70" t="str">
        <f>IF(OR(AND(Q37&gt;=0,Q37&lt;=0.5),AND(Q38&gt;=0,Q38&lt;=0.5)),"PROCESS IS VERY POOR TAKE IMMEDIATE ACTION",IF(OR(AND(Q37&gt;0.5,Q37&lt;=1.33),AND(Q38&gt;0.5,Q38&lt;=1.33)),"PROCESS NEEDS CORRECTION ,Cp &amp; Cpk SHOULD BE &gt;=1.33",IF(OR(AND(Q37&gt;1,Q37&lt;=1.67),AND(Q38&gt;1,Q38&lt;=1.67)),"PROCESS IS GOOD BUT STILL IMPROVEMENT IS REQIURED","PROCESS IS EXCELLENT")))</f>
        <v>PROCESS IS EXCELLENT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  <c r="O38" s="196" t="s">
        <v>93</v>
      </c>
      <c r="P38" s="196"/>
      <c r="Q38" s="197">
        <f>ROUNDUP(SUM((1-N19)*Q37),4)</f>
        <v>3.1824000000000003</v>
      </c>
      <c r="R38" s="198"/>
    </row>
    <row r="39" spans="1:18" ht="14.25" customHeight="1">
      <c r="A39" s="69"/>
      <c r="B39" s="69"/>
      <c r="C39" s="7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5"/>
      <c r="O39" s="173" t="s">
        <v>80</v>
      </c>
      <c r="P39" s="174"/>
      <c r="Q39" s="175"/>
      <c r="R39" s="176"/>
    </row>
    <row r="40" spans="1:18" ht="14.25" customHeight="1">
      <c r="A40" s="69"/>
      <c r="B40" s="69"/>
      <c r="C40" s="7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8"/>
      <c r="O40" s="173" t="s">
        <v>92</v>
      </c>
      <c r="P40" s="174"/>
      <c r="Q40" s="175"/>
      <c r="R40" s="176"/>
    </row>
    <row r="41" spans="1:18">
      <c r="M41" s="63"/>
      <c r="P41" s="64"/>
    </row>
  </sheetData>
  <mergeCells count="75">
    <mergeCell ref="H5:J5"/>
    <mergeCell ref="K5:L5"/>
    <mergeCell ref="A1:R1"/>
    <mergeCell ref="A2:R2"/>
    <mergeCell ref="A3:B3"/>
    <mergeCell ref="C3:E3"/>
    <mergeCell ref="F3:G3"/>
    <mergeCell ref="H3:J3"/>
    <mergeCell ref="K3:L3"/>
    <mergeCell ref="N3:N4"/>
    <mergeCell ref="O3:R4"/>
    <mergeCell ref="A4:B4"/>
    <mergeCell ref="C4:E4"/>
    <mergeCell ref="F4:G4"/>
    <mergeCell ref="H4:J4"/>
    <mergeCell ref="K4:L4"/>
    <mergeCell ref="N17:P17"/>
    <mergeCell ref="O5:P5"/>
    <mergeCell ref="A6:L6"/>
    <mergeCell ref="M6:Q6"/>
    <mergeCell ref="L7:L9"/>
    <mergeCell ref="M7:N9"/>
    <mergeCell ref="L10:L12"/>
    <mergeCell ref="M10:N12"/>
    <mergeCell ref="A13:R13"/>
    <mergeCell ref="A14:R14"/>
    <mergeCell ref="N15:P16"/>
    <mergeCell ref="Q15:Q16"/>
    <mergeCell ref="R15:R16"/>
    <mergeCell ref="A5:B5"/>
    <mergeCell ref="C5:E5"/>
    <mergeCell ref="F5:G5"/>
    <mergeCell ref="N18:P18"/>
    <mergeCell ref="A19:C19"/>
    <mergeCell ref="D19:E19"/>
    <mergeCell ref="F19:H19"/>
    <mergeCell ref="I19:J19"/>
    <mergeCell ref="K19:M19"/>
    <mergeCell ref="O19:P19"/>
    <mergeCell ref="A21:C21"/>
    <mergeCell ref="D21:E21"/>
    <mergeCell ref="F21:H21"/>
    <mergeCell ref="I21:J21"/>
    <mergeCell ref="K21:M21"/>
    <mergeCell ref="A20:C20"/>
    <mergeCell ref="D20:E20"/>
    <mergeCell ref="F20:H20"/>
    <mergeCell ref="I20:J20"/>
    <mergeCell ref="K20:M20"/>
    <mergeCell ref="J31:L31"/>
    <mergeCell ref="J32:L32"/>
    <mergeCell ref="O32:P32"/>
    <mergeCell ref="Q32:R32"/>
    <mergeCell ref="J33:L33"/>
    <mergeCell ref="O33:P33"/>
    <mergeCell ref="Q33:R33"/>
    <mergeCell ref="J34:L34"/>
    <mergeCell ref="O34:P34"/>
    <mergeCell ref="Q34:R34"/>
    <mergeCell ref="J35:L35"/>
    <mergeCell ref="O35:P35"/>
    <mergeCell ref="Q35:R35"/>
    <mergeCell ref="A38:B40"/>
    <mergeCell ref="C38:N40"/>
    <mergeCell ref="J36:L36"/>
    <mergeCell ref="O36:P36"/>
    <mergeCell ref="Q36:R36"/>
    <mergeCell ref="O37:P37"/>
    <mergeCell ref="Q37:R37"/>
    <mergeCell ref="O38:P38"/>
    <mergeCell ref="Q38:R38"/>
    <mergeCell ref="O39:P39"/>
    <mergeCell ref="Q39:R39"/>
    <mergeCell ref="O40:P40"/>
    <mergeCell ref="Q40:R40"/>
  </mergeCells>
  <printOptions horizontalCentered="1"/>
  <pageMargins left="0.3" right="0.14000000000000001" top="0.43" bottom="0.37" header="0.37" footer="0.28999999999999998"/>
  <pageSetup scale="82" orientation="landscape" horizontalDpi="300" verticalDpi="300" r:id="rId1"/>
  <headerFooter alignWithMargins="0">
    <oddFooter>&amp;CPage &amp;P&amp;R&amp;Z&amp;F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41"/>
  <sheetViews>
    <sheetView showGridLines="0" topLeftCell="A28" zoomScale="115" zoomScaleNormal="115" zoomScaleSheetLayoutView="100" workbookViewId="0">
      <selection activeCell="S39" sqref="A39:XFD40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7" width="7.140625" style="1" bestFit="1" customWidth="1"/>
    <col min="18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65.25" customHeight="1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50"/>
    </row>
    <row r="2" spans="1:32" s="2" customFormat="1" ht="35.1" customHeight="1">
      <c r="A2" s="151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spans="1:32" s="4" customFormat="1" ht="15" customHeight="1">
      <c r="A3" s="154" t="s">
        <v>2</v>
      </c>
      <c r="B3" s="155"/>
      <c r="C3" s="191" t="s">
        <v>81</v>
      </c>
      <c r="D3" s="192"/>
      <c r="E3" s="193"/>
      <c r="F3" s="154" t="s">
        <v>3</v>
      </c>
      <c r="G3" s="194"/>
      <c r="H3" s="191" t="s">
        <v>4</v>
      </c>
      <c r="I3" s="192"/>
      <c r="J3" s="193"/>
      <c r="K3" s="195" t="s">
        <v>5</v>
      </c>
      <c r="L3" s="155"/>
      <c r="M3" s="3" t="s">
        <v>6</v>
      </c>
      <c r="N3" s="163"/>
      <c r="O3" s="165"/>
      <c r="P3" s="166"/>
      <c r="Q3" s="166"/>
      <c r="R3" s="167"/>
    </row>
    <row r="4" spans="1:32" s="4" customFormat="1" ht="15" customHeight="1">
      <c r="A4" s="90" t="s">
        <v>7</v>
      </c>
      <c r="B4" s="138"/>
      <c r="C4" s="187" t="s">
        <v>8</v>
      </c>
      <c r="D4" s="188"/>
      <c r="E4" s="189"/>
      <c r="F4" s="90" t="s">
        <v>9</v>
      </c>
      <c r="G4" s="186"/>
      <c r="H4" s="187" t="s">
        <v>10</v>
      </c>
      <c r="I4" s="188"/>
      <c r="J4" s="189"/>
      <c r="K4" s="97" t="s">
        <v>11</v>
      </c>
      <c r="L4" s="138"/>
      <c r="M4" s="5" t="s">
        <v>12</v>
      </c>
      <c r="N4" s="164"/>
      <c r="O4" s="168"/>
      <c r="P4" s="169"/>
      <c r="Q4" s="169"/>
      <c r="R4" s="170"/>
    </row>
    <row r="5" spans="1:32" s="4" customFormat="1" ht="15" customHeight="1">
      <c r="A5" s="90" t="s">
        <v>13</v>
      </c>
      <c r="B5" s="138"/>
      <c r="C5" s="93" t="s">
        <v>14</v>
      </c>
      <c r="D5" s="184"/>
      <c r="E5" s="185"/>
      <c r="F5" s="90" t="s">
        <v>15</v>
      </c>
      <c r="G5" s="186"/>
      <c r="H5" s="187" t="s">
        <v>16</v>
      </c>
      <c r="I5" s="188"/>
      <c r="J5" s="189"/>
      <c r="K5" s="90" t="s">
        <v>17</v>
      </c>
      <c r="L5" s="190"/>
      <c r="M5" s="5">
        <v>1</v>
      </c>
      <c r="N5" s="6"/>
      <c r="O5" s="105"/>
      <c r="P5" s="106"/>
      <c r="Q5" s="6" t="s">
        <v>18</v>
      </c>
      <c r="R5" s="7" t="s">
        <v>97</v>
      </c>
    </row>
    <row r="6" spans="1:32" s="4" customFormat="1" ht="15" customHeight="1">
      <c r="A6" s="107" t="s">
        <v>19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9"/>
      <c r="M6" s="110" t="s">
        <v>20</v>
      </c>
      <c r="N6" s="111"/>
      <c r="O6" s="111"/>
      <c r="P6" s="111"/>
      <c r="Q6" s="83"/>
      <c r="R6" s="8" t="s">
        <v>21</v>
      </c>
    </row>
    <row r="7" spans="1:32" s="4" customFormat="1" ht="15" customHeight="1">
      <c r="A7" s="9" t="s">
        <v>22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112" t="s">
        <v>82</v>
      </c>
      <c r="M7" s="178">
        <v>2100</v>
      </c>
      <c r="N7" s="179"/>
      <c r="O7" s="10" t="s">
        <v>23</v>
      </c>
      <c r="P7" s="11" t="s">
        <v>24</v>
      </c>
      <c r="Q7" s="11" t="s">
        <v>25</v>
      </c>
      <c r="R7" s="11" t="s">
        <v>26</v>
      </c>
    </row>
    <row r="8" spans="1:32" s="4" customFormat="1" ht="15" customHeight="1">
      <c r="A8" s="9">
        <v>1</v>
      </c>
      <c r="B8" s="12">
        <v>1934</v>
      </c>
      <c r="C8" s="12">
        <v>1954</v>
      </c>
      <c r="D8" s="12">
        <v>1887</v>
      </c>
      <c r="E8" s="12">
        <v>1908</v>
      </c>
      <c r="F8" s="12">
        <v>1961</v>
      </c>
      <c r="G8" s="12">
        <v>1922</v>
      </c>
      <c r="H8" s="12">
        <v>1910</v>
      </c>
      <c r="I8" s="12">
        <v>1900</v>
      </c>
      <c r="J8" s="12">
        <v>1928</v>
      </c>
      <c r="K8" s="12">
        <v>1927</v>
      </c>
      <c r="L8" s="113"/>
      <c r="M8" s="180"/>
      <c r="N8" s="181"/>
      <c r="O8" s="13" t="s">
        <v>27</v>
      </c>
      <c r="P8" s="6">
        <v>1.123</v>
      </c>
      <c r="Q8" s="13" t="s">
        <v>28</v>
      </c>
      <c r="R8" s="13" t="s">
        <v>29</v>
      </c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s="4" customFormat="1" ht="15" customHeight="1">
      <c r="A9" s="9">
        <v>2</v>
      </c>
      <c r="B9" s="12">
        <v>1958</v>
      </c>
      <c r="C9" s="12">
        <v>1942</v>
      </c>
      <c r="D9" s="12">
        <v>1958</v>
      </c>
      <c r="E9" s="12">
        <v>1964</v>
      </c>
      <c r="F9" s="12">
        <v>1935</v>
      </c>
      <c r="G9" s="12">
        <v>1944</v>
      </c>
      <c r="H9" s="12">
        <v>1935</v>
      </c>
      <c r="I9" s="12">
        <v>1947</v>
      </c>
      <c r="J9" s="12">
        <v>1938</v>
      </c>
      <c r="K9" s="12">
        <v>1942</v>
      </c>
      <c r="L9" s="114"/>
      <c r="M9" s="182"/>
      <c r="N9" s="183"/>
      <c r="O9" s="13" t="s">
        <v>30</v>
      </c>
      <c r="P9" s="6">
        <v>1.1279999999999999</v>
      </c>
      <c r="Q9" s="13" t="s">
        <v>31</v>
      </c>
      <c r="R9" s="13" t="s">
        <v>29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16">
        <v>3</v>
      </c>
      <c r="B10" s="12">
        <v>1947</v>
      </c>
      <c r="C10" s="12">
        <v>1928</v>
      </c>
      <c r="D10" s="12">
        <v>1930</v>
      </c>
      <c r="E10" s="12">
        <v>1945</v>
      </c>
      <c r="F10" s="12">
        <v>1935</v>
      </c>
      <c r="G10" s="12">
        <v>1945</v>
      </c>
      <c r="H10" s="12">
        <v>1938</v>
      </c>
      <c r="I10" s="12">
        <v>1935</v>
      </c>
      <c r="J10" s="12">
        <v>1937</v>
      </c>
      <c r="K10" s="12">
        <v>1938</v>
      </c>
      <c r="L10" s="112" t="s">
        <v>83</v>
      </c>
      <c r="M10" s="178">
        <v>1800</v>
      </c>
      <c r="N10" s="179"/>
      <c r="O10" s="17" t="s">
        <v>32</v>
      </c>
      <c r="P10" s="18">
        <v>1.6930000000000001</v>
      </c>
      <c r="Q10" s="13" t="s">
        <v>33</v>
      </c>
      <c r="R10" s="13" t="s">
        <v>34</v>
      </c>
      <c r="T10" s="15" t="s">
        <v>35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19">
        <v>4</v>
      </c>
      <c r="B11" s="12">
        <v>1946</v>
      </c>
      <c r="C11" s="12">
        <v>1948</v>
      </c>
      <c r="D11" s="12">
        <v>1943</v>
      </c>
      <c r="E11" s="12">
        <v>1928</v>
      </c>
      <c r="F11" s="12">
        <v>1935</v>
      </c>
      <c r="G11" s="12">
        <v>1938</v>
      </c>
      <c r="H11" s="12">
        <v>1937</v>
      </c>
      <c r="I11" s="12">
        <v>1945</v>
      </c>
      <c r="J11" s="12">
        <v>1938</v>
      </c>
      <c r="K11" s="12">
        <v>1952</v>
      </c>
      <c r="L11" s="121"/>
      <c r="M11" s="180"/>
      <c r="N11" s="181"/>
      <c r="O11" s="13" t="s">
        <v>36</v>
      </c>
      <c r="P11" s="6">
        <v>2.0590000000000002</v>
      </c>
      <c r="Q11" s="13" t="s">
        <v>37</v>
      </c>
      <c r="R11" s="13" t="s">
        <v>38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5"/>
      <c r="AE11" s="15"/>
      <c r="AF11" s="15"/>
    </row>
    <row r="12" spans="1:32" s="4" customFormat="1" ht="15" customHeight="1">
      <c r="A12" s="21">
        <v>5</v>
      </c>
      <c r="B12" s="12">
        <v>1945</v>
      </c>
      <c r="C12" s="12">
        <v>1935</v>
      </c>
      <c r="D12" s="12">
        <v>1947</v>
      </c>
      <c r="E12" s="12">
        <v>1942</v>
      </c>
      <c r="F12" s="12">
        <v>1925</v>
      </c>
      <c r="G12" s="12">
        <v>1938</v>
      </c>
      <c r="H12" s="12">
        <v>1945</v>
      </c>
      <c r="I12" s="12">
        <v>1938</v>
      </c>
      <c r="J12" s="12">
        <v>1944</v>
      </c>
      <c r="K12" s="12">
        <v>1934</v>
      </c>
      <c r="L12" s="122"/>
      <c r="M12" s="182"/>
      <c r="N12" s="183"/>
      <c r="O12" s="22" t="s">
        <v>39</v>
      </c>
      <c r="P12" s="23">
        <v>2.3260000000000001</v>
      </c>
      <c r="Q12" s="13" t="s">
        <v>40</v>
      </c>
      <c r="R12" s="13" t="s">
        <v>41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107">
        <v>11.99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4"/>
      <c r="S13" s="15"/>
      <c r="T13" s="15"/>
      <c r="U13" s="15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s="4" customFormat="1" ht="15" customHeight="1">
      <c r="A14" s="125" t="s">
        <v>42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7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24" t="s">
        <v>43</v>
      </c>
      <c r="B15" s="25">
        <f t="shared" ref="B15:K15" si="0">MAX(B8:B12)</f>
        <v>1958</v>
      </c>
      <c r="C15" s="25">
        <f t="shared" si="0"/>
        <v>1954</v>
      </c>
      <c r="D15" s="25">
        <f t="shared" si="0"/>
        <v>1958</v>
      </c>
      <c r="E15" s="25">
        <f t="shared" si="0"/>
        <v>1964</v>
      </c>
      <c r="F15" s="25">
        <f t="shared" si="0"/>
        <v>1961</v>
      </c>
      <c r="G15" s="25">
        <f t="shared" si="0"/>
        <v>1945</v>
      </c>
      <c r="H15" s="25">
        <f t="shared" si="0"/>
        <v>1945</v>
      </c>
      <c r="I15" s="25">
        <f>MAX(I8:I12)</f>
        <v>1947</v>
      </c>
      <c r="J15" s="25">
        <f t="shared" si="0"/>
        <v>1944</v>
      </c>
      <c r="K15" s="26">
        <f t="shared" si="0"/>
        <v>1952</v>
      </c>
      <c r="L15" s="6" t="s">
        <v>44</v>
      </c>
      <c r="M15" s="27">
        <f>(MAX(B15:K15))</f>
        <v>1964</v>
      </c>
      <c r="N15" s="128" t="s">
        <v>45</v>
      </c>
      <c r="O15" s="129"/>
      <c r="P15" s="130"/>
      <c r="Q15" s="134">
        <f>SUM(Q17:R18)</f>
        <v>0</v>
      </c>
      <c r="R15" s="136" t="s">
        <v>46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5"/>
      <c r="AE15" s="15"/>
      <c r="AF15" s="15"/>
    </row>
    <row r="16" spans="1:32" s="4" customFormat="1" ht="15" customHeight="1">
      <c r="A16" s="28" t="s">
        <v>47</v>
      </c>
      <c r="B16" s="26">
        <f t="shared" ref="B16:J16" si="1">MIN(B8:B12)</f>
        <v>1934</v>
      </c>
      <c r="C16" s="25">
        <f>MIN(C8:C12)</f>
        <v>1928</v>
      </c>
      <c r="D16" s="26">
        <f t="shared" si="1"/>
        <v>1887</v>
      </c>
      <c r="E16" s="26">
        <f t="shared" si="1"/>
        <v>1908</v>
      </c>
      <c r="F16" s="26">
        <f t="shared" si="1"/>
        <v>1925</v>
      </c>
      <c r="G16" s="26">
        <f>MIN(G8:G12)</f>
        <v>1922</v>
      </c>
      <c r="H16" s="26">
        <f t="shared" si="1"/>
        <v>1910</v>
      </c>
      <c r="I16" s="25">
        <f>MIN(I8:I12)</f>
        <v>1900</v>
      </c>
      <c r="J16" s="26">
        <f t="shared" si="1"/>
        <v>1928</v>
      </c>
      <c r="K16" s="26">
        <f>MIN(K8:K12)</f>
        <v>1927</v>
      </c>
      <c r="L16" s="6" t="s">
        <v>48</v>
      </c>
      <c r="M16" s="27">
        <f>MIN(B16:K16)</f>
        <v>1887</v>
      </c>
      <c r="N16" s="131"/>
      <c r="O16" s="132"/>
      <c r="P16" s="133"/>
      <c r="Q16" s="135"/>
      <c r="R16" s="137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21" s="4" customFormat="1" ht="15" customHeight="1">
      <c r="A17" s="29" t="s">
        <v>49</v>
      </c>
      <c r="B17" s="30">
        <f t="shared" ref="B17:K17" si="2">SUM(MAX(B8:B12)-MIN(B8:B12))</f>
        <v>24</v>
      </c>
      <c r="C17" s="30">
        <f t="shared" si="2"/>
        <v>26</v>
      </c>
      <c r="D17" s="30">
        <f t="shared" si="2"/>
        <v>71</v>
      </c>
      <c r="E17" s="30">
        <f t="shared" si="2"/>
        <v>56</v>
      </c>
      <c r="F17" s="30">
        <f t="shared" si="2"/>
        <v>36</v>
      </c>
      <c r="G17" s="30">
        <f>SUM(MAX(G8:G12)-MIN(G8:G12))</f>
        <v>23</v>
      </c>
      <c r="H17" s="30">
        <f t="shared" si="2"/>
        <v>35</v>
      </c>
      <c r="I17" s="30">
        <f t="shared" si="2"/>
        <v>47</v>
      </c>
      <c r="J17" s="30">
        <f t="shared" si="2"/>
        <v>16</v>
      </c>
      <c r="K17" s="26">
        <f t="shared" si="2"/>
        <v>25</v>
      </c>
      <c r="L17" s="31" t="s">
        <v>50</v>
      </c>
      <c r="M17" s="32">
        <f>AVERAGE(B17:K17)</f>
        <v>35.9</v>
      </c>
      <c r="N17" s="100" t="s">
        <v>51</v>
      </c>
      <c r="O17" s="104"/>
      <c r="P17" s="104"/>
      <c r="Q17" s="33">
        <f>COUNTIF(B8:K12,"&gt;"&amp;TEXT(M7,"0.000000"))</f>
        <v>0</v>
      </c>
      <c r="R17" s="34" t="s">
        <v>46</v>
      </c>
      <c r="U17" s="35"/>
    </row>
    <row r="18" spans="1:21" s="4" customFormat="1" ht="15" customHeight="1">
      <c r="A18" s="6" t="s">
        <v>52</v>
      </c>
      <c r="B18" s="26">
        <f>(AVERAGE(B8:B12))</f>
        <v>1946</v>
      </c>
      <c r="C18" s="26">
        <f t="shared" ref="C18:K18" si="3">AVERAGE(C8:C12)</f>
        <v>1941.4</v>
      </c>
      <c r="D18" s="26">
        <f t="shared" si="3"/>
        <v>1933</v>
      </c>
      <c r="E18" s="26">
        <f t="shared" si="3"/>
        <v>1937.4</v>
      </c>
      <c r="F18" s="26">
        <f t="shared" si="3"/>
        <v>1938.2</v>
      </c>
      <c r="G18" s="26">
        <f>AVERAGE(G8:G12)</f>
        <v>1937.4</v>
      </c>
      <c r="H18" s="26">
        <f t="shared" si="3"/>
        <v>1933</v>
      </c>
      <c r="I18" s="26">
        <f t="shared" si="3"/>
        <v>1933</v>
      </c>
      <c r="J18" s="26">
        <f t="shared" si="3"/>
        <v>1937</v>
      </c>
      <c r="K18" s="26">
        <f t="shared" si="3"/>
        <v>1938.6</v>
      </c>
      <c r="L18" s="31" t="s">
        <v>53</v>
      </c>
      <c r="M18" s="36">
        <f>ROUNDUP(AVERAGE(B8:K12),4)</f>
        <v>1937.5</v>
      </c>
      <c r="N18" s="100" t="s">
        <v>54</v>
      </c>
      <c r="O18" s="101"/>
      <c r="P18" s="101"/>
      <c r="Q18" s="37">
        <f>COUNTIF(B8:K12,"&lt;"&amp;TEXT(M10,"0.000000"))</f>
        <v>0</v>
      </c>
      <c r="R18" s="38" t="s">
        <v>46</v>
      </c>
    </row>
    <row r="19" spans="1:21" s="4" customFormat="1" ht="15" customHeight="1">
      <c r="A19" s="90" t="s">
        <v>55</v>
      </c>
      <c r="B19" s="97"/>
      <c r="C19" s="97"/>
      <c r="D19" s="88">
        <f>ROUNDUP(SUM(M15-M16),4)</f>
        <v>77</v>
      </c>
      <c r="E19" s="89"/>
      <c r="F19" s="90" t="s">
        <v>56</v>
      </c>
      <c r="G19" s="97"/>
      <c r="H19" s="97"/>
      <c r="I19" s="88">
        <f>ROUNDUP(ABS(SUM(M7-M10)),4)</f>
        <v>300</v>
      </c>
      <c r="J19" s="89"/>
      <c r="K19" s="90" t="s">
        <v>57</v>
      </c>
      <c r="L19" s="97"/>
      <c r="M19" s="97"/>
      <c r="N19" s="39">
        <f>ROUNDUP(SUM((2*(N21))/I19),4)</f>
        <v>8.3400000000000002E-2</v>
      </c>
      <c r="O19" s="102" t="s">
        <v>58</v>
      </c>
      <c r="P19" s="103"/>
      <c r="Q19" s="40" t="s">
        <v>59</v>
      </c>
      <c r="R19" s="40" t="s">
        <v>60</v>
      </c>
    </row>
    <row r="20" spans="1:21" s="4" customFormat="1" ht="15" customHeight="1">
      <c r="A20" s="90" t="s">
        <v>61</v>
      </c>
      <c r="B20" s="97"/>
      <c r="C20" s="97"/>
      <c r="D20" s="88">
        <f>ROUNDUP(AVERAGE(M7:M10),4)</f>
        <v>1950</v>
      </c>
      <c r="E20" s="89"/>
      <c r="F20" s="90" t="s">
        <v>62</v>
      </c>
      <c r="G20" s="97"/>
      <c r="H20" s="97"/>
      <c r="I20" s="98">
        <f>ROUNDUP(SUM(D19/N20),4)</f>
        <v>15.4</v>
      </c>
      <c r="J20" s="99"/>
      <c r="K20" s="90" t="s">
        <v>63</v>
      </c>
      <c r="L20" s="97"/>
      <c r="M20" s="97"/>
      <c r="N20" s="41" t="str">
        <f>IF(I21/10&lt;=5,"5",IF(I21/10&lt;=6,"6",IF(I21/10&lt;=7,"7","8")))</f>
        <v>5</v>
      </c>
      <c r="O20" s="42">
        <f>ROUNDUP(SUM(P20-I20),4)</f>
        <v>1825.3</v>
      </c>
      <c r="P20" s="42">
        <f>ROUNDUP(SUM(P21-I20),4)</f>
        <v>1840.7</v>
      </c>
      <c r="Q20" s="26">
        <f>SUM(R20)</f>
        <v>0</v>
      </c>
      <c r="R20" s="26">
        <f>FREQUENCY(B8:K12,P20:P21)</f>
        <v>0</v>
      </c>
    </row>
    <row r="21" spans="1:21" s="4" customFormat="1" ht="15" customHeight="1">
      <c r="A21" s="90" t="s">
        <v>64</v>
      </c>
      <c r="B21" s="97"/>
      <c r="C21" s="97"/>
      <c r="D21" s="88">
        <f>ROUNDUP(SUM(M16-(IF(M5=M32,J32,IF(M5=M33,J33,IF(M5=M34,J34,IF(M5=M35,J35,IF(M5=M36,J36))))))),4)</f>
        <v>1886.9</v>
      </c>
      <c r="E21" s="89"/>
      <c r="F21" s="90" t="s">
        <v>65</v>
      </c>
      <c r="G21" s="97"/>
      <c r="H21" s="97"/>
      <c r="I21" s="88">
        <f>COUNTIF((B8:K12),"&gt;0")</f>
        <v>50</v>
      </c>
      <c r="J21" s="88"/>
      <c r="K21" s="90" t="s">
        <v>66</v>
      </c>
      <c r="L21" s="97"/>
      <c r="M21" s="97"/>
      <c r="N21" s="43">
        <f>(ABS(SUM(M18-D20)))</f>
        <v>12.5</v>
      </c>
      <c r="O21" s="42">
        <f>ROUNDUP(SUM(P21-I20),4)</f>
        <v>1840.7</v>
      </c>
      <c r="P21" s="42">
        <f>ROUNDUP(SUM(P22-I20),4)</f>
        <v>1856.1</v>
      </c>
      <c r="Q21" s="26">
        <f t="shared" ref="Q21:Q31" si="4">SUM(R21-R20)</f>
        <v>0</v>
      </c>
      <c r="R21" s="26">
        <f>FREQUENCY(B8:K12,P21:P22)</f>
        <v>0</v>
      </c>
    </row>
    <row r="22" spans="1:21" s="2" customFormat="1" ht="17.100000000000001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2">
        <f>ROUNDUP(SUM(P22-I20),4)</f>
        <v>1856.1</v>
      </c>
      <c r="P22" s="42">
        <f>ROUNDUP(SUM(P23-I20),4)</f>
        <v>1871.5</v>
      </c>
      <c r="Q22" s="26">
        <f t="shared" si="4"/>
        <v>0</v>
      </c>
      <c r="R22" s="26">
        <f>FREQUENCY(B8:K12,P22:P23)</f>
        <v>0</v>
      </c>
    </row>
    <row r="23" spans="1:21" s="2" customFormat="1" ht="17.100000000000001" customHeight="1">
      <c r="A23" s="45" t="s">
        <v>67</v>
      </c>
      <c r="B23" s="6">
        <f>Q32</f>
        <v>1958.681</v>
      </c>
      <c r="C23" s="6">
        <f>Q32</f>
        <v>1958.681</v>
      </c>
      <c r="D23" s="6">
        <f>Q32</f>
        <v>1958.681</v>
      </c>
      <c r="E23" s="6">
        <f>Q32</f>
        <v>1958.681</v>
      </c>
      <c r="F23" s="46">
        <f>Q32</f>
        <v>1958.681</v>
      </c>
      <c r="G23" s="46">
        <f>Q32</f>
        <v>1958.681</v>
      </c>
      <c r="H23" s="46">
        <f>Q32</f>
        <v>1958.681</v>
      </c>
      <c r="I23" s="6">
        <f>Q32</f>
        <v>1958.681</v>
      </c>
      <c r="J23" s="6">
        <f>Q32</f>
        <v>1958.681</v>
      </c>
      <c r="K23" s="27">
        <f>Q32</f>
        <v>1958.681</v>
      </c>
      <c r="M23" s="47"/>
      <c r="N23" s="47"/>
      <c r="O23" s="42">
        <f>ROUNDUP(SUM(P23-I20),4)</f>
        <v>1871.5</v>
      </c>
      <c r="P23" s="42">
        <f>ROUNDUP((D21),4)</f>
        <v>1886.9</v>
      </c>
      <c r="Q23" s="26">
        <f t="shared" si="4"/>
        <v>0</v>
      </c>
      <c r="R23" s="26">
        <f>FREQUENCY(B8:K12,P23:P24)</f>
        <v>0</v>
      </c>
    </row>
    <row r="24" spans="1:21" s="2" customFormat="1" ht="17.100000000000001" customHeight="1">
      <c r="A24" s="48" t="s">
        <v>68</v>
      </c>
      <c r="B24" s="27">
        <f>Q33</f>
        <v>1916.319</v>
      </c>
      <c r="C24" s="27">
        <f>Q33</f>
        <v>1916.319</v>
      </c>
      <c r="D24" s="27">
        <f>Q33</f>
        <v>1916.319</v>
      </c>
      <c r="E24" s="27">
        <f>Q33</f>
        <v>1916.319</v>
      </c>
      <c r="F24" s="27">
        <f>Q33</f>
        <v>1916.319</v>
      </c>
      <c r="G24" s="27">
        <f>Q33</f>
        <v>1916.319</v>
      </c>
      <c r="H24" s="27">
        <f>Q33</f>
        <v>1916.319</v>
      </c>
      <c r="I24" s="27">
        <f>Q33</f>
        <v>1916.319</v>
      </c>
      <c r="J24" s="27">
        <f>Q33</f>
        <v>1916.319</v>
      </c>
      <c r="K24" s="27">
        <f>Q33</f>
        <v>1916.319</v>
      </c>
      <c r="M24" s="49"/>
      <c r="N24" s="49"/>
      <c r="O24" s="42">
        <f>ROUNDUP((D21),4)</f>
        <v>1886.9</v>
      </c>
      <c r="P24" s="42">
        <f>ROUNDUP(SUM(P23+I20),4)</f>
        <v>1902.3</v>
      </c>
      <c r="Q24" s="26">
        <f t="shared" si="4"/>
        <v>2</v>
      </c>
      <c r="R24" s="26">
        <f>FREQUENCY(B8:K12,P24:P25)</f>
        <v>2</v>
      </c>
    </row>
    <row r="25" spans="1:21" s="2" customFormat="1" ht="17.100000000000001" customHeight="1">
      <c r="A25" s="45" t="s">
        <v>69</v>
      </c>
      <c r="B25" s="27">
        <f>Q34</f>
        <v>75.748999999999995</v>
      </c>
      <c r="C25" s="27">
        <f>Q34</f>
        <v>75.748999999999995</v>
      </c>
      <c r="D25" s="27">
        <f>Q34</f>
        <v>75.748999999999995</v>
      </c>
      <c r="E25" s="50">
        <f>Q34</f>
        <v>75.748999999999995</v>
      </c>
      <c r="F25" s="50">
        <f>Q34</f>
        <v>75.748999999999995</v>
      </c>
      <c r="G25" s="50">
        <f>Q34</f>
        <v>75.748999999999995</v>
      </c>
      <c r="H25" s="27">
        <f>Q34</f>
        <v>75.748999999999995</v>
      </c>
      <c r="I25" s="27">
        <f>Q34</f>
        <v>75.748999999999995</v>
      </c>
      <c r="J25" s="27">
        <f>Q34</f>
        <v>75.748999999999995</v>
      </c>
      <c r="K25" s="27">
        <f>Q34</f>
        <v>75.748999999999995</v>
      </c>
      <c r="M25" s="49"/>
      <c r="N25" s="49"/>
      <c r="O25" s="42">
        <f>ROUNDUP(SUM(P23+I20),4)</f>
        <v>1902.3</v>
      </c>
      <c r="P25" s="42">
        <f>ROUNDUP(SUM(P24+I20),4)</f>
        <v>1917.7</v>
      </c>
      <c r="Q25" s="26">
        <f t="shared" si="4"/>
        <v>2</v>
      </c>
      <c r="R25" s="26">
        <f>FREQUENCY(B8:K12,P25:P26)</f>
        <v>4</v>
      </c>
    </row>
    <row r="26" spans="1:21" s="2" customFormat="1" ht="17.100000000000001" customHeight="1">
      <c r="A26" s="45" t="s">
        <v>68</v>
      </c>
      <c r="B26" s="50">
        <f>Q35</f>
        <v>0</v>
      </c>
      <c r="C26" s="50">
        <f>Q35</f>
        <v>0</v>
      </c>
      <c r="D26" s="50">
        <f>Q35</f>
        <v>0</v>
      </c>
      <c r="E26" s="50">
        <f>Q35</f>
        <v>0</v>
      </c>
      <c r="F26" s="50">
        <f>Q35</f>
        <v>0</v>
      </c>
      <c r="G26" s="50">
        <f>Q35</f>
        <v>0</v>
      </c>
      <c r="H26" s="50">
        <f>Q35</f>
        <v>0</v>
      </c>
      <c r="I26" s="50">
        <f>Q35</f>
        <v>0</v>
      </c>
      <c r="J26" s="50">
        <f>Q35</f>
        <v>0</v>
      </c>
      <c r="K26" s="27">
        <f>Q35</f>
        <v>0</v>
      </c>
      <c r="M26" s="49"/>
      <c r="N26" s="49"/>
      <c r="O26" s="42">
        <f>ROUNDUP(SUM(P24+I20),4)</f>
        <v>1917.7</v>
      </c>
      <c r="P26" s="42">
        <f>ROUNDUP(SUM(P25+I20),4)</f>
        <v>1933.1</v>
      </c>
      <c r="Q26" s="26">
        <v>0</v>
      </c>
      <c r="R26" s="26">
        <f>FREQUENCY(B8:K12,P26:P27)</f>
        <v>11</v>
      </c>
    </row>
    <row r="27" spans="1:21" s="2" customFormat="1" ht="17.100000000000001" customHeight="1">
      <c r="A27" s="45" t="s">
        <v>70</v>
      </c>
      <c r="B27" s="27">
        <f>ROUNDUP(AVERAGE(B8:K12),4)</f>
        <v>1937.5</v>
      </c>
      <c r="C27" s="27">
        <f>ROUNDUP(AVERAGE(B8:K12),4)</f>
        <v>1937.5</v>
      </c>
      <c r="D27" s="27">
        <f>ROUNDUP(AVERAGE(B8:K12),4)</f>
        <v>1937.5</v>
      </c>
      <c r="E27" s="50">
        <f>ROUNDUP(AVERAGE(B8:K12),4)</f>
        <v>1937.5</v>
      </c>
      <c r="F27" s="50">
        <f>ROUNDUP(AVERAGE(B8:K12),4)</f>
        <v>1937.5</v>
      </c>
      <c r="G27" s="50">
        <f>ROUNDUP(AVERAGE(B8:K12),4)</f>
        <v>1937.5</v>
      </c>
      <c r="H27" s="27">
        <f>ROUNDUP(AVERAGE(B8:K12),4)</f>
        <v>1937.5</v>
      </c>
      <c r="I27" s="27">
        <f>ROUNDUP(AVERAGE(B8:K12),4)</f>
        <v>1937.5</v>
      </c>
      <c r="J27" s="27">
        <f>ROUNDUP(AVERAGE(B8:K12),4)</f>
        <v>1937.5</v>
      </c>
      <c r="K27" s="27">
        <f>ROUNDUP(AVERAGE(B8:K12),4)</f>
        <v>1937.5</v>
      </c>
      <c r="M27" s="49"/>
      <c r="N27" s="49"/>
      <c r="O27" s="42">
        <f>ROUNDUP(SUM(P25+I20),4)</f>
        <v>1933.1</v>
      </c>
      <c r="P27" s="42">
        <f>ROUNDUP(SUM(P26+I20),4)</f>
        <v>1948.5</v>
      </c>
      <c r="Q27" s="6">
        <f t="shared" si="4"/>
        <v>33</v>
      </c>
      <c r="R27" s="26">
        <f>FREQUENCY(B8:K12,P27:P28)</f>
        <v>44</v>
      </c>
    </row>
    <row r="28" spans="1:21" ht="17.100000000000001" customHeight="1">
      <c r="A28" s="45" t="s">
        <v>71</v>
      </c>
      <c r="B28" s="27">
        <f>AVERAGE(B17:K17)</f>
        <v>35.9</v>
      </c>
      <c r="C28" s="27">
        <f>AVERAGE(B17:K17)</f>
        <v>35.9</v>
      </c>
      <c r="D28" s="27">
        <f>AVERAGE(B17:K17)</f>
        <v>35.9</v>
      </c>
      <c r="E28" s="27">
        <f>AVERAGE(B17:K17)</f>
        <v>35.9</v>
      </c>
      <c r="F28" s="27">
        <f>AVERAGE(B17:K17)</f>
        <v>35.9</v>
      </c>
      <c r="G28" s="27">
        <f>AVERAGE(B17:K17)</f>
        <v>35.9</v>
      </c>
      <c r="H28" s="27">
        <f>AVERAGE(B17:K17)</f>
        <v>35.9</v>
      </c>
      <c r="I28" s="27">
        <f>AVERAGE(B17:K17)</f>
        <v>35.9</v>
      </c>
      <c r="J28" s="27">
        <f>AVERAGE(B17:K17)</f>
        <v>35.9</v>
      </c>
      <c r="K28" s="27">
        <f>AVERAGE(B17:K17)</f>
        <v>35.9</v>
      </c>
      <c r="M28" s="49"/>
      <c r="N28" s="49"/>
      <c r="O28" s="42">
        <f>ROUNDUP(SUM(P26+I20),4)</f>
        <v>1948.5</v>
      </c>
      <c r="P28" s="42">
        <f>ROUNDUP(SUM(P27+I20),4)</f>
        <v>1963.9</v>
      </c>
      <c r="Q28" s="6">
        <f t="shared" si="4"/>
        <v>5</v>
      </c>
      <c r="R28" s="26">
        <f>FREQUENCY(B8:K12,P28:P29)</f>
        <v>49</v>
      </c>
    </row>
    <row r="29" spans="1:21" ht="17.100000000000001" customHeight="1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49"/>
      <c r="M29" s="49"/>
      <c r="N29" s="49"/>
      <c r="O29" s="42">
        <f>ROUNDUP(SUM(P27+I20),4)</f>
        <v>1963.9</v>
      </c>
      <c r="P29" s="42">
        <f>ROUNDUP(SUM(P28+I20),4)</f>
        <v>1979.3</v>
      </c>
      <c r="Q29" s="6">
        <f t="shared" si="4"/>
        <v>1</v>
      </c>
      <c r="R29" s="26">
        <f>FREQUENCY(B8:K12,P29:P30)</f>
        <v>50</v>
      </c>
    </row>
    <row r="30" spans="1:21" ht="17.100000000000001" customHeight="1">
      <c r="A30" s="44"/>
      <c r="B30" s="44"/>
      <c r="C30" s="2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2">
        <f>ROUNDUP(SUM(P28+I20),4)</f>
        <v>1979.3</v>
      </c>
      <c r="P30" s="42">
        <f>ROUNDUP(SUM(P29+I20),4)</f>
        <v>1994.7</v>
      </c>
      <c r="Q30" s="6">
        <f t="shared" si="4"/>
        <v>0</v>
      </c>
      <c r="R30" s="26">
        <f>FREQUENCY(B8:K12,P30:P31)</f>
        <v>50</v>
      </c>
    </row>
    <row r="31" spans="1:21" ht="17.100000000000001" customHeight="1">
      <c r="A31" s="15"/>
      <c r="B31" s="15"/>
      <c r="C31" s="15"/>
      <c r="D31" s="15"/>
      <c r="E31" s="15"/>
      <c r="F31" s="52"/>
      <c r="G31" s="52"/>
      <c r="H31" s="52"/>
      <c r="I31" s="15"/>
      <c r="J31" s="87" t="s">
        <v>72</v>
      </c>
      <c r="K31" s="88"/>
      <c r="L31" s="89"/>
      <c r="M31" s="53" t="s">
        <v>73</v>
      </c>
      <c r="N31" s="47"/>
      <c r="O31" s="42">
        <f>ROUNDUP(SUM(P29+I20),4)</f>
        <v>1994.7</v>
      </c>
      <c r="P31" s="42">
        <f>ROUNDUP(SUM(P30+I20),4)</f>
        <v>2010.1</v>
      </c>
      <c r="Q31" s="6">
        <f t="shared" si="4"/>
        <v>0</v>
      </c>
      <c r="R31" s="26">
        <f>FREQUENCY(B8:K12,P31:P31)</f>
        <v>50</v>
      </c>
    </row>
    <row r="32" spans="1:21" ht="17.100000000000001" customHeight="1">
      <c r="A32" s="15"/>
      <c r="B32" s="20"/>
      <c r="C32" s="20"/>
      <c r="D32" s="20"/>
      <c r="E32" s="20"/>
      <c r="F32" s="20"/>
      <c r="G32" s="20"/>
      <c r="H32" s="20"/>
      <c r="I32" s="20"/>
      <c r="J32" s="87">
        <v>1</v>
      </c>
      <c r="K32" s="88"/>
      <c r="L32" s="89"/>
      <c r="M32" s="53">
        <v>0</v>
      </c>
      <c r="N32" s="49"/>
      <c r="O32" s="90" t="s">
        <v>74</v>
      </c>
      <c r="P32" s="91"/>
      <c r="Q32" s="94">
        <f>(M18+(Q12*M17))</f>
        <v>1958.681</v>
      </c>
      <c r="R32" s="86"/>
      <c r="S32" s="54"/>
    </row>
    <row r="33" spans="1:18" ht="17.100000000000001" customHeight="1">
      <c r="A33" s="15"/>
      <c r="B33" s="20"/>
      <c r="C33" s="20"/>
      <c r="D33" s="20"/>
      <c r="E33" s="20"/>
      <c r="F33" s="20"/>
      <c r="G33" s="20"/>
      <c r="H33" s="20"/>
      <c r="I33" s="20"/>
      <c r="J33" s="87">
        <v>0.1</v>
      </c>
      <c r="K33" s="88"/>
      <c r="L33" s="89"/>
      <c r="M33" s="53">
        <v>1</v>
      </c>
      <c r="N33" s="49"/>
      <c r="O33" s="95" t="s">
        <v>75</v>
      </c>
      <c r="P33" s="91"/>
      <c r="Q33" s="96">
        <f>(M18-(Q12*M17))</f>
        <v>1916.319</v>
      </c>
      <c r="R33" s="86"/>
    </row>
    <row r="34" spans="1:18" ht="17.100000000000001" customHeight="1">
      <c r="A34" s="15"/>
      <c r="B34" s="20"/>
      <c r="C34" s="20"/>
      <c r="D34" s="20"/>
      <c r="E34" s="20"/>
      <c r="F34" s="20"/>
      <c r="G34" s="20"/>
      <c r="H34" s="20"/>
      <c r="I34" s="20"/>
      <c r="J34" s="87">
        <v>0.01</v>
      </c>
      <c r="K34" s="88"/>
      <c r="L34" s="89"/>
      <c r="M34" s="53">
        <v>2</v>
      </c>
      <c r="N34" s="49"/>
      <c r="O34" s="90" t="s">
        <v>76</v>
      </c>
      <c r="P34" s="91"/>
      <c r="Q34" s="92">
        <f>M17*R12</f>
        <v>75.748999999999995</v>
      </c>
      <c r="R34" s="86"/>
    </row>
    <row r="35" spans="1:18" ht="17.100000000000001" customHeight="1">
      <c r="A35" s="15"/>
      <c r="B35" s="20"/>
      <c r="C35" s="20"/>
      <c r="D35" s="20"/>
      <c r="E35" s="20"/>
      <c r="F35" s="20"/>
      <c r="G35" s="20"/>
      <c r="H35" s="20"/>
      <c r="I35" s="20"/>
      <c r="J35" s="87">
        <v>1E-3</v>
      </c>
      <c r="K35" s="88"/>
      <c r="L35" s="89"/>
      <c r="M35" s="56">
        <v>3</v>
      </c>
      <c r="N35" s="49"/>
      <c r="O35" s="90" t="s">
        <v>77</v>
      </c>
      <c r="P35" s="91"/>
      <c r="Q35" s="93">
        <f>M17*0</f>
        <v>0</v>
      </c>
      <c r="R35" s="83"/>
    </row>
    <row r="36" spans="1:18" s="60" customFormat="1" ht="17.100000000000001" customHeight="1">
      <c r="A36" s="57"/>
      <c r="B36" s="58"/>
      <c r="C36" s="57"/>
      <c r="D36" s="59"/>
      <c r="E36" s="59"/>
      <c r="F36" s="59"/>
      <c r="G36" s="59"/>
      <c r="H36" s="59"/>
      <c r="I36" s="59"/>
      <c r="J36" s="79">
        <v>1E-4</v>
      </c>
      <c r="K36" s="79"/>
      <c r="L36" s="79"/>
      <c r="M36" s="56">
        <v>4</v>
      </c>
      <c r="N36" s="59"/>
      <c r="O36" s="80" t="s">
        <v>78</v>
      </c>
      <c r="P36" s="81"/>
      <c r="Q36" s="82">
        <f>STDEV(B8:K12)</f>
        <v>14.263196539002191</v>
      </c>
      <c r="R36" s="83"/>
    </row>
    <row r="37" spans="1:18" ht="17.100000000000001" customHeight="1">
      <c r="A37" s="58"/>
      <c r="B37" s="58"/>
      <c r="C37" s="59"/>
      <c r="D37" s="59"/>
      <c r="E37" s="59"/>
      <c r="F37" s="59"/>
      <c r="G37" s="59"/>
      <c r="H37" s="59"/>
      <c r="I37" s="59"/>
      <c r="J37" s="61"/>
      <c r="K37" s="59"/>
      <c r="L37" s="59"/>
      <c r="N37" s="59"/>
      <c r="O37" s="84" t="s">
        <v>94</v>
      </c>
      <c r="P37" s="85"/>
      <c r="Q37" s="82">
        <f>ROUNDUP(SUM(I19/(6*Q36)),4)</f>
        <v>3.5056000000000003</v>
      </c>
      <c r="R37" s="86"/>
    </row>
    <row r="38" spans="1:18" ht="15" customHeight="1">
      <c r="A38" s="69" t="s">
        <v>79</v>
      </c>
      <c r="B38" s="69"/>
      <c r="C38" s="70" t="str">
        <f>IF(OR(AND(Q37&gt;=0,Q37&lt;=0.5),AND(Q38&gt;=0,Q38&lt;=0.5)),"PROCESS IS VERY POOR TAKE IMMEDIATE ACTION",IF(OR(AND(Q37&gt;0.5,Q37&lt;=1.33),AND(Q38&gt;0.5,Q38&lt;=1.33)),"PROCESS NEEDS CORRECTION ,Cp &amp; Cpk SHOULD BE &gt;=1.33",IF(OR(AND(Q37&gt;1,Q37&lt;=1.67),AND(Q38&gt;1,Q38&lt;=1.67)),"PROCESS IS GOOD BUT STILL IMPROVEMENT IS REQIURED","PROCESS IS EXCELLENT")))</f>
        <v>PROCESS IS EXCELLENT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  <c r="O38" s="196" t="s">
        <v>93</v>
      </c>
      <c r="P38" s="196"/>
      <c r="Q38" s="197">
        <f>ROUNDUP(SUM((1-N19)*Q37),4)</f>
        <v>3.2133000000000003</v>
      </c>
      <c r="R38" s="198"/>
    </row>
    <row r="39" spans="1:18" ht="20.25" customHeight="1">
      <c r="A39" s="69"/>
      <c r="B39" s="69"/>
      <c r="C39" s="7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5"/>
      <c r="O39" s="173" t="s">
        <v>80</v>
      </c>
      <c r="P39" s="174"/>
      <c r="Q39" s="175"/>
      <c r="R39" s="176"/>
    </row>
    <row r="40" spans="1:18" ht="20.25" customHeight="1">
      <c r="A40" s="69"/>
      <c r="B40" s="69"/>
      <c r="C40" s="7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8"/>
      <c r="O40" s="173" t="s">
        <v>92</v>
      </c>
      <c r="P40" s="174"/>
      <c r="Q40" s="175"/>
      <c r="R40" s="176"/>
    </row>
    <row r="41" spans="1:18">
      <c r="M41" s="63"/>
      <c r="P41" s="64"/>
    </row>
  </sheetData>
  <mergeCells count="75">
    <mergeCell ref="H5:J5"/>
    <mergeCell ref="K5:L5"/>
    <mergeCell ref="A1:R1"/>
    <mergeCell ref="A2:R2"/>
    <mergeCell ref="A3:B3"/>
    <mergeCell ref="C3:E3"/>
    <mergeCell ref="F3:G3"/>
    <mergeCell ref="H3:J3"/>
    <mergeCell ref="K3:L3"/>
    <mergeCell ref="N3:N4"/>
    <mergeCell ref="O3:R4"/>
    <mergeCell ref="A4:B4"/>
    <mergeCell ref="C4:E4"/>
    <mergeCell ref="F4:G4"/>
    <mergeCell ref="H4:J4"/>
    <mergeCell ref="K4:L4"/>
    <mergeCell ref="N17:P17"/>
    <mergeCell ref="O5:P5"/>
    <mergeCell ref="A6:L6"/>
    <mergeCell ref="M6:Q6"/>
    <mergeCell ref="L7:L9"/>
    <mergeCell ref="M7:N9"/>
    <mergeCell ref="L10:L12"/>
    <mergeCell ref="M10:N12"/>
    <mergeCell ref="A13:R13"/>
    <mergeCell ref="A14:R14"/>
    <mergeCell ref="N15:P16"/>
    <mergeCell ref="Q15:Q16"/>
    <mergeCell ref="R15:R16"/>
    <mergeCell ref="A5:B5"/>
    <mergeCell ref="C5:E5"/>
    <mergeCell ref="F5:G5"/>
    <mergeCell ref="N18:P18"/>
    <mergeCell ref="A19:C19"/>
    <mergeCell ref="D19:E19"/>
    <mergeCell ref="F19:H19"/>
    <mergeCell ref="I19:J19"/>
    <mergeCell ref="K19:M19"/>
    <mergeCell ref="O19:P19"/>
    <mergeCell ref="A21:C21"/>
    <mergeCell ref="D21:E21"/>
    <mergeCell ref="F21:H21"/>
    <mergeCell ref="I21:J21"/>
    <mergeCell ref="K21:M21"/>
    <mergeCell ref="A20:C20"/>
    <mergeCell ref="D20:E20"/>
    <mergeCell ref="F20:H20"/>
    <mergeCell ref="I20:J20"/>
    <mergeCell ref="K20:M20"/>
    <mergeCell ref="J31:L31"/>
    <mergeCell ref="J32:L32"/>
    <mergeCell ref="O32:P32"/>
    <mergeCell ref="Q32:R32"/>
    <mergeCell ref="J33:L33"/>
    <mergeCell ref="O33:P33"/>
    <mergeCell ref="Q33:R33"/>
    <mergeCell ref="J34:L34"/>
    <mergeCell ref="O34:P34"/>
    <mergeCell ref="Q34:R34"/>
    <mergeCell ref="J35:L35"/>
    <mergeCell ref="O35:P35"/>
    <mergeCell ref="Q35:R35"/>
    <mergeCell ref="A38:B40"/>
    <mergeCell ref="C38:N40"/>
    <mergeCell ref="J36:L36"/>
    <mergeCell ref="O36:P36"/>
    <mergeCell ref="Q36:R36"/>
    <mergeCell ref="O37:P37"/>
    <mergeCell ref="Q37:R37"/>
    <mergeCell ref="O38:P38"/>
    <mergeCell ref="Q38:R38"/>
    <mergeCell ref="O39:P39"/>
    <mergeCell ref="Q39:R39"/>
    <mergeCell ref="O40:P40"/>
    <mergeCell ref="Q40:R40"/>
  </mergeCells>
  <printOptions horizontalCentered="1"/>
  <pageMargins left="0.3" right="0.14000000000000001" top="0.43" bottom="0.37" header="0.37" footer="0.28999999999999998"/>
  <pageSetup scale="82" orientation="landscape" horizontalDpi="300" verticalDpi="300" r:id="rId1"/>
  <headerFooter alignWithMargins="0">
    <oddFooter>&amp;CPage &amp;P&amp;R&amp;Z&amp;F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D1" workbookViewId="0">
      <selection activeCell="H17" sqref="H1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Element Resistance</vt:lpstr>
      <vt:lpstr>DFT</vt:lpstr>
      <vt:lpstr>Wattage L1</vt:lpstr>
      <vt:lpstr>Wattage L2</vt:lpstr>
      <vt:lpstr>Sheet1</vt:lpstr>
      <vt:lpstr>DFT!Print_Area</vt:lpstr>
      <vt:lpstr>'Element Resistance'!Print_Area</vt:lpstr>
      <vt:lpstr>'Wattage L1'!Print_Area</vt:lpstr>
      <vt:lpstr>'Wattage L2'!Print_Area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2021-10-26T11:40:05Z</dcterms:modified>
</cp:coreProperties>
</file>