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Element Resistance" sheetId="7" r:id="rId1"/>
    <sheet name="DFT" sheetId="4" r:id="rId2"/>
    <sheet name="Wattage L1" sheetId="6" r:id="rId3"/>
    <sheet name="Wattage L2" sheetId="5" r:id="rId4"/>
    <sheet name="Sheet1" sheetId="3" r:id="rId5"/>
  </sheets>
  <externalReferences>
    <externalReference r:id="rId6"/>
    <externalReference r:id="rId7"/>
    <externalReference r:id="rId8"/>
  </externalReferences>
  <definedNames>
    <definedName name="_Fill" localSheetId="1" hidden="1">DFT!$P$21:$P$30</definedName>
    <definedName name="_Fill" localSheetId="0" hidden="1">'Element Resistance'!$P$21:$P$30</definedName>
    <definedName name="_Fill" localSheetId="2" hidden="1">'Wattage L1'!$P$21:$P$30</definedName>
    <definedName name="_Fill" localSheetId="3" hidden="1">'Wattage L2'!$P$21:$P$30</definedName>
    <definedName name="_Fill" hidden="1">'[1]SHEET 1'!$P$21:$P$30</definedName>
    <definedName name="_xlnm.Print_Area" localSheetId="1">DFT!$A$1:$R$39</definedName>
    <definedName name="_xlnm.Print_Area" localSheetId="0">'Element Resistance'!$A$1:$R$39</definedName>
    <definedName name="_xlnm.Print_Area" localSheetId="2">'Wattage L1'!$A$1:$R$39</definedName>
    <definedName name="_xlnm.Print_Area" localSheetId="3">'Wattage L2'!$A$1:$R$39</definedName>
    <definedName name="readings">#REF!</definedName>
    <definedName name="Supp_Logo" localSheetId="1">'[2]PPAP Info'!#REF!</definedName>
    <definedName name="Supp_Logo" localSheetId="0">'[2]PPAP Info'!#REF!</definedName>
    <definedName name="Supp_Logo" localSheetId="2">'[2]PPAP Info'!#REF!</definedName>
    <definedName name="Supp_Logo" localSheetId="3">'[2]PPAP Info'!#REF!</definedName>
    <definedName name="Supp_Logo">'[3]PPAP Info'!#REF!</definedName>
    <definedName name="Wattage">'[3]PPAP Info'!#REF!</definedName>
    <definedName name="Z_38235CC0_A1D3_11D4_BDA6_0020352770F9_.wvu.PrintArea" localSheetId="1" hidden="1">DFT!$A$2:$R$39</definedName>
    <definedName name="Z_38235CC0_A1D3_11D4_BDA6_0020352770F9_.wvu.PrintArea" localSheetId="0" hidden="1">'Element Resistance'!$A$2:$R$39</definedName>
    <definedName name="Z_38235CC0_A1D3_11D4_BDA6_0020352770F9_.wvu.PrintArea" localSheetId="2" hidden="1">'Wattage L1'!$A$2:$R$39</definedName>
    <definedName name="Z_38235CC0_A1D3_11D4_BDA6_0020352770F9_.wvu.PrintArea" localSheetId="3" hidden="1">'Wattage L2'!$A$2:$R$39</definedName>
    <definedName name="Z_743D464C_9EBC_11D4_87C7_002035271A36_.wvu.PrintArea" localSheetId="1" hidden="1">DFT!$A$2:$R$39</definedName>
    <definedName name="Z_743D464C_9EBC_11D4_87C7_002035271A36_.wvu.PrintArea" localSheetId="0" hidden="1">'Element Resistance'!$A$2:$R$39</definedName>
    <definedName name="Z_743D464C_9EBC_11D4_87C7_002035271A36_.wvu.PrintArea" localSheetId="2" hidden="1">'Wattage L1'!$A$2:$R$39</definedName>
    <definedName name="Z_743D464C_9EBC_11D4_87C7_002035271A36_.wvu.PrintArea" localSheetId="3" hidden="1">'Wattage L2'!$A$2:$R$39</definedName>
    <definedName name="Z_BA715C6C_7BC9_11D2_80E9_0020352770F9_.wvu.PrintArea" localSheetId="1" hidden="1">DFT!$A$2:$R$39</definedName>
    <definedName name="Z_BA715C6C_7BC9_11D2_80E9_0020352770F9_.wvu.PrintArea" localSheetId="0" hidden="1">'Element Resistance'!$A$2:$R$39</definedName>
    <definedName name="Z_BA715C6C_7BC9_11D2_80E9_0020352770F9_.wvu.PrintArea" localSheetId="2" hidden="1">'Wattage L1'!$A$2:$R$39</definedName>
    <definedName name="Z_BA715C6C_7BC9_11D2_80E9_0020352770F9_.wvu.PrintArea" localSheetId="3" hidden="1">'Wattage L2'!$A$2:$R$39</definedName>
    <definedName name="Z_EA212840_1C84_11D5_B0CC_002035272DB3_.wvu.PrintArea" localSheetId="1" hidden="1">DFT!$A$2:$R$39</definedName>
    <definedName name="Z_EA212840_1C84_11D5_B0CC_002035272DB3_.wvu.PrintArea" localSheetId="0" hidden="1">'Element Resistance'!$A$2:$R$39</definedName>
    <definedName name="Z_EA212840_1C84_11D5_B0CC_002035272DB3_.wvu.PrintArea" localSheetId="2" hidden="1">'Wattage L1'!$A$2:$R$39</definedName>
    <definedName name="Z_EA212840_1C84_11D5_B0CC_002035272DB3_.wvu.PrintArea" localSheetId="3" hidden="1">'Wattage L2'!$A$2:$R$39</definedName>
  </definedNames>
  <calcPr calcId="144525"/>
</workbook>
</file>

<file path=xl/calcChain.xml><?xml version="1.0" encoding="utf-8"?>
<calcChain xmlns="http://schemas.openxmlformats.org/spreadsheetml/2006/main">
  <c r="Q36" i="7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M15" s="1"/>
  <c r="C15"/>
  <c r="B15"/>
  <c r="Q36" i="6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K28" s="1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6" i="5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6" i="4"/>
  <c r="K27"/>
  <c r="J27"/>
  <c r="I27"/>
  <c r="H27"/>
  <c r="G27"/>
  <c r="F27"/>
  <c r="E27"/>
  <c r="D27"/>
  <c r="C27"/>
  <c r="B27"/>
  <c r="I21"/>
  <c r="N20" s="1"/>
  <c r="D20"/>
  <c r="I19"/>
  <c r="Q18"/>
  <c r="M18"/>
  <c r="K18"/>
  <c r="J18"/>
  <c r="I18"/>
  <c r="H18"/>
  <c r="G18"/>
  <c r="F18"/>
  <c r="E18"/>
  <c r="D18"/>
  <c r="C18"/>
  <c r="B18"/>
  <c r="Q17"/>
  <c r="K17"/>
  <c r="J17"/>
  <c r="I17"/>
  <c r="H17"/>
  <c r="G17"/>
  <c r="F17"/>
  <c r="E17"/>
  <c r="D17"/>
  <c r="C17"/>
  <c r="B17"/>
  <c r="K16"/>
  <c r="J16"/>
  <c r="I16"/>
  <c r="H16"/>
  <c r="G16"/>
  <c r="F16"/>
  <c r="E16"/>
  <c r="D16"/>
  <c r="C16"/>
  <c r="B16"/>
  <c r="K15"/>
  <c r="J15"/>
  <c r="I15"/>
  <c r="H15"/>
  <c r="G15"/>
  <c r="F15"/>
  <c r="E15"/>
  <c r="D15"/>
  <c r="C15"/>
  <c r="B15"/>
  <c r="Q37" i="5" l="1"/>
  <c r="Q37" i="6"/>
  <c r="M15"/>
  <c r="J28"/>
  <c r="M16"/>
  <c r="D21" s="1"/>
  <c r="O24" s="1"/>
  <c r="M15" i="4"/>
  <c r="Q37"/>
  <c r="I28"/>
  <c r="F28"/>
  <c r="M16"/>
  <c r="D21" s="1"/>
  <c r="O24" s="1"/>
  <c r="J28"/>
  <c r="Q15" i="5"/>
  <c r="Q15" i="4"/>
  <c r="Q15" i="6"/>
  <c r="E28" i="5"/>
  <c r="M16"/>
  <c r="D21" s="1"/>
  <c r="P23" s="1"/>
  <c r="J28"/>
  <c r="M15"/>
  <c r="Q15" i="7"/>
  <c r="K28"/>
  <c r="Q37"/>
  <c r="M16"/>
  <c r="D21" s="1"/>
  <c r="P23" s="1"/>
  <c r="J28"/>
  <c r="D19"/>
  <c r="I20" s="1"/>
  <c r="G28"/>
  <c r="N21"/>
  <c r="N19" s="1"/>
  <c r="Q38" s="1"/>
  <c r="C38" s="1"/>
  <c r="D28"/>
  <c r="H28"/>
  <c r="I28"/>
  <c r="E28"/>
  <c r="M17"/>
  <c r="B28"/>
  <c r="F28"/>
  <c r="C28"/>
  <c r="C28" i="6"/>
  <c r="G28"/>
  <c r="N21"/>
  <c r="N19" s="1"/>
  <c r="D28"/>
  <c r="H28"/>
  <c r="I28"/>
  <c r="E28"/>
  <c r="M17"/>
  <c r="B28"/>
  <c r="F28"/>
  <c r="C28" i="5"/>
  <c r="G28"/>
  <c r="K28"/>
  <c r="N21"/>
  <c r="N19" s="1"/>
  <c r="D28"/>
  <c r="H28"/>
  <c r="I28"/>
  <c r="M17"/>
  <c r="B28"/>
  <c r="F28"/>
  <c r="C28" i="4"/>
  <c r="G28"/>
  <c r="K28"/>
  <c r="M17"/>
  <c r="Q32" s="1"/>
  <c r="B28"/>
  <c r="N21"/>
  <c r="N19" s="1"/>
  <c r="Q38" s="1"/>
  <c r="C38" s="1"/>
  <c r="D28"/>
  <c r="H28"/>
  <c r="E28"/>
  <c r="Q38" i="5" l="1"/>
  <c r="C38" s="1"/>
  <c r="O24"/>
  <c r="D19"/>
  <c r="I20" s="1"/>
  <c r="P24" s="1"/>
  <c r="Q38" i="6"/>
  <c r="C38" s="1"/>
  <c r="D19"/>
  <c r="I20" s="1"/>
  <c r="P23"/>
  <c r="P23" i="4"/>
  <c r="Q33"/>
  <c r="H24" s="1"/>
  <c r="D19"/>
  <c r="I20" s="1"/>
  <c r="O25" s="1"/>
  <c r="O24" i="7"/>
  <c r="Q35"/>
  <c r="Q34"/>
  <c r="Q33"/>
  <c r="Q32"/>
  <c r="O23"/>
  <c r="P24"/>
  <c r="R23" s="1"/>
  <c r="P22"/>
  <c r="O25"/>
  <c r="Q34" i="6"/>
  <c r="Q33"/>
  <c r="Q35"/>
  <c r="Q32"/>
  <c r="Q34" i="5"/>
  <c r="Q33"/>
  <c r="Q35"/>
  <c r="Q32"/>
  <c r="J23" i="4"/>
  <c r="F23"/>
  <c r="B23"/>
  <c r="I23"/>
  <c r="E23"/>
  <c r="K23"/>
  <c r="G23"/>
  <c r="C23"/>
  <c r="H23"/>
  <c r="D23"/>
  <c r="Q34"/>
  <c r="Q35"/>
  <c r="O25" i="5" l="1"/>
  <c r="O23"/>
  <c r="P22"/>
  <c r="O22" s="1"/>
  <c r="O23" i="6"/>
  <c r="P24"/>
  <c r="P25" s="1"/>
  <c r="P22"/>
  <c r="P21" s="1"/>
  <c r="O25"/>
  <c r="I24" i="4"/>
  <c r="K24"/>
  <c r="B24"/>
  <c r="D24"/>
  <c r="P24"/>
  <c r="R23" s="1"/>
  <c r="E24"/>
  <c r="P22"/>
  <c r="R22" s="1"/>
  <c r="J24"/>
  <c r="G24"/>
  <c r="O23"/>
  <c r="F24"/>
  <c r="C24"/>
  <c r="I26" i="7"/>
  <c r="E26"/>
  <c r="D26"/>
  <c r="H26"/>
  <c r="K26"/>
  <c r="G26"/>
  <c r="C26"/>
  <c r="J26"/>
  <c r="F26"/>
  <c r="B26"/>
  <c r="P21"/>
  <c r="O22"/>
  <c r="R22"/>
  <c r="D23"/>
  <c r="K23"/>
  <c r="G23"/>
  <c r="C23"/>
  <c r="J23"/>
  <c r="B23"/>
  <c r="F23"/>
  <c r="I23"/>
  <c r="E23"/>
  <c r="H23"/>
  <c r="F24"/>
  <c r="I24"/>
  <c r="E24"/>
  <c r="H24"/>
  <c r="D24"/>
  <c r="K24"/>
  <c r="G24"/>
  <c r="C24"/>
  <c r="J24"/>
  <c r="B24"/>
  <c r="O26"/>
  <c r="P25"/>
  <c r="R24" s="1"/>
  <c r="Q24" s="1"/>
  <c r="D25"/>
  <c r="K25"/>
  <c r="G25"/>
  <c r="C25"/>
  <c r="J25"/>
  <c r="B25"/>
  <c r="F25"/>
  <c r="I25"/>
  <c r="E25"/>
  <c r="H25"/>
  <c r="K25" i="6"/>
  <c r="G25"/>
  <c r="C25"/>
  <c r="J25"/>
  <c r="B25"/>
  <c r="F25"/>
  <c r="I25"/>
  <c r="E25"/>
  <c r="H25"/>
  <c r="D25"/>
  <c r="D23"/>
  <c r="K23"/>
  <c r="G23"/>
  <c r="C23"/>
  <c r="F23"/>
  <c r="J23"/>
  <c r="B23"/>
  <c r="I23"/>
  <c r="E23"/>
  <c r="H23"/>
  <c r="I26"/>
  <c r="E26"/>
  <c r="D26"/>
  <c r="H26"/>
  <c r="K26"/>
  <c r="G26"/>
  <c r="C26"/>
  <c r="J26"/>
  <c r="F26"/>
  <c r="B26"/>
  <c r="B24"/>
  <c r="I24"/>
  <c r="E24"/>
  <c r="D24"/>
  <c r="H24"/>
  <c r="K24"/>
  <c r="G24"/>
  <c r="C24"/>
  <c r="J24"/>
  <c r="F24"/>
  <c r="J24" i="5"/>
  <c r="I24"/>
  <c r="E24"/>
  <c r="D24"/>
  <c r="H24"/>
  <c r="K24"/>
  <c r="G24"/>
  <c r="C24"/>
  <c r="F24"/>
  <c r="B24"/>
  <c r="D23"/>
  <c r="K23"/>
  <c r="G23"/>
  <c r="C23"/>
  <c r="J23"/>
  <c r="B23"/>
  <c r="F23"/>
  <c r="I23"/>
  <c r="E23"/>
  <c r="H23"/>
  <c r="O26"/>
  <c r="P25"/>
  <c r="R24" s="1"/>
  <c r="R23"/>
  <c r="I26"/>
  <c r="E26"/>
  <c r="H26"/>
  <c r="D26"/>
  <c r="K26"/>
  <c r="G26"/>
  <c r="C26"/>
  <c r="J26"/>
  <c r="F26"/>
  <c r="B26"/>
  <c r="K25"/>
  <c r="G25"/>
  <c r="C25"/>
  <c r="J25"/>
  <c r="F25"/>
  <c r="B25"/>
  <c r="I25"/>
  <c r="E25"/>
  <c r="H25"/>
  <c r="D25"/>
  <c r="J25" i="4"/>
  <c r="F25"/>
  <c r="B25"/>
  <c r="I25"/>
  <c r="E25"/>
  <c r="K25"/>
  <c r="G25"/>
  <c r="C25"/>
  <c r="H25"/>
  <c r="D25"/>
  <c r="H26"/>
  <c r="D26"/>
  <c r="K26"/>
  <c r="G26"/>
  <c r="C26"/>
  <c r="I26"/>
  <c r="E26"/>
  <c r="J26"/>
  <c r="F26"/>
  <c r="B26"/>
  <c r="P21" i="5" l="1"/>
  <c r="R21" s="1"/>
  <c r="R22"/>
  <c r="Q23" s="1"/>
  <c r="R24" i="6"/>
  <c r="O26"/>
  <c r="R22"/>
  <c r="R23"/>
  <c r="O22"/>
  <c r="O26" i="4"/>
  <c r="O22"/>
  <c r="P25"/>
  <c r="O27" s="1"/>
  <c r="P21"/>
  <c r="P20" s="1"/>
  <c r="Q23"/>
  <c r="Q24" i="5"/>
  <c r="O27" i="7"/>
  <c r="P26"/>
  <c r="R25" s="1"/>
  <c r="Q25" s="1"/>
  <c r="Q23"/>
  <c r="O21"/>
  <c r="R21"/>
  <c r="Q22" s="1"/>
  <c r="P20"/>
  <c r="P20" i="6"/>
  <c r="O21"/>
  <c r="R21"/>
  <c r="O27"/>
  <c r="P26"/>
  <c r="R25" s="1"/>
  <c r="O27" i="5"/>
  <c r="P26"/>
  <c r="R25" s="1"/>
  <c r="Q25" s="1"/>
  <c r="P20" l="1"/>
  <c r="O20" s="1"/>
  <c r="O21"/>
  <c r="Q22"/>
  <c r="Q22" i="6"/>
  <c r="Q23"/>
  <c r="Q25"/>
  <c r="Q24"/>
  <c r="O21" i="4"/>
  <c r="R21"/>
  <c r="Q22" s="1"/>
  <c r="R24"/>
  <c r="Q24" s="1"/>
  <c r="P26"/>
  <c r="R25" s="1"/>
  <c r="O20" i="7"/>
  <c r="R20"/>
  <c r="Q20" s="1"/>
  <c r="O28"/>
  <c r="P27"/>
  <c r="R26" s="1"/>
  <c r="O20" i="6"/>
  <c r="R20"/>
  <c r="Q20" s="1"/>
  <c r="P27"/>
  <c r="R26" s="1"/>
  <c r="O28"/>
  <c r="O28" i="5"/>
  <c r="P27"/>
  <c r="R26" s="1"/>
  <c r="R20"/>
  <c r="Q20" s="1"/>
  <c r="R20" i="4"/>
  <c r="Q20" s="1"/>
  <c r="O20"/>
  <c r="Q21" i="6" l="1"/>
  <c r="O28" i="4"/>
  <c r="Q25"/>
  <c r="P27"/>
  <c r="R26" s="1"/>
  <c r="Q21" i="7"/>
  <c r="P28"/>
  <c r="R27"/>
  <c r="Q27" s="1"/>
  <c r="O29"/>
  <c r="P28" i="6"/>
  <c r="O29"/>
  <c r="P28" i="5"/>
  <c r="R27" s="1"/>
  <c r="Q27" s="1"/>
  <c r="O29"/>
  <c r="Q21"/>
  <c r="Q21" i="4"/>
  <c r="P28" l="1"/>
  <c r="R27" s="1"/>
  <c r="Q27" s="1"/>
  <c r="O29"/>
  <c r="P29" i="7"/>
  <c r="O30"/>
  <c r="R28"/>
  <c r="Q28" s="1"/>
  <c r="P29" i="6"/>
  <c r="O30"/>
  <c r="R27"/>
  <c r="Q27" s="1"/>
  <c r="P29" i="5"/>
  <c r="R28" s="1"/>
  <c r="Q28" s="1"/>
  <c r="O30"/>
  <c r="P29" i="4" l="1"/>
  <c r="R28" s="1"/>
  <c r="Q28" s="1"/>
  <c r="O30"/>
  <c r="P30" i="7"/>
  <c r="O31"/>
  <c r="P30" i="6"/>
  <c r="O31"/>
  <c r="R28"/>
  <c r="Q28" s="1"/>
  <c r="P30" i="5"/>
  <c r="R29" s="1"/>
  <c r="Q29" s="1"/>
  <c r="O31"/>
  <c r="O31" i="4" l="1"/>
  <c r="P30"/>
  <c r="R29" s="1"/>
  <c r="Q29" s="1"/>
  <c r="P31" i="7"/>
  <c r="R31" s="1"/>
  <c r="R29"/>
  <c r="Q29" s="1"/>
  <c r="P31" i="6"/>
  <c r="R31" s="1"/>
  <c r="R29"/>
  <c r="Q29" s="1"/>
  <c r="P31" i="5"/>
  <c r="R31" s="1"/>
  <c r="P31" i="4" l="1"/>
  <c r="R31" s="1"/>
  <c r="R30" i="7"/>
  <c r="Q30" s="1"/>
  <c r="R30" i="6"/>
  <c r="Q30" s="1"/>
  <c r="R30" i="5"/>
  <c r="Q30" s="1"/>
  <c r="R30" i="4" l="1"/>
  <c r="Q30" s="1"/>
  <c r="Q31" i="7"/>
  <c r="Q31" i="6"/>
  <c r="Q31" i="5"/>
  <c r="Q31" i="4" l="1"/>
</calcChain>
</file>

<file path=xl/sharedStrings.xml><?xml version="1.0" encoding="utf-8"?>
<sst xmlns="http://schemas.openxmlformats.org/spreadsheetml/2006/main" count="367" uniqueCount="100">
  <si>
    <t>ONKAR ENGINE &amp; GENERATOR (P) LTD.</t>
  </si>
  <si>
    <t>STATISTICAL PROCESS CONTROL STUDY</t>
  </si>
  <si>
    <t>PART NAME:</t>
  </si>
  <si>
    <t>INSTRUMENT:</t>
  </si>
  <si>
    <t>Wattage</t>
  </si>
  <si>
    <t>L.COUNT:</t>
  </si>
  <si>
    <t>1 kw</t>
  </si>
  <si>
    <t>PART NO.:</t>
  </si>
  <si>
    <t>NA</t>
  </si>
  <si>
    <t>SPECIFIC:</t>
  </si>
  <si>
    <t>2000+5%/-10%</t>
  </si>
  <si>
    <t>MACHINE:</t>
  </si>
  <si>
    <t>Testing Panel</t>
  </si>
  <si>
    <t>SAMPLE SIZE:</t>
  </si>
  <si>
    <t>50NOS.</t>
  </si>
  <si>
    <t>OPERATION:</t>
  </si>
  <si>
    <t>TESTING</t>
  </si>
  <si>
    <t>NO.OF DECIMALS:</t>
  </si>
  <si>
    <t>Date</t>
  </si>
  <si>
    <t xml:space="preserve">DATA COLLECTION: - </t>
  </si>
  <si>
    <t>ALL DIMENSIONS ARE IN INCHES / MM</t>
  </si>
  <si>
    <t>MM</t>
  </si>
  <si>
    <t>SNO.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</si>
  <si>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</si>
  <si>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</si>
  <si>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</si>
  <si>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</si>
  <si>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</si>
  <si>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</si>
  <si>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</si>
  <si>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</si>
  <si>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</si>
  <si>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</si>
  <si>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</si>
  <si>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</si>
  <si>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</si>
  <si>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</si>
  <si>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</si>
  <si>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</si>
  <si>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</si>
  <si>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</si>
  <si>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</si>
  <si>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</si>
  <si>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</si>
  <si>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</si>
  <si>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</si>
  <si>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</si>
  <si>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</si>
  <si>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</si>
  <si>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</si>
  <si>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</si>
  <si>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</si>
  <si>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</si>
  <si>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</si>
  <si>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</si>
  <si>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</si>
  <si>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</si>
  <si>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</si>
  <si>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</si>
  <si>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</si>
  <si>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</si>
  <si>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</si>
  <si>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</si>
  <si>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</si>
  <si>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</si>
  <si>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</si>
  <si>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</si>
  <si>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</si>
  <si>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</si>
  <si>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</si>
  <si>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</si>
  <si>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</si>
  <si>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</si>
  <si>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</si>
  <si>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</si>
  <si>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</si>
  <si>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</si>
  <si>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</si>
  <si>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</si>
  <si>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t>REMARKS: -</t>
  </si>
  <si>
    <t>PREPARED BY</t>
  </si>
  <si>
    <t>Qube</t>
  </si>
  <si>
    <t>U.S.L.</t>
  </si>
  <si>
    <t>L.S.L</t>
  </si>
  <si>
    <t>Element</t>
  </si>
  <si>
    <t>Resistance</t>
  </si>
  <si>
    <t>0.1 mΩ</t>
  </si>
  <si>
    <t>Resistancemeter</t>
  </si>
  <si>
    <r>
      <t>25.2~29.4 m</t>
    </r>
    <r>
      <rPr>
        <sz val="10"/>
        <rFont val="Calibri"/>
        <family val="2"/>
      </rPr>
      <t>Ω</t>
    </r>
  </si>
  <si>
    <t>06.09.2021</t>
  </si>
  <si>
    <t>Amica/Qube</t>
  </si>
  <si>
    <t>DFT Meter</t>
  </si>
  <si>
    <t>100~400 µ</t>
  </si>
  <si>
    <t>APPROVED BY</t>
  </si>
  <si>
    <t>Cpk={1-K}xCp)=</t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</si>
  <si>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</si>
  <si>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1µ</t>
  </si>
  <si>
    <t>27.09.2021</t>
  </si>
  <si>
    <t>13.09.2021</t>
  </si>
  <si>
    <t>20.09.2021</t>
  </si>
</sst>
</file>

<file path=xl/styles.xml><?xml version="1.0" encoding="utf-8"?>
<styleSheet xmlns="http://schemas.openxmlformats.org/spreadsheetml/2006/main">
  <numFmts count="1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0000"/>
    <numFmt numFmtId="166" formatCode="0.000000"/>
    <numFmt numFmtId="167" formatCode="&quot;$&quot;#,##0.0000"/>
    <numFmt numFmtId="168" formatCode="\$#,##0.00;[Red]\-\$#,##0.00"/>
    <numFmt numFmtId="169" formatCode="0.00_)"/>
    <numFmt numFmtId="170" formatCode="0.0"/>
  </numFmts>
  <fonts count="25">
    <font>
      <sz val="11"/>
      <color theme="1"/>
      <name val="Calibri"/>
      <family val="2"/>
      <scheme val="minor"/>
    </font>
    <font>
      <sz val="10"/>
      <name val="Arial"/>
    </font>
    <font>
      <b/>
      <sz val="20"/>
      <name val="Bookman Old Style"/>
      <family val="1"/>
    </font>
    <font>
      <sz val="6"/>
      <name val="Arial"/>
      <family val="2"/>
    </font>
    <font>
      <sz val="18"/>
      <name val="Arial Black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MS Sans Serif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8" fontId="17" fillId="0" borderId="0" applyFont="0" applyFill="0" applyBorder="0" applyAlignment="0" applyProtection="0"/>
    <xf numFmtId="6" fontId="17" fillId="0" borderId="0" applyFont="0" applyFill="0" applyBorder="0" applyAlignment="0" applyProtection="0"/>
    <xf numFmtId="0" fontId="17" fillId="0" borderId="0"/>
    <xf numFmtId="0" fontId="18" fillId="0" borderId="0"/>
    <xf numFmtId="168" fontId="19" fillId="0" borderId="0">
      <alignment horizontal="center"/>
    </xf>
    <xf numFmtId="38" fontId="5" fillId="3" borderId="0" applyNumberFormat="0" applyBorder="0" applyAlignment="0" applyProtection="0"/>
    <xf numFmtId="0" fontId="20" fillId="0" borderId="0">
      <alignment horizontal="left"/>
    </xf>
    <xf numFmtId="10" fontId="5" fillId="3" borderId="4" applyNumberFormat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0" fontId="21" fillId="0" borderId="16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6" fontId="17" fillId="0" borderId="0" applyFont="0" applyFill="0" applyBorder="0" applyAlignment="0" applyProtection="0"/>
    <xf numFmtId="8" fontId="17" fillId="0" borderId="0" applyFont="0" applyFill="0" applyBorder="0" applyAlignment="0" applyProtection="0"/>
    <xf numFmtId="169" fontId="22" fillId="0" borderId="0"/>
    <xf numFmtId="10" fontId="6" fillId="0" borderId="0" applyFont="0" applyFill="0" applyBorder="0" applyAlignment="0" applyProtection="0"/>
    <xf numFmtId="0" fontId="21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23" fillId="0" borderId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199">
    <xf numFmtId="0" fontId="0" fillId="0" borderId="0" xfId="0"/>
    <xf numFmtId="0" fontId="3" fillId="3" borderId="0" xfId="1" applyFont="1" applyFill="1" applyAlignment="1" applyProtection="1">
      <alignment horizontal="center" vertical="center"/>
      <protection hidden="1"/>
    </xf>
    <xf numFmtId="0" fontId="5" fillId="3" borderId="0" xfId="1" applyFont="1" applyFill="1" applyAlignment="1" applyProtection="1">
      <alignment horizontal="center" vertical="center"/>
      <protection hidden="1"/>
    </xf>
    <xf numFmtId="0" fontId="6" fillId="4" borderId="5" xfId="1" applyFont="1" applyFill="1" applyBorder="1" applyAlignment="1" applyProtection="1">
      <alignment horizontal="center" vertical="center"/>
      <protection locked="0"/>
    </xf>
    <xf numFmtId="0" fontId="6" fillId="3" borderId="0" xfId="1" applyFont="1" applyFill="1" applyAlignment="1" applyProtection="1">
      <alignment horizontal="center" vertical="center"/>
      <protection hidden="1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6" fillId="3" borderId="4" xfId="1" applyFont="1" applyFill="1" applyBorder="1" applyAlignment="1" applyProtection="1">
      <alignment horizontal="center" vertical="center"/>
      <protection hidden="1"/>
    </xf>
    <xf numFmtId="164" fontId="6" fillId="4" borderId="4" xfId="1" applyNumberFormat="1" applyFont="1" applyFill="1" applyBorder="1" applyAlignment="1" applyProtection="1">
      <alignment horizontal="left" vertical="center"/>
      <protection locked="0" hidden="1"/>
    </xf>
    <xf numFmtId="0" fontId="1" fillId="4" borderId="4" xfId="1" applyFill="1" applyBorder="1" applyAlignment="1" applyProtection="1">
      <alignment vertical="center"/>
      <protection locked="0"/>
    </xf>
    <xf numFmtId="0" fontId="6" fillId="3" borderId="4" xfId="1" applyFont="1" applyFill="1" applyBorder="1" applyAlignment="1" applyProtection="1">
      <alignment horizontal="center" vertical="center" shrinkToFit="1"/>
      <protection hidden="1"/>
    </xf>
    <xf numFmtId="0" fontId="7" fillId="3" borderId="4" xfId="1" applyFont="1" applyFill="1" applyBorder="1" applyAlignment="1" applyProtection="1">
      <alignment horizontal="center" vertical="center" shrinkToFit="1"/>
      <protection hidden="1"/>
    </xf>
    <xf numFmtId="0" fontId="7" fillId="3" borderId="4" xfId="1" applyFont="1" applyFill="1" applyBorder="1" applyAlignment="1" applyProtection="1">
      <alignment horizontal="center" vertical="center"/>
      <protection hidden="1"/>
    </xf>
    <xf numFmtId="1" fontId="6" fillId="4" borderId="4" xfId="1" applyNumberFormat="1" applyFont="1" applyFill="1" applyBorder="1" applyAlignment="1" applyProtection="1">
      <alignment horizontal="center" vertical="center"/>
      <protection locked="0"/>
    </xf>
    <xf numFmtId="49" fontId="6" fillId="3" borderId="4" xfId="1" applyNumberFormat="1" applyFont="1" applyFill="1" applyBorder="1" applyAlignment="1" applyProtection="1">
      <alignment horizontal="center" vertical="center"/>
      <protection hidden="1"/>
    </xf>
    <xf numFmtId="49" fontId="6" fillId="3" borderId="0" xfId="1" applyNumberFormat="1" applyFont="1" applyFill="1" applyBorder="1" applyAlignment="1" applyProtection="1">
      <alignment horizontal="left" vertical="center"/>
      <protection hidden="1"/>
    </xf>
    <xf numFmtId="0" fontId="6" fillId="3" borderId="0" xfId="1" applyFont="1" applyFill="1" applyBorder="1" applyAlignment="1" applyProtection="1">
      <alignment horizontal="center" vertical="center"/>
      <protection hidden="1"/>
    </xf>
    <xf numFmtId="0" fontId="6" fillId="3" borderId="5" xfId="1" applyFont="1" applyFill="1" applyBorder="1" applyAlignment="1" applyProtection="1">
      <alignment horizontal="center" vertical="center" shrinkToFit="1"/>
      <protection hidden="1"/>
    </xf>
    <xf numFmtId="49" fontId="6" fillId="3" borderId="12" xfId="1" applyNumberFormat="1" applyFont="1" applyFill="1" applyBorder="1" applyAlignment="1" applyProtection="1">
      <alignment horizontal="center" vertical="center"/>
      <protection hidden="1"/>
    </xf>
    <xf numFmtId="0" fontId="6" fillId="3" borderId="12" xfId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 shrinkToFit="1"/>
      <protection hidden="1"/>
    </xf>
    <xf numFmtId="164" fontId="6" fillId="3" borderId="0" xfId="1" applyNumberFormat="1" applyFont="1" applyFill="1" applyBorder="1" applyAlignment="1" applyProtection="1">
      <alignment horizontal="center" vertical="center"/>
      <protection hidden="1"/>
    </xf>
    <xf numFmtId="0" fontId="6" fillId="3" borderId="9" xfId="1" applyFont="1" applyFill="1" applyBorder="1" applyAlignment="1" applyProtection="1">
      <alignment horizontal="center" vertical="center" shrinkToFit="1"/>
      <protection hidden="1"/>
    </xf>
    <xf numFmtId="49" fontId="6" fillId="3" borderId="13" xfId="1" applyNumberFormat="1" applyFont="1" applyFill="1" applyBorder="1" applyAlignment="1" applyProtection="1">
      <alignment horizontal="center" vertical="center"/>
      <protection hidden="1"/>
    </xf>
    <xf numFmtId="0" fontId="6" fillId="3" borderId="13" xfId="1" applyFont="1" applyFill="1" applyBorder="1" applyAlignment="1" applyProtection="1">
      <alignment horizontal="center" vertical="center"/>
      <protection hidden="1"/>
    </xf>
    <xf numFmtId="0" fontId="6" fillId="3" borderId="5" xfId="1" applyFont="1" applyFill="1" applyBorder="1" applyAlignment="1" applyProtection="1">
      <alignment horizontal="center" vertical="center"/>
      <protection hidden="1"/>
    </xf>
    <xf numFmtId="0" fontId="6" fillId="3" borderId="5" xfId="1" applyNumberFormat="1" applyFont="1" applyFill="1" applyBorder="1" applyAlignment="1" applyProtection="1">
      <alignment horizontal="center" vertical="center"/>
      <protection hidden="1"/>
    </xf>
    <xf numFmtId="0" fontId="6" fillId="3" borderId="4" xfId="1" applyNumberFormat="1" applyFont="1" applyFill="1" applyBorder="1" applyAlignment="1" applyProtection="1">
      <alignment horizontal="center" vertical="center"/>
      <protection hidden="1"/>
    </xf>
    <xf numFmtId="164" fontId="6" fillId="3" borderId="4" xfId="1" applyNumberFormat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6" fillId="3" borderId="9" xfId="1" applyFont="1" applyFill="1" applyBorder="1" applyAlignment="1" applyProtection="1">
      <alignment horizontal="center" vertical="center"/>
      <protection hidden="1"/>
    </xf>
    <xf numFmtId="0" fontId="6" fillId="3" borderId="13" xfId="1" applyNumberFormat="1" applyFont="1" applyFill="1" applyBorder="1" applyAlignment="1" applyProtection="1">
      <alignment horizontal="center" vertical="center"/>
      <protection hidden="1"/>
    </xf>
    <xf numFmtId="0" fontId="9" fillId="3" borderId="4" xfId="1" applyFont="1" applyFill="1" applyBorder="1" applyAlignment="1" applyProtection="1">
      <alignment horizontal="center" vertical="center"/>
      <protection hidden="1"/>
    </xf>
    <xf numFmtId="165" fontId="8" fillId="3" borderId="4" xfId="1" applyNumberFormat="1" applyFont="1" applyFill="1" applyBorder="1" applyAlignment="1" applyProtection="1">
      <alignment horizontal="center" vertical="center"/>
      <protection hidden="1"/>
    </xf>
    <xf numFmtId="0" fontId="8" fillId="0" borderId="9" xfId="1" applyFont="1" applyBorder="1" applyAlignment="1" applyProtection="1">
      <alignment horizontal="right" vertical="center"/>
      <protection hidden="1"/>
    </xf>
    <xf numFmtId="0" fontId="8" fillId="0" borderId="11" xfId="1" applyFont="1" applyBorder="1" applyAlignment="1" applyProtection="1">
      <alignment horizontal="left" vertical="center"/>
      <protection hidden="1"/>
    </xf>
    <xf numFmtId="20" fontId="6" fillId="3" borderId="0" xfId="1" applyNumberFormat="1" applyFont="1" applyFill="1" applyAlignment="1" applyProtection="1">
      <alignment horizontal="center" vertical="center"/>
      <protection hidden="1"/>
    </xf>
    <xf numFmtId="164" fontId="8" fillId="3" borderId="4" xfId="1" applyNumberFormat="1" applyFont="1" applyFill="1" applyBorder="1" applyAlignment="1" applyProtection="1">
      <alignment horizontal="center" vertical="center"/>
      <protection hidden="1"/>
    </xf>
    <xf numFmtId="0" fontId="8" fillId="0" borderId="1" xfId="1" applyFont="1" applyBorder="1" applyAlignment="1" applyProtection="1">
      <alignment horizontal="right" vertical="center"/>
      <protection hidden="1"/>
    </xf>
    <xf numFmtId="0" fontId="8" fillId="0" borderId="3" xfId="1" applyFont="1" applyBorder="1" applyAlignment="1" applyProtection="1">
      <alignment horizontal="left" vertical="center"/>
      <protection hidden="1"/>
    </xf>
    <xf numFmtId="164" fontId="6" fillId="3" borderId="3" xfId="1" applyNumberFormat="1" applyFont="1" applyFill="1" applyBorder="1" applyAlignment="1" applyProtection="1">
      <alignment horizontal="center" vertical="center"/>
      <protection hidden="1"/>
    </xf>
    <xf numFmtId="164" fontId="11" fillId="3" borderId="12" xfId="1" applyNumberFormat="1" applyFont="1" applyFill="1" applyBorder="1" applyAlignment="1" applyProtection="1">
      <alignment horizontal="center" vertical="center"/>
      <protection hidden="1"/>
    </xf>
    <xf numFmtId="0" fontId="6" fillId="3" borderId="3" xfId="1" applyFont="1" applyFill="1" applyBorder="1" applyAlignment="1" applyProtection="1">
      <alignment horizontal="center" vertical="center"/>
      <protection hidden="1"/>
    </xf>
    <xf numFmtId="2" fontId="6" fillId="3" borderId="4" xfId="1" applyNumberFormat="1" applyFont="1" applyFill="1" applyBorder="1" applyAlignment="1" applyProtection="1">
      <alignment horizontal="center" vertical="center"/>
      <protection hidden="1"/>
    </xf>
    <xf numFmtId="166" fontId="6" fillId="3" borderId="3" xfId="1" applyNumberFormat="1" applyFont="1" applyFill="1" applyBorder="1" applyAlignment="1" applyProtection="1">
      <alignment horizontal="center" vertical="center"/>
      <protection hidden="1"/>
    </xf>
    <xf numFmtId="0" fontId="7" fillId="3" borderId="0" xfId="1" applyFont="1" applyFill="1" applyBorder="1" applyAlignment="1" applyProtection="1">
      <alignment horizontal="left" vertical="center"/>
      <protection hidden="1"/>
    </xf>
    <xf numFmtId="0" fontId="8" fillId="3" borderId="4" xfId="1" applyFont="1" applyFill="1" applyBorder="1" applyAlignment="1" applyProtection="1">
      <alignment horizontal="center" vertical="center"/>
      <protection hidden="1"/>
    </xf>
    <xf numFmtId="0" fontId="6" fillId="0" borderId="4" xfId="1" applyFont="1" applyBorder="1" applyAlignment="1" applyProtection="1">
      <alignment horizontal="center" vertical="center"/>
      <protection hidden="1"/>
    </xf>
    <xf numFmtId="0" fontId="11" fillId="3" borderId="0" xfId="1" applyFont="1" applyFill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horizontal="center" vertical="center"/>
      <protection hidden="1"/>
    </xf>
    <xf numFmtId="164" fontId="6" fillId="0" borderId="4" xfId="1" applyNumberFormat="1" applyFont="1" applyBorder="1" applyAlignment="1" applyProtection="1">
      <alignment horizontal="center" vertical="center"/>
      <protection hidden="1"/>
    </xf>
    <xf numFmtId="49" fontId="5" fillId="3" borderId="0" xfId="1" applyNumberFormat="1" applyFont="1" applyFill="1" applyAlignment="1" applyProtection="1">
      <alignment horizontal="center" vertical="center"/>
      <protection hidden="1"/>
    </xf>
    <xf numFmtId="0" fontId="6" fillId="0" borderId="0" xfId="1" applyFont="1" applyBorder="1" applyAlignment="1" applyProtection="1">
      <alignment horizontal="center" vertical="center"/>
      <protection hidden="1"/>
    </xf>
    <xf numFmtId="0" fontId="5" fillId="3" borderId="4" xfId="1" applyFont="1" applyFill="1" applyBorder="1" applyAlignment="1" applyProtection="1">
      <alignment horizontal="center" vertical="center"/>
      <protection hidden="1"/>
    </xf>
    <xf numFmtId="0" fontId="6" fillId="3" borderId="0" xfId="1" applyNumberFormat="1" applyFont="1" applyFill="1" applyBorder="1" applyAlignment="1" applyProtection="1">
      <alignment horizontal="center" vertical="center"/>
      <protection hidden="1"/>
    </xf>
    <xf numFmtId="49" fontId="3" fillId="3" borderId="0" xfId="1" applyNumberFormat="1" applyFont="1" applyFill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  <xf numFmtId="0" fontId="13" fillId="3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13" fillId="3" borderId="0" xfId="1" applyFont="1" applyFill="1" applyAlignment="1" applyProtection="1">
      <alignment horizontal="center" vertical="center"/>
      <protection hidden="1"/>
    </xf>
    <xf numFmtId="164" fontId="1" fillId="0" borderId="0" xfId="1" applyNumberFormat="1" applyFont="1" applyBorder="1" applyAlignment="1" applyProtection="1">
      <alignment horizontal="center" vertical="center"/>
      <protection hidden="1"/>
    </xf>
    <xf numFmtId="0" fontId="3" fillId="3" borderId="14" xfId="1" applyFont="1" applyFill="1" applyBorder="1" applyAlignment="1" applyProtection="1">
      <alignment horizontal="center" vertical="center"/>
      <protection hidden="1"/>
    </xf>
    <xf numFmtId="0" fontId="3" fillId="3" borderId="0" xfId="1" applyFont="1" applyFill="1" applyAlignment="1" applyProtection="1">
      <alignment horizontal="left" vertical="center"/>
      <protection hidden="1"/>
    </xf>
    <xf numFmtId="164" fontId="3" fillId="3" borderId="0" xfId="1" applyNumberFormat="1" applyFont="1" applyFill="1" applyAlignment="1" applyProtection="1">
      <alignment horizontal="center" vertical="center"/>
      <protection hidden="1"/>
    </xf>
    <xf numFmtId="170" fontId="6" fillId="4" borderId="4" xfId="0" applyNumberFormat="1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2" fontId="6" fillId="3" borderId="3" xfId="1" applyNumberFormat="1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hidden="1"/>
    </xf>
    <xf numFmtId="0" fontId="6" fillId="0" borderId="3" xfId="0" applyFont="1" applyBorder="1" applyAlignment="1" applyProtection="1">
      <alignment horizontal="left" vertical="center"/>
      <protection hidden="1"/>
    </xf>
    <xf numFmtId="0" fontId="2" fillId="2" borderId="1" xfId="1" applyFont="1" applyFill="1" applyBorder="1" applyAlignment="1" applyProtection="1">
      <alignment horizontal="center" vertical="center"/>
      <protection hidden="1"/>
    </xf>
    <xf numFmtId="0" fontId="2" fillId="2" borderId="2" xfId="1" applyFont="1" applyFill="1" applyBorder="1" applyAlignment="1" applyProtection="1">
      <alignment horizontal="center" vertical="center"/>
      <protection hidden="1"/>
    </xf>
    <xf numFmtId="0" fontId="2" fillId="2" borderId="3" xfId="1" applyFont="1" applyFill="1" applyBorder="1" applyAlignment="1" applyProtection="1">
      <alignment horizontal="center" vertical="center"/>
      <protection hidden="1"/>
    </xf>
    <xf numFmtId="0" fontId="4" fillId="3" borderId="4" xfId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/>
      <protection hidden="1"/>
    </xf>
    <xf numFmtId="0" fontId="1" fillId="0" borderId="4" xfId="1" applyBorder="1" applyAlignment="1" applyProtection="1">
      <alignment horizontal="center"/>
      <protection hidden="1"/>
    </xf>
    <xf numFmtId="0" fontId="6" fillId="3" borderId="5" xfId="1" applyFont="1" applyFill="1" applyBorder="1" applyAlignment="1" applyProtection="1">
      <alignment horizontal="left" vertical="center"/>
      <protection hidden="1"/>
    </xf>
    <xf numFmtId="0" fontId="6" fillId="0" borderId="6" xfId="1" applyFont="1" applyBorder="1" applyAlignment="1" applyProtection="1">
      <alignment vertical="center"/>
      <protection hidden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3" borderId="5" xfId="0" applyFont="1" applyFill="1" applyBorder="1" applyAlignment="1" applyProtection="1">
      <alignment horizontal="left" vertical="center"/>
      <protection hidden="1"/>
    </xf>
    <xf numFmtId="0" fontId="6" fillId="0" borderId="7" xfId="0" applyFont="1" applyBorder="1" applyAlignment="1" applyProtection="1">
      <alignment vertical="center"/>
      <protection hidden="1"/>
    </xf>
    <xf numFmtId="0" fontId="6" fillId="3" borderId="7" xfId="0" applyFont="1" applyFill="1" applyBorder="1" applyAlignment="1" applyProtection="1">
      <alignment horizontal="left" vertical="center"/>
      <protection hidden="1"/>
    </xf>
    <xf numFmtId="0" fontId="6" fillId="0" borderId="6" xfId="0" applyFont="1" applyBorder="1" applyAlignment="1" applyProtection="1">
      <alignment vertical="center"/>
      <protection hidden="1"/>
    </xf>
    <xf numFmtId="0" fontId="6" fillId="3" borderId="8" xfId="1" applyFont="1" applyFill="1" applyBorder="1" applyAlignment="1" applyProtection="1">
      <alignment horizontal="center" vertical="center"/>
      <protection hidden="1"/>
    </xf>
    <xf numFmtId="0" fontId="6" fillId="3" borderId="12" xfId="1" applyFont="1" applyFill="1" applyBorder="1" applyAlignment="1" applyProtection="1">
      <alignment horizontal="center" vertical="center"/>
      <protection hidden="1"/>
    </xf>
    <xf numFmtId="0" fontId="7" fillId="3" borderId="9" xfId="1" applyFont="1" applyFill="1" applyBorder="1" applyAlignment="1" applyProtection="1">
      <alignment horizontal="center" vertical="center" wrapText="1"/>
      <protection locked="0"/>
    </xf>
    <xf numFmtId="0" fontId="7" fillId="3" borderId="10" xfId="1" applyFont="1" applyFill="1" applyBorder="1" applyAlignment="1" applyProtection="1">
      <alignment horizontal="center" vertical="center" wrapText="1"/>
      <protection locked="0"/>
    </xf>
    <xf numFmtId="0" fontId="7" fillId="3" borderId="11" xfId="1" applyFont="1" applyFill="1" applyBorder="1" applyAlignment="1" applyProtection="1">
      <alignment horizontal="center" vertical="center" wrapText="1"/>
      <protection locked="0"/>
    </xf>
    <xf numFmtId="0" fontId="7" fillId="3" borderId="5" xfId="1" applyFont="1" applyFill="1" applyBorder="1" applyAlignment="1" applyProtection="1">
      <alignment horizontal="center" vertical="center" wrapText="1"/>
      <protection locked="0"/>
    </xf>
    <xf numFmtId="0" fontId="7" fillId="3" borderId="7" xfId="1" applyFont="1" applyFill="1" applyBorder="1" applyAlignment="1" applyProtection="1">
      <alignment horizontal="center" vertical="center" wrapText="1"/>
      <protection locked="0"/>
    </xf>
    <xf numFmtId="0" fontId="7" fillId="3" borderId="6" xfId="1" applyFont="1" applyFill="1" applyBorder="1" applyAlignment="1" applyProtection="1">
      <alignment horizontal="center" vertical="center" wrapText="1"/>
      <protection locked="0"/>
    </xf>
    <xf numFmtId="0" fontId="6" fillId="3" borderId="1" xfId="1" applyFont="1" applyFill="1" applyBorder="1" applyAlignment="1" applyProtection="1">
      <alignment horizontal="left" vertical="center"/>
      <protection hidden="1"/>
    </xf>
    <xf numFmtId="0" fontId="6" fillId="0" borderId="3" xfId="1" applyFont="1" applyBorder="1" applyAlignment="1" applyProtection="1">
      <alignment vertical="center"/>
      <protection hidden="1"/>
    </xf>
    <xf numFmtId="0" fontId="6" fillId="0" borderId="2" xfId="0" applyFont="1" applyBorder="1" applyAlignment="1" applyProtection="1">
      <alignment vertical="center"/>
      <protection hidden="1"/>
    </xf>
    <xf numFmtId="0" fontId="6" fillId="3" borderId="2" xfId="0" applyFont="1" applyFill="1" applyBorder="1" applyAlignment="1" applyProtection="1">
      <alignment horizontal="left" vertical="center"/>
      <protection hidden="1"/>
    </xf>
    <xf numFmtId="0" fontId="6" fillId="0" borderId="3" xfId="0" applyFont="1" applyBorder="1" applyAlignment="1" applyProtection="1">
      <alignment vertical="center"/>
      <protection hidden="1"/>
    </xf>
    <xf numFmtId="0" fontId="8" fillId="0" borderId="1" xfId="1" applyFont="1" applyBorder="1" applyAlignment="1" applyProtection="1">
      <alignment horizontal="center" vertical="center" shrinkToFit="1"/>
      <protection hidden="1"/>
    </xf>
    <xf numFmtId="0" fontId="8" fillId="0" borderId="2" xfId="1" applyFont="1" applyBorder="1" applyAlignment="1" applyProtection="1">
      <alignment horizontal="center" vertical="center" shrinkToFit="1"/>
      <protection hidden="1"/>
    </xf>
    <xf numFmtId="0" fontId="6" fillId="3" borderId="4" xfId="1" applyNumberFormat="1" applyFont="1" applyFill="1" applyBorder="1" applyAlignment="1" applyProtection="1">
      <alignment horizontal="center" vertical="center"/>
      <protection locked="0"/>
    </xf>
    <xf numFmtId="0" fontId="1" fillId="3" borderId="4" xfId="1" applyFill="1" applyBorder="1" applyAlignment="1" applyProtection="1">
      <alignment horizontal="center" vertical="center"/>
      <protection locked="0"/>
    </xf>
    <xf numFmtId="0" fontId="7" fillId="3" borderId="1" xfId="1" applyFont="1" applyFill="1" applyBorder="1" applyAlignment="1" applyProtection="1">
      <alignment horizontal="left" vertical="center"/>
      <protection hidden="1"/>
    </xf>
    <xf numFmtId="0" fontId="7" fillId="3" borderId="2" xfId="1" applyFont="1" applyFill="1" applyBorder="1" applyAlignment="1" applyProtection="1">
      <alignment horizontal="left" vertical="center"/>
      <protection hidden="1"/>
    </xf>
    <xf numFmtId="0" fontId="7" fillId="3" borderId="3" xfId="1" applyFont="1" applyFill="1" applyBorder="1" applyAlignment="1" applyProtection="1">
      <alignment horizontal="left" vertical="center"/>
      <protection hidden="1"/>
    </xf>
    <xf numFmtId="0" fontId="6" fillId="0" borderId="1" xfId="1" applyFont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center" vertical="center"/>
      <protection hidden="1"/>
    </xf>
    <xf numFmtId="0" fontId="6" fillId="0" borderId="3" xfId="1" applyFont="1" applyBorder="1" applyAlignment="1" applyProtection="1">
      <alignment horizontal="center" vertical="center"/>
      <protection hidden="1"/>
    </xf>
    <xf numFmtId="0" fontId="8" fillId="3" borderId="13" xfId="1" applyFont="1" applyFill="1" applyBorder="1" applyAlignment="1" applyProtection="1">
      <alignment horizontal="center" vertical="center"/>
      <protection hidden="1"/>
    </xf>
    <xf numFmtId="0" fontId="1" fillId="0" borderId="8" xfId="1" applyBorder="1" applyProtection="1">
      <protection hidden="1"/>
    </xf>
    <xf numFmtId="0" fontId="1" fillId="0" borderId="12" xfId="1" applyBorder="1" applyProtection="1">
      <protection hidden="1"/>
    </xf>
    <xf numFmtId="2" fontId="8" fillId="4" borderId="9" xfId="1" applyNumberFormat="1" applyFont="1" applyFill="1" applyBorder="1" applyAlignment="1" applyProtection="1">
      <alignment horizontal="center" vertical="center"/>
      <protection locked="0"/>
    </xf>
    <xf numFmtId="2" fontId="8" fillId="4" borderId="11" xfId="1" applyNumberFormat="1" applyFont="1" applyFill="1" applyBorder="1" applyAlignment="1" applyProtection="1">
      <alignment horizontal="center" vertical="center"/>
      <protection locked="0"/>
    </xf>
    <xf numFmtId="2" fontId="8" fillId="4" borderId="14" xfId="1" applyNumberFormat="1" applyFont="1" applyFill="1" applyBorder="1" applyAlignment="1" applyProtection="1">
      <alignment horizontal="center" vertical="center"/>
      <protection locked="0"/>
    </xf>
    <xf numFmtId="2" fontId="8" fillId="4" borderId="15" xfId="1" applyNumberFormat="1" applyFont="1" applyFill="1" applyBorder="1" applyAlignment="1" applyProtection="1">
      <alignment horizontal="center" vertical="center"/>
      <protection locked="0"/>
    </xf>
    <xf numFmtId="2" fontId="8" fillId="4" borderId="5" xfId="1" applyNumberFormat="1" applyFont="1" applyFill="1" applyBorder="1" applyAlignment="1" applyProtection="1">
      <alignment horizontal="center" vertical="center"/>
      <protection locked="0"/>
    </xf>
    <xf numFmtId="2" fontId="8" fillId="4" borderId="6" xfId="1" applyNumberFormat="1" applyFont="1" applyFill="1" applyBorder="1" applyAlignment="1" applyProtection="1">
      <alignment horizontal="center" vertical="center"/>
      <protection locked="0"/>
    </xf>
    <xf numFmtId="0" fontId="1" fillId="0" borderId="8" xfId="1" applyBorder="1" applyAlignment="1" applyProtection="1">
      <alignment horizontal="center" vertical="center"/>
      <protection hidden="1"/>
    </xf>
    <xf numFmtId="0" fontId="1" fillId="0" borderId="12" xfId="1" applyBorder="1" applyAlignment="1" applyProtection="1">
      <alignment horizontal="center" vertical="center"/>
      <protection hidden="1"/>
    </xf>
    <xf numFmtId="0" fontId="6" fillId="0" borderId="2" xfId="1" applyFont="1" applyBorder="1" applyAlignment="1" applyProtection="1">
      <alignment horizontal="left" vertical="center"/>
      <protection hidden="1"/>
    </xf>
    <xf numFmtId="0" fontId="1" fillId="0" borderId="3" xfId="1" applyBorder="1" applyAlignment="1" applyProtection="1">
      <alignment horizontal="left" vertical="center"/>
      <protection hidden="1"/>
    </xf>
    <xf numFmtId="0" fontId="7" fillId="3" borderId="4" xfId="1" applyFont="1" applyFill="1" applyBorder="1" applyAlignment="1" applyProtection="1">
      <alignment horizontal="left" vertical="center"/>
      <protection hidden="1"/>
    </xf>
    <xf numFmtId="0" fontId="6" fillId="0" borderId="4" xfId="1" applyFont="1" applyBorder="1" applyAlignment="1" applyProtection="1">
      <alignment vertical="center"/>
      <protection hidden="1"/>
    </xf>
    <xf numFmtId="0" fontId="1" fillId="0" borderId="4" xfId="1" applyBorder="1" applyAlignment="1" applyProtection="1">
      <alignment vertical="center"/>
      <protection hidden="1"/>
    </xf>
    <xf numFmtId="0" fontId="8" fillId="0" borderId="9" xfId="1" applyFont="1" applyBorder="1" applyAlignment="1" applyProtection="1">
      <alignment horizontal="center" vertical="center" shrinkToFit="1"/>
      <protection hidden="1"/>
    </xf>
    <xf numFmtId="0" fontId="8" fillId="0" borderId="10" xfId="1" applyFont="1" applyBorder="1" applyAlignment="1" applyProtection="1">
      <alignment horizontal="center" vertical="center" shrinkToFit="1"/>
      <protection hidden="1"/>
    </xf>
    <xf numFmtId="0" fontId="8" fillId="0" borderId="11" xfId="1" applyFont="1" applyBorder="1" applyAlignment="1" applyProtection="1">
      <alignment horizontal="center" vertical="center" shrinkToFit="1"/>
      <protection hidden="1"/>
    </xf>
    <xf numFmtId="0" fontId="8" fillId="0" borderId="5" xfId="1" applyFont="1" applyBorder="1" applyAlignment="1" applyProtection="1">
      <alignment horizontal="center" vertical="center" shrinkToFit="1"/>
      <protection hidden="1"/>
    </xf>
    <xf numFmtId="0" fontId="8" fillId="0" borderId="7" xfId="1" applyFont="1" applyBorder="1" applyAlignment="1" applyProtection="1">
      <alignment horizontal="center" vertical="center" shrinkToFit="1"/>
      <protection hidden="1"/>
    </xf>
    <xf numFmtId="0" fontId="8" fillId="0" borderId="6" xfId="1" applyFont="1" applyBorder="1" applyAlignment="1" applyProtection="1">
      <alignment horizontal="center" vertical="center" shrinkToFit="1"/>
      <protection hidden="1"/>
    </xf>
    <xf numFmtId="0" fontId="8" fillId="0" borderId="9" xfId="1" applyFont="1" applyBorder="1" applyAlignment="1" applyProtection="1">
      <alignment horizontal="right" vertical="center"/>
      <protection hidden="1"/>
    </xf>
    <xf numFmtId="0" fontId="8" fillId="0" borderId="14" xfId="1" applyFont="1" applyBorder="1" applyAlignment="1" applyProtection="1">
      <alignment horizontal="right" vertical="center"/>
      <protection hidden="1"/>
    </xf>
    <xf numFmtId="0" fontId="8" fillId="0" borderId="11" xfId="1" applyFont="1" applyBorder="1" applyAlignment="1" applyProtection="1">
      <alignment horizontal="left" vertical="center"/>
      <protection hidden="1"/>
    </xf>
    <xf numFmtId="0" fontId="8" fillId="0" borderId="15" xfId="1" applyFont="1" applyBorder="1" applyAlignment="1" applyProtection="1">
      <alignment horizontal="left"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3" borderId="2" xfId="1" applyFont="1" applyFill="1" applyBorder="1" applyAlignment="1" applyProtection="1">
      <alignment horizontal="left" vertical="center"/>
      <protection hidden="1"/>
    </xf>
    <xf numFmtId="164" fontId="6" fillId="3" borderId="2" xfId="1" applyNumberFormat="1" applyFont="1" applyFill="1" applyBorder="1" applyAlignment="1" applyProtection="1">
      <alignment horizontal="center" vertical="center"/>
      <protection hidden="1"/>
    </xf>
    <xf numFmtId="164" fontId="6" fillId="3" borderId="3" xfId="1" applyNumberFormat="1" applyFont="1" applyFill="1" applyBorder="1" applyAlignment="1" applyProtection="1">
      <alignment horizontal="center" vertical="center"/>
      <protection hidden="1"/>
    </xf>
    <xf numFmtId="164" fontId="11" fillId="3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66" fontId="6" fillId="3" borderId="2" xfId="1" applyNumberFormat="1" applyFont="1" applyFill="1" applyBorder="1" applyAlignment="1" applyProtection="1">
      <alignment horizontal="center" vertical="center"/>
      <protection hidden="1"/>
    </xf>
    <xf numFmtId="166" fontId="6" fillId="3" borderId="3" xfId="1" applyNumberFormat="1" applyFont="1" applyFill="1" applyBorder="1" applyAlignment="1" applyProtection="1">
      <alignment horizontal="center" vertical="center"/>
      <protection hidden="1"/>
    </xf>
    <xf numFmtId="164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left" vertical="center"/>
      <protection hidden="1"/>
    </xf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3" xfId="1" applyFont="1" applyBorder="1" applyAlignment="1" applyProtection="1">
      <alignment horizontal="center" vertical="center"/>
      <protection hidden="1"/>
    </xf>
    <xf numFmtId="0" fontId="6" fillId="0" borderId="1" xfId="1" applyFont="1" applyBorder="1" applyAlignment="1" applyProtection="1">
      <alignment horizontal="left" vertical="center"/>
      <protection hidden="1"/>
    </xf>
    <xf numFmtId="165" fontId="6" fillId="3" borderId="1" xfId="1" applyNumberFormat="1" applyFont="1" applyFill="1" applyBorder="1" applyAlignment="1" applyProtection="1">
      <alignment horizontal="center" vertical="center"/>
      <protection hidden="1"/>
    </xf>
    <xf numFmtId="49" fontId="6" fillId="3" borderId="1" xfId="1" applyNumberFormat="1" applyFont="1" applyFill="1" applyBorder="1" applyAlignment="1" applyProtection="1">
      <alignment horizontal="center" vertical="center"/>
      <protection hidden="1"/>
    </xf>
    <xf numFmtId="0" fontId="6" fillId="3" borderId="1" xfId="1" applyFont="1" applyFill="1" applyBorder="1" applyAlignment="1" applyProtection="1">
      <alignment horizontal="center" vertical="center"/>
      <protection hidden="1"/>
    </xf>
    <xf numFmtId="0" fontId="15" fillId="3" borderId="4" xfId="1" applyFont="1" applyFill="1" applyBorder="1" applyAlignment="1" applyProtection="1">
      <alignment horizontal="center" vertical="center"/>
      <protection hidden="1"/>
    </xf>
    <xf numFmtId="0" fontId="16" fillId="3" borderId="9" xfId="1" applyFont="1" applyFill="1" applyBorder="1" applyAlignment="1" applyProtection="1">
      <alignment horizontal="center" vertical="center"/>
      <protection hidden="1"/>
    </xf>
    <xf numFmtId="0" fontId="16" fillId="3" borderId="10" xfId="1" applyFont="1" applyFill="1" applyBorder="1" applyAlignment="1" applyProtection="1">
      <alignment horizontal="center" vertical="center"/>
      <protection hidden="1"/>
    </xf>
    <xf numFmtId="0" fontId="16" fillId="3" borderId="11" xfId="1" applyFont="1" applyFill="1" applyBorder="1" applyAlignment="1" applyProtection="1">
      <alignment horizontal="center" vertical="center"/>
      <protection hidden="1"/>
    </xf>
    <xf numFmtId="0" fontId="16" fillId="3" borderId="14" xfId="1" applyFont="1" applyFill="1" applyBorder="1" applyAlignment="1" applyProtection="1">
      <alignment horizontal="center" vertical="center"/>
      <protection hidden="1"/>
    </xf>
    <xf numFmtId="0" fontId="16" fillId="3" borderId="0" xfId="1" applyFont="1" applyFill="1" applyBorder="1" applyAlignment="1" applyProtection="1">
      <alignment horizontal="center" vertical="center"/>
      <protection hidden="1"/>
    </xf>
    <xf numFmtId="0" fontId="16" fillId="3" borderId="15" xfId="1" applyFont="1" applyFill="1" applyBorder="1" applyAlignment="1" applyProtection="1">
      <alignment horizontal="center" vertical="center"/>
      <protection hidden="1"/>
    </xf>
    <xf numFmtId="0" fontId="16" fillId="3" borderId="5" xfId="1" applyFont="1" applyFill="1" applyBorder="1" applyAlignment="1" applyProtection="1">
      <alignment horizontal="center" vertical="center"/>
      <protection hidden="1"/>
    </xf>
    <xf numFmtId="0" fontId="16" fillId="3" borderId="7" xfId="1" applyFont="1" applyFill="1" applyBorder="1" applyAlignment="1" applyProtection="1">
      <alignment horizontal="center" vertical="center"/>
      <protection hidden="1"/>
    </xf>
    <xf numFmtId="0" fontId="16" fillId="3" borderId="6" xfId="1" applyFont="1" applyFill="1" applyBorder="1" applyAlignment="1" applyProtection="1">
      <alignment horizontal="center" vertical="center"/>
      <protection hidden="1"/>
    </xf>
    <xf numFmtId="0" fontId="6" fillId="3" borderId="4" xfId="1" applyFont="1" applyFill="1" applyBorder="1" applyAlignment="1" applyProtection="1">
      <alignment horizontal="center" vertical="center"/>
      <protection hidden="1"/>
    </xf>
    <xf numFmtId="167" fontId="8" fillId="3" borderId="1" xfId="1" applyNumberFormat="1" applyFont="1" applyFill="1" applyBorder="1" applyAlignment="1" applyProtection="1">
      <alignment horizontal="center" vertical="center"/>
      <protection hidden="1"/>
    </xf>
    <xf numFmtId="167" fontId="8" fillId="3" borderId="3" xfId="1" applyNumberFormat="1" applyFont="1" applyFill="1" applyBorder="1" applyAlignment="1" applyProtection="1">
      <alignment horizontal="center" vertical="center"/>
      <protection hidden="1"/>
    </xf>
    <xf numFmtId="165" fontId="8" fillId="3" borderId="1" xfId="1" applyNumberFormat="1" applyFont="1" applyFill="1" applyBorder="1" applyAlignment="1" applyProtection="1">
      <alignment horizontal="center" vertical="center"/>
      <protection hidden="1"/>
    </xf>
    <xf numFmtId="0" fontId="8" fillId="3" borderId="1" xfId="1" applyFont="1" applyFill="1" applyBorder="1" applyAlignment="1" applyProtection="1">
      <alignment horizontal="center" vertical="center"/>
      <protection hidden="1"/>
    </xf>
    <xf numFmtId="0" fontId="8" fillId="3" borderId="3" xfId="1" applyFont="1" applyFill="1" applyBorder="1" applyAlignment="1" applyProtection="1">
      <alignment horizontal="center" vertical="center"/>
      <protection hidden="1"/>
    </xf>
    <xf numFmtId="0" fontId="6" fillId="4" borderId="1" xfId="1" applyFont="1" applyFill="1" applyBorder="1" applyAlignment="1" applyProtection="1">
      <alignment horizontal="center" vertical="center"/>
      <protection locked="0"/>
    </xf>
    <xf numFmtId="0" fontId="6" fillId="0" borderId="2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center" vertical="center"/>
      <protection locked="0"/>
    </xf>
    <xf numFmtId="0" fontId="6" fillId="0" borderId="3" xfId="1" applyFont="1" applyBorder="1" applyAlignment="1" applyProtection="1">
      <alignment horizontal="left" vertical="center"/>
      <protection hidden="1"/>
    </xf>
    <xf numFmtId="0" fontId="6" fillId="4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6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vertical="center"/>
      <protection hidden="1"/>
    </xf>
    <xf numFmtId="0" fontId="6" fillId="3" borderId="7" xfId="1" applyFont="1" applyFill="1" applyBorder="1" applyAlignment="1" applyProtection="1">
      <alignment horizontal="left" vertical="center"/>
      <protection hidden="1"/>
    </xf>
    <xf numFmtId="0" fontId="6" fillId="0" borderId="2" xfId="1" applyFont="1" applyBorder="1" applyAlignment="1" applyProtection="1">
      <alignment vertical="center"/>
      <protection hidden="1"/>
    </xf>
    <xf numFmtId="1" fontId="8" fillId="4" borderId="9" xfId="1" applyNumberFormat="1" applyFont="1" applyFill="1" applyBorder="1" applyAlignment="1" applyProtection="1">
      <alignment horizontal="center" vertical="center"/>
      <protection locked="0"/>
    </xf>
    <xf numFmtId="1" fontId="8" fillId="0" borderId="11" xfId="1" applyNumberFormat="1" applyFont="1" applyBorder="1" applyAlignment="1" applyProtection="1">
      <alignment horizontal="center" vertical="center"/>
      <protection locked="0"/>
    </xf>
    <xf numFmtId="1" fontId="8" fillId="0" borderId="14" xfId="1" applyNumberFormat="1" applyFont="1" applyBorder="1" applyAlignment="1" applyProtection="1">
      <alignment horizontal="center" vertical="center"/>
      <protection locked="0"/>
    </xf>
    <xf numFmtId="1" fontId="8" fillId="0" borderId="15" xfId="1" applyNumberFormat="1" applyFont="1" applyBorder="1" applyAlignment="1" applyProtection="1">
      <alignment horizontal="center" vertical="center"/>
      <protection locked="0"/>
    </xf>
    <xf numFmtId="1" fontId="8" fillId="0" borderId="5" xfId="1" applyNumberFormat="1" applyFont="1" applyBorder="1" applyAlignment="1" applyProtection="1">
      <alignment horizontal="center" vertical="center"/>
      <protection locked="0"/>
    </xf>
    <xf numFmtId="1" fontId="8" fillId="0" borderId="6" xfId="1" applyNumberFormat="1" applyFont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/>
      <protection hidden="1"/>
    </xf>
    <xf numFmtId="0" fontId="6" fillId="3" borderId="3" xfId="1" applyFont="1" applyFill="1" applyBorder="1" applyAlignment="1" applyProtection="1">
      <alignment horizontal="center" vertical="center"/>
      <protection hidden="1"/>
    </xf>
    <xf numFmtId="0" fontId="5" fillId="4" borderId="1" xfId="1" applyFont="1" applyFill="1" applyBorder="1" applyAlignment="1" applyProtection="1">
      <alignment horizontal="left" vertical="center"/>
    </xf>
    <xf numFmtId="0" fontId="5" fillId="4" borderId="3" xfId="1" applyFont="1" applyFill="1" applyBorder="1" applyAlignment="1" applyProtection="1">
      <alignment horizontal="left" vertical="center"/>
    </xf>
    <xf numFmtId="15" fontId="6" fillId="4" borderId="1" xfId="1" applyNumberFormat="1" applyFont="1" applyFill="1" applyBorder="1" applyAlignment="1" applyProtection="1">
      <alignment horizontal="center" vertical="center"/>
    </xf>
    <xf numFmtId="15" fontId="6" fillId="4" borderId="3" xfId="1" applyNumberFormat="1" applyFont="1" applyFill="1" applyBorder="1" applyAlignment="1" applyProtection="1">
      <alignment horizontal="center" vertical="center"/>
    </xf>
    <xf numFmtId="0" fontId="8" fillId="3" borderId="2" xfId="1" applyFont="1" applyFill="1" applyBorder="1" applyAlignment="1" applyProtection="1">
      <alignment horizontal="center" vertical="center"/>
      <protection hidden="1"/>
    </xf>
    <xf numFmtId="0" fontId="8" fillId="3" borderId="4" xfId="1" applyFont="1" applyFill="1" applyBorder="1" applyAlignment="1" applyProtection="1">
      <alignment horizontal="center" vertical="center"/>
      <protection hidden="1"/>
    </xf>
    <xf numFmtId="165" fontId="8" fillId="3" borderId="4" xfId="1" applyNumberFormat="1" applyFont="1" applyFill="1" applyBorder="1" applyAlignment="1" applyProtection="1">
      <alignment horizontal="center" vertical="center"/>
      <protection hidden="1"/>
    </xf>
    <xf numFmtId="0" fontId="1" fillId="0" borderId="4" xfId="1" applyFont="1" applyBorder="1" applyAlignment="1" applyProtection="1">
      <alignment horizontal="center" vertical="center"/>
      <protection hidden="1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'Element Resistance'!$Q$19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'Element Resistance'!$O$20:$P$30</c:f>
              <c:multiLvlStrCache>
                <c:ptCount val="11"/>
                <c:lvl>
                  <c:pt idx="0">
                    <c:v>25.32</c:v>
                  </c:pt>
                  <c:pt idx="1">
                    <c:v>25.68</c:v>
                  </c:pt>
                  <c:pt idx="2">
                    <c:v>26.04</c:v>
                  </c:pt>
                  <c:pt idx="3">
                    <c:v>26.40</c:v>
                  </c:pt>
                  <c:pt idx="4">
                    <c:v>26.76</c:v>
                  </c:pt>
                  <c:pt idx="5">
                    <c:v>27.12</c:v>
                  </c:pt>
                  <c:pt idx="6">
                    <c:v>27.48</c:v>
                  </c:pt>
                  <c:pt idx="7">
                    <c:v>27.84</c:v>
                  </c:pt>
                  <c:pt idx="8">
                    <c:v>28.20</c:v>
                  </c:pt>
                  <c:pt idx="9">
                    <c:v>28.56</c:v>
                  </c:pt>
                  <c:pt idx="10">
                    <c:v>28.92</c:v>
                  </c:pt>
                </c:lvl>
                <c:lvl>
                  <c:pt idx="0">
                    <c:v>24.96</c:v>
                  </c:pt>
                  <c:pt idx="1">
                    <c:v>25.32</c:v>
                  </c:pt>
                  <c:pt idx="2">
                    <c:v>25.68</c:v>
                  </c:pt>
                  <c:pt idx="3">
                    <c:v>26.04</c:v>
                  </c:pt>
                  <c:pt idx="4">
                    <c:v>26.40</c:v>
                  </c:pt>
                  <c:pt idx="5">
                    <c:v>26.76</c:v>
                  </c:pt>
                  <c:pt idx="6">
                    <c:v>27.12</c:v>
                  </c:pt>
                  <c:pt idx="7">
                    <c:v>27.48</c:v>
                  </c:pt>
                  <c:pt idx="8">
                    <c:v>27.84</c:v>
                  </c:pt>
                  <c:pt idx="9">
                    <c:v>28.20</c:v>
                  </c:pt>
                  <c:pt idx="10">
                    <c:v>28.56</c:v>
                  </c:pt>
                </c:lvl>
              </c:multiLvlStrCache>
            </c:multiLvlStrRef>
          </c:cat>
          <c:val>
            <c:numRef>
              <c:f>'Element Resistance'!$Q$20:$Q$30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11</c:v>
                </c:pt>
                <c:pt idx="6">
                  <c:v>0</c:v>
                </c:pt>
                <c:pt idx="7">
                  <c:v>14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73111808"/>
        <c:axId val="73113984"/>
        <c:axId val="0"/>
      </c:bar3DChart>
      <c:catAx>
        <c:axId val="7311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113984"/>
        <c:crosses val="autoZero"/>
        <c:auto val="1"/>
        <c:lblAlgn val="ctr"/>
        <c:lblOffset val="100"/>
        <c:tickLblSkip val="1"/>
        <c:tickMarkSkip val="1"/>
      </c:catAx>
      <c:valAx>
        <c:axId val="731139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73111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'Wattage L2'!$Q$19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'Wattage L2'!$O$20:$P$30</c:f>
              <c:multiLvlStrCache>
                <c:ptCount val="11"/>
                <c:lvl>
                  <c:pt idx="0">
                    <c:v>1815.30</c:v>
                  </c:pt>
                  <c:pt idx="1">
                    <c:v>1837.50</c:v>
                  </c:pt>
                  <c:pt idx="2">
                    <c:v>1859.70</c:v>
                  </c:pt>
                  <c:pt idx="3">
                    <c:v>1881.90</c:v>
                  </c:pt>
                  <c:pt idx="4">
                    <c:v>1904.10</c:v>
                  </c:pt>
                  <c:pt idx="5">
                    <c:v>1926.30</c:v>
                  </c:pt>
                  <c:pt idx="6">
                    <c:v>1948.50</c:v>
                  </c:pt>
                  <c:pt idx="7">
                    <c:v>1970.70</c:v>
                  </c:pt>
                  <c:pt idx="8">
                    <c:v>1992.90</c:v>
                  </c:pt>
                  <c:pt idx="9">
                    <c:v>2015.10</c:v>
                  </c:pt>
                  <c:pt idx="10">
                    <c:v>2037.30</c:v>
                  </c:pt>
                </c:lvl>
                <c:lvl>
                  <c:pt idx="0">
                    <c:v>1793.10</c:v>
                  </c:pt>
                  <c:pt idx="1">
                    <c:v>1815.30</c:v>
                  </c:pt>
                  <c:pt idx="2">
                    <c:v>1837.50</c:v>
                  </c:pt>
                  <c:pt idx="3">
                    <c:v>1859.70</c:v>
                  </c:pt>
                  <c:pt idx="4">
                    <c:v>1881.90</c:v>
                  </c:pt>
                  <c:pt idx="5">
                    <c:v>1904.10</c:v>
                  </c:pt>
                  <c:pt idx="6">
                    <c:v>1926.30</c:v>
                  </c:pt>
                  <c:pt idx="7">
                    <c:v>1948.50</c:v>
                  </c:pt>
                  <c:pt idx="8">
                    <c:v>1970.70</c:v>
                  </c:pt>
                  <c:pt idx="9">
                    <c:v>1992.90</c:v>
                  </c:pt>
                  <c:pt idx="10">
                    <c:v>2015.10</c:v>
                  </c:pt>
                </c:lvl>
              </c:multiLvlStrCache>
            </c:multiLvlStrRef>
          </c:cat>
          <c:val>
            <c:numRef>
              <c:f>'Wattage L2'!$Q$20:$Q$30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0</c:v>
                </c:pt>
                <c:pt idx="7">
                  <c:v>11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74656384"/>
        <c:axId val="74666752"/>
        <c:axId val="0"/>
      </c:bar3DChart>
      <c:catAx>
        <c:axId val="74656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4666752"/>
        <c:crosses val="autoZero"/>
        <c:auto val="1"/>
        <c:lblAlgn val="ctr"/>
        <c:lblOffset val="100"/>
        <c:tickLblSkip val="1"/>
        <c:tickMarkSkip val="1"/>
      </c:catAx>
      <c:valAx>
        <c:axId val="746667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74656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'Wattage L2'!$A$18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L2'!$B$18:$K$18</c:f>
              <c:numCache>
                <c:formatCode>General</c:formatCode>
                <c:ptCount val="10"/>
                <c:pt idx="0">
                  <c:v>1938.2</c:v>
                </c:pt>
                <c:pt idx="1">
                  <c:v>1931.2</c:v>
                </c:pt>
                <c:pt idx="2">
                  <c:v>1928.4</c:v>
                </c:pt>
                <c:pt idx="3">
                  <c:v>1927.2</c:v>
                </c:pt>
                <c:pt idx="4">
                  <c:v>1940.6</c:v>
                </c:pt>
                <c:pt idx="5">
                  <c:v>1946.6</c:v>
                </c:pt>
                <c:pt idx="6">
                  <c:v>1921.6</c:v>
                </c:pt>
                <c:pt idx="7">
                  <c:v>1926.4</c:v>
                </c:pt>
                <c:pt idx="8">
                  <c:v>1929.6</c:v>
                </c:pt>
                <c:pt idx="9">
                  <c:v>1954.4</c:v>
                </c:pt>
              </c:numCache>
            </c:numRef>
          </c:val>
        </c:ser>
        <c:ser>
          <c:idx val="2"/>
          <c:order val="1"/>
          <c:tx>
            <c:strRef>
              <c:f>'Wattage L2'!$A$23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L2'!$B$23:$K$23</c:f>
              <c:numCache>
                <c:formatCode>General</c:formatCode>
                <c:ptCount val="10"/>
                <c:pt idx="0">
                  <c:v>1967.047</c:v>
                </c:pt>
                <c:pt idx="1">
                  <c:v>1967.047</c:v>
                </c:pt>
                <c:pt idx="2">
                  <c:v>1967.047</c:v>
                </c:pt>
                <c:pt idx="3">
                  <c:v>1967.047</c:v>
                </c:pt>
                <c:pt idx="4">
                  <c:v>1967.047</c:v>
                </c:pt>
                <c:pt idx="5">
                  <c:v>1967.047</c:v>
                </c:pt>
                <c:pt idx="6">
                  <c:v>1967.047</c:v>
                </c:pt>
                <c:pt idx="7">
                  <c:v>1967.047</c:v>
                </c:pt>
                <c:pt idx="8">
                  <c:v>1967.047</c:v>
                </c:pt>
                <c:pt idx="9" formatCode="0.0000">
                  <c:v>1967.047</c:v>
                </c:pt>
              </c:numCache>
            </c:numRef>
          </c:val>
        </c:ser>
        <c:ser>
          <c:idx val="3"/>
          <c:order val="2"/>
          <c:tx>
            <c:strRef>
              <c:f>'Wattage L2'!$A$24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L2'!$B$24:$K$24</c:f>
              <c:numCache>
                <c:formatCode>0.0000</c:formatCode>
                <c:ptCount val="10"/>
                <c:pt idx="0">
                  <c:v>1901.7930000000001</c:v>
                </c:pt>
                <c:pt idx="1">
                  <c:v>1901.7930000000001</c:v>
                </c:pt>
                <c:pt idx="2">
                  <c:v>1901.7930000000001</c:v>
                </c:pt>
                <c:pt idx="3">
                  <c:v>1901.7930000000001</c:v>
                </c:pt>
                <c:pt idx="4">
                  <c:v>1901.7930000000001</c:v>
                </c:pt>
                <c:pt idx="5">
                  <c:v>1901.7930000000001</c:v>
                </c:pt>
                <c:pt idx="6">
                  <c:v>1901.7930000000001</c:v>
                </c:pt>
                <c:pt idx="7">
                  <c:v>1901.7930000000001</c:v>
                </c:pt>
                <c:pt idx="8">
                  <c:v>1901.7930000000001</c:v>
                </c:pt>
                <c:pt idx="9">
                  <c:v>1901.7930000000001</c:v>
                </c:pt>
              </c:numCache>
            </c:numRef>
          </c:val>
        </c:ser>
        <c:ser>
          <c:idx val="4"/>
          <c:order val="3"/>
          <c:tx>
            <c:strRef>
              <c:f>'Wattage L2'!$A$27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L2'!$B$27:$K$27</c:f>
              <c:numCache>
                <c:formatCode>0.0000</c:formatCode>
                <c:ptCount val="10"/>
                <c:pt idx="0">
                  <c:v>1934.42</c:v>
                </c:pt>
                <c:pt idx="1">
                  <c:v>1934.42</c:v>
                </c:pt>
                <c:pt idx="2">
                  <c:v>1934.42</c:v>
                </c:pt>
                <c:pt idx="3">
                  <c:v>1934.42</c:v>
                </c:pt>
                <c:pt idx="4">
                  <c:v>1934.42</c:v>
                </c:pt>
                <c:pt idx="5">
                  <c:v>1934.42</c:v>
                </c:pt>
                <c:pt idx="6">
                  <c:v>1934.42</c:v>
                </c:pt>
                <c:pt idx="7">
                  <c:v>1934.42</c:v>
                </c:pt>
                <c:pt idx="8">
                  <c:v>1934.42</c:v>
                </c:pt>
                <c:pt idx="9">
                  <c:v>1934.42</c:v>
                </c:pt>
              </c:numCache>
            </c:numRef>
          </c:val>
        </c:ser>
        <c:dLbls/>
        <c:marker val="1"/>
        <c:axId val="74744192"/>
        <c:axId val="74746112"/>
      </c:lineChart>
      <c:catAx>
        <c:axId val="74744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46112"/>
        <c:crosses val="autoZero"/>
        <c:auto val="1"/>
        <c:lblAlgn val="ctr"/>
        <c:lblOffset val="100"/>
        <c:tickLblSkip val="1"/>
        <c:tickMarkSkip val="1"/>
      </c:catAx>
      <c:valAx>
        <c:axId val="747461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7441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'Wattage L2'!$A$17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L2'!$B$17:$K$17</c:f>
              <c:numCache>
                <c:formatCode>General</c:formatCode>
                <c:ptCount val="10"/>
                <c:pt idx="0">
                  <c:v>34</c:v>
                </c:pt>
                <c:pt idx="1">
                  <c:v>72</c:v>
                </c:pt>
                <c:pt idx="2">
                  <c:v>25</c:v>
                </c:pt>
                <c:pt idx="3">
                  <c:v>40</c:v>
                </c:pt>
                <c:pt idx="4">
                  <c:v>40</c:v>
                </c:pt>
                <c:pt idx="5">
                  <c:v>70</c:v>
                </c:pt>
                <c:pt idx="6">
                  <c:v>61</c:v>
                </c:pt>
                <c:pt idx="7">
                  <c:v>69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</c:ser>
        <c:ser>
          <c:idx val="2"/>
          <c:order val="1"/>
          <c:tx>
            <c:strRef>
              <c:f>'Wattage L2'!$A$25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L2'!$B$25:$K$25</c:f>
              <c:numCache>
                <c:formatCode>0.0000</c:formatCode>
                <c:ptCount val="10"/>
                <c:pt idx="0">
                  <c:v>116.68299999999999</c:v>
                </c:pt>
                <c:pt idx="1">
                  <c:v>116.68299999999999</c:v>
                </c:pt>
                <c:pt idx="2">
                  <c:v>116.68299999999999</c:v>
                </c:pt>
                <c:pt idx="3">
                  <c:v>116.68299999999999</c:v>
                </c:pt>
                <c:pt idx="4">
                  <c:v>116.68299999999999</c:v>
                </c:pt>
                <c:pt idx="5">
                  <c:v>116.68299999999999</c:v>
                </c:pt>
                <c:pt idx="6">
                  <c:v>116.68299999999999</c:v>
                </c:pt>
                <c:pt idx="7">
                  <c:v>116.68299999999999</c:v>
                </c:pt>
                <c:pt idx="8">
                  <c:v>116.68299999999999</c:v>
                </c:pt>
                <c:pt idx="9">
                  <c:v>116.68299999999999</c:v>
                </c:pt>
              </c:numCache>
            </c:numRef>
          </c:val>
        </c:ser>
        <c:ser>
          <c:idx val="3"/>
          <c:order val="2"/>
          <c:tx>
            <c:strRef>
              <c:f>'Wattage L2'!$A$26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L2'!$B$26:$K$26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'Wattage L2'!$A$28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L2'!$B$28:$K$28</c:f>
              <c:numCache>
                <c:formatCode>0.0000</c:formatCode>
                <c:ptCount val="10"/>
                <c:pt idx="0">
                  <c:v>55.3</c:v>
                </c:pt>
                <c:pt idx="1">
                  <c:v>55.3</c:v>
                </c:pt>
                <c:pt idx="2">
                  <c:v>55.3</c:v>
                </c:pt>
                <c:pt idx="3">
                  <c:v>55.3</c:v>
                </c:pt>
                <c:pt idx="4">
                  <c:v>55.3</c:v>
                </c:pt>
                <c:pt idx="5">
                  <c:v>55.3</c:v>
                </c:pt>
                <c:pt idx="6">
                  <c:v>55.3</c:v>
                </c:pt>
                <c:pt idx="7">
                  <c:v>55.3</c:v>
                </c:pt>
                <c:pt idx="8">
                  <c:v>55.3</c:v>
                </c:pt>
                <c:pt idx="9">
                  <c:v>55.3</c:v>
                </c:pt>
              </c:numCache>
            </c:numRef>
          </c:val>
        </c:ser>
        <c:dLbls/>
        <c:marker val="1"/>
        <c:axId val="73795840"/>
        <c:axId val="73818496"/>
      </c:lineChart>
      <c:catAx>
        <c:axId val="73795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818496"/>
        <c:crosses val="autoZero"/>
        <c:auto val="1"/>
        <c:lblAlgn val="ctr"/>
        <c:lblOffset val="100"/>
        <c:tickLblSkip val="1"/>
        <c:tickMarkSkip val="1"/>
      </c:catAx>
      <c:valAx>
        <c:axId val="738184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9584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'Element Resistance'!$A$18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Resistance'!$B$18:$K$18</c:f>
              <c:numCache>
                <c:formatCode>General</c:formatCode>
                <c:ptCount val="10"/>
                <c:pt idx="0">
                  <c:v>27.560000000000002</c:v>
                </c:pt>
                <c:pt idx="1">
                  <c:v>27.32</c:v>
                </c:pt>
                <c:pt idx="2">
                  <c:v>27.160000000000004</c:v>
                </c:pt>
                <c:pt idx="3">
                  <c:v>27.339999999999996</c:v>
                </c:pt>
                <c:pt idx="4">
                  <c:v>27.380000000000003</c:v>
                </c:pt>
                <c:pt idx="5">
                  <c:v>27.24</c:v>
                </c:pt>
                <c:pt idx="6">
                  <c:v>27.359999999999996</c:v>
                </c:pt>
                <c:pt idx="7">
                  <c:v>27.46</c:v>
                </c:pt>
                <c:pt idx="8">
                  <c:v>27.559999999999995</c:v>
                </c:pt>
                <c:pt idx="9">
                  <c:v>27.320000000000004</c:v>
                </c:pt>
              </c:numCache>
            </c:numRef>
          </c:val>
        </c:ser>
        <c:ser>
          <c:idx val="2"/>
          <c:order val="1"/>
          <c:tx>
            <c:strRef>
              <c:f>'Element Resistance'!$A$23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Resistance'!$B$23:$K$23</c:f>
              <c:numCache>
                <c:formatCode>General</c:formatCode>
                <c:ptCount val="10"/>
                <c:pt idx="0">
                  <c:v>27.847900000000003</c:v>
                </c:pt>
                <c:pt idx="1">
                  <c:v>27.847900000000003</c:v>
                </c:pt>
                <c:pt idx="2">
                  <c:v>27.847900000000003</c:v>
                </c:pt>
                <c:pt idx="3">
                  <c:v>27.847900000000003</c:v>
                </c:pt>
                <c:pt idx="4">
                  <c:v>27.847900000000003</c:v>
                </c:pt>
                <c:pt idx="5">
                  <c:v>27.847900000000003</c:v>
                </c:pt>
                <c:pt idx="6">
                  <c:v>27.847900000000003</c:v>
                </c:pt>
                <c:pt idx="7">
                  <c:v>27.847900000000003</c:v>
                </c:pt>
                <c:pt idx="8">
                  <c:v>27.847900000000003</c:v>
                </c:pt>
                <c:pt idx="9" formatCode="0.0000">
                  <c:v>27.847900000000003</c:v>
                </c:pt>
              </c:numCache>
            </c:numRef>
          </c:val>
        </c:ser>
        <c:ser>
          <c:idx val="3"/>
          <c:order val="2"/>
          <c:tx>
            <c:strRef>
              <c:f>'Element Resistance'!$A$24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Resistance'!$B$24:$K$24</c:f>
              <c:numCache>
                <c:formatCode>0.0000</c:formatCode>
                <c:ptCount val="10"/>
                <c:pt idx="0">
                  <c:v>26.892099999999999</c:v>
                </c:pt>
                <c:pt idx="1">
                  <c:v>26.892099999999999</c:v>
                </c:pt>
                <c:pt idx="2">
                  <c:v>26.892099999999999</c:v>
                </c:pt>
                <c:pt idx="3">
                  <c:v>26.892099999999999</c:v>
                </c:pt>
                <c:pt idx="4">
                  <c:v>26.892099999999999</c:v>
                </c:pt>
                <c:pt idx="5">
                  <c:v>26.892099999999999</c:v>
                </c:pt>
                <c:pt idx="6">
                  <c:v>26.892099999999999</c:v>
                </c:pt>
                <c:pt idx="7">
                  <c:v>26.892099999999999</c:v>
                </c:pt>
                <c:pt idx="8">
                  <c:v>26.892099999999999</c:v>
                </c:pt>
                <c:pt idx="9">
                  <c:v>26.892099999999999</c:v>
                </c:pt>
              </c:numCache>
            </c:numRef>
          </c:val>
        </c:ser>
        <c:ser>
          <c:idx val="4"/>
          <c:order val="3"/>
          <c:tx>
            <c:strRef>
              <c:f>'Element Resistance'!$A$27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Resistance'!$B$27:$K$27</c:f>
              <c:numCache>
                <c:formatCode>0.0000</c:formatCode>
                <c:ptCount val="10"/>
                <c:pt idx="0">
                  <c:v>27.37</c:v>
                </c:pt>
                <c:pt idx="1">
                  <c:v>27.37</c:v>
                </c:pt>
                <c:pt idx="2">
                  <c:v>27.37</c:v>
                </c:pt>
                <c:pt idx="3">
                  <c:v>27.37</c:v>
                </c:pt>
                <c:pt idx="4">
                  <c:v>27.37</c:v>
                </c:pt>
                <c:pt idx="5">
                  <c:v>27.37</c:v>
                </c:pt>
                <c:pt idx="6">
                  <c:v>27.37</c:v>
                </c:pt>
                <c:pt idx="7">
                  <c:v>27.37</c:v>
                </c:pt>
                <c:pt idx="8">
                  <c:v>27.37</c:v>
                </c:pt>
                <c:pt idx="9">
                  <c:v>27.37</c:v>
                </c:pt>
              </c:numCache>
            </c:numRef>
          </c:val>
        </c:ser>
        <c:dLbls/>
        <c:marker val="1"/>
        <c:axId val="73162752"/>
        <c:axId val="73164672"/>
      </c:lineChart>
      <c:catAx>
        <c:axId val="73162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64672"/>
        <c:crosses val="autoZero"/>
        <c:auto val="1"/>
        <c:lblAlgn val="ctr"/>
        <c:lblOffset val="100"/>
        <c:tickLblSkip val="1"/>
        <c:tickMarkSkip val="1"/>
      </c:catAx>
      <c:valAx>
        <c:axId val="73164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16275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'Element Resistance'!$A$17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Resistance'!$B$17:$K$17</c:f>
              <c:numCache>
                <c:formatCode>General</c:formatCode>
                <c:ptCount val="10"/>
                <c:pt idx="0">
                  <c:v>0.80000000000000071</c:v>
                </c:pt>
                <c:pt idx="1">
                  <c:v>0.90000000000000213</c:v>
                </c:pt>
                <c:pt idx="2">
                  <c:v>1.1000000000000014</c:v>
                </c:pt>
                <c:pt idx="3">
                  <c:v>0.79999999999999716</c:v>
                </c:pt>
                <c:pt idx="4">
                  <c:v>0.60000000000000142</c:v>
                </c:pt>
                <c:pt idx="5">
                  <c:v>0.5</c:v>
                </c:pt>
                <c:pt idx="6">
                  <c:v>1.4000000000000021</c:v>
                </c:pt>
                <c:pt idx="7">
                  <c:v>0.90000000000000213</c:v>
                </c:pt>
                <c:pt idx="8">
                  <c:v>0.69999999999999929</c:v>
                </c:pt>
                <c:pt idx="9">
                  <c:v>0.39999999999999858</c:v>
                </c:pt>
              </c:numCache>
            </c:numRef>
          </c:val>
        </c:ser>
        <c:ser>
          <c:idx val="2"/>
          <c:order val="1"/>
          <c:tx>
            <c:strRef>
              <c:f>'Element Resistance'!$A$25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Resistance'!$B$25:$K$25</c:f>
              <c:numCache>
                <c:formatCode>0.0000</c:formatCode>
                <c:ptCount val="10"/>
                <c:pt idx="0">
                  <c:v>1.709100000000001</c:v>
                </c:pt>
                <c:pt idx="1">
                  <c:v>1.709100000000001</c:v>
                </c:pt>
                <c:pt idx="2">
                  <c:v>1.709100000000001</c:v>
                </c:pt>
                <c:pt idx="3">
                  <c:v>1.709100000000001</c:v>
                </c:pt>
                <c:pt idx="4">
                  <c:v>1.709100000000001</c:v>
                </c:pt>
                <c:pt idx="5">
                  <c:v>1.709100000000001</c:v>
                </c:pt>
                <c:pt idx="6">
                  <c:v>1.709100000000001</c:v>
                </c:pt>
                <c:pt idx="7">
                  <c:v>1.709100000000001</c:v>
                </c:pt>
                <c:pt idx="8">
                  <c:v>1.709100000000001</c:v>
                </c:pt>
                <c:pt idx="9">
                  <c:v>1.709100000000001</c:v>
                </c:pt>
              </c:numCache>
            </c:numRef>
          </c:val>
        </c:ser>
        <c:ser>
          <c:idx val="3"/>
          <c:order val="2"/>
          <c:tx>
            <c:strRef>
              <c:f>'Element Resistance'!$A$26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'Element Resistance'!$A$28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Resistance'!$B$28:$K$28</c:f>
              <c:numCache>
                <c:formatCode>0.0000</c:formatCode>
                <c:ptCount val="10"/>
                <c:pt idx="0">
                  <c:v>0.8100000000000005</c:v>
                </c:pt>
                <c:pt idx="1">
                  <c:v>0.8100000000000005</c:v>
                </c:pt>
                <c:pt idx="2">
                  <c:v>0.8100000000000005</c:v>
                </c:pt>
                <c:pt idx="3">
                  <c:v>0.8100000000000005</c:v>
                </c:pt>
                <c:pt idx="4">
                  <c:v>0.8100000000000005</c:v>
                </c:pt>
                <c:pt idx="5">
                  <c:v>0.8100000000000005</c:v>
                </c:pt>
                <c:pt idx="6">
                  <c:v>0.8100000000000005</c:v>
                </c:pt>
                <c:pt idx="7">
                  <c:v>0.8100000000000005</c:v>
                </c:pt>
                <c:pt idx="8">
                  <c:v>0.8100000000000005</c:v>
                </c:pt>
                <c:pt idx="9">
                  <c:v>0.8100000000000005</c:v>
                </c:pt>
              </c:numCache>
            </c:numRef>
          </c:val>
        </c:ser>
        <c:dLbls/>
        <c:marker val="1"/>
        <c:axId val="73222016"/>
        <c:axId val="73236480"/>
      </c:lineChart>
      <c:catAx>
        <c:axId val="73222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36480"/>
        <c:crosses val="autoZero"/>
        <c:auto val="1"/>
        <c:lblAlgn val="ctr"/>
        <c:lblOffset val="100"/>
        <c:tickLblSkip val="1"/>
        <c:tickMarkSkip val="1"/>
      </c:catAx>
      <c:valAx>
        <c:axId val="732364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22201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DFT!$Q$19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DFT!$O$20:$P$30</c:f>
              <c:multiLvlStrCache>
                <c:ptCount val="11"/>
                <c:lvl>
                  <c:pt idx="0">
                    <c:v>182.30</c:v>
                  </c:pt>
                  <c:pt idx="1">
                    <c:v>195.50</c:v>
                  </c:pt>
                  <c:pt idx="2">
                    <c:v>208.70</c:v>
                  </c:pt>
                  <c:pt idx="3">
                    <c:v>221.90</c:v>
                  </c:pt>
                  <c:pt idx="4">
                    <c:v>235.10</c:v>
                  </c:pt>
                  <c:pt idx="5">
                    <c:v>248.30</c:v>
                  </c:pt>
                  <c:pt idx="6">
                    <c:v>261.50</c:v>
                  </c:pt>
                  <c:pt idx="7">
                    <c:v>274.70</c:v>
                  </c:pt>
                  <c:pt idx="8">
                    <c:v>287.90</c:v>
                  </c:pt>
                  <c:pt idx="9">
                    <c:v>301.10</c:v>
                  </c:pt>
                  <c:pt idx="10">
                    <c:v>314.30</c:v>
                  </c:pt>
                </c:lvl>
                <c:lvl>
                  <c:pt idx="0">
                    <c:v>169.10</c:v>
                  </c:pt>
                  <c:pt idx="1">
                    <c:v>182.30</c:v>
                  </c:pt>
                  <c:pt idx="2">
                    <c:v>195.50</c:v>
                  </c:pt>
                  <c:pt idx="3">
                    <c:v>208.70</c:v>
                  </c:pt>
                  <c:pt idx="4">
                    <c:v>221.90</c:v>
                  </c:pt>
                  <c:pt idx="5">
                    <c:v>235.10</c:v>
                  </c:pt>
                  <c:pt idx="6">
                    <c:v>248.30</c:v>
                  </c:pt>
                  <c:pt idx="7">
                    <c:v>261.50</c:v>
                  </c:pt>
                  <c:pt idx="8">
                    <c:v>274.70</c:v>
                  </c:pt>
                  <c:pt idx="9">
                    <c:v>287.90</c:v>
                  </c:pt>
                  <c:pt idx="10">
                    <c:v>301.10</c:v>
                  </c:pt>
                </c:lvl>
              </c:multiLvlStrCache>
            </c:multiLvlStrRef>
          </c:cat>
          <c:val>
            <c:numRef>
              <c:f>DFT!$Q$20:$Q$30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19</c:v>
                </c:pt>
                <c:pt idx="6">
                  <c:v>0</c:v>
                </c:pt>
                <c:pt idx="7">
                  <c:v>9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73020544"/>
        <c:axId val="73022464"/>
        <c:axId val="0"/>
      </c:bar3DChart>
      <c:catAx>
        <c:axId val="7302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022464"/>
        <c:crosses val="autoZero"/>
        <c:auto val="1"/>
        <c:lblAlgn val="ctr"/>
        <c:lblOffset val="100"/>
        <c:tickLblSkip val="1"/>
        <c:tickMarkSkip val="1"/>
      </c:catAx>
      <c:valAx>
        <c:axId val="730224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730205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DFT!$A$18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DFT!$B$18:$K$18</c:f>
              <c:numCache>
                <c:formatCode>General</c:formatCode>
                <c:ptCount val="10"/>
                <c:pt idx="0">
                  <c:v>258</c:v>
                </c:pt>
                <c:pt idx="1">
                  <c:v>253.4</c:v>
                </c:pt>
                <c:pt idx="2">
                  <c:v>253.4</c:v>
                </c:pt>
                <c:pt idx="3">
                  <c:v>263.8</c:v>
                </c:pt>
                <c:pt idx="4">
                  <c:v>250.2</c:v>
                </c:pt>
                <c:pt idx="5">
                  <c:v>244.8</c:v>
                </c:pt>
                <c:pt idx="6">
                  <c:v>250.8</c:v>
                </c:pt>
                <c:pt idx="7">
                  <c:v>256.8</c:v>
                </c:pt>
                <c:pt idx="8">
                  <c:v>252.2</c:v>
                </c:pt>
                <c:pt idx="9">
                  <c:v>253.2</c:v>
                </c:pt>
              </c:numCache>
            </c:numRef>
          </c:val>
        </c:ser>
        <c:ser>
          <c:idx val="2"/>
          <c:order val="1"/>
          <c:tx>
            <c:strRef>
              <c:f>DFT!$A$23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DFT!$B$23:$K$23</c:f>
              <c:numCache>
                <c:formatCode>General</c:formatCode>
                <c:ptCount val="10"/>
                <c:pt idx="0">
                  <c:v>274.428</c:v>
                </c:pt>
                <c:pt idx="1">
                  <c:v>274.428</c:v>
                </c:pt>
                <c:pt idx="2">
                  <c:v>274.428</c:v>
                </c:pt>
                <c:pt idx="3">
                  <c:v>274.428</c:v>
                </c:pt>
                <c:pt idx="4">
                  <c:v>274.428</c:v>
                </c:pt>
                <c:pt idx="5">
                  <c:v>274.428</c:v>
                </c:pt>
                <c:pt idx="6">
                  <c:v>274.428</c:v>
                </c:pt>
                <c:pt idx="7">
                  <c:v>274.428</c:v>
                </c:pt>
                <c:pt idx="8">
                  <c:v>274.428</c:v>
                </c:pt>
                <c:pt idx="9" formatCode="0.0000">
                  <c:v>274.428</c:v>
                </c:pt>
              </c:numCache>
            </c:numRef>
          </c:val>
        </c:ser>
        <c:ser>
          <c:idx val="3"/>
          <c:order val="2"/>
          <c:tx>
            <c:strRef>
              <c:f>DFT!$A$24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DFT!$B$24:$K$24</c:f>
              <c:numCache>
                <c:formatCode>0.0000</c:formatCode>
                <c:ptCount val="10"/>
                <c:pt idx="0">
                  <c:v>232.892</c:v>
                </c:pt>
                <c:pt idx="1">
                  <c:v>232.892</c:v>
                </c:pt>
                <c:pt idx="2">
                  <c:v>232.892</c:v>
                </c:pt>
                <c:pt idx="3">
                  <c:v>232.892</c:v>
                </c:pt>
                <c:pt idx="4">
                  <c:v>232.892</c:v>
                </c:pt>
                <c:pt idx="5">
                  <c:v>232.892</c:v>
                </c:pt>
                <c:pt idx="6">
                  <c:v>232.892</c:v>
                </c:pt>
                <c:pt idx="7">
                  <c:v>232.892</c:v>
                </c:pt>
                <c:pt idx="8">
                  <c:v>232.892</c:v>
                </c:pt>
                <c:pt idx="9">
                  <c:v>232.892</c:v>
                </c:pt>
              </c:numCache>
            </c:numRef>
          </c:val>
        </c:ser>
        <c:ser>
          <c:idx val="4"/>
          <c:order val="3"/>
          <c:tx>
            <c:strRef>
              <c:f>DFT!$A$27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DFT!$B$27:$K$27</c:f>
              <c:numCache>
                <c:formatCode>0.0000</c:formatCode>
                <c:ptCount val="10"/>
                <c:pt idx="0">
                  <c:v>253.66</c:v>
                </c:pt>
                <c:pt idx="1">
                  <c:v>253.66</c:v>
                </c:pt>
                <c:pt idx="2">
                  <c:v>253.66</c:v>
                </c:pt>
                <c:pt idx="3">
                  <c:v>253.66</c:v>
                </c:pt>
                <c:pt idx="4">
                  <c:v>253.66</c:v>
                </c:pt>
                <c:pt idx="5">
                  <c:v>253.66</c:v>
                </c:pt>
                <c:pt idx="6">
                  <c:v>253.66</c:v>
                </c:pt>
                <c:pt idx="7">
                  <c:v>253.66</c:v>
                </c:pt>
                <c:pt idx="8">
                  <c:v>253.66</c:v>
                </c:pt>
                <c:pt idx="9">
                  <c:v>253.66</c:v>
                </c:pt>
              </c:numCache>
            </c:numRef>
          </c:val>
        </c:ser>
        <c:dLbls/>
        <c:marker val="1"/>
        <c:axId val="73067136"/>
        <c:axId val="73593600"/>
      </c:lineChart>
      <c:catAx>
        <c:axId val="73067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593600"/>
        <c:crosses val="autoZero"/>
        <c:auto val="1"/>
        <c:lblAlgn val="ctr"/>
        <c:lblOffset val="100"/>
        <c:tickLblSkip val="1"/>
        <c:tickMarkSkip val="1"/>
      </c:catAx>
      <c:valAx>
        <c:axId val="73593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6713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DFT!$A$17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DFT!$B$17:$K$17</c:f>
              <c:numCache>
                <c:formatCode>General</c:formatCode>
                <c:ptCount val="10"/>
                <c:pt idx="0">
                  <c:v>27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30</c:v>
                </c:pt>
                <c:pt idx="5">
                  <c:v>23</c:v>
                </c:pt>
                <c:pt idx="6">
                  <c:v>43</c:v>
                </c:pt>
                <c:pt idx="7">
                  <c:v>49</c:v>
                </c:pt>
                <c:pt idx="8">
                  <c:v>47</c:v>
                </c:pt>
                <c:pt idx="9">
                  <c:v>49</c:v>
                </c:pt>
              </c:numCache>
            </c:numRef>
          </c:val>
        </c:ser>
        <c:ser>
          <c:idx val="2"/>
          <c:order val="1"/>
          <c:tx>
            <c:strRef>
              <c:f>DFT!$A$25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DFT!$B$25:$K$25</c:f>
              <c:numCache>
                <c:formatCode>0.0000</c:formatCode>
                <c:ptCount val="10"/>
                <c:pt idx="0">
                  <c:v>74.272000000000006</c:v>
                </c:pt>
                <c:pt idx="1">
                  <c:v>74.272000000000006</c:v>
                </c:pt>
                <c:pt idx="2">
                  <c:v>74.272000000000006</c:v>
                </c:pt>
                <c:pt idx="3">
                  <c:v>74.272000000000006</c:v>
                </c:pt>
                <c:pt idx="4">
                  <c:v>74.272000000000006</c:v>
                </c:pt>
                <c:pt idx="5">
                  <c:v>74.272000000000006</c:v>
                </c:pt>
                <c:pt idx="6">
                  <c:v>74.272000000000006</c:v>
                </c:pt>
                <c:pt idx="7">
                  <c:v>74.272000000000006</c:v>
                </c:pt>
                <c:pt idx="8">
                  <c:v>74.272000000000006</c:v>
                </c:pt>
                <c:pt idx="9">
                  <c:v>74.272000000000006</c:v>
                </c:pt>
              </c:numCache>
            </c:numRef>
          </c:val>
        </c:ser>
        <c:ser>
          <c:idx val="3"/>
          <c:order val="2"/>
          <c:tx>
            <c:strRef>
              <c:f>DFT!$A$26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DFT!$B$26:$K$26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DFT!$A$28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DFT!$B$28:$K$28</c:f>
              <c:numCache>
                <c:formatCode>0.0000</c:formatCode>
                <c:ptCount val="10"/>
                <c:pt idx="0">
                  <c:v>35.200000000000003</c:v>
                </c:pt>
                <c:pt idx="1">
                  <c:v>35.200000000000003</c:v>
                </c:pt>
                <c:pt idx="2">
                  <c:v>35.200000000000003</c:v>
                </c:pt>
                <c:pt idx="3">
                  <c:v>35.200000000000003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35.200000000000003</c:v>
                </c:pt>
                <c:pt idx="9">
                  <c:v>35.200000000000003</c:v>
                </c:pt>
              </c:numCache>
            </c:numRef>
          </c:val>
        </c:ser>
        <c:dLbls/>
        <c:marker val="1"/>
        <c:axId val="73675520"/>
        <c:axId val="73677440"/>
      </c:lineChart>
      <c:catAx>
        <c:axId val="7367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7440"/>
        <c:crosses val="autoZero"/>
        <c:auto val="1"/>
        <c:lblAlgn val="ctr"/>
        <c:lblOffset val="100"/>
        <c:tickLblSkip val="1"/>
        <c:tickMarkSkip val="1"/>
      </c:catAx>
      <c:valAx>
        <c:axId val="736774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6755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097"/>
          <c:y val="3.4090909090909088E-2"/>
        </c:manualLayout>
      </c:layout>
      <c:spPr>
        <a:solidFill>
          <a:srgbClr val="FFFFFF"/>
        </a:solidFill>
        <a:ln w="25400">
          <a:noFill/>
        </a:ln>
      </c:spPr>
    </c:title>
    <c:view3D>
      <c:perspective val="30"/>
    </c:view3D>
    <c:side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07E-2"/>
          <c:w val="0.90889370932754876"/>
          <c:h val="0.77556925765889206"/>
        </c:manualLayout>
      </c:layout>
      <c:bar3DChart>
        <c:barDir val="col"/>
        <c:grouping val="clustered"/>
        <c:ser>
          <c:idx val="1"/>
          <c:order val="0"/>
          <c:tx>
            <c:strRef>
              <c:f>'Wattage L1'!$Q$19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cat>
            <c:multiLvlStrRef>
              <c:f>'Wattage L1'!$O$20:$P$30</c:f>
              <c:multiLvlStrCache>
                <c:ptCount val="11"/>
                <c:lvl>
                  <c:pt idx="0">
                    <c:v>1820.10</c:v>
                  </c:pt>
                  <c:pt idx="1">
                    <c:v>1841.70</c:v>
                  </c:pt>
                  <c:pt idx="2">
                    <c:v>1863.30</c:v>
                  </c:pt>
                  <c:pt idx="3">
                    <c:v>1884.90</c:v>
                  </c:pt>
                  <c:pt idx="4">
                    <c:v>1906.50</c:v>
                  </c:pt>
                  <c:pt idx="5">
                    <c:v>1928.10</c:v>
                  </c:pt>
                  <c:pt idx="6">
                    <c:v>1949.70</c:v>
                  </c:pt>
                  <c:pt idx="7">
                    <c:v>1971.30</c:v>
                  </c:pt>
                  <c:pt idx="8">
                    <c:v>1992.90</c:v>
                  </c:pt>
                  <c:pt idx="9">
                    <c:v>2014.50</c:v>
                  </c:pt>
                  <c:pt idx="10">
                    <c:v>2036.10</c:v>
                  </c:pt>
                </c:lvl>
                <c:lvl>
                  <c:pt idx="0">
                    <c:v>1798.50</c:v>
                  </c:pt>
                  <c:pt idx="1">
                    <c:v>1820.10</c:v>
                  </c:pt>
                  <c:pt idx="2">
                    <c:v>1841.70</c:v>
                  </c:pt>
                  <c:pt idx="3">
                    <c:v>1863.30</c:v>
                  </c:pt>
                  <c:pt idx="4">
                    <c:v>1884.90</c:v>
                  </c:pt>
                  <c:pt idx="5">
                    <c:v>1906.50</c:v>
                  </c:pt>
                  <c:pt idx="6">
                    <c:v>1928.10</c:v>
                  </c:pt>
                  <c:pt idx="7">
                    <c:v>1949.70</c:v>
                  </c:pt>
                  <c:pt idx="8">
                    <c:v>1971.30</c:v>
                  </c:pt>
                  <c:pt idx="9">
                    <c:v>1992.90</c:v>
                  </c:pt>
                  <c:pt idx="10">
                    <c:v>2014.50</c:v>
                  </c:pt>
                </c:lvl>
              </c:multiLvlStrCache>
            </c:multiLvlStrRef>
          </c:cat>
          <c:val>
            <c:numRef>
              <c:f>'Wattage L1'!$Q$20:$Q$30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0</c:v>
                </c:pt>
                <c:pt idx="7">
                  <c:v>18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/>
        <c:gapWidth val="0"/>
        <c:shape val="cylinder"/>
        <c:axId val="73768960"/>
        <c:axId val="73770880"/>
        <c:axId val="0"/>
      </c:bar3DChart>
      <c:catAx>
        <c:axId val="73768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73770880"/>
        <c:crosses val="autoZero"/>
        <c:auto val="1"/>
        <c:lblAlgn val="ctr"/>
        <c:lblOffset val="100"/>
        <c:tickLblSkip val="1"/>
        <c:tickMarkSkip val="1"/>
      </c:catAx>
      <c:valAx>
        <c:axId val="73770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737689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ser>
          <c:idx val="1"/>
          <c:order val="0"/>
          <c:tx>
            <c:strRef>
              <c:f>'Wattage L1'!$A$18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L1'!$B$18:$K$18</c:f>
              <c:numCache>
                <c:formatCode>General</c:formatCode>
                <c:ptCount val="10"/>
                <c:pt idx="0">
                  <c:v>1949.4</c:v>
                </c:pt>
                <c:pt idx="1">
                  <c:v>1944</c:v>
                </c:pt>
                <c:pt idx="2">
                  <c:v>1943</c:v>
                </c:pt>
                <c:pt idx="3">
                  <c:v>1945.2</c:v>
                </c:pt>
                <c:pt idx="4">
                  <c:v>1940.4</c:v>
                </c:pt>
                <c:pt idx="5">
                  <c:v>1938.2</c:v>
                </c:pt>
                <c:pt idx="6">
                  <c:v>1939.2</c:v>
                </c:pt>
                <c:pt idx="7">
                  <c:v>1935.8</c:v>
                </c:pt>
                <c:pt idx="8">
                  <c:v>1929.6</c:v>
                </c:pt>
                <c:pt idx="9">
                  <c:v>1954.4</c:v>
                </c:pt>
              </c:numCache>
            </c:numRef>
          </c:val>
        </c:ser>
        <c:ser>
          <c:idx val="2"/>
          <c:order val="1"/>
          <c:tx>
            <c:strRef>
              <c:f>'Wattage L1'!$A$23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L1'!$B$23:$K$23</c:f>
              <c:numCache>
                <c:formatCode>General</c:formatCode>
                <c:ptCount val="10"/>
                <c:pt idx="0">
                  <c:v>1967.9390000000001</c:v>
                </c:pt>
                <c:pt idx="1">
                  <c:v>1967.9390000000001</c:v>
                </c:pt>
                <c:pt idx="2">
                  <c:v>1967.9390000000001</c:v>
                </c:pt>
                <c:pt idx="3">
                  <c:v>1967.9390000000001</c:v>
                </c:pt>
                <c:pt idx="4">
                  <c:v>1967.9390000000001</c:v>
                </c:pt>
                <c:pt idx="5">
                  <c:v>1967.9390000000001</c:v>
                </c:pt>
                <c:pt idx="6">
                  <c:v>1967.9390000000001</c:v>
                </c:pt>
                <c:pt idx="7">
                  <c:v>1967.9390000000001</c:v>
                </c:pt>
                <c:pt idx="8">
                  <c:v>1967.9390000000001</c:v>
                </c:pt>
                <c:pt idx="9" formatCode="0.0000">
                  <c:v>1967.9390000000001</c:v>
                </c:pt>
              </c:numCache>
            </c:numRef>
          </c:val>
        </c:ser>
        <c:ser>
          <c:idx val="3"/>
          <c:order val="2"/>
          <c:tx>
            <c:strRef>
              <c:f>'Wattage L1'!$A$24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L1'!$B$24:$K$24</c:f>
              <c:numCache>
                <c:formatCode>0.0000</c:formatCode>
                <c:ptCount val="10"/>
                <c:pt idx="0">
                  <c:v>1915.9010000000001</c:v>
                </c:pt>
                <c:pt idx="1">
                  <c:v>1915.9010000000001</c:v>
                </c:pt>
                <c:pt idx="2">
                  <c:v>1915.9010000000001</c:v>
                </c:pt>
                <c:pt idx="3">
                  <c:v>1915.9010000000001</c:v>
                </c:pt>
                <c:pt idx="4">
                  <c:v>1915.9010000000001</c:v>
                </c:pt>
                <c:pt idx="5">
                  <c:v>1915.9010000000001</c:v>
                </c:pt>
                <c:pt idx="6">
                  <c:v>1915.9010000000001</c:v>
                </c:pt>
                <c:pt idx="7">
                  <c:v>1915.9010000000001</c:v>
                </c:pt>
                <c:pt idx="8">
                  <c:v>1915.9010000000001</c:v>
                </c:pt>
                <c:pt idx="9">
                  <c:v>1915.9010000000001</c:v>
                </c:pt>
              </c:numCache>
            </c:numRef>
          </c:val>
        </c:ser>
        <c:ser>
          <c:idx val="4"/>
          <c:order val="3"/>
          <c:tx>
            <c:strRef>
              <c:f>'Wattage L1'!$A$27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L1'!$B$27:$K$27</c:f>
              <c:numCache>
                <c:formatCode>0.0000</c:formatCode>
                <c:ptCount val="10"/>
                <c:pt idx="0">
                  <c:v>1941.92</c:v>
                </c:pt>
                <c:pt idx="1">
                  <c:v>1941.92</c:v>
                </c:pt>
                <c:pt idx="2">
                  <c:v>1941.92</c:v>
                </c:pt>
                <c:pt idx="3">
                  <c:v>1941.92</c:v>
                </c:pt>
                <c:pt idx="4">
                  <c:v>1941.92</c:v>
                </c:pt>
                <c:pt idx="5">
                  <c:v>1941.92</c:v>
                </c:pt>
                <c:pt idx="6">
                  <c:v>1941.92</c:v>
                </c:pt>
                <c:pt idx="7">
                  <c:v>1941.92</c:v>
                </c:pt>
                <c:pt idx="8">
                  <c:v>1941.92</c:v>
                </c:pt>
                <c:pt idx="9">
                  <c:v>1941.92</c:v>
                </c:pt>
              </c:numCache>
            </c:numRef>
          </c:val>
        </c:ser>
        <c:dLbls/>
        <c:marker val="1"/>
        <c:axId val="74143232"/>
        <c:axId val="74145152"/>
      </c:lineChart>
      <c:catAx>
        <c:axId val="7414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45152"/>
        <c:crosses val="autoZero"/>
        <c:auto val="1"/>
        <c:lblAlgn val="ctr"/>
        <c:lblOffset val="100"/>
        <c:tickLblSkip val="1"/>
        <c:tickMarkSkip val="1"/>
      </c:catAx>
      <c:valAx>
        <c:axId val="74145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1432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21"/>
          <c:y val="0.48863636363636381"/>
          <c:w val="0.17067307692307537"/>
          <c:h val="0.27840909090909138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 orientation="landscape" horizontalDpi="180" verticalDpi="18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69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ser>
          <c:idx val="1"/>
          <c:order val="0"/>
          <c:tx>
            <c:strRef>
              <c:f>'Wattage L1'!$A$17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'Wattage L1'!$B$17:$K$17</c:f>
              <c:numCache>
                <c:formatCode>General</c:formatCode>
                <c:ptCount val="10"/>
                <c:pt idx="0">
                  <c:v>40</c:v>
                </c:pt>
                <c:pt idx="1">
                  <c:v>29</c:v>
                </c:pt>
                <c:pt idx="2">
                  <c:v>32</c:v>
                </c:pt>
                <c:pt idx="3">
                  <c:v>19</c:v>
                </c:pt>
                <c:pt idx="4">
                  <c:v>35</c:v>
                </c:pt>
                <c:pt idx="5">
                  <c:v>31</c:v>
                </c:pt>
                <c:pt idx="6">
                  <c:v>44</c:v>
                </c:pt>
                <c:pt idx="7">
                  <c:v>69</c:v>
                </c:pt>
                <c:pt idx="8">
                  <c:v>67</c:v>
                </c:pt>
                <c:pt idx="9">
                  <c:v>75</c:v>
                </c:pt>
              </c:numCache>
            </c:numRef>
          </c:val>
        </c:ser>
        <c:ser>
          <c:idx val="2"/>
          <c:order val="1"/>
          <c:tx>
            <c:strRef>
              <c:f>'Wattage L1'!$A$25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'Wattage L1'!$B$25:$K$25</c:f>
              <c:numCache>
                <c:formatCode>0.0000</c:formatCode>
                <c:ptCount val="10"/>
                <c:pt idx="0">
                  <c:v>93.051000000000002</c:v>
                </c:pt>
                <c:pt idx="1">
                  <c:v>93.051000000000002</c:v>
                </c:pt>
                <c:pt idx="2">
                  <c:v>93.051000000000002</c:v>
                </c:pt>
                <c:pt idx="3">
                  <c:v>93.051000000000002</c:v>
                </c:pt>
                <c:pt idx="4">
                  <c:v>93.051000000000002</c:v>
                </c:pt>
                <c:pt idx="5">
                  <c:v>93.051000000000002</c:v>
                </c:pt>
                <c:pt idx="6">
                  <c:v>93.051000000000002</c:v>
                </c:pt>
                <c:pt idx="7">
                  <c:v>93.051000000000002</c:v>
                </c:pt>
                <c:pt idx="8">
                  <c:v>93.051000000000002</c:v>
                </c:pt>
                <c:pt idx="9">
                  <c:v>93.051000000000002</c:v>
                </c:pt>
              </c:numCache>
            </c:numRef>
          </c:val>
        </c:ser>
        <c:ser>
          <c:idx val="3"/>
          <c:order val="2"/>
          <c:tx>
            <c:strRef>
              <c:f>'Wattage L1'!$A$26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'Wattage L1'!$B$26:$K$26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3"/>
          <c:tx>
            <c:strRef>
              <c:f>'Wattage L1'!$A$28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'Wattage L1'!$B$28:$K$28</c:f>
              <c:numCache>
                <c:formatCode>0.0000</c:formatCode>
                <c:ptCount val="10"/>
                <c:pt idx="0">
                  <c:v>44.1</c:v>
                </c:pt>
                <c:pt idx="1">
                  <c:v>44.1</c:v>
                </c:pt>
                <c:pt idx="2">
                  <c:v>44.1</c:v>
                </c:pt>
                <c:pt idx="3">
                  <c:v>44.1</c:v>
                </c:pt>
                <c:pt idx="4">
                  <c:v>44.1</c:v>
                </c:pt>
                <c:pt idx="5">
                  <c:v>44.1</c:v>
                </c:pt>
                <c:pt idx="6">
                  <c:v>44.1</c:v>
                </c:pt>
                <c:pt idx="7">
                  <c:v>44.1</c:v>
                </c:pt>
                <c:pt idx="8">
                  <c:v>44.1</c:v>
                </c:pt>
                <c:pt idx="9">
                  <c:v>44.1</c:v>
                </c:pt>
              </c:numCache>
            </c:numRef>
          </c:val>
        </c:ser>
        <c:dLbls/>
        <c:marker val="1"/>
        <c:axId val="74206592"/>
        <c:axId val="74225152"/>
      </c:lineChart>
      <c:catAx>
        <c:axId val="74206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84"/>
              <c:y val="0.886363636363636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25152"/>
        <c:crosses val="autoZero"/>
        <c:auto val="1"/>
        <c:lblAlgn val="ctr"/>
        <c:lblOffset val="100"/>
        <c:tickLblSkip val="1"/>
        <c:tickMarkSkip val="1"/>
      </c:catAx>
      <c:valAx>
        <c:axId val="742251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7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20659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89" r="0.750000000000003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85725</xdr:colOff>
      <xdr:row>37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21</xdr:row>
      <xdr:rowOff>0</xdr:rowOff>
    </xdr:from>
    <xdr:to>
      <xdr:col>14</xdr:col>
      <xdr:colOff>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29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abSelected="1" zoomScale="115" zoomScaleNormal="115" zoomScaleSheetLayoutView="100" workbookViewId="0">
      <selection activeCell="H4" sqref="H4:J4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32" s="2" customFormat="1" ht="35.1" customHeigh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1:32" s="4" customFormat="1" ht="15" customHeight="1">
      <c r="A3" s="80" t="s">
        <v>2</v>
      </c>
      <c r="B3" s="81"/>
      <c r="C3" s="82" t="s">
        <v>84</v>
      </c>
      <c r="D3" s="83"/>
      <c r="E3" s="84"/>
      <c r="F3" s="85" t="s">
        <v>3</v>
      </c>
      <c r="G3" s="86"/>
      <c r="H3" s="82" t="s">
        <v>85</v>
      </c>
      <c r="I3" s="83"/>
      <c r="J3" s="84"/>
      <c r="K3" s="87" t="s">
        <v>5</v>
      </c>
      <c r="L3" s="88"/>
      <c r="M3" s="66" t="s">
        <v>86</v>
      </c>
      <c r="N3" s="89"/>
      <c r="O3" s="91"/>
      <c r="P3" s="92"/>
      <c r="Q3" s="92"/>
      <c r="R3" s="93"/>
    </row>
    <row r="4" spans="1:32" s="4" customFormat="1" ht="15" customHeight="1">
      <c r="A4" s="97" t="s">
        <v>7</v>
      </c>
      <c r="B4" s="98"/>
      <c r="C4" s="69" t="s">
        <v>8</v>
      </c>
      <c r="D4" s="70"/>
      <c r="E4" s="71"/>
      <c r="F4" s="72" t="s">
        <v>9</v>
      </c>
      <c r="G4" s="99"/>
      <c r="H4" s="69" t="s">
        <v>88</v>
      </c>
      <c r="I4" s="70"/>
      <c r="J4" s="71"/>
      <c r="K4" s="100" t="s">
        <v>11</v>
      </c>
      <c r="L4" s="101"/>
      <c r="M4" s="67" t="s">
        <v>87</v>
      </c>
      <c r="N4" s="90"/>
      <c r="O4" s="94"/>
      <c r="P4" s="95"/>
      <c r="Q4" s="95"/>
      <c r="R4" s="96"/>
    </row>
    <row r="5" spans="1:32" s="4" customFormat="1" ht="15" customHeight="1">
      <c r="A5" s="97" t="s">
        <v>13</v>
      </c>
      <c r="B5" s="98"/>
      <c r="C5" s="138" t="s">
        <v>14</v>
      </c>
      <c r="D5" s="139"/>
      <c r="E5" s="140"/>
      <c r="F5" s="72" t="s">
        <v>15</v>
      </c>
      <c r="G5" s="99"/>
      <c r="H5" s="69" t="s">
        <v>16</v>
      </c>
      <c r="I5" s="70"/>
      <c r="J5" s="71"/>
      <c r="K5" s="72" t="s">
        <v>17</v>
      </c>
      <c r="L5" s="73"/>
      <c r="M5" s="67">
        <v>1</v>
      </c>
      <c r="N5" s="6"/>
      <c r="O5" s="104"/>
      <c r="P5" s="105"/>
      <c r="Q5" s="6" t="s">
        <v>18</v>
      </c>
      <c r="R5" s="7" t="s">
        <v>89</v>
      </c>
    </row>
    <row r="6" spans="1:32" s="4" customFormat="1" ht="15" customHeight="1">
      <c r="A6" s="106" t="s">
        <v>19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109" t="s">
        <v>20</v>
      </c>
      <c r="N6" s="110"/>
      <c r="O6" s="110"/>
      <c r="P6" s="110"/>
      <c r="Q6" s="111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15">
        <v>29.4</v>
      </c>
      <c r="N7" s="116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65">
        <v>28.1</v>
      </c>
      <c r="C8" s="65">
        <v>27.5</v>
      </c>
      <c r="D8" s="65">
        <v>27.6</v>
      </c>
      <c r="E8" s="65">
        <v>27.9</v>
      </c>
      <c r="F8" s="65">
        <v>27.2</v>
      </c>
      <c r="G8" s="65">
        <v>27.4</v>
      </c>
      <c r="H8" s="65">
        <v>27.4</v>
      </c>
      <c r="I8" s="65">
        <v>27.7</v>
      </c>
      <c r="J8" s="65">
        <v>27.2</v>
      </c>
      <c r="K8" s="65">
        <v>27.1</v>
      </c>
      <c r="L8" s="113"/>
      <c r="M8" s="117"/>
      <c r="N8" s="118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65">
        <v>27.8</v>
      </c>
      <c r="C9" s="65">
        <v>27.3</v>
      </c>
      <c r="D9" s="65">
        <v>27.5</v>
      </c>
      <c r="E9" s="65">
        <v>27.2</v>
      </c>
      <c r="F9" s="65">
        <v>27.2</v>
      </c>
      <c r="G9" s="65">
        <v>27.2</v>
      </c>
      <c r="H9" s="65">
        <v>27</v>
      </c>
      <c r="I9" s="65">
        <v>26.9</v>
      </c>
      <c r="J9" s="65">
        <v>27.9</v>
      </c>
      <c r="K9" s="65">
        <v>27.3</v>
      </c>
      <c r="L9" s="114"/>
      <c r="M9" s="119"/>
      <c r="N9" s="120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65">
        <v>27.3</v>
      </c>
      <c r="C10" s="65">
        <v>27.1</v>
      </c>
      <c r="D10" s="65">
        <v>26.9</v>
      </c>
      <c r="E10" s="65">
        <v>27.1</v>
      </c>
      <c r="F10" s="65">
        <v>27.8</v>
      </c>
      <c r="G10" s="65">
        <v>27</v>
      </c>
      <c r="H10" s="65">
        <v>26.9</v>
      </c>
      <c r="I10" s="65">
        <v>27.3</v>
      </c>
      <c r="J10" s="65">
        <v>27.3</v>
      </c>
      <c r="K10" s="65">
        <v>27.4</v>
      </c>
      <c r="L10" s="112" t="s">
        <v>83</v>
      </c>
      <c r="M10" s="115">
        <v>25.2</v>
      </c>
      <c r="N10" s="116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65">
        <v>27.3</v>
      </c>
      <c r="C11" s="65">
        <v>27.8</v>
      </c>
      <c r="D11" s="65">
        <v>26.5</v>
      </c>
      <c r="E11" s="65">
        <v>27.1</v>
      </c>
      <c r="F11" s="65">
        <v>27.5</v>
      </c>
      <c r="G11" s="65">
        <v>27.1</v>
      </c>
      <c r="H11" s="65">
        <v>28.3</v>
      </c>
      <c r="I11" s="65">
        <v>27.6</v>
      </c>
      <c r="J11" s="65">
        <v>27.7</v>
      </c>
      <c r="K11" s="65">
        <v>27.5</v>
      </c>
      <c r="L11" s="121"/>
      <c r="M11" s="117"/>
      <c r="N11" s="118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65">
        <v>27.3</v>
      </c>
      <c r="C12" s="65">
        <v>26.9</v>
      </c>
      <c r="D12" s="65">
        <v>27.3</v>
      </c>
      <c r="E12" s="65">
        <v>27.4</v>
      </c>
      <c r="F12" s="65">
        <v>27.2</v>
      </c>
      <c r="G12" s="65">
        <v>27.5</v>
      </c>
      <c r="H12" s="65">
        <v>27.2</v>
      </c>
      <c r="I12" s="65">
        <v>27.8</v>
      </c>
      <c r="J12" s="65">
        <v>27.7</v>
      </c>
      <c r="K12" s="65">
        <v>27.3</v>
      </c>
      <c r="L12" s="122"/>
      <c r="M12" s="119"/>
      <c r="N12" s="120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6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28.1</v>
      </c>
      <c r="C15" s="25">
        <f t="shared" si="0"/>
        <v>27.8</v>
      </c>
      <c r="D15" s="25">
        <f t="shared" si="0"/>
        <v>27.6</v>
      </c>
      <c r="E15" s="25">
        <f t="shared" si="0"/>
        <v>27.9</v>
      </c>
      <c r="F15" s="25">
        <f t="shared" si="0"/>
        <v>27.8</v>
      </c>
      <c r="G15" s="25">
        <f t="shared" si="0"/>
        <v>27.5</v>
      </c>
      <c r="H15" s="25">
        <f t="shared" si="0"/>
        <v>28.3</v>
      </c>
      <c r="I15" s="25">
        <f>MAX(I8:I12)</f>
        <v>27.8</v>
      </c>
      <c r="J15" s="25">
        <f t="shared" si="0"/>
        <v>27.9</v>
      </c>
      <c r="K15" s="26">
        <f t="shared" si="0"/>
        <v>27.5</v>
      </c>
      <c r="L15" s="6" t="s">
        <v>44</v>
      </c>
      <c r="M15" s="27">
        <f>(MAX(B15:K15))</f>
        <v>28.3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27.3</v>
      </c>
      <c r="C16" s="25">
        <f>MIN(C8:C12)</f>
        <v>26.9</v>
      </c>
      <c r="D16" s="26">
        <f t="shared" si="1"/>
        <v>26.5</v>
      </c>
      <c r="E16" s="26">
        <f t="shared" si="1"/>
        <v>27.1</v>
      </c>
      <c r="F16" s="26">
        <f t="shared" si="1"/>
        <v>27.2</v>
      </c>
      <c r="G16" s="26">
        <f>MIN(G8:G12)</f>
        <v>27</v>
      </c>
      <c r="H16" s="26">
        <f t="shared" si="1"/>
        <v>26.9</v>
      </c>
      <c r="I16" s="25">
        <f>MIN(I8:I12)</f>
        <v>26.9</v>
      </c>
      <c r="J16" s="26">
        <f t="shared" si="1"/>
        <v>27.2</v>
      </c>
      <c r="K16" s="26">
        <f>MIN(K8:K12)</f>
        <v>27.1</v>
      </c>
      <c r="L16" s="6" t="s">
        <v>48</v>
      </c>
      <c r="M16" s="27">
        <f>MIN(B16:K16)</f>
        <v>26.5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0.80000000000000071</v>
      </c>
      <c r="C17" s="30">
        <f t="shared" si="2"/>
        <v>0.90000000000000213</v>
      </c>
      <c r="D17" s="30">
        <f t="shared" si="2"/>
        <v>1.1000000000000014</v>
      </c>
      <c r="E17" s="30">
        <f t="shared" si="2"/>
        <v>0.79999999999999716</v>
      </c>
      <c r="F17" s="30">
        <f t="shared" si="2"/>
        <v>0.60000000000000142</v>
      </c>
      <c r="G17" s="30">
        <f>SUM(MAX(G8:G12)-MIN(G8:G12))</f>
        <v>0.5</v>
      </c>
      <c r="H17" s="30">
        <f t="shared" si="2"/>
        <v>1.4000000000000021</v>
      </c>
      <c r="I17" s="30">
        <f t="shared" si="2"/>
        <v>0.90000000000000213</v>
      </c>
      <c r="J17" s="30">
        <f t="shared" si="2"/>
        <v>0.69999999999999929</v>
      </c>
      <c r="K17" s="26">
        <f t="shared" si="2"/>
        <v>0.39999999999999858</v>
      </c>
      <c r="L17" s="31" t="s">
        <v>50</v>
      </c>
      <c r="M17" s="32">
        <f>AVERAGE(B17:K17)</f>
        <v>0.8100000000000005</v>
      </c>
      <c r="N17" s="102" t="s">
        <v>51</v>
      </c>
      <c r="O17" s="103"/>
      <c r="P17" s="103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27.560000000000002</v>
      </c>
      <c r="C18" s="26">
        <f t="shared" ref="C18:K18" si="3">AVERAGE(C8:C12)</f>
        <v>27.32</v>
      </c>
      <c r="D18" s="26">
        <f t="shared" si="3"/>
        <v>27.160000000000004</v>
      </c>
      <c r="E18" s="26">
        <f t="shared" si="3"/>
        <v>27.339999999999996</v>
      </c>
      <c r="F18" s="26">
        <f t="shared" si="3"/>
        <v>27.380000000000003</v>
      </c>
      <c r="G18" s="26">
        <f>AVERAGE(G8:G12)</f>
        <v>27.24</v>
      </c>
      <c r="H18" s="26">
        <f t="shared" si="3"/>
        <v>27.359999999999996</v>
      </c>
      <c r="I18" s="26">
        <f t="shared" si="3"/>
        <v>27.46</v>
      </c>
      <c r="J18" s="26">
        <f t="shared" si="3"/>
        <v>27.559999999999995</v>
      </c>
      <c r="K18" s="26">
        <f t="shared" si="3"/>
        <v>27.320000000000004</v>
      </c>
      <c r="L18" s="31" t="s">
        <v>53</v>
      </c>
      <c r="M18" s="36">
        <f>ROUNDUP(AVERAGE(B8:K12),4)</f>
        <v>27.37</v>
      </c>
      <c r="N18" s="102" t="s">
        <v>54</v>
      </c>
      <c r="O18" s="141"/>
      <c r="P18" s="14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7" t="s">
        <v>55</v>
      </c>
      <c r="B19" s="142"/>
      <c r="C19" s="142"/>
      <c r="D19" s="143">
        <f>ROUNDUP(SUM(M15-M16),4)</f>
        <v>1.8</v>
      </c>
      <c r="E19" s="144"/>
      <c r="F19" s="97" t="s">
        <v>56</v>
      </c>
      <c r="G19" s="142"/>
      <c r="H19" s="142"/>
      <c r="I19" s="143">
        <f>ROUNDUP(ABS(SUM(M7-M10)),4)</f>
        <v>4.2</v>
      </c>
      <c r="J19" s="144"/>
      <c r="K19" s="97" t="s">
        <v>57</v>
      </c>
      <c r="L19" s="142"/>
      <c r="M19" s="142"/>
      <c r="N19" s="39">
        <f>ROUNDUP(SUM((2*(N21))/I19),4)</f>
        <v>3.3400000000000006E-2</v>
      </c>
      <c r="O19" s="145" t="s">
        <v>58</v>
      </c>
      <c r="P19" s="146"/>
      <c r="Q19" s="40" t="s">
        <v>59</v>
      </c>
      <c r="R19" s="40" t="s">
        <v>60</v>
      </c>
    </row>
    <row r="20" spans="1:21" s="4" customFormat="1" ht="15" customHeight="1">
      <c r="A20" s="97" t="s">
        <v>61</v>
      </c>
      <c r="B20" s="142"/>
      <c r="C20" s="142"/>
      <c r="D20" s="143">
        <f>ROUNDUP(AVERAGE(M7:M10),4)</f>
        <v>27.3</v>
      </c>
      <c r="E20" s="144"/>
      <c r="F20" s="97" t="s">
        <v>62</v>
      </c>
      <c r="G20" s="142"/>
      <c r="H20" s="142"/>
      <c r="I20" s="147">
        <f>ROUNDUP(SUM(D19/N20),4)</f>
        <v>0.36</v>
      </c>
      <c r="J20" s="148"/>
      <c r="K20" s="97" t="s">
        <v>63</v>
      </c>
      <c r="L20" s="142"/>
      <c r="M20" s="142"/>
      <c r="N20" s="41" t="str">
        <f>IF(I21/10&lt;=5,"5",IF(I21/10&lt;=6,"6",IF(I21/10&lt;=7,"7","8")))</f>
        <v>5</v>
      </c>
      <c r="O20" s="42">
        <f>ROUNDUP(SUM(P20-I20),4)</f>
        <v>24.96</v>
      </c>
      <c r="P20" s="42">
        <f>ROUNDUP(SUM(P21-I20),4)</f>
        <v>25.32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7" t="s">
        <v>64</v>
      </c>
      <c r="B21" s="142"/>
      <c r="C21" s="142"/>
      <c r="D21" s="143">
        <f>ROUNDUP(SUM(M16-(IF(M5=M32,J32,IF(M5=M33,J33,IF(M5=M34,J34,IF(M5=M35,J35,IF(M5=M36,J36))))))),4)</f>
        <v>26.4</v>
      </c>
      <c r="E21" s="144"/>
      <c r="F21" s="97" t="s">
        <v>65</v>
      </c>
      <c r="G21" s="142"/>
      <c r="H21" s="142"/>
      <c r="I21" s="143">
        <f>COUNTIF((B8:K12),"&gt;0")</f>
        <v>50</v>
      </c>
      <c r="J21" s="143"/>
      <c r="K21" s="97" t="s">
        <v>66</v>
      </c>
      <c r="L21" s="142"/>
      <c r="M21" s="142"/>
      <c r="N21" s="43">
        <f>(ABS(SUM(M18-D20)))</f>
        <v>7.0000000000000284E-2</v>
      </c>
      <c r="O21" s="42">
        <f>ROUNDUP(SUM(P21-I20),4)</f>
        <v>25.32</v>
      </c>
      <c r="P21" s="42">
        <f>ROUNDUP(SUM(P22-I20),4)</f>
        <v>25.68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25.68</v>
      </c>
      <c r="P22" s="42">
        <f>ROUNDUP(SUM(P23-I20),4)</f>
        <v>26.04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27.847900000000003</v>
      </c>
      <c r="C23" s="6">
        <f>Q32</f>
        <v>27.847900000000003</v>
      </c>
      <c r="D23" s="6">
        <f>Q32</f>
        <v>27.847900000000003</v>
      </c>
      <c r="E23" s="6">
        <f>Q32</f>
        <v>27.847900000000003</v>
      </c>
      <c r="F23" s="46">
        <f>Q32</f>
        <v>27.847900000000003</v>
      </c>
      <c r="G23" s="46">
        <f>Q32</f>
        <v>27.847900000000003</v>
      </c>
      <c r="H23" s="46">
        <f>Q32</f>
        <v>27.847900000000003</v>
      </c>
      <c r="I23" s="6">
        <f>Q32</f>
        <v>27.847900000000003</v>
      </c>
      <c r="J23" s="6">
        <f>Q32</f>
        <v>27.847900000000003</v>
      </c>
      <c r="K23" s="27">
        <f>Q32</f>
        <v>27.847900000000003</v>
      </c>
      <c r="M23" s="47"/>
      <c r="N23" s="47"/>
      <c r="O23" s="42">
        <f>ROUNDUP(SUM(P23-I20),4)</f>
        <v>26.04</v>
      </c>
      <c r="P23" s="42">
        <f>ROUNDUP((D21),4)</f>
        <v>26.4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26.892099999999999</v>
      </c>
      <c r="C24" s="27">
        <f>Q33</f>
        <v>26.892099999999999</v>
      </c>
      <c r="D24" s="27">
        <f>Q33</f>
        <v>26.892099999999999</v>
      </c>
      <c r="E24" s="27">
        <f>Q33</f>
        <v>26.892099999999999</v>
      </c>
      <c r="F24" s="27">
        <f>Q33</f>
        <v>26.892099999999999</v>
      </c>
      <c r="G24" s="27">
        <f>Q33</f>
        <v>26.892099999999999</v>
      </c>
      <c r="H24" s="27">
        <f>Q33</f>
        <v>26.892099999999999</v>
      </c>
      <c r="I24" s="27">
        <f>Q33</f>
        <v>26.892099999999999</v>
      </c>
      <c r="J24" s="27">
        <f>Q33</f>
        <v>26.892099999999999</v>
      </c>
      <c r="K24" s="27">
        <f>Q33</f>
        <v>26.892099999999999</v>
      </c>
      <c r="M24" s="49"/>
      <c r="N24" s="49"/>
      <c r="O24" s="42">
        <f>ROUNDUP((D21),4)</f>
        <v>26.4</v>
      </c>
      <c r="P24" s="42">
        <f>ROUNDUP(SUM(P23+I20),4)</f>
        <v>26.76</v>
      </c>
      <c r="Q24" s="26">
        <f t="shared" si="4"/>
        <v>1</v>
      </c>
      <c r="R24" s="26">
        <f>FREQUENCY(B8:K12,P24:P25)</f>
        <v>1</v>
      </c>
    </row>
    <row r="25" spans="1:21" s="2" customFormat="1" ht="17.100000000000001" customHeight="1">
      <c r="A25" s="45" t="s">
        <v>69</v>
      </c>
      <c r="B25" s="27">
        <f>Q34</f>
        <v>1.709100000000001</v>
      </c>
      <c r="C25" s="27">
        <f>Q34</f>
        <v>1.709100000000001</v>
      </c>
      <c r="D25" s="27">
        <f>Q34</f>
        <v>1.709100000000001</v>
      </c>
      <c r="E25" s="50">
        <f>Q34</f>
        <v>1.709100000000001</v>
      </c>
      <c r="F25" s="50">
        <f>Q34</f>
        <v>1.709100000000001</v>
      </c>
      <c r="G25" s="50">
        <f>Q34</f>
        <v>1.709100000000001</v>
      </c>
      <c r="H25" s="27">
        <f>Q34</f>
        <v>1.709100000000001</v>
      </c>
      <c r="I25" s="27">
        <f>Q34</f>
        <v>1.709100000000001</v>
      </c>
      <c r="J25" s="27">
        <f>Q34</f>
        <v>1.709100000000001</v>
      </c>
      <c r="K25" s="27">
        <f>Q34</f>
        <v>1.709100000000001</v>
      </c>
      <c r="M25" s="49"/>
      <c r="N25" s="49"/>
      <c r="O25" s="42">
        <f>ROUNDUP(SUM(P23+I20),4)</f>
        <v>26.76</v>
      </c>
      <c r="P25" s="42">
        <f>ROUNDUP(SUM(P24+I20),4)</f>
        <v>27.12</v>
      </c>
      <c r="Q25" s="26">
        <f t="shared" si="4"/>
        <v>11</v>
      </c>
      <c r="R25" s="26">
        <f>FREQUENCY(B8:K12,P25:P26)</f>
        <v>12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27.12</v>
      </c>
      <c r="P26" s="42">
        <f>ROUNDUP(SUM(P25+I20),4)</f>
        <v>27.48</v>
      </c>
      <c r="Q26" s="26">
        <v>0</v>
      </c>
      <c r="R26" s="26">
        <f>FREQUENCY(B8:K12,P26:P27)</f>
        <v>32</v>
      </c>
    </row>
    <row r="27" spans="1:21" s="2" customFormat="1" ht="17.100000000000001" customHeight="1">
      <c r="A27" s="45" t="s">
        <v>70</v>
      </c>
      <c r="B27" s="27">
        <f>ROUNDUP(AVERAGE(B8:K12),4)</f>
        <v>27.37</v>
      </c>
      <c r="C27" s="27">
        <f>ROUNDUP(AVERAGE(B8:K12),4)</f>
        <v>27.37</v>
      </c>
      <c r="D27" s="27">
        <f>ROUNDUP(AVERAGE(B8:K12),4)</f>
        <v>27.37</v>
      </c>
      <c r="E27" s="50">
        <f>ROUNDUP(AVERAGE(B8:K12),4)</f>
        <v>27.37</v>
      </c>
      <c r="F27" s="50">
        <f>ROUNDUP(AVERAGE(B8:K12),4)</f>
        <v>27.37</v>
      </c>
      <c r="G27" s="50">
        <f>ROUNDUP(AVERAGE(B8:K12),4)</f>
        <v>27.37</v>
      </c>
      <c r="H27" s="27">
        <f>ROUNDUP(AVERAGE(B8:K12),4)</f>
        <v>27.37</v>
      </c>
      <c r="I27" s="27">
        <f>ROUNDUP(AVERAGE(B8:K12),4)</f>
        <v>27.37</v>
      </c>
      <c r="J27" s="27">
        <f>ROUNDUP(AVERAGE(B8:K12),4)</f>
        <v>27.37</v>
      </c>
      <c r="K27" s="27">
        <f>ROUNDUP(AVERAGE(B8:K12),4)</f>
        <v>27.37</v>
      </c>
      <c r="M27" s="49"/>
      <c r="N27" s="49"/>
      <c r="O27" s="42">
        <f>ROUNDUP(SUM(P25+I20),4)</f>
        <v>27.48</v>
      </c>
      <c r="P27" s="42">
        <f>ROUNDUP(SUM(P26+I20),4)</f>
        <v>27.84</v>
      </c>
      <c r="Q27" s="6">
        <f t="shared" si="4"/>
        <v>14</v>
      </c>
      <c r="R27" s="26">
        <f>FREQUENCY(B8:K12,P27:P28)</f>
        <v>46</v>
      </c>
    </row>
    <row r="28" spans="1:21" ht="17.100000000000001" customHeight="1">
      <c r="A28" s="45" t="s">
        <v>71</v>
      </c>
      <c r="B28" s="27">
        <f>AVERAGE(B17:K17)</f>
        <v>0.8100000000000005</v>
      </c>
      <c r="C28" s="27">
        <f>AVERAGE(B17:K17)</f>
        <v>0.8100000000000005</v>
      </c>
      <c r="D28" s="27">
        <f>AVERAGE(B17:K17)</f>
        <v>0.8100000000000005</v>
      </c>
      <c r="E28" s="27">
        <f>AVERAGE(B17:K17)</f>
        <v>0.8100000000000005</v>
      </c>
      <c r="F28" s="27">
        <f>AVERAGE(B17:K17)</f>
        <v>0.8100000000000005</v>
      </c>
      <c r="G28" s="27">
        <f>AVERAGE(B17:K17)</f>
        <v>0.8100000000000005</v>
      </c>
      <c r="H28" s="27">
        <f>AVERAGE(B17:K17)</f>
        <v>0.8100000000000005</v>
      </c>
      <c r="I28" s="27">
        <f>AVERAGE(B17:K17)</f>
        <v>0.8100000000000005</v>
      </c>
      <c r="J28" s="27">
        <f>AVERAGE(B17:K17)</f>
        <v>0.8100000000000005</v>
      </c>
      <c r="K28" s="27">
        <f>AVERAGE(B17:K17)</f>
        <v>0.8100000000000005</v>
      </c>
      <c r="M28" s="49"/>
      <c r="N28" s="49"/>
      <c r="O28" s="42">
        <f>ROUNDUP(SUM(P26+I20),4)</f>
        <v>27.84</v>
      </c>
      <c r="P28" s="42">
        <f>ROUNDUP(SUM(P27+I20),4)</f>
        <v>28.2</v>
      </c>
      <c r="Q28" s="6">
        <f t="shared" si="4"/>
        <v>3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28.2</v>
      </c>
      <c r="P29" s="42">
        <f>ROUNDUP(SUM(P28+I20),4)</f>
        <v>28.56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28.56</v>
      </c>
      <c r="P30" s="42">
        <f>ROUNDUP(SUM(P29+I20),4)</f>
        <v>28.92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149" t="s">
        <v>72</v>
      </c>
      <c r="K31" s="143"/>
      <c r="L31" s="144"/>
      <c r="M31" s="53" t="s">
        <v>73</v>
      </c>
      <c r="N31" s="47"/>
      <c r="O31" s="42">
        <f>ROUNDUP(SUM(P29+I20),4)</f>
        <v>28.92</v>
      </c>
      <c r="P31" s="42">
        <f>ROUNDUP(SUM(P30+I20),4)</f>
        <v>29.28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149">
        <v>1</v>
      </c>
      <c r="K32" s="143"/>
      <c r="L32" s="144"/>
      <c r="M32" s="53">
        <v>0</v>
      </c>
      <c r="N32" s="49"/>
      <c r="O32" s="97" t="s">
        <v>74</v>
      </c>
      <c r="P32" s="150"/>
      <c r="Q32" s="151">
        <f>(M18+(Q12*M17))</f>
        <v>27.847900000000003</v>
      </c>
      <c r="R32" s="152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149">
        <v>0.1</v>
      </c>
      <c r="K33" s="143"/>
      <c r="L33" s="144"/>
      <c r="M33" s="53">
        <v>1</v>
      </c>
      <c r="N33" s="49"/>
      <c r="O33" s="153" t="s">
        <v>75</v>
      </c>
      <c r="P33" s="150"/>
      <c r="Q33" s="154">
        <f>(M18-(Q12*M17))</f>
        <v>26.892099999999999</v>
      </c>
      <c r="R33" s="152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149">
        <v>0.01</v>
      </c>
      <c r="K34" s="143"/>
      <c r="L34" s="144"/>
      <c r="M34" s="53">
        <v>2</v>
      </c>
      <c r="N34" s="49"/>
      <c r="O34" s="97" t="s">
        <v>76</v>
      </c>
      <c r="P34" s="150"/>
      <c r="Q34" s="155">
        <f>M17*R12</f>
        <v>1.709100000000001</v>
      </c>
      <c r="R34" s="152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149">
        <v>1E-3</v>
      </c>
      <c r="K35" s="143"/>
      <c r="L35" s="144"/>
      <c r="M35" s="56">
        <v>3</v>
      </c>
      <c r="N35" s="49"/>
      <c r="O35" s="97" t="s">
        <v>77</v>
      </c>
      <c r="P35" s="150"/>
      <c r="Q35" s="156">
        <f>M17*0</f>
        <v>0</v>
      </c>
      <c r="R35" s="111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167">
        <v>1E-4</v>
      </c>
      <c r="K36" s="167"/>
      <c r="L36" s="167"/>
      <c r="M36" s="56">
        <v>4</v>
      </c>
      <c r="N36" s="59"/>
      <c r="O36" s="168" t="s">
        <v>78</v>
      </c>
      <c r="P36" s="169"/>
      <c r="Q36" s="170">
        <f>STDEV(B8:K12)</f>
        <v>0.34241042326305404</v>
      </c>
      <c r="R36" s="111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171" t="s">
        <v>95</v>
      </c>
      <c r="P37" s="172"/>
      <c r="Q37" s="170">
        <f>ROUNDUP(SUM(I19/(6*Q36)),4)</f>
        <v>2.0444</v>
      </c>
      <c r="R37" s="152"/>
    </row>
    <row r="38" spans="1:18" ht="15.75" customHeight="1">
      <c r="A38" s="157" t="s">
        <v>79</v>
      </c>
      <c r="B38" s="157"/>
      <c r="C38" s="158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60"/>
      <c r="O38" s="171" t="s">
        <v>94</v>
      </c>
      <c r="P38" s="172"/>
      <c r="Q38" s="170">
        <f>ROUNDUP(SUM((1-N19)*Q37),4)</f>
        <v>1.9762</v>
      </c>
      <c r="R38" s="152"/>
    </row>
    <row r="39" spans="1:18" ht="15.75" customHeight="1">
      <c r="A39" s="157"/>
      <c r="B39" s="157"/>
      <c r="C39" s="161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3"/>
      <c r="O39" s="191" t="s">
        <v>80</v>
      </c>
      <c r="P39" s="192"/>
      <c r="Q39" s="193"/>
      <c r="R39" s="194"/>
    </row>
    <row r="40" spans="1:18" ht="15.75" customHeight="1">
      <c r="A40" s="157"/>
      <c r="B40" s="157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91" t="s">
        <v>93</v>
      </c>
      <c r="P40" s="192"/>
      <c r="Q40" s="193"/>
      <c r="R40" s="194"/>
    </row>
    <row r="41" spans="1:18">
      <c r="M41" s="63"/>
      <c r="P41" s="64"/>
    </row>
  </sheetData>
  <mergeCells count="75"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  <mergeCell ref="J34:L34"/>
    <mergeCell ref="O34:P34"/>
    <mergeCell ref="Q34:R34"/>
    <mergeCell ref="J35:L35"/>
    <mergeCell ref="O35:P35"/>
    <mergeCell ref="Q35:R35"/>
    <mergeCell ref="J31:L31"/>
    <mergeCell ref="J32:L32"/>
    <mergeCell ref="O32:P32"/>
    <mergeCell ref="Q32:R32"/>
    <mergeCell ref="J33:L33"/>
    <mergeCell ref="O33:P33"/>
    <mergeCell ref="Q33:R33"/>
    <mergeCell ref="A20:C20"/>
    <mergeCell ref="D20:E20"/>
    <mergeCell ref="F20:H20"/>
    <mergeCell ref="I20:J20"/>
    <mergeCell ref="K20:M20"/>
    <mergeCell ref="A21:C21"/>
    <mergeCell ref="D21:E21"/>
    <mergeCell ref="F21:H21"/>
    <mergeCell ref="I21:J21"/>
    <mergeCell ref="K21:M21"/>
    <mergeCell ref="N18:P18"/>
    <mergeCell ref="A19:C19"/>
    <mergeCell ref="D19:E19"/>
    <mergeCell ref="F19:H19"/>
    <mergeCell ref="I19:J19"/>
    <mergeCell ref="K19:M19"/>
    <mergeCell ref="O19:P19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19" zoomScaleSheetLayoutView="100" workbookViewId="0">
      <selection activeCell="O39" sqref="O39:R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1" style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32" s="2" customFormat="1" ht="35.1" customHeigh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1:32" s="4" customFormat="1" ht="15" customHeight="1">
      <c r="A3" s="80" t="s">
        <v>2</v>
      </c>
      <c r="B3" s="81"/>
      <c r="C3" s="177" t="s">
        <v>90</v>
      </c>
      <c r="D3" s="178"/>
      <c r="E3" s="179"/>
      <c r="F3" s="80" t="s">
        <v>3</v>
      </c>
      <c r="G3" s="180"/>
      <c r="H3" s="177" t="s">
        <v>91</v>
      </c>
      <c r="I3" s="178"/>
      <c r="J3" s="179"/>
      <c r="K3" s="181" t="s">
        <v>5</v>
      </c>
      <c r="L3" s="81"/>
      <c r="M3" s="3" t="s">
        <v>96</v>
      </c>
      <c r="N3" s="89"/>
      <c r="O3" s="91"/>
      <c r="P3" s="92"/>
      <c r="Q3" s="92"/>
      <c r="R3" s="93"/>
    </row>
    <row r="4" spans="1:32" s="4" customFormat="1" ht="15" customHeight="1">
      <c r="A4" s="97" t="s">
        <v>7</v>
      </c>
      <c r="B4" s="98"/>
      <c r="C4" s="173" t="s">
        <v>8</v>
      </c>
      <c r="D4" s="174"/>
      <c r="E4" s="175"/>
      <c r="F4" s="97" t="s">
        <v>9</v>
      </c>
      <c r="G4" s="182"/>
      <c r="H4" s="173" t="s">
        <v>92</v>
      </c>
      <c r="I4" s="174"/>
      <c r="J4" s="175"/>
      <c r="K4" s="142" t="s">
        <v>11</v>
      </c>
      <c r="L4" s="98"/>
      <c r="M4" s="5"/>
      <c r="N4" s="90"/>
      <c r="O4" s="94"/>
      <c r="P4" s="95"/>
      <c r="Q4" s="95"/>
      <c r="R4" s="96"/>
    </row>
    <row r="5" spans="1:32" s="4" customFormat="1" ht="15" customHeight="1">
      <c r="A5" s="97" t="s">
        <v>13</v>
      </c>
      <c r="B5" s="98"/>
      <c r="C5" s="156" t="s">
        <v>14</v>
      </c>
      <c r="D5" s="189"/>
      <c r="E5" s="190"/>
      <c r="F5" s="97" t="s">
        <v>15</v>
      </c>
      <c r="G5" s="182"/>
      <c r="H5" s="173" t="s">
        <v>16</v>
      </c>
      <c r="I5" s="174"/>
      <c r="J5" s="175"/>
      <c r="K5" s="97" t="s">
        <v>17</v>
      </c>
      <c r="L5" s="176"/>
      <c r="M5" s="5">
        <v>1</v>
      </c>
      <c r="N5" s="6"/>
      <c r="O5" s="104"/>
      <c r="P5" s="105"/>
      <c r="Q5" s="6" t="s">
        <v>18</v>
      </c>
      <c r="R5" s="7" t="s">
        <v>98</v>
      </c>
    </row>
    <row r="6" spans="1:32" s="4" customFormat="1" ht="15" customHeight="1">
      <c r="A6" s="106" t="s">
        <v>19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109" t="s">
        <v>20</v>
      </c>
      <c r="N6" s="110"/>
      <c r="O6" s="110"/>
      <c r="P6" s="110"/>
      <c r="Q6" s="111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83">
        <v>400</v>
      </c>
      <c r="N7" s="184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253</v>
      </c>
      <c r="C8" s="12">
        <v>247</v>
      </c>
      <c r="D8" s="12">
        <v>265</v>
      </c>
      <c r="E8" s="12">
        <v>239</v>
      </c>
      <c r="F8" s="12">
        <v>245</v>
      </c>
      <c r="G8" s="12">
        <v>238</v>
      </c>
      <c r="H8" s="12">
        <v>241</v>
      </c>
      <c r="I8" s="12">
        <v>259</v>
      </c>
      <c r="J8" s="12">
        <v>274</v>
      </c>
      <c r="K8" s="12">
        <v>247</v>
      </c>
      <c r="L8" s="113"/>
      <c r="M8" s="185"/>
      <c r="N8" s="186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248</v>
      </c>
      <c r="C9" s="12">
        <v>256</v>
      </c>
      <c r="D9" s="12">
        <v>241</v>
      </c>
      <c r="E9" s="12">
        <v>258</v>
      </c>
      <c r="F9" s="12">
        <v>246</v>
      </c>
      <c r="G9" s="12">
        <v>241</v>
      </c>
      <c r="H9" s="12">
        <v>284</v>
      </c>
      <c r="I9" s="12">
        <v>241</v>
      </c>
      <c r="J9" s="12">
        <v>257</v>
      </c>
      <c r="K9" s="12">
        <v>222</v>
      </c>
      <c r="L9" s="114"/>
      <c r="M9" s="187"/>
      <c r="N9" s="188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268</v>
      </c>
      <c r="C10" s="12">
        <v>251</v>
      </c>
      <c r="D10" s="12">
        <v>254</v>
      </c>
      <c r="E10" s="12">
        <v>284</v>
      </c>
      <c r="F10" s="12">
        <v>236</v>
      </c>
      <c r="G10" s="12">
        <v>258</v>
      </c>
      <c r="H10" s="12">
        <v>241</v>
      </c>
      <c r="I10" s="12">
        <v>257</v>
      </c>
      <c r="J10" s="12">
        <v>256</v>
      </c>
      <c r="K10" s="12">
        <v>262</v>
      </c>
      <c r="L10" s="112" t="s">
        <v>83</v>
      </c>
      <c r="M10" s="183">
        <v>100</v>
      </c>
      <c r="N10" s="184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274</v>
      </c>
      <c r="C11" s="12">
        <v>254</v>
      </c>
      <c r="D11" s="12">
        <v>263</v>
      </c>
      <c r="E11" s="12">
        <v>251</v>
      </c>
      <c r="F11" s="12">
        <v>258</v>
      </c>
      <c r="G11" s="12">
        <v>252</v>
      </c>
      <c r="H11" s="12">
        <v>247</v>
      </c>
      <c r="I11" s="12">
        <v>239</v>
      </c>
      <c r="J11" s="12">
        <v>227</v>
      </c>
      <c r="K11" s="12">
        <v>271</v>
      </c>
      <c r="L11" s="121"/>
      <c r="M11" s="185"/>
      <c r="N11" s="186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247</v>
      </c>
      <c r="C12" s="12">
        <v>259</v>
      </c>
      <c r="D12" s="12">
        <v>244</v>
      </c>
      <c r="E12" s="12">
        <v>287</v>
      </c>
      <c r="F12" s="12">
        <v>266</v>
      </c>
      <c r="G12" s="12">
        <v>235</v>
      </c>
      <c r="H12" s="12">
        <v>241</v>
      </c>
      <c r="I12" s="12">
        <v>288</v>
      </c>
      <c r="J12" s="12">
        <v>247</v>
      </c>
      <c r="K12" s="12">
        <v>264</v>
      </c>
      <c r="L12" s="122"/>
      <c r="M12" s="187"/>
      <c r="N12" s="188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6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274</v>
      </c>
      <c r="C15" s="25">
        <f t="shared" si="0"/>
        <v>259</v>
      </c>
      <c r="D15" s="25">
        <f t="shared" si="0"/>
        <v>265</v>
      </c>
      <c r="E15" s="25">
        <f t="shared" si="0"/>
        <v>287</v>
      </c>
      <c r="F15" s="25">
        <f t="shared" si="0"/>
        <v>266</v>
      </c>
      <c r="G15" s="25">
        <f t="shared" si="0"/>
        <v>258</v>
      </c>
      <c r="H15" s="25">
        <f t="shared" si="0"/>
        <v>284</v>
      </c>
      <c r="I15" s="25">
        <f>MAX(I8:I12)</f>
        <v>288</v>
      </c>
      <c r="J15" s="25">
        <f t="shared" si="0"/>
        <v>274</v>
      </c>
      <c r="K15" s="26">
        <f t="shared" si="0"/>
        <v>271</v>
      </c>
      <c r="L15" s="6" t="s">
        <v>44</v>
      </c>
      <c r="M15" s="27">
        <f>(MAX(B15:K15))</f>
        <v>288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247</v>
      </c>
      <c r="C16" s="25">
        <f>MIN(C8:C12)</f>
        <v>247</v>
      </c>
      <c r="D16" s="26">
        <f t="shared" si="1"/>
        <v>241</v>
      </c>
      <c r="E16" s="26">
        <f t="shared" si="1"/>
        <v>239</v>
      </c>
      <c r="F16" s="26">
        <f t="shared" si="1"/>
        <v>236</v>
      </c>
      <c r="G16" s="26">
        <f>MIN(G8:G12)</f>
        <v>235</v>
      </c>
      <c r="H16" s="26">
        <f t="shared" si="1"/>
        <v>241</v>
      </c>
      <c r="I16" s="25">
        <f>MIN(I8:I12)</f>
        <v>239</v>
      </c>
      <c r="J16" s="26">
        <f t="shared" si="1"/>
        <v>227</v>
      </c>
      <c r="K16" s="26">
        <f>MIN(K8:K12)</f>
        <v>222</v>
      </c>
      <c r="L16" s="6" t="s">
        <v>48</v>
      </c>
      <c r="M16" s="27">
        <f>MIN(B16:K16)</f>
        <v>222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27</v>
      </c>
      <c r="C17" s="30">
        <f t="shared" si="2"/>
        <v>12</v>
      </c>
      <c r="D17" s="30">
        <f t="shared" si="2"/>
        <v>24</v>
      </c>
      <c r="E17" s="30">
        <f t="shared" si="2"/>
        <v>48</v>
      </c>
      <c r="F17" s="30">
        <f t="shared" si="2"/>
        <v>30</v>
      </c>
      <c r="G17" s="30">
        <f>SUM(MAX(G8:G12)-MIN(G8:G12))</f>
        <v>23</v>
      </c>
      <c r="H17" s="30">
        <f t="shared" si="2"/>
        <v>43</v>
      </c>
      <c r="I17" s="30">
        <f t="shared" si="2"/>
        <v>49</v>
      </c>
      <c r="J17" s="30">
        <f t="shared" si="2"/>
        <v>47</v>
      </c>
      <c r="K17" s="26">
        <f t="shared" si="2"/>
        <v>49</v>
      </c>
      <c r="L17" s="31" t="s">
        <v>50</v>
      </c>
      <c r="M17" s="32">
        <f>AVERAGE(B17:K17)</f>
        <v>35.200000000000003</v>
      </c>
      <c r="N17" s="102" t="s">
        <v>51</v>
      </c>
      <c r="O17" s="103"/>
      <c r="P17" s="103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258</v>
      </c>
      <c r="C18" s="26">
        <f t="shared" ref="C18:K18" si="3">AVERAGE(C8:C12)</f>
        <v>253.4</v>
      </c>
      <c r="D18" s="26">
        <f t="shared" si="3"/>
        <v>253.4</v>
      </c>
      <c r="E18" s="26">
        <f t="shared" si="3"/>
        <v>263.8</v>
      </c>
      <c r="F18" s="26">
        <f t="shared" si="3"/>
        <v>250.2</v>
      </c>
      <c r="G18" s="26">
        <f>AVERAGE(G8:G12)</f>
        <v>244.8</v>
      </c>
      <c r="H18" s="26">
        <f t="shared" si="3"/>
        <v>250.8</v>
      </c>
      <c r="I18" s="26">
        <f t="shared" si="3"/>
        <v>256.8</v>
      </c>
      <c r="J18" s="26">
        <f t="shared" si="3"/>
        <v>252.2</v>
      </c>
      <c r="K18" s="26">
        <f t="shared" si="3"/>
        <v>253.2</v>
      </c>
      <c r="L18" s="31" t="s">
        <v>53</v>
      </c>
      <c r="M18" s="36">
        <f>ROUNDUP(AVERAGE(B8:K12),4)</f>
        <v>253.66</v>
      </c>
      <c r="N18" s="102" t="s">
        <v>54</v>
      </c>
      <c r="O18" s="141"/>
      <c r="P18" s="14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7" t="s">
        <v>55</v>
      </c>
      <c r="B19" s="142"/>
      <c r="C19" s="142"/>
      <c r="D19" s="143">
        <f>ROUNDUP(SUM(M15-M16),4)</f>
        <v>66</v>
      </c>
      <c r="E19" s="144"/>
      <c r="F19" s="97" t="s">
        <v>56</v>
      </c>
      <c r="G19" s="142"/>
      <c r="H19" s="142"/>
      <c r="I19" s="143">
        <f>ROUNDUP(ABS(SUM(M7-M10)),4)</f>
        <v>300</v>
      </c>
      <c r="J19" s="144"/>
      <c r="K19" s="97" t="s">
        <v>57</v>
      </c>
      <c r="L19" s="142"/>
      <c r="M19" s="142"/>
      <c r="N19" s="39">
        <f>ROUNDUP(SUM((2*(N21))/I19),4)</f>
        <v>2.4400000000000002E-2</v>
      </c>
      <c r="O19" s="145" t="s">
        <v>58</v>
      </c>
      <c r="P19" s="146"/>
      <c r="Q19" s="40" t="s">
        <v>59</v>
      </c>
      <c r="R19" s="40" t="s">
        <v>60</v>
      </c>
    </row>
    <row r="20" spans="1:21" s="4" customFormat="1" ht="15" customHeight="1">
      <c r="A20" s="97" t="s">
        <v>61</v>
      </c>
      <c r="B20" s="142"/>
      <c r="C20" s="142"/>
      <c r="D20" s="143">
        <f>ROUNDUP(AVERAGE(M7:M10),4)</f>
        <v>250</v>
      </c>
      <c r="E20" s="144"/>
      <c r="F20" s="97" t="s">
        <v>62</v>
      </c>
      <c r="G20" s="142"/>
      <c r="H20" s="142"/>
      <c r="I20" s="147">
        <f>ROUNDUP(SUM(D19/N20),4)</f>
        <v>13.2</v>
      </c>
      <c r="J20" s="148"/>
      <c r="K20" s="97" t="s">
        <v>63</v>
      </c>
      <c r="L20" s="142"/>
      <c r="M20" s="142"/>
      <c r="N20" s="41" t="str">
        <f>IF(I21/10&lt;=5,"5",IF(I21/10&lt;=6,"6",IF(I21/10&lt;=7,"7","8")))</f>
        <v>5</v>
      </c>
      <c r="O20" s="42">
        <f>ROUNDUP(SUM(P20-I20),4)</f>
        <v>169.1</v>
      </c>
      <c r="P20" s="42">
        <f>ROUNDUP(SUM(P21-I20),4)</f>
        <v>182.3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7" t="s">
        <v>64</v>
      </c>
      <c r="B21" s="142"/>
      <c r="C21" s="142"/>
      <c r="D21" s="143">
        <f>ROUNDUP(SUM(M16-(IF(M5=M32,J32,IF(M5=M33,J33,IF(M5=M34,J34,IF(M5=M35,J35,IF(M5=M36,J36))))))),4)</f>
        <v>221.9</v>
      </c>
      <c r="E21" s="144"/>
      <c r="F21" s="97" t="s">
        <v>65</v>
      </c>
      <c r="G21" s="142"/>
      <c r="H21" s="142"/>
      <c r="I21" s="143">
        <f>COUNTIF((B8:K12),"&gt;0")</f>
        <v>50</v>
      </c>
      <c r="J21" s="143"/>
      <c r="K21" s="97" t="s">
        <v>66</v>
      </c>
      <c r="L21" s="142"/>
      <c r="M21" s="142"/>
      <c r="N21" s="68">
        <f>(ABS(SUM(M18-D20)))</f>
        <v>3.6599999999999966</v>
      </c>
      <c r="O21" s="42">
        <f>ROUNDUP(SUM(P21-I20),4)</f>
        <v>182.3</v>
      </c>
      <c r="P21" s="42">
        <f>ROUNDUP(SUM(P22-I20),4)</f>
        <v>195.5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195.5</v>
      </c>
      <c r="P22" s="42">
        <f>ROUNDUP(SUM(P23-I20),4)</f>
        <v>208.7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274.428</v>
      </c>
      <c r="C23" s="6">
        <f>Q32</f>
        <v>274.428</v>
      </c>
      <c r="D23" s="6">
        <f>Q32</f>
        <v>274.428</v>
      </c>
      <c r="E23" s="6">
        <f>Q32</f>
        <v>274.428</v>
      </c>
      <c r="F23" s="46">
        <f>Q32</f>
        <v>274.428</v>
      </c>
      <c r="G23" s="46">
        <f>Q32</f>
        <v>274.428</v>
      </c>
      <c r="H23" s="46">
        <f>Q32</f>
        <v>274.428</v>
      </c>
      <c r="I23" s="6">
        <f>Q32</f>
        <v>274.428</v>
      </c>
      <c r="J23" s="6">
        <f>Q32</f>
        <v>274.428</v>
      </c>
      <c r="K23" s="27">
        <f>Q32</f>
        <v>274.428</v>
      </c>
      <c r="M23" s="47"/>
      <c r="N23" s="47"/>
      <c r="O23" s="42">
        <f>ROUNDUP(SUM(P23-I20),4)</f>
        <v>208.7</v>
      </c>
      <c r="P23" s="42">
        <f>ROUNDUP((D21),4)</f>
        <v>221.9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232.892</v>
      </c>
      <c r="C24" s="27">
        <f>Q33</f>
        <v>232.892</v>
      </c>
      <c r="D24" s="27">
        <f>Q33</f>
        <v>232.892</v>
      </c>
      <c r="E24" s="27">
        <f>Q33</f>
        <v>232.892</v>
      </c>
      <c r="F24" s="27">
        <f>Q33</f>
        <v>232.892</v>
      </c>
      <c r="G24" s="27">
        <f>Q33</f>
        <v>232.892</v>
      </c>
      <c r="H24" s="27">
        <f>Q33</f>
        <v>232.892</v>
      </c>
      <c r="I24" s="27">
        <f>Q33</f>
        <v>232.892</v>
      </c>
      <c r="J24" s="27">
        <f>Q33</f>
        <v>232.892</v>
      </c>
      <c r="K24" s="27">
        <f>Q33</f>
        <v>232.892</v>
      </c>
      <c r="M24" s="49"/>
      <c r="N24" s="49"/>
      <c r="O24" s="42">
        <f>ROUNDUP((D21),4)</f>
        <v>221.9</v>
      </c>
      <c r="P24" s="42">
        <f>ROUNDUP(SUM(P23+I20),4)</f>
        <v>235.1</v>
      </c>
      <c r="Q24" s="26">
        <f t="shared" si="4"/>
        <v>3</v>
      </c>
      <c r="R24" s="26">
        <f>FREQUENCY(B8:K12,P24:P25)</f>
        <v>3</v>
      </c>
    </row>
    <row r="25" spans="1:21" s="2" customFormat="1" ht="17.100000000000001" customHeight="1">
      <c r="A25" s="45" t="s">
        <v>69</v>
      </c>
      <c r="B25" s="27">
        <f>Q34</f>
        <v>74.272000000000006</v>
      </c>
      <c r="C25" s="27">
        <f>Q34</f>
        <v>74.272000000000006</v>
      </c>
      <c r="D25" s="27">
        <f>Q34</f>
        <v>74.272000000000006</v>
      </c>
      <c r="E25" s="50">
        <f>Q34</f>
        <v>74.272000000000006</v>
      </c>
      <c r="F25" s="50">
        <f>Q34</f>
        <v>74.272000000000006</v>
      </c>
      <c r="G25" s="50">
        <f>Q34</f>
        <v>74.272000000000006</v>
      </c>
      <c r="H25" s="27">
        <f>Q34</f>
        <v>74.272000000000006</v>
      </c>
      <c r="I25" s="27">
        <f>Q34</f>
        <v>74.272000000000006</v>
      </c>
      <c r="J25" s="27">
        <f>Q34</f>
        <v>74.272000000000006</v>
      </c>
      <c r="K25" s="27">
        <f>Q34</f>
        <v>74.272000000000006</v>
      </c>
      <c r="M25" s="49"/>
      <c r="N25" s="49"/>
      <c r="O25" s="42">
        <f>ROUNDUP(SUM(P23+I20),4)</f>
        <v>235.1</v>
      </c>
      <c r="P25" s="42">
        <f>ROUNDUP(SUM(P24+I20),4)</f>
        <v>248.3</v>
      </c>
      <c r="Q25" s="26">
        <f t="shared" si="4"/>
        <v>19</v>
      </c>
      <c r="R25" s="26">
        <f>FREQUENCY(B8:K12,P25:P26)</f>
        <v>22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248.3</v>
      </c>
      <c r="P26" s="42">
        <f>ROUNDUP(SUM(P25+I20),4)</f>
        <v>261.5</v>
      </c>
      <c r="Q26" s="26">
        <v>0</v>
      </c>
      <c r="R26" s="26">
        <f>FREQUENCY(B8:K12,P26:P27)</f>
        <v>37</v>
      </c>
      <c r="T26" s="51"/>
    </row>
    <row r="27" spans="1:21" s="2" customFormat="1" ht="17.100000000000001" customHeight="1">
      <c r="A27" s="45" t="s">
        <v>70</v>
      </c>
      <c r="B27" s="27">
        <f>ROUNDUP(AVERAGE(B8:K12),4)</f>
        <v>253.66</v>
      </c>
      <c r="C27" s="27">
        <f>ROUNDUP(AVERAGE(B8:K12),4)</f>
        <v>253.66</v>
      </c>
      <c r="D27" s="27">
        <f>ROUNDUP(AVERAGE(B8:K12),4)</f>
        <v>253.66</v>
      </c>
      <c r="E27" s="50">
        <f>ROUNDUP(AVERAGE(B8:K12),4)</f>
        <v>253.66</v>
      </c>
      <c r="F27" s="50">
        <f>ROUNDUP(AVERAGE(B8:K12),4)</f>
        <v>253.66</v>
      </c>
      <c r="G27" s="50">
        <f>ROUNDUP(AVERAGE(B8:K12),4)</f>
        <v>253.66</v>
      </c>
      <c r="H27" s="27">
        <f>ROUNDUP(AVERAGE(B8:K12),4)</f>
        <v>253.66</v>
      </c>
      <c r="I27" s="27">
        <f>ROUNDUP(AVERAGE(B8:K12),4)</f>
        <v>253.66</v>
      </c>
      <c r="J27" s="27">
        <f>ROUNDUP(AVERAGE(B8:K12),4)</f>
        <v>253.66</v>
      </c>
      <c r="K27" s="27">
        <f>ROUNDUP(AVERAGE(B8:K12),4)</f>
        <v>253.66</v>
      </c>
      <c r="M27" s="49"/>
      <c r="N27" s="49"/>
      <c r="O27" s="42">
        <f>ROUNDUP(SUM(P25+I20),4)</f>
        <v>261.5</v>
      </c>
      <c r="P27" s="42">
        <f>ROUNDUP(SUM(P26+I20),4)</f>
        <v>274.7</v>
      </c>
      <c r="Q27" s="6">
        <f t="shared" si="4"/>
        <v>9</v>
      </c>
      <c r="R27" s="26">
        <f>FREQUENCY(B8:K12,P27:P28)</f>
        <v>46</v>
      </c>
    </row>
    <row r="28" spans="1:21" ht="17.100000000000001" customHeight="1">
      <c r="A28" s="45" t="s">
        <v>71</v>
      </c>
      <c r="B28" s="27">
        <f>AVERAGE(B17:K17)</f>
        <v>35.200000000000003</v>
      </c>
      <c r="C28" s="27">
        <f>AVERAGE(B17:K17)</f>
        <v>35.200000000000003</v>
      </c>
      <c r="D28" s="27">
        <f>AVERAGE(B17:K17)</f>
        <v>35.200000000000003</v>
      </c>
      <c r="E28" s="27">
        <f>AVERAGE(B17:K17)</f>
        <v>35.200000000000003</v>
      </c>
      <c r="F28" s="27">
        <f>AVERAGE(B17:K17)</f>
        <v>35.200000000000003</v>
      </c>
      <c r="G28" s="27">
        <f>AVERAGE(B17:K17)</f>
        <v>35.200000000000003</v>
      </c>
      <c r="H28" s="27">
        <f>AVERAGE(B17:K17)</f>
        <v>35.200000000000003</v>
      </c>
      <c r="I28" s="27">
        <f>AVERAGE(B17:K17)</f>
        <v>35.200000000000003</v>
      </c>
      <c r="J28" s="27">
        <f>AVERAGE(B17:K17)</f>
        <v>35.200000000000003</v>
      </c>
      <c r="K28" s="27">
        <f>AVERAGE(B17:K17)</f>
        <v>35.200000000000003</v>
      </c>
      <c r="M28" s="49"/>
      <c r="N28" s="49"/>
      <c r="O28" s="42">
        <f>ROUNDUP(SUM(P26+I20),4)</f>
        <v>274.7</v>
      </c>
      <c r="P28" s="42">
        <f>ROUNDUP(SUM(P27+I20),4)</f>
        <v>287.89999999999998</v>
      </c>
      <c r="Q28" s="6">
        <f t="shared" si="4"/>
        <v>3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287.89999999999998</v>
      </c>
      <c r="P29" s="42">
        <f>ROUNDUP(SUM(P28+I20),4)</f>
        <v>301.10000000000002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301.10000000000002</v>
      </c>
      <c r="P30" s="42">
        <f>ROUNDUP(SUM(P29+I20),4)</f>
        <v>314.3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149" t="s">
        <v>72</v>
      </c>
      <c r="K31" s="143"/>
      <c r="L31" s="144"/>
      <c r="M31" s="53" t="s">
        <v>73</v>
      </c>
      <c r="N31" s="47"/>
      <c r="O31" s="42">
        <f>ROUNDUP(SUM(P29+I20),4)</f>
        <v>314.3</v>
      </c>
      <c r="P31" s="42">
        <f>ROUNDUP(SUM(P30+I20),4)</f>
        <v>327.5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149">
        <v>1</v>
      </c>
      <c r="K32" s="143"/>
      <c r="L32" s="144"/>
      <c r="M32" s="53">
        <v>0</v>
      </c>
      <c r="N32" s="49"/>
      <c r="O32" s="97" t="s">
        <v>74</v>
      </c>
      <c r="P32" s="150"/>
      <c r="Q32" s="151">
        <f>(M18+(Q12*M17))</f>
        <v>274.428</v>
      </c>
      <c r="R32" s="152"/>
      <c r="S32" s="54"/>
    </row>
    <row r="33" spans="1:20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149">
        <v>0.1</v>
      </c>
      <c r="K33" s="143"/>
      <c r="L33" s="144"/>
      <c r="M33" s="53">
        <v>1</v>
      </c>
      <c r="N33" s="49"/>
      <c r="O33" s="153" t="s">
        <v>75</v>
      </c>
      <c r="P33" s="150"/>
      <c r="Q33" s="154">
        <f>(M18-(Q12*M17))</f>
        <v>232.892</v>
      </c>
      <c r="R33" s="152"/>
      <c r="T33" s="55"/>
    </row>
    <row r="34" spans="1:20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149">
        <v>0.01</v>
      </c>
      <c r="K34" s="143"/>
      <c r="L34" s="144"/>
      <c r="M34" s="53">
        <v>2</v>
      </c>
      <c r="N34" s="49"/>
      <c r="O34" s="97" t="s">
        <v>76</v>
      </c>
      <c r="P34" s="150"/>
      <c r="Q34" s="155">
        <f>M17*R12</f>
        <v>74.272000000000006</v>
      </c>
      <c r="R34" s="152"/>
    </row>
    <row r="35" spans="1:20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149">
        <v>1E-3</v>
      </c>
      <c r="K35" s="143"/>
      <c r="L35" s="144"/>
      <c r="M35" s="56">
        <v>3</v>
      </c>
      <c r="N35" s="49"/>
      <c r="O35" s="97" t="s">
        <v>77</v>
      </c>
      <c r="P35" s="150"/>
      <c r="Q35" s="156">
        <f>M17*0</f>
        <v>0</v>
      </c>
      <c r="R35" s="111"/>
    </row>
    <row r="36" spans="1:20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167">
        <v>1E-4</v>
      </c>
      <c r="K36" s="167"/>
      <c r="L36" s="167"/>
      <c r="M36" s="56">
        <v>4</v>
      </c>
      <c r="N36" s="59"/>
      <c r="O36" s="168" t="s">
        <v>78</v>
      </c>
      <c r="P36" s="169"/>
      <c r="Q36" s="170">
        <f>STDEV(B8:K12)</f>
        <v>14.753221716642376</v>
      </c>
      <c r="R36" s="111"/>
    </row>
    <row r="37" spans="1:20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171" t="s">
        <v>95</v>
      </c>
      <c r="P37" s="172"/>
      <c r="Q37" s="170">
        <f>ROUNDUP(SUM(I19/(6*Q36)),4)</f>
        <v>3.3891</v>
      </c>
      <c r="R37" s="152"/>
    </row>
    <row r="38" spans="1:20" ht="15" customHeight="1">
      <c r="A38" s="157" t="s">
        <v>79</v>
      </c>
      <c r="B38" s="157"/>
      <c r="C38" s="158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60"/>
      <c r="O38" s="195" t="s">
        <v>94</v>
      </c>
      <c r="P38" s="172"/>
      <c r="Q38" s="170">
        <f>ROUNDUP(SUM((1-N19)*Q37),4)</f>
        <v>3.3065000000000002</v>
      </c>
      <c r="R38" s="152"/>
    </row>
    <row r="39" spans="1:20" ht="15" customHeight="1">
      <c r="A39" s="157"/>
      <c r="B39" s="157"/>
      <c r="C39" s="161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3"/>
      <c r="O39" s="191" t="s">
        <v>80</v>
      </c>
      <c r="P39" s="192"/>
      <c r="Q39" s="193"/>
      <c r="R39" s="194"/>
    </row>
    <row r="40" spans="1:20" ht="15" customHeight="1">
      <c r="A40" s="157"/>
      <c r="B40" s="157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91" t="s">
        <v>93</v>
      </c>
      <c r="P40" s="192"/>
      <c r="Q40" s="193"/>
      <c r="R40" s="194"/>
    </row>
    <row r="41" spans="1:20" ht="15.75" customHeight="1">
      <c r="M41" s="63"/>
      <c r="P41" s="64"/>
    </row>
  </sheetData>
  <mergeCells count="75">
    <mergeCell ref="O40:P40"/>
    <mergeCell ref="Q40:R40"/>
    <mergeCell ref="C38:N40"/>
    <mergeCell ref="A38:B40"/>
    <mergeCell ref="O38:P38"/>
    <mergeCell ref="Q38:R38"/>
    <mergeCell ref="Q39:R39"/>
    <mergeCell ref="O39:P39"/>
    <mergeCell ref="J34:L34"/>
    <mergeCell ref="O34:P34"/>
    <mergeCell ref="Q34:R34"/>
    <mergeCell ref="J35:L35"/>
    <mergeCell ref="O35:P35"/>
    <mergeCell ref="Q35:R35"/>
    <mergeCell ref="J36:L36"/>
    <mergeCell ref="O36:P36"/>
    <mergeCell ref="Q36:R36"/>
    <mergeCell ref="O37:P37"/>
    <mergeCell ref="Q37:R37"/>
    <mergeCell ref="J31:L31"/>
    <mergeCell ref="J32:L32"/>
    <mergeCell ref="O32:P32"/>
    <mergeCell ref="Q32:R32"/>
    <mergeCell ref="J33:L33"/>
    <mergeCell ref="O33:P33"/>
    <mergeCell ref="Q33:R33"/>
    <mergeCell ref="A20:C20"/>
    <mergeCell ref="D20:E20"/>
    <mergeCell ref="F20:H20"/>
    <mergeCell ref="I20:J20"/>
    <mergeCell ref="K20:M20"/>
    <mergeCell ref="A21:C21"/>
    <mergeCell ref="D21:E21"/>
    <mergeCell ref="F21:H21"/>
    <mergeCell ref="I21:J21"/>
    <mergeCell ref="K21:M21"/>
    <mergeCell ref="N18:P18"/>
    <mergeCell ref="A19:C19"/>
    <mergeCell ref="D19:E19"/>
    <mergeCell ref="F19:H19"/>
    <mergeCell ref="I19:J19"/>
    <mergeCell ref="K19:M19"/>
    <mergeCell ref="O19:P19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31" zoomScale="115" zoomScaleNormal="115" zoomScaleSheetLayoutView="100" workbookViewId="0">
      <selection activeCell="O39" sqref="O39:R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32" s="2" customFormat="1" ht="35.1" customHeigh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1:32" s="4" customFormat="1" ht="15" customHeight="1">
      <c r="A3" s="80" t="s">
        <v>2</v>
      </c>
      <c r="B3" s="81"/>
      <c r="C3" s="177" t="s">
        <v>81</v>
      </c>
      <c r="D3" s="178"/>
      <c r="E3" s="179"/>
      <c r="F3" s="80" t="s">
        <v>3</v>
      </c>
      <c r="G3" s="180"/>
      <c r="H3" s="177" t="s">
        <v>4</v>
      </c>
      <c r="I3" s="178"/>
      <c r="J3" s="179"/>
      <c r="K3" s="181" t="s">
        <v>5</v>
      </c>
      <c r="L3" s="81"/>
      <c r="M3" s="3" t="s">
        <v>6</v>
      </c>
      <c r="N3" s="89"/>
      <c r="O3" s="91"/>
      <c r="P3" s="92"/>
      <c r="Q3" s="92"/>
      <c r="R3" s="93"/>
    </row>
    <row r="4" spans="1:32" s="4" customFormat="1" ht="15" customHeight="1">
      <c r="A4" s="97" t="s">
        <v>7</v>
      </c>
      <c r="B4" s="98"/>
      <c r="C4" s="173" t="s">
        <v>8</v>
      </c>
      <c r="D4" s="174"/>
      <c r="E4" s="175"/>
      <c r="F4" s="97" t="s">
        <v>9</v>
      </c>
      <c r="G4" s="182"/>
      <c r="H4" s="173" t="s">
        <v>10</v>
      </c>
      <c r="I4" s="174"/>
      <c r="J4" s="175"/>
      <c r="K4" s="142" t="s">
        <v>11</v>
      </c>
      <c r="L4" s="98"/>
      <c r="M4" s="5" t="s">
        <v>12</v>
      </c>
      <c r="N4" s="90"/>
      <c r="O4" s="94"/>
      <c r="P4" s="95"/>
      <c r="Q4" s="95"/>
      <c r="R4" s="96"/>
    </row>
    <row r="5" spans="1:32" s="4" customFormat="1" ht="15" customHeight="1">
      <c r="A5" s="97" t="s">
        <v>13</v>
      </c>
      <c r="B5" s="98"/>
      <c r="C5" s="156" t="s">
        <v>14</v>
      </c>
      <c r="D5" s="189"/>
      <c r="E5" s="190"/>
      <c r="F5" s="97" t="s">
        <v>15</v>
      </c>
      <c r="G5" s="182"/>
      <c r="H5" s="173" t="s">
        <v>16</v>
      </c>
      <c r="I5" s="174"/>
      <c r="J5" s="175"/>
      <c r="K5" s="97" t="s">
        <v>17</v>
      </c>
      <c r="L5" s="176"/>
      <c r="M5" s="5">
        <v>1</v>
      </c>
      <c r="N5" s="6"/>
      <c r="O5" s="104"/>
      <c r="P5" s="105"/>
      <c r="Q5" s="6" t="s">
        <v>18</v>
      </c>
      <c r="R5" s="7" t="s">
        <v>99</v>
      </c>
    </row>
    <row r="6" spans="1:32" s="4" customFormat="1" ht="15" customHeight="1">
      <c r="A6" s="106" t="s">
        <v>19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109" t="s">
        <v>20</v>
      </c>
      <c r="N6" s="110"/>
      <c r="O6" s="110"/>
      <c r="P6" s="110"/>
      <c r="Q6" s="111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83">
        <v>2100</v>
      </c>
      <c r="N7" s="184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1934</v>
      </c>
      <c r="C8" s="12">
        <v>1954</v>
      </c>
      <c r="D8" s="12">
        <v>1927</v>
      </c>
      <c r="E8" s="12">
        <v>1939</v>
      </c>
      <c r="F8" s="12">
        <v>1961</v>
      </c>
      <c r="G8" s="12">
        <v>1922</v>
      </c>
      <c r="H8" s="12">
        <v>1922</v>
      </c>
      <c r="I8" s="12">
        <v>1947</v>
      </c>
      <c r="J8" s="12">
        <v>1928</v>
      </c>
      <c r="K8" s="12">
        <v>1927</v>
      </c>
      <c r="L8" s="113"/>
      <c r="M8" s="185"/>
      <c r="N8" s="186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1974</v>
      </c>
      <c r="C9" s="12">
        <v>1947</v>
      </c>
      <c r="D9" s="12">
        <v>1947</v>
      </c>
      <c r="E9" s="12">
        <v>1952</v>
      </c>
      <c r="F9" s="12">
        <v>1945</v>
      </c>
      <c r="G9" s="12">
        <v>1953</v>
      </c>
      <c r="H9" s="12">
        <v>1935</v>
      </c>
      <c r="I9" s="12">
        <v>1895</v>
      </c>
      <c r="J9" s="12">
        <v>1885</v>
      </c>
      <c r="K9" s="12">
        <v>1974</v>
      </c>
      <c r="L9" s="114"/>
      <c r="M9" s="187"/>
      <c r="N9" s="188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1953</v>
      </c>
      <c r="C10" s="12">
        <v>1925</v>
      </c>
      <c r="D10" s="12">
        <v>1959</v>
      </c>
      <c r="E10" s="12">
        <v>1946</v>
      </c>
      <c r="F10" s="12">
        <v>1941</v>
      </c>
      <c r="G10" s="12">
        <v>1950</v>
      </c>
      <c r="H10" s="12">
        <v>1922</v>
      </c>
      <c r="I10" s="12">
        <v>1952</v>
      </c>
      <c r="J10" s="12">
        <v>1952</v>
      </c>
      <c r="K10" s="12">
        <v>1918</v>
      </c>
      <c r="L10" s="112" t="s">
        <v>83</v>
      </c>
      <c r="M10" s="183">
        <v>1800</v>
      </c>
      <c r="N10" s="184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1934</v>
      </c>
      <c r="C11" s="12">
        <v>1941</v>
      </c>
      <c r="D11" s="12">
        <v>1929</v>
      </c>
      <c r="E11" s="12">
        <v>1954</v>
      </c>
      <c r="F11" s="12">
        <v>1926</v>
      </c>
      <c r="G11" s="12">
        <v>1925</v>
      </c>
      <c r="H11" s="12">
        <v>1966</v>
      </c>
      <c r="I11" s="12">
        <v>1921</v>
      </c>
      <c r="J11" s="12">
        <v>1931</v>
      </c>
      <c r="K11" s="12">
        <v>1960</v>
      </c>
      <c r="L11" s="121"/>
      <c r="M11" s="185"/>
      <c r="N11" s="186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1952</v>
      </c>
      <c r="C12" s="12">
        <v>1953</v>
      </c>
      <c r="D12" s="12">
        <v>1953</v>
      </c>
      <c r="E12" s="12">
        <v>1935</v>
      </c>
      <c r="F12" s="12">
        <v>1929</v>
      </c>
      <c r="G12" s="12">
        <v>1941</v>
      </c>
      <c r="H12" s="12">
        <v>1951</v>
      </c>
      <c r="I12" s="12">
        <v>1964</v>
      </c>
      <c r="J12" s="12">
        <v>1952</v>
      </c>
      <c r="K12" s="12">
        <v>1993</v>
      </c>
      <c r="L12" s="122"/>
      <c r="M12" s="187"/>
      <c r="N12" s="188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6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1974</v>
      </c>
      <c r="C15" s="25">
        <f t="shared" si="0"/>
        <v>1954</v>
      </c>
      <c r="D15" s="25">
        <f t="shared" si="0"/>
        <v>1959</v>
      </c>
      <c r="E15" s="25">
        <f t="shared" si="0"/>
        <v>1954</v>
      </c>
      <c r="F15" s="25">
        <f t="shared" si="0"/>
        <v>1961</v>
      </c>
      <c r="G15" s="25">
        <f t="shared" si="0"/>
        <v>1953</v>
      </c>
      <c r="H15" s="25">
        <f t="shared" si="0"/>
        <v>1966</v>
      </c>
      <c r="I15" s="25">
        <f>MAX(I8:I12)</f>
        <v>1964</v>
      </c>
      <c r="J15" s="25">
        <f t="shared" si="0"/>
        <v>1952</v>
      </c>
      <c r="K15" s="26">
        <f t="shared" si="0"/>
        <v>1993</v>
      </c>
      <c r="L15" s="6" t="s">
        <v>44</v>
      </c>
      <c r="M15" s="27">
        <f>(MAX(B15:K15))</f>
        <v>1993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1934</v>
      </c>
      <c r="C16" s="25">
        <f>MIN(C8:C12)</f>
        <v>1925</v>
      </c>
      <c r="D16" s="26">
        <f t="shared" si="1"/>
        <v>1927</v>
      </c>
      <c r="E16" s="26">
        <f t="shared" si="1"/>
        <v>1935</v>
      </c>
      <c r="F16" s="26">
        <f t="shared" si="1"/>
        <v>1926</v>
      </c>
      <c r="G16" s="26">
        <f>MIN(G8:G12)</f>
        <v>1922</v>
      </c>
      <c r="H16" s="26">
        <f t="shared" si="1"/>
        <v>1922</v>
      </c>
      <c r="I16" s="25">
        <f>MIN(I8:I12)</f>
        <v>1895</v>
      </c>
      <c r="J16" s="26">
        <f t="shared" si="1"/>
        <v>1885</v>
      </c>
      <c r="K16" s="26">
        <f>MIN(K8:K12)</f>
        <v>1918</v>
      </c>
      <c r="L16" s="6" t="s">
        <v>48</v>
      </c>
      <c r="M16" s="27">
        <f>MIN(B16:K16)</f>
        <v>1885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40</v>
      </c>
      <c r="C17" s="30">
        <f t="shared" si="2"/>
        <v>29</v>
      </c>
      <c r="D17" s="30">
        <f t="shared" si="2"/>
        <v>32</v>
      </c>
      <c r="E17" s="30">
        <f t="shared" si="2"/>
        <v>19</v>
      </c>
      <c r="F17" s="30">
        <f t="shared" si="2"/>
        <v>35</v>
      </c>
      <c r="G17" s="30">
        <f>SUM(MAX(G8:G12)-MIN(G8:G12))</f>
        <v>31</v>
      </c>
      <c r="H17" s="30">
        <f t="shared" si="2"/>
        <v>44</v>
      </c>
      <c r="I17" s="30">
        <f t="shared" si="2"/>
        <v>69</v>
      </c>
      <c r="J17" s="30">
        <f t="shared" si="2"/>
        <v>67</v>
      </c>
      <c r="K17" s="26">
        <f t="shared" si="2"/>
        <v>75</v>
      </c>
      <c r="L17" s="31" t="s">
        <v>50</v>
      </c>
      <c r="M17" s="32">
        <f>AVERAGE(B17:K17)</f>
        <v>44.1</v>
      </c>
      <c r="N17" s="102" t="s">
        <v>51</v>
      </c>
      <c r="O17" s="103"/>
      <c r="P17" s="103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1949.4</v>
      </c>
      <c r="C18" s="26">
        <f t="shared" ref="C18:K18" si="3">AVERAGE(C8:C12)</f>
        <v>1944</v>
      </c>
      <c r="D18" s="26">
        <f t="shared" si="3"/>
        <v>1943</v>
      </c>
      <c r="E18" s="26">
        <f t="shared" si="3"/>
        <v>1945.2</v>
      </c>
      <c r="F18" s="26">
        <f t="shared" si="3"/>
        <v>1940.4</v>
      </c>
      <c r="G18" s="26">
        <f>AVERAGE(G8:G12)</f>
        <v>1938.2</v>
      </c>
      <c r="H18" s="26">
        <f t="shared" si="3"/>
        <v>1939.2</v>
      </c>
      <c r="I18" s="26">
        <f t="shared" si="3"/>
        <v>1935.8</v>
      </c>
      <c r="J18" s="26">
        <f t="shared" si="3"/>
        <v>1929.6</v>
      </c>
      <c r="K18" s="26">
        <f t="shared" si="3"/>
        <v>1954.4</v>
      </c>
      <c r="L18" s="31" t="s">
        <v>53</v>
      </c>
      <c r="M18" s="36">
        <f>ROUNDUP(AVERAGE(B8:K12),4)</f>
        <v>1941.92</v>
      </c>
      <c r="N18" s="102" t="s">
        <v>54</v>
      </c>
      <c r="O18" s="141"/>
      <c r="P18" s="14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7" t="s">
        <v>55</v>
      </c>
      <c r="B19" s="142"/>
      <c r="C19" s="142"/>
      <c r="D19" s="143">
        <f>ROUNDUP(SUM(M15-M16),4)</f>
        <v>108</v>
      </c>
      <c r="E19" s="144"/>
      <c r="F19" s="97" t="s">
        <v>56</v>
      </c>
      <c r="G19" s="142"/>
      <c r="H19" s="142"/>
      <c r="I19" s="143">
        <f>ROUNDUP(ABS(SUM(M7-M10)),4)</f>
        <v>300</v>
      </c>
      <c r="J19" s="144"/>
      <c r="K19" s="97" t="s">
        <v>57</v>
      </c>
      <c r="L19" s="142"/>
      <c r="M19" s="142"/>
      <c r="N19" s="39">
        <f>ROUNDUP(SUM((2*(N21))/I19),4)</f>
        <v>5.3900000000000003E-2</v>
      </c>
      <c r="O19" s="145" t="s">
        <v>58</v>
      </c>
      <c r="P19" s="146"/>
      <c r="Q19" s="40" t="s">
        <v>59</v>
      </c>
      <c r="R19" s="40" t="s">
        <v>60</v>
      </c>
    </row>
    <row r="20" spans="1:21" s="4" customFormat="1" ht="15" customHeight="1">
      <c r="A20" s="97" t="s">
        <v>61</v>
      </c>
      <c r="B20" s="142"/>
      <c r="C20" s="142"/>
      <c r="D20" s="143">
        <f>ROUNDUP(AVERAGE(M7:M10),4)</f>
        <v>1950</v>
      </c>
      <c r="E20" s="144"/>
      <c r="F20" s="97" t="s">
        <v>62</v>
      </c>
      <c r="G20" s="142"/>
      <c r="H20" s="142"/>
      <c r="I20" s="147">
        <f>ROUNDUP(SUM(D19/N20),4)</f>
        <v>21.6</v>
      </c>
      <c r="J20" s="148"/>
      <c r="K20" s="97" t="s">
        <v>63</v>
      </c>
      <c r="L20" s="142"/>
      <c r="M20" s="142"/>
      <c r="N20" s="41" t="str">
        <f>IF(I21/10&lt;=5,"5",IF(I21/10&lt;=6,"6",IF(I21/10&lt;=7,"7","8")))</f>
        <v>5</v>
      </c>
      <c r="O20" s="42">
        <f>ROUNDUP(SUM(P20-I20),4)</f>
        <v>1798.5</v>
      </c>
      <c r="P20" s="42">
        <f>ROUNDUP(SUM(P21-I20),4)</f>
        <v>1820.1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7" t="s">
        <v>64</v>
      </c>
      <c r="B21" s="142"/>
      <c r="C21" s="142"/>
      <c r="D21" s="143">
        <f>ROUNDUP(SUM(M16-(IF(M5=M32,J32,IF(M5=M33,J33,IF(M5=M34,J34,IF(M5=M35,J35,IF(M5=M36,J36))))))),4)</f>
        <v>1884.9</v>
      </c>
      <c r="E21" s="144"/>
      <c r="F21" s="97" t="s">
        <v>65</v>
      </c>
      <c r="G21" s="142"/>
      <c r="H21" s="142"/>
      <c r="I21" s="143">
        <f>COUNTIF((B8:K12),"&gt;0")</f>
        <v>50</v>
      </c>
      <c r="J21" s="143"/>
      <c r="K21" s="97" t="s">
        <v>66</v>
      </c>
      <c r="L21" s="142"/>
      <c r="M21" s="142"/>
      <c r="N21" s="43">
        <f>(ABS(SUM(M18-D20)))</f>
        <v>8.0799999999999272</v>
      </c>
      <c r="O21" s="42">
        <f>ROUNDUP(SUM(P21-I20),4)</f>
        <v>1820.1</v>
      </c>
      <c r="P21" s="42">
        <f>ROUNDUP(SUM(P22-I20),4)</f>
        <v>1841.7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1841.7</v>
      </c>
      <c r="P22" s="42">
        <f>ROUNDUP(SUM(P23-I20),4)</f>
        <v>1863.3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1967.9390000000001</v>
      </c>
      <c r="C23" s="6">
        <f>Q32</f>
        <v>1967.9390000000001</v>
      </c>
      <c r="D23" s="6">
        <f>Q32</f>
        <v>1967.9390000000001</v>
      </c>
      <c r="E23" s="6">
        <f>Q32</f>
        <v>1967.9390000000001</v>
      </c>
      <c r="F23" s="46">
        <f>Q32</f>
        <v>1967.9390000000001</v>
      </c>
      <c r="G23" s="46">
        <f>Q32</f>
        <v>1967.9390000000001</v>
      </c>
      <c r="H23" s="46">
        <f>Q32</f>
        <v>1967.9390000000001</v>
      </c>
      <c r="I23" s="6">
        <f>Q32</f>
        <v>1967.9390000000001</v>
      </c>
      <c r="J23" s="6">
        <f>Q32</f>
        <v>1967.9390000000001</v>
      </c>
      <c r="K23" s="27">
        <f>Q32</f>
        <v>1967.9390000000001</v>
      </c>
      <c r="M23" s="47"/>
      <c r="N23" s="47"/>
      <c r="O23" s="42">
        <f>ROUNDUP(SUM(P23-I20),4)</f>
        <v>1863.3</v>
      </c>
      <c r="P23" s="42">
        <f>ROUNDUP((D21),4)</f>
        <v>1884.9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1915.9010000000001</v>
      </c>
      <c r="C24" s="27">
        <f>Q33</f>
        <v>1915.9010000000001</v>
      </c>
      <c r="D24" s="27">
        <f>Q33</f>
        <v>1915.9010000000001</v>
      </c>
      <c r="E24" s="27">
        <f>Q33</f>
        <v>1915.9010000000001</v>
      </c>
      <c r="F24" s="27">
        <f>Q33</f>
        <v>1915.9010000000001</v>
      </c>
      <c r="G24" s="27">
        <f>Q33</f>
        <v>1915.9010000000001</v>
      </c>
      <c r="H24" s="27">
        <f>Q33</f>
        <v>1915.9010000000001</v>
      </c>
      <c r="I24" s="27">
        <f>Q33</f>
        <v>1915.9010000000001</v>
      </c>
      <c r="J24" s="27">
        <f>Q33</f>
        <v>1915.9010000000001</v>
      </c>
      <c r="K24" s="27">
        <f>Q33</f>
        <v>1915.9010000000001</v>
      </c>
      <c r="M24" s="49"/>
      <c r="N24" s="49"/>
      <c r="O24" s="42">
        <f>ROUNDUP((D21),4)</f>
        <v>1884.9</v>
      </c>
      <c r="P24" s="42">
        <f>ROUNDUP(SUM(P23+I20),4)</f>
        <v>1906.5</v>
      </c>
      <c r="Q24" s="26">
        <f t="shared" si="4"/>
        <v>2</v>
      </c>
      <c r="R24" s="26">
        <f>FREQUENCY(B8:K12,P24:P25)</f>
        <v>2</v>
      </c>
    </row>
    <row r="25" spans="1:21" s="2" customFormat="1" ht="17.100000000000001" customHeight="1">
      <c r="A25" s="45" t="s">
        <v>69</v>
      </c>
      <c r="B25" s="27">
        <f>Q34</f>
        <v>93.051000000000002</v>
      </c>
      <c r="C25" s="27">
        <f>Q34</f>
        <v>93.051000000000002</v>
      </c>
      <c r="D25" s="27">
        <f>Q34</f>
        <v>93.051000000000002</v>
      </c>
      <c r="E25" s="50">
        <f>Q34</f>
        <v>93.051000000000002</v>
      </c>
      <c r="F25" s="50">
        <f>Q34</f>
        <v>93.051000000000002</v>
      </c>
      <c r="G25" s="50">
        <f>Q34</f>
        <v>93.051000000000002</v>
      </c>
      <c r="H25" s="27">
        <f>Q34</f>
        <v>93.051000000000002</v>
      </c>
      <c r="I25" s="27">
        <f>Q34</f>
        <v>93.051000000000002</v>
      </c>
      <c r="J25" s="27">
        <f>Q34</f>
        <v>93.051000000000002</v>
      </c>
      <c r="K25" s="27">
        <f>Q34</f>
        <v>93.051000000000002</v>
      </c>
      <c r="M25" s="49"/>
      <c r="N25" s="49"/>
      <c r="O25" s="42">
        <f>ROUNDUP(SUM(P23+I20),4)</f>
        <v>1906.5</v>
      </c>
      <c r="P25" s="42">
        <f>ROUNDUP(SUM(P24+I20),4)</f>
        <v>1928.1</v>
      </c>
      <c r="Q25" s="26">
        <f t="shared" si="4"/>
        <v>11</v>
      </c>
      <c r="R25" s="26">
        <f>FREQUENCY(B8:K12,P25:P26)</f>
        <v>13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1928.1</v>
      </c>
      <c r="P26" s="42">
        <f>ROUNDUP(SUM(P25+I20),4)</f>
        <v>1949.7</v>
      </c>
      <c r="Q26" s="26">
        <v>0</v>
      </c>
      <c r="R26" s="26">
        <f>FREQUENCY(B8:K12,P26:P27)</f>
        <v>29</v>
      </c>
    </row>
    <row r="27" spans="1:21" s="2" customFormat="1" ht="17.100000000000001" customHeight="1">
      <c r="A27" s="45" t="s">
        <v>70</v>
      </c>
      <c r="B27" s="27">
        <f>ROUNDUP(AVERAGE(B8:K12),4)</f>
        <v>1941.92</v>
      </c>
      <c r="C27" s="27">
        <f>ROUNDUP(AVERAGE(B8:K12),4)</f>
        <v>1941.92</v>
      </c>
      <c r="D27" s="27">
        <f>ROUNDUP(AVERAGE(B8:K12),4)</f>
        <v>1941.92</v>
      </c>
      <c r="E27" s="50">
        <f>ROUNDUP(AVERAGE(B8:K12),4)</f>
        <v>1941.92</v>
      </c>
      <c r="F27" s="50">
        <f>ROUNDUP(AVERAGE(B8:K12),4)</f>
        <v>1941.92</v>
      </c>
      <c r="G27" s="50">
        <f>ROUNDUP(AVERAGE(B8:K12),4)</f>
        <v>1941.92</v>
      </c>
      <c r="H27" s="27">
        <f>ROUNDUP(AVERAGE(B8:K12),4)</f>
        <v>1941.92</v>
      </c>
      <c r="I27" s="27">
        <f>ROUNDUP(AVERAGE(B8:K12),4)</f>
        <v>1941.92</v>
      </c>
      <c r="J27" s="27">
        <f>ROUNDUP(AVERAGE(B8:K12),4)</f>
        <v>1941.92</v>
      </c>
      <c r="K27" s="27">
        <f>ROUNDUP(AVERAGE(B8:K12),4)</f>
        <v>1941.92</v>
      </c>
      <c r="M27" s="49"/>
      <c r="N27" s="49"/>
      <c r="O27" s="42">
        <f>ROUNDUP(SUM(P25+I20),4)</f>
        <v>1949.7</v>
      </c>
      <c r="P27" s="42">
        <f>ROUNDUP(SUM(P26+I20),4)</f>
        <v>1971.3</v>
      </c>
      <c r="Q27" s="6">
        <f t="shared" si="4"/>
        <v>18</v>
      </c>
      <c r="R27" s="26">
        <f>FREQUENCY(B8:K12,P27:P28)</f>
        <v>47</v>
      </c>
    </row>
    <row r="28" spans="1:21" ht="17.100000000000001" customHeight="1">
      <c r="A28" s="45" t="s">
        <v>71</v>
      </c>
      <c r="B28" s="27">
        <f>AVERAGE(B17:K17)</f>
        <v>44.1</v>
      </c>
      <c r="C28" s="27">
        <f>AVERAGE(B17:K17)</f>
        <v>44.1</v>
      </c>
      <c r="D28" s="27">
        <f>AVERAGE(B17:K17)</f>
        <v>44.1</v>
      </c>
      <c r="E28" s="27">
        <f>AVERAGE(B17:K17)</f>
        <v>44.1</v>
      </c>
      <c r="F28" s="27">
        <f>AVERAGE(B17:K17)</f>
        <v>44.1</v>
      </c>
      <c r="G28" s="27">
        <f>AVERAGE(B17:K17)</f>
        <v>44.1</v>
      </c>
      <c r="H28" s="27">
        <f>AVERAGE(B17:K17)</f>
        <v>44.1</v>
      </c>
      <c r="I28" s="27">
        <f>AVERAGE(B17:K17)</f>
        <v>44.1</v>
      </c>
      <c r="J28" s="27">
        <f>AVERAGE(B17:K17)</f>
        <v>44.1</v>
      </c>
      <c r="K28" s="27">
        <f>AVERAGE(B17:K17)</f>
        <v>44.1</v>
      </c>
      <c r="M28" s="49"/>
      <c r="N28" s="49"/>
      <c r="O28" s="42">
        <f>ROUNDUP(SUM(P26+I20),4)</f>
        <v>1971.3</v>
      </c>
      <c r="P28" s="42">
        <f>ROUNDUP(SUM(P27+I20),4)</f>
        <v>1992.9</v>
      </c>
      <c r="Q28" s="6">
        <f t="shared" si="4"/>
        <v>2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1992.9</v>
      </c>
      <c r="P29" s="42">
        <f>ROUNDUP(SUM(P28+I20),4)</f>
        <v>2014.5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2014.5</v>
      </c>
      <c r="P30" s="42">
        <f>ROUNDUP(SUM(P29+I20),4)</f>
        <v>2036.1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149" t="s">
        <v>72</v>
      </c>
      <c r="K31" s="143"/>
      <c r="L31" s="144"/>
      <c r="M31" s="53" t="s">
        <v>73</v>
      </c>
      <c r="N31" s="47"/>
      <c r="O31" s="42">
        <f>ROUNDUP(SUM(P29+I20),4)</f>
        <v>2036.1</v>
      </c>
      <c r="P31" s="42">
        <f>ROUNDUP(SUM(P30+I20),4)</f>
        <v>2057.6999999999998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149">
        <v>1</v>
      </c>
      <c r="K32" s="143"/>
      <c r="L32" s="144"/>
      <c r="M32" s="53">
        <v>0</v>
      </c>
      <c r="N32" s="49"/>
      <c r="O32" s="97" t="s">
        <v>74</v>
      </c>
      <c r="P32" s="150"/>
      <c r="Q32" s="151">
        <f>(M18+(Q12*M17))</f>
        <v>1967.9390000000001</v>
      </c>
      <c r="R32" s="152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149">
        <v>0.1</v>
      </c>
      <c r="K33" s="143"/>
      <c r="L33" s="144"/>
      <c r="M33" s="53">
        <v>1</v>
      </c>
      <c r="N33" s="49"/>
      <c r="O33" s="153" t="s">
        <v>75</v>
      </c>
      <c r="P33" s="150"/>
      <c r="Q33" s="154">
        <f>(M18-(Q12*M17))</f>
        <v>1915.9010000000001</v>
      </c>
      <c r="R33" s="152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149">
        <v>0.01</v>
      </c>
      <c r="K34" s="143"/>
      <c r="L34" s="144"/>
      <c r="M34" s="53">
        <v>2</v>
      </c>
      <c r="N34" s="49"/>
      <c r="O34" s="97" t="s">
        <v>76</v>
      </c>
      <c r="P34" s="150"/>
      <c r="Q34" s="155">
        <f>M17*R12</f>
        <v>93.051000000000002</v>
      </c>
      <c r="R34" s="152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149">
        <v>1E-3</v>
      </c>
      <c r="K35" s="143"/>
      <c r="L35" s="144"/>
      <c r="M35" s="56">
        <v>3</v>
      </c>
      <c r="N35" s="49"/>
      <c r="O35" s="97" t="s">
        <v>77</v>
      </c>
      <c r="P35" s="150"/>
      <c r="Q35" s="156">
        <f>M17*0</f>
        <v>0</v>
      </c>
      <c r="R35" s="111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167">
        <v>1E-4</v>
      </c>
      <c r="K36" s="167"/>
      <c r="L36" s="167"/>
      <c r="M36" s="56">
        <v>4</v>
      </c>
      <c r="N36" s="59"/>
      <c r="O36" s="168" t="s">
        <v>78</v>
      </c>
      <c r="P36" s="169"/>
      <c r="Q36" s="170">
        <f>STDEV(B8:K12)</f>
        <v>19.193791513222742</v>
      </c>
      <c r="R36" s="111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171" t="s">
        <v>95</v>
      </c>
      <c r="P37" s="172"/>
      <c r="Q37" s="170">
        <f>ROUNDUP(SUM(I19/(6*Q36)),4)</f>
        <v>2.6051000000000002</v>
      </c>
      <c r="R37" s="152"/>
    </row>
    <row r="38" spans="1:18" ht="14.25" customHeight="1">
      <c r="A38" s="157" t="s">
        <v>79</v>
      </c>
      <c r="B38" s="157"/>
      <c r="C38" s="158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60"/>
      <c r="O38" s="196" t="s">
        <v>94</v>
      </c>
      <c r="P38" s="196"/>
      <c r="Q38" s="197">
        <f>ROUNDUP(SUM((1-N19)*Q37),4)</f>
        <v>2.4647000000000001</v>
      </c>
      <c r="R38" s="198"/>
    </row>
    <row r="39" spans="1:18" ht="14.25" customHeight="1">
      <c r="A39" s="157"/>
      <c r="B39" s="157"/>
      <c r="C39" s="161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3"/>
      <c r="O39" s="191" t="s">
        <v>80</v>
      </c>
      <c r="P39" s="192"/>
      <c r="Q39" s="193"/>
      <c r="R39" s="194"/>
    </row>
    <row r="40" spans="1:18" ht="14.25" customHeight="1">
      <c r="A40" s="157"/>
      <c r="B40" s="157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91" t="s">
        <v>93</v>
      </c>
      <c r="P40" s="192"/>
      <c r="Q40" s="193"/>
      <c r="R40" s="194"/>
    </row>
    <row r="41" spans="1:18">
      <c r="M41" s="63"/>
      <c r="P41" s="64"/>
    </row>
  </sheetData>
  <mergeCells count="75"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  <mergeCell ref="J34:L34"/>
    <mergeCell ref="O34:P34"/>
    <mergeCell ref="Q34:R34"/>
    <mergeCell ref="J35:L35"/>
    <mergeCell ref="O35:P35"/>
    <mergeCell ref="Q35:R35"/>
    <mergeCell ref="J31:L31"/>
    <mergeCell ref="J32:L32"/>
    <mergeCell ref="O32:P32"/>
    <mergeCell ref="Q32:R32"/>
    <mergeCell ref="J33:L33"/>
    <mergeCell ref="O33:P33"/>
    <mergeCell ref="Q33:R33"/>
    <mergeCell ref="A20:C20"/>
    <mergeCell ref="D20:E20"/>
    <mergeCell ref="F20:H20"/>
    <mergeCell ref="I20:J20"/>
    <mergeCell ref="K20:M20"/>
    <mergeCell ref="A21:C21"/>
    <mergeCell ref="D21:E21"/>
    <mergeCell ref="F21:H21"/>
    <mergeCell ref="I21:J21"/>
    <mergeCell ref="K21:M21"/>
    <mergeCell ref="N18:P18"/>
    <mergeCell ref="A19:C19"/>
    <mergeCell ref="D19:E19"/>
    <mergeCell ref="F19:H19"/>
    <mergeCell ref="I19:J19"/>
    <mergeCell ref="K19:M19"/>
    <mergeCell ref="O19:P19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41"/>
  <sheetViews>
    <sheetView showGridLines="0" topLeftCell="A22" zoomScale="115" zoomScaleNormal="115" zoomScaleSheetLayoutView="100" workbookViewId="0">
      <selection activeCell="O39" sqref="O39:R40"/>
    </sheetView>
  </sheetViews>
  <sheetFormatPr defaultRowHeight="8.25"/>
  <cols>
    <col min="1" max="1" width="7.140625" style="62" customWidth="1"/>
    <col min="2" max="2" width="8.85546875" style="1" bestFit="1" customWidth="1"/>
    <col min="3" max="3" width="8.7109375" style="1" bestFit="1" customWidth="1"/>
    <col min="4" max="5" width="8.5703125" style="1" bestFit="1" customWidth="1"/>
    <col min="6" max="9" width="7.5703125" style="1" bestFit="1" customWidth="1"/>
    <col min="10" max="10" width="8.42578125" style="1" bestFit="1" customWidth="1"/>
    <col min="11" max="11" width="7.5703125" style="1" bestFit="1" customWidth="1"/>
    <col min="12" max="12" width="12.5703125" style="1" customWidth="1"/>
    <col min="13" max="13" width="14.42578125" style="1" customWidth="1"/>
    <col min="14" max="14" width="10.140625" style="1" bestFit="1" customWidth="1"/>
    <col min="15" max="15" width="8.5703125" style="1" customWidth="1"/>
    <col min="16" max="16" width="9.28515625" style="1" customWidth="1"/>
    <col min="17" max="17" width="7.140625" style="1" bestFit="1" customWidth="1"/>
    <col min="18" max="18" width="11.85546875" style="1" customWidth="1"/>
    <col min="19" max="19" width="5.5703125" style="1" customWidth="1"/>
    <col min="20" max="20" width="11.28515625" style="1" customWidth="1"/>
    <col min="21" max="16384" width="9.140625" style="1"/>
  </cols>
  <sheetData>
    <row r="1" spans="1:32" ht="65.25" customHeight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6"/>
    </row>
    <row r="2" spans="1:32" s="2" customFormat="1" ht="35.1" customHeight="1">
      <c r="A2" s="77" t="s">
        <v>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9"/>
    </row>
    <row r="3" spans="1:32" s="4" customFormat="1" ht="15" customHeight="1">
      <c r="A3" s="80" t="s">
        <v>2</v>
      </c>
      <c r="B3" s="81"/>
      <c r="C3" s="177" t="s">
        <v>81</v>
      </c>
      <c r="D3" s="178"/>
      <c r="E3" s="179"/>
      <c r="F3" s="80" t="s">
        <v>3</v>
      </c>
      <c r="G3" s="180"/>
      <c r="H3" s="177" t="s">
        <v>4</v>
      </c>
      <c r="I3" s="178"/>
      <c r="J3" s="179"/>
      <c r="K3" s="181" t="s">
        <v>5</v>
      </c>
      <c r="L3" s="81"/>
      <c r="M3" s="3" t="s">
        <v>6</v>
      </c>
      <c r="N3" s="89"/>
      <c r="O3" s="91"/>
      <c r="P3" s="92"/>
      <c r="Q3" s="92"/>
      <c r="R3" s="93"/>
    </row>
    <row r="4" spans="1:32" s="4" customFormat="1" ht="15" customHeight="1">
      <c r="A4" s="97" t="s">
        <v>7</v>
      </c>
      <c r="B4" s="98"/>
      <c r="C4" s="173" t="s">
        <v>8</v>
      </c>
      <c r="D4" s="174"/>
      <c r="E4" s="175"/>
      <c r="F4" s="97" t="s">
        <v>9</v>
      </c>
      <c r="G4" s="182"/>
      <c r="H4" s="173" t="s">
        <v>10</v>
      </c>
      <c r="I4" s="174"/>
      <c r="J4" s="175"/>
      <c r="K4" s="142" t="s">
        <v>11</v>
      </c>
      <c r="L4" s="98"/>
      <c r="M4" s="5" t="s">
        <v>12</v>
      </c>
      <c r="N4" s="90"/>
      <c r="O4" s="94"/>
      <c r="P4" s="95"/>
      <c r="Q4" s="95"/>
      <c r="R4" s="96"/>
    </row>
    <row r="5" spans="1:32" s="4" customFormat="1" ht="15" customHeight="1">
      <c r="A5" s="97" t="s">
        <v>13</v>
      </c>
      <c r="B5" s="98"/>
      <c r="C5" s="156" t="s">
        <v>14</v>
      </c>
      <c r="D5" s="189"/>
      <c r="E5" s="190"/>
      <c r="F5" s="97" t="s">
        <v>15</v>
      </c>
      <c r="G5" s="182"/>
      <c r="H5" s="173" t="s">
        <v>16</v>
      </c>
      <c r="I5" s="174"/>
      <c r="J5" s="175"/>
      <c r="K5" s="97" t="s">
        <v>17</v>
      </c>
      <c r="L5" s="176"/>
      <c r="M5" s="5">
        <v>1</v>
      </c>
      <c r="N5" s="6"/>
      <c r="O5" s="104"/>
      <c r="P5" s="105"/>
      <c r="Q5" s="6" t="s">
        <v>18</v>
      </c>
      <c r="R5" s="7" t="s">
        <v>97</v>
      </c>
    </row>
    <row r="6" spans="1:32" s="4" customFormat="1" ht="15" customHeight="1">
      <c r="A6" s="106" t="s">
        <v>19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109" t="s">
        <v>20</v>
      </c>
      <c r="N6" s="110"/>
      <c r="O6" s="110"/>
      <c r="P6" s="110"/>
      <c r="Q6" s="111"/>
      <c r="R6" s="8" t="s">
        <v>21</v>
      </c>
    </row>
    <row r="7" spans="1:32" s="4" customFormat="1" ht="15" customHeight="1">
      <c r="A7" s="9" t="s">
        <v>22</v>
      </c>
      <c r="B7" s="6">
        <v>1</v>
      </c>
      <c r="C7" s="6">
        <v>2</v>
      </c>
      <c r="D7" s="6">
        <v>3</v>
      </c>
      <c r="E7" s="6">
        <v>4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112" t="s">
        <v>82</v>
      </c>
      <c r="M7" s="183">
        <v>2100</v>
      </c>
      <c r="N7" s="184"/>
      <c r="O7" s="10" t="s">
        <v>23</v>
      </c>
      <c r="P7" s="11" t="s">
        <v>24</v>
      </c>
      <c r="Q7" s="11" t="s">
        <v>25</v>
      </c>
      <c r="R7" s="11" t="s">
        <v>26</v>
      </c>
    </row>
    <row r="8" spans="1:32" s="4" customFormat="1" ht="15" customHeight="1">
      <c r="A8" s="9">
        <v>1</v>
      </c>
      <c r="B8" s="12">
        <v>1934</v>
      </c>
      <c r="C8" s="12">
        <v>1954</v>
      </c>
      <c r="D8" s="12">
        <v>1920</v>
      </c>
      <c r="E8" s="12">
        <v>1908</v>
      </c>
      <c r="F8" s="12">
        <v>1961</v>
      </c>
      <c r="G8" s="12">
        <v>1922</v>
      </c>
      <c r="H8" s="12">
        <v>1910</v>
      </c>
      <c r="I8" s="12">
        <v>1900</v>
      </c>
      <c r="J8" s="12">
        <v>1928</v>
      </c>
      <c r="K8" s="12">
        <v>1927</v>
      </c>
      <c r="L8" s="113"/>
      <c r="M8" s="185"/>
      <c r="N8" s="186"/>
      <c r="O8" s="13" t="s">
        <v>27</v>
      </c>
      <c r="P8" s="6">
        <v>1.123</v>
      </c>
      <c r="Q8" s="13" t="s">
        <v>28</v>
      </c>
      <c r="R8" s="13" t="s">
        <v>29</v>
      </c>
      <c r="S8" s="14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s="4" customFormat="1" ht="15" customHeight="1">
      <c r="A9" s="9">
        <v>2</v>
      </c>
      <c r="B9" s="12">
        <v>1945</v>
      </c>
      <c r="C9" s="12">
        <v>1882</v>
      </c>
      <c r="D9" s="12">
        <v>1926</v>
      </c>
      <c r="E9" s="12">
        <v>1919</v>
      </c>
      <c r="F9" s="12">
        <v>1945</v>
      </c>
      <c r="G9" s="12">
        <v>1953</v>
      </c>
      <c r="H9" s="12">
        <v>1935</v>
      </c>
      <c r="I9" s="12">
        <v>1895</v>
      </c>
      <c r="J9" s="12">
        <v>1885</v>
      </c>
      <c r="K9" s="12">
        <v>1974</v>
      </c>
      <c r="L9" s="114"/>
      <c r="M9" s="187"/>
      <c r="N9" s="188"/>
      <c r="O9" s="13" t="s">
        <v>30</v>
      </c>
      <c r="P9" s="6">
        <v>1.1279999999999999</v>
      </c>
      <c r="Q9" s="13" t="s">
        <v>31</v>
      </c>
      <c r="R9" s="13" t="s">
        <v>29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s="4" customFormat="1" ht="15" customHeight="1">
      <c r="A10" s="16">
        <v>3</v>
      </c>
      <c r="B10" s="12">
        <v>1952</v>
      </c>
      <c r="C10" s="12">
        <v>1925</v>
      </c>
      <c r="D10" s="12">
        <v>1928</v>
      </c>
      <c r="E10" s="12">
        <v>1948</v>
      </c>
      <c r="F10" s="12">
        <v>1921</v>
      </c>
      <c r="G10" s="12">
        <v>1992</v>
      </c>
      <c r="H10" s="12">
        <v>1922</v>
      </c>
      <c r="I10" s="12">
        <v>1952</v>
      </c>
      <c r="J10" s="12">
        <v>1952</v>
      </c>
      <c r="K10" s="12">
        <v>1918</v>
      </c>
      <c r="L10" s="112" t="s">
        <v>83</v>
      </c>
      <c r="M10" s="183">
        <v>1800</v>
      </c>
      <c r="N10" s="184"/>
      <c r="O10" s="17" t="s">
        <v>32</v>
      </c>
      <c r="P10" s="18">
        <v>1.6930000000000001</v>
      </c>
      <c r="Q10" s="13" t="s">
        <v>33</v>
      </c>
      <c r="R10" s="13" t="s">
        <v>34</v>
      </c>
      <c r="T10" s="15" t="s">
        <v>35</v>
      </c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s="4" customFormat="1" ht="15" customHeight="1">
      <c r="A11" s="19">
        <v>4</v>
      </c>
      <c r="B11" s="12">
        <v>1942</v>
      </c>
      <c r="C11" s="12">
        <v>1942</v>
      </c>
      <c r="D11" s="12">
        <v>1945</v>
      </c>
      <c r="E11" s="12">
        <v>1926</v>
      </c>
      <c r="F11" s="12">
        <v>1947</v>
      </c>
      <c r="G11" s="12">
        <v>1925</v>
      </c>
      <c r="H11" s="12">
        <v>1890</v>
      </c>
      <c r="I11" s="12">
        <v>1921</v>
      </c>
      <c r="J11" s="12">
        <v>1931</v>
      </c>
      <c r="K11" s="12">
        <v>1960</v>
      </c>
      <c r="L11" s="121"/>
      <c r="M11" s="185"/>
      <c r="N11" s="186"/>
      <c r="O11" s="13" t="s">
        <v>36</v>
      </c>
      <c r="P11" s="6">
        <v>2.0590000000000002</v>
      </c>
      <c r="Q11" s="13" t="s">
        <v>37</v>
      </c>
      <c r="R11" s="13" t="s">
        <v>38</v>
      </c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15"/>
      <c r="AE11" s="15"/>
      <c r="AF11" s="15"/>
    </row>
    <row r="12" spans="1:32" s="4" customFormat="1" ht="15" customHeight="1">
      <c r="A12" s="21">
        <v>5</v>
      </c>
      <c r="B12" s="12">
        <v>1918</v>
      </c>
      <c r="C12" s="12">
        <v>1953</v>
      </c>
      <c r="D12" s="12">
        <v>1923</v>
      </c>
      <c r="E12" s="12">
        <v>1935</v>
      </c>
      <c r="F12" s="12">
        <v>1929</v>
      </c>
      <c r="G12" s="12">
        <v>1941</v>
      </c>
      <c r="H12" s="12">
        <v>1951</v>
      </c>
      <c r="I12" s="12">
        <v>1964</v>
      </c>
      <c r="J12" s="12">
        <v>1952</v>
      </c>
      <c r="K12" s="12">
        <v>1993</v>
      </c>
      <c r="L12" s="122"/>
      <c r="M12" s="187"/>
      <c r="N12" s="188"/>
      <c r="O12" s="22" t="s">
        <v>39</v>
      </c>
      <c r="P12" s="23">
        <v>2.3260000000000001</v>
      </c>
      <c r="Q12" s="13" t="s">
        <v>40</v>
      </c>
      <c r="R12" s="13" t="s">
        <v>41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15"/>
      <c r="AE12" s="15"/>
      <c r="AF12" s="15"/>
    </row>
    <row r="13" spans="1:32" s="4" customFormat="1" ht="15" customHeight="1">
      <c r="A13" s="106">
        <v>11.99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4"/>
      <c r="S13" s="15"/>
      <c r="T13" s="15"/>
      <c r="U13" s="15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</row>
    <row r="14" spans="1:32" s="4" customFormat="1" ht="15" customHeight="1">
      <c r="A14" s="125" t="s">
        <v>42</v>
      </c>
      <c r="B14" s="126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7"/>
      <c r="S14" s="15"/>
      <c r="T14" s="15"/>
      <c r="U14" s="15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2" s="4" customFormat="1" ht="15" customHeight="1">
      <c r="A15" s="24" t="s">
        <v>43</v>
      </c>
      <c r="B15" s="25">
        <f t="shared" ref="B15:K15" si="0">MAX(B8:B12)</f>
        <v>1952</v>
      </c>
      <c r="C15" s="25">
        <f t="shared" si="0"/>
        <v>1954</v>
      </c>
      <c r="D15" s="25">
        <f t="shared" si="0"/>
        <v>1945</v>
      </c>
      <c r="E15" s="25">
        <f t="shared" si="0"/>
        <v>1948</v>
      </c>
      <c r="F15" s="25">
        <f t="shared" si="0"/>
        <v>1961</v>
      </c>
      <c r="G15" s="25">
        <f t="shared" si="0"/>
        <v>1992</v>
      </c>
      <c r="H15" s="25">
        <f t="shared" si="0"/>
        <v>1951</v>
      </c>
      <c r="I15" s="25">
        <f>MAX(I8:I12)</f>
        <v>1964</v>
      </c>
      <c r="J15" s="25">
        <f t="shared" si="0"/>
        <v>1952</v>
      </c>
      <c r="K15" s="26">
        <f t="shared" si="0"/>
        <v>1993</v>
      </c>
      <c r="L15" s="6" t="s">
        <v>44</v>
      </c>
      <c r="M15" s="27">
        <f>(MAX(B15:K15))</f>
        <v>1993</v>
      </c>
      <c r="N15" s="128" t="s">
        <v>45</v>
      </c>
      <c r="O15" s="129"/>
      <c r="P15" s="130"/>
      <c r="Q15" s="134">
        <f>SUM(Q17:R18)</f>
        <v>0</v>
      </c>
      <c r="R15" s="136" t="s">
        <v>46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15"/>
      <c r="AE15" s="15"/>
      <c r="AF15" s="15"/>
    </row>
    <row r="16" spans="1:32" s="4" customFormat="1" ht="15" customHeight="1">
      <c r="A16" s="28" t="s">
        <v>47</v>
      </c>
      <c r="B16" s="26">
        <f t="shared" ref="B16:J16" si="1">MIN(B8:B12)</f>
        <v>1918</v>
      </c>
      <c r="C16" s="25">
        <f>MIN(C8:C12)</f>
        <v>1882</v>
      </c>
      <c r="D16" s="26">
        <f t="shared" si="1"/>
        <v>1920</v>
      </c>
      <c r="E16" s="26">
        <f t="shared" si="1"/>
        <v>1908</v>
      </c>
      <c r="F16" s="26">
        <f t="shared" si="1"/>
        <v>1921</v>
      </c>
      <c r="G16" s="26">
        <f>MIN(G8:G12)</f>
        <v>1922</v>
      </c>
      <c r="H16" s="26">
        <f t="shared" si="1"/>
        <v>1890</v>
      </c>
      <c r="I16" s="25">
        <f>MIN(I8:I12)</f>
        <v>1895</v>
      </c>
      <c r="J16" s="26">
        <f t="shared" si="1"/>
        <v>1885</v>
      </c>
      <c r="K16" s="26">
        <f>MIN(K8:K12)</f>
        <v>1918</v>
      </c>
      <c r="L16" s="6" t="s">
        <v>48</v>
      </c>
      <c r="M16" s="27">
        <f>MIN(B16:K16)</f>
        <v>1882</v>
      </c>
      <c r="N16" s="131"/>
      <c r="O16" s="132"/>
      <c r="P16" s="133"/>
      <c r="Q16" s="135"/>
      <c r="R16" s="137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21" s="4" customFormat="1" ht="15" customHeight="1">
      <c r="A17" s="29" t="s">
        <v>49</v>
      </c>
      <c r="B17" s="30">
        <f t="shared" ref="B17:K17" si="2">SUM(MAX(B8:B12)-MIN(B8:B12))</f>
        <v>34</v>
      </c>
      <c r="C17" s="30">
        <f t="shared" si="2"/>
        <v>72</v>
      </c>
      <c r="D17" s="30">
        <f t="shared" si="2"/>
        <v>25</v>
      </c>
      <c r="E17" s="30">
        <f t="shared" si="2"/>
        <v>40</v>
      </c>
      <c r="F17" s="30">
        <f t="shared" si="2"/>
        <v>40</v>
      </c>
      <c r="G17" s="30">
        <f>SUM(MAX(G8:G12)-MIN(G8:G12))</f>
        <v>70</v>
      </c>
      <c r="H17" s="30">
        <f t="shared" si="2"/>
        <v>61</v>
      </c>
      <c r="I17" s="30">
        <f t="shared" si="2"/>
        <v>69</v>
      </c>
      <c r="J17" s="30">
        <f t="shared" si="2"/>
        <v>67</v>
      </c>
      <c r="K17" s="26">
        <f t="shared" si="2"/>
        <v>75</v>
      </c>
      <c r="L17" s="31" t="s">
        <v>50</v>
      </c>
      <c r="M17" s="32">
        <f>AVERAGE(B17:K17)</f>
        <v>55.3</v>
      </c>
      <c r="N17" s="102" t="s">
        <v>51</v>
      </c>
      <c r="O17" s="103"/>
      <c r="P17" s="103"/>
      <c r="Q17" s="33">
        <f>COUNTIF(B8:K12,"&gt;"&amp;TEXT(M7,"0.000000"))</f>
        <v>0</v>
      </c>
      <c r="R17" s="34" t="s">
        <v>46</v>
      </c>
      <c r="U17" s="35"/>
    </row>
    <row r="18" spans="1:21" s="4" customFormat="1" ht="15" customHeight="1">
      <c r="A18" s="6" t="s">
        <v>52</v>
      </c>
      <c r="B18" s="26">
        <f>(AVERAGE(B8:B12))</f>
        <v>1938.2</v>
      </c>
      <c r="C18" s="26">
        <f t="shared" ref="C18:K18" si="3">AVERAGE(C8:C12)</f>
        <v>1931.2</v>
      </c>
      <c r="D18" s="26">
        <f t="shared" si="3"/>
        <v>1928.4</v>
      </c>
      <c r="E18" s="26">
        <f t="shared" si="3"/>
        <v>1927.2</v>
      </c>
      <c r="F18" s="26">
        <f t="shared" si="3"/>
        <v>1940.6</v>
      </c>
      <c r="G18" s="26">
        <f>AVERAGE(G8:G12)</f>
        <v>1946.6</v>
      </c>
      <c r="H18" s="26">
        <f t="shared" si="3"/>
        <v>1921.6</v>
      </c>
      <c r="I18" s="26">
        <f t="shared" si="3"/>
        <v>1926.4</v>
      </c>
      <c r="J18" s="26">
        <f t="shared" si="3"/>
        <v>1929.6</v>
      </c>
      <c r="K18" s="26">
        <f t="shared" si="3"/>
        <v>1954.4</v>
      </c>
      <c r="L18" s="31" t="s">
        <v>53</v>
      </c>
      <c r="M18" s="36">
        <f>ROUNDUP(AVERAGE(B8:K12),4)</f>
        <v>1934.42</v>
      </c>
      <c r="N18" s="102" t="s">
        <v>54</v>
      </c>
      <c r="O18" s="141"/>
      <c r="P18" s="141"/>
      <c r="Q18" s="37">
        <f>COUNTIF(B8:K12,"&lt;"&amp;TEXT(M10,"0.000000"))</f>
        <v>0</v>
      </c>
      <c r="R18" s="38" t="s">
        <v>46</v>
      </c>
    </row>
    <row r="19" spans="1:21" s="4" customFormat="1" ht="15" customHeight="1">
      <c r="A19" s="97" t="s">
        <v>55</v>
      </c>
      <c r="B19" s="142"/>
      <c r="C19" s="142"/>
      <c r="D19" s="143">
        <f>ROUNDUP(SUM(M15-M16),4)</f>
        <v>111</v>
      </c>
      <c r="E19" s="144"/>
      <c r="F19" s="97" t="s">
        <v>56</v>
      </c>
      <c r="G19" s="142"/>
      <c r="H19" s="142"/>
      <c r="I19" s="143">
        <f>ROUNDUP(ABS(SUM(M7-M10)),4)</f>
        <v>300</v>
      </c>
      <c r="J19" s="144"/>
      <c r="K19" s="97" t="s">
        <v>57</v>
      </c>
      <c r="L19" s="142"/>
      <c r="M19" s="142"/>
      <c r="N19" s="39">
        <f>ROUNDUP(SUM((2*(N21))/I19),4)</f>
        <v>0.10390000000000001</v>
      </c>
      <c r="O19" s="145" t="s">
        <v>58</v>
      </c>
      <c r="P19" s="146"/>
      <c r="Q19" s="40" t="s">
        <v>59</v>
      </c>
      <c r="R19" s="40" t="s">
        <v>60</v>
      </c>
    </row>
    <row r="20" spans="1:21" s="4" customFormat="1" ht="15" customHeight="1">
      <c r="A20" s="97" t="s">
        <v>61</v>
      </c>
      <c r="B20" s="142"/>
      <c r="C20" s="142"/>
      <c r="D20" s="143">
        <f>ROUNDUP(AVERAGE(M7:M10),4)</f>
        <v>1950</v>
      </c>
      <c r="E20" s="144"/>
      <c r="F20" s="97" t="s">
        <v>62</v>
      </c>
      <c r="G20" s="142"/>
      <c r="H20" s="142"/>
      <c r="I20" s="147">
        <f>ROUNDUP(SUM(D19/N20),4)</f>
        <v>22.2</v>
      </c>
      <c r="J20" s="148"/>
      <c r="K20" s="97" t="s">
        <v>63</v>
      </c>
      <c r="L20" s="142"/>
      <c r="M20" s="142"/>
      <c r="N20" s="41" t="str">
        <f>IF(I21/10&lt;=5,"5",IF(I21/10&lt;=6,"6",IF(I21/10&lt;=7,"7","8")))</f>
        <v>5</v>
      </c>
      <c r="O20" s="42">
        <f>ROUNDUP(SUM(P20-I20),4)</f>
        <v>1793.1</v>
      </c>
      <c r="P20" s="42">
        <f>ROUNDUP(SUM(P21-I20),4)</f>
        <v>1815.3</v>
      </c>
      <c r="Q20" s="26">
        <f>SUM(R20)</f>
        <v>0</v>
      </c>
      <c r="R20" s="26">
        <f>FREQUENCY(B8:K12,P20:P21)</f>
        <v>0</v>
      </c>
    </row>
    <row r="21" spans="1:21" s="4" customFormat="1" ht="15" customHeight="1">
      <c r="A21" s="97" t="s">
        <v>64</v>
      </c>
      <c r="B21" s="142"/>
      <c r="C21" s="142"/>
      <c r="D21" s="143">
        <f>ROUNDUP(SUM(M16-(IF(M5=M32,J32,IF(M5=M33,J33,IF(M5=M34,J34,IF(M5=M35,J35,IF(M5=M36,J36))))))),4)</f>
        <v>1881.9</v>
      </c>
      <c r="E21" s="144"/>
      <c r="F21" s="97" t="s">
        <v>65</v>
      </c>
      <c r="G21" s="142"/>
      <c r="H21" s="142"/>
      <c r="I21" s="143">
        <f>COUNTIF((B8:K12),"&gt;0")</f>
        <v>50</v>
      </c>
      <c r="J21" s="143"/>
      <c r="K21" s="97" t="s">
        <v>66</v>
      </c>
      <c r="L21" s="142"/>
      <c r="M21" s="142"/>
      <c r="N21" s="43">
        <f>(ABS(SUM(M18-D20)))</f>
        <v>15.579999999999927</v>
      </c>
      <c r="O21" s="42">
        <f>ROUNDUP(SUM(P21-I20),4)</f>
        <v>1815.3</v>
      </c>
      <c r="P21" s="42">
        <f>ROUNDUP(SUM(P22-I20),4)</f>
        <v>1837.5</v>
      </c>
      <c r="Q21" s="26">
        <f t="shared" ref="Q21:Q31" si="4">SUM(R21-R20)</f>
        <v>0</v>
      </c>
      <c r="R21" s="26">
        <f>FREQUENCY(B8:K12,P21:P22)</f>
        <v>0</v>
      </c>
    </row>
    <row r="22" spans="1:21" s="2" customFormat="1" ht="17.100000000000001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2">
        <f>ROUNDUP(SUM(P22-I20),4)</f>
        <v>1837.5</v>
      </c>
      <c r="P22" s="42">
        <f>ROUNDUP(SUM(P23-I20),4)</f>
        <v>1859.7</v>
      </c>
      <c r="Q22" s="26">
        <f t="shared" si="4"/>
        <v>0</v>
      </c>
      <c r="R22" s="26">
        <f>FREQUENCY(B8:K12,P22:P23)</f>
        <v>0</v>
      </c>
    </row>
    <row r="23" spans="1:21" s="2" customFormat="1" ht="17.100000000000001" customHeight="1">
      <c r="A23" s="45" t="s">
        <v>67</v>
      </c>
      <c r="B23" s="6">
        <f>Q32</f>
        <v>1967.047</v>
      </c>
      <c r="C23" s="6">
        <f>Q32</f>
        <v>1967.047</v>
      </c>
      <c r="D23" s="6">
        <f>Q32</f>
        <v>1967.047</v>
      </c>
      <c r="E23" s="6">
        <f>Q32</f>
        <v>1967.047</v>
      </c>
      <c r="F23" s="46">
        <f>Q32</f>
        <v>1967.047</v>
      </c>
      <c r="G23" s="46">
        <f>Q32</f>
        <v>1967.047</v>
      </c>
      <c r="H23" s="46">
        <f>Q32</f>
        <v>1967.047</v>
      </c>
      <c r="I23" s="6">
        <f>Q32</f>
        <v>1967.047</v>
      </c>
      <c r="J23" s="6">
        <f>Q32</f>
        <v>1967.047</v>
      </c>
      <c r="K23" s="27">
        <f>Q32</f>
        <v>1967.047</v>
      </c>
      <c r="M23" s="47"/>
      <c r="N23" s="47"/>
      <c r="O23" s="42">
        <f>ROUNDUP(SUM(P23-I20),4)</f>
        <v>1859.7</v>
      </c>
      <c r="P23" s="42">
        <f>ROUNDUP((D21),4)</f>
        <v>1881.9</v>
      </c>
      <c r="Q23" s="26">
        <f t="shared" si="4"/>
        <v>0</v>
      </c>
      <c r="R23" s="26">
        <f>FREQUENCY(B8:K12,P23:P24)</f>
        <v>0</v>
      </c>
    </row>
    <row r="24" spans="1:21" s="2" customFormat="1" ht="17.100000000000001" customHeight="1">
      <c r="A24" s="48" t="s">
        <v>68</v>
      </c>
      <c r="B24" s="27">
        <f>Q33</f>
        <v>1901.7930000000001</v>
      </c>
      <c r="C24" s="27">
        <f>Q33</f>
        <v>1901.7930000000001</v>
      </c>
      <c r="D24" s="27">
        <f>Q33</f>
        <v>1901.7930000000001</v>
      </c>
      <c r="E24" s="27">
        <f>Q33</f>
        <v>1901.7930000000001</v>
      </c>
      <c r="F24" s="27">
        <f>Q33</f>
        <v>1901.7930000000001</v>
      </c>
      <c r="G24" s="27">
        <f>Q33</f>
        <v>1901.7930000000001</v>
      </c>
      <c r="H24" s="27">
        <f>Q33</f>
        <v>1901.7930000000001</v>
      </c>
      <c r="I24" s="27">
        <f>Q33</f>
        <v>1901.7930000000001</v>
      </c>
      <c r="J24" s="27">
        <f>Q33</f>
        <v>1901.7930000000001</v>
      </c>
      <c r="K24" s="27">
        <f>Q33</f>
        <v>1901.7930000000001</v>
      </c>
      <c r="M24" s="49"/>
      <c r="N24" s="49"/>
      <c r="O24" s="42">
        <f>ROUNDUP((D21),4)</f>
        <v>1881.9</v>
      </c>
      <c r="P24" s="42">
        <f>ROUNDUP(SUM(P23+I20),4)</f>
        <v>1904.1</v>
      </c>
      <c r="Q24" s="26">
        <f t="shared" si="4"/>
        <v>5</v>
      </c>
      <c r="R24" s="26">
        <f>FREQUENCY(B8:K12,P24:P25)</f>
        <v>5</v>
      </c>
    </row>
    <row r="25" spans="1:21" s="2" customFormat="1" ht="17.100000000000001" customHeight="1">
      <c r="A25" s="45" t="s">
        <v>69</v>
      </c>
      <c r="B25" s="27">
        <f>Q34</f>
        <v>116.68299999999999</v>
      </c>
      <c r="C25" s="27">
        <f>Q34</f>
        <v>116.68299999999999</v>
      </c>
      <c r="D25" s="27">
        <f>Q34</f>
        <v>116.68299999999999</v>
      </c>
      <c r="E25" s="50">
        <f>Q34</f>
        <v>116.68299999999999</v>
      </c>
      <c r="F25" s="50">
        <f>Q34</f>
        <v>116.68299999999999</v>
      </c>
      <c r="G25" s="50">
        <f>Q34</f>
        <v>116.68299999999999</v>
      </c>
      <c r="H25" s="27">
        <f>Q34</f>
        <v>116.68299999999999</v>
      </c>
      <c r="I25" s="27">
        <f>Q34</f>
        <v>116.68299999999999</v>
      </c>
      <c r="J25" s="27">
        <f>Q34</f>
        <v>116.68299999999999</v>
      </c>
      <c r="K25" s="27">
        <f>Q34</f>
        <v>116.68299999999999</v>
      </c>
      <c r="M25" s="49"/>
      <c r="N25" s="49"/>
      <c r="O25" s="42">
        <f>ROUNDUP(SUM(P23+I20),4)</f>
        <v>1904.1</v>
      </c>
      <c r="P25" s="42">
        <f>ROUNDUP(SUM(P24+I20),4)</f>
        <v>1926.3</v>
      </c>
      <c r="Q25" s="26">
        <f t="shared" si="4"/>
        <v>15</v>
      </c>
      <c r="R25" s="26">
        <f>FREQUENCY(B8:K12,P25:P26)</f>
        <v>20</v>
      </c>
    </row>
    <row r="26" spans="1:21" s="2" customFormat="1" ht="17.100000000000001" customHeight="1">
      <c r="A26" s="45" t="s">
        <v>68</v>
      </c>
      <c r="B26" s="50">
        <f>Q35</f>
        <v>0</v>
      </c>
      <c r="C26" s="50">
        <f>Q35</f>
        <v>0</v>
      </c>
      <c r="D26" s="50">
        <f>Q35</f>
        <v>0</v>
      </c>
      <c r="E26" s="50">
        <f>Q35</f>
        <v>0</v>
      </c>
      <c r="F26" s="50">
        <f>Q35</f>
        <v>0</v>
      </c>
      <c r="G26" s="50">
        <f>Q35</f>
        <v>0</v>
      </c>
      <c r="H26" s="50">
        <f>Q35</f>
        <v>0</v>
      </c>
      <c r="I26" s="50">
        <f>Q35</f>
        <v>0</v>
      </c>
      <c r="J26" s="50">
        <f>Q35</f>
        <v>0</v>
      </c>
      <c r="K26" s="27">
        <f>Q35</f>
        <v>0</v>
      </c>
      <c r="M26" s="49"/>
      <c r="N26" s="49"/>
      <c r="O26" s="42">
        <f>ROUNDUP(SUM(P24+I20),4)</f>
        <v>1926.3</v>
      </c>
      <c r="P26" s="42">
        <f>ROUNDUP(SUM(P25+I20),4)</f>
        <v>1948.5</v>
      </c>
      <c r="Q26" s="26">
        <v>0</v>
      </c>
      <c r="R26" s="26">
        <f>FREQUENCY(B8:K12,P26:P27)</f>
        <v>36</v>
      </c>
    </row>
    <row r="27" spans="1:21" s="2" customFormat="1" ht="17.100000000000001" customHeight="1">
      <c r="A27" s="45" t="s">
        <v>70</v>
      </c>
      <c r="B27" s="27">
        <f>ROUNDUP(AVERAGE(B8:K12),4)</f>
        <v>1934.42</v>
      </c>
      <c r="C27" s="27">
        <f>ROUNDUP(AVERAGE(B8:K12),4)</f>
        <v>1934.42</v>
      </c>
      <c r="D27" s="27">
        <f>ROUNDUP(AVERAGE(B8:K12),4)</f>
        <v>1934.42</v>
      </c>
      <c r="E27" s="50">
        <f>ROUNDUP(AVERAGE(B8:K12),4)</f>
        <v>1934.42</v>
      </c>
      <c r="F27" s="50">
        <f>ROUNDUP(AVERAGE(B8:K12),4)</f>
        <v>1934.42</v>
      </c>
      <c r="G27" s="50">
        <f>ROUNDUP(AVERAGE(B8:K12),4)</f>
        <v>1934.42</v>
      </c>
      <c r="H27" s="27">
        <f>ROUNDUP(AVERAGE(B8:K12),4)</f>
        <v>1934.42</v>
      </c>
      <c r="I27" s="27">
        <f>ROUNDUP(AVERAGE(B8:K12),4)</f>
        <v>1934.42</v>
      </c>
      <c r="J27" s="27">
        <f>ROUNDUP(AVERAGE(B8:K12),4)</f>
        <v>1934.42</v>
      </c>
      <c r="K27" s="27">
        <f>ROUNDUP(AVERAGE(B8:K12),4)</f>
        <v>1934.42</v>
      </c>
      <c r="M27" s="49"/>
      <c r="N27" s="49"/>
      <c r="O27" s="42">
        <f>ROUNDUP(SUM(P25+I20),4)</f>
        <v>1948.5</v>
      </c>
      <c r="P27" s="42">
        <f>ROUNDUP(SUM(P26+I20),4)</f>
        <v>1970.7</v>
      </c>
      <c r="Q27" s="6">
        <f t="shared" si="4"/>
        <v>11</v>
      </c>
      <c r="R27" s="26">
        <f>FREQUENCY(B8:K12,P27:P28)</f>
        <v>47</v>
      </c>
    </row>
    <row r="28" spans="1:21" ht="17.100000000000001" customHeight="1">
      <c r="A28" s="45" t="s">
        <v>71</v>
      </c>
      <c r="B28" s="27">
        <f>AVERAGE(B17:K17)</f>
        <v>55.3</v>
      </c>
      <c r="C28" s="27">
        <f>AVERAGE(B17:K17)</f>
        <v>55.3</v>
      </c>
      <c r="D28" s="27">
        <f>AVERAGE(B17:K17)</f>
        <v>55.3</v>
      </c>
      <c r="E28" s="27">
        <f>AVERAGE(B17:K17)</f>
        <v>55.3</v>
      </c>
      <c r="F28" s="27">
        <f>AVERAGE(B17:K17)</f>
        <v>55.3</v>
      </c>
      <c r="G28" s="27">
        <f>AVERAGE(B17:K17)</f>
        <v>55.3</v>
      </c>
      <c r="H28" s="27">
        <f>AVERAGE(B17:K17)</f>
        <v>55.3</v>
      </c>
      <c r="I28" s="27">
        <f>AVERAGE(B17:K17)</f>
        <v>55.3</v>
      </c>
      <c r="J28" s="27">
        <f>AVERAGE(B17:K17)</f>
        <v>55.3</v>
      </c>
      <c r="K28" s="27">
        <f>AVERAGE(B17:K17)</f>
        <v>55.3</v>
      </c>
      <c r="M28" s="49"/>
      <c r="N28" s="49"/>
      <c r="O28" s="42">
        <f>ROUNDUP(SUM(P26+I20),4)</f>
        <v>1970.7</v>
      </c>
      <c r="P28" s="42">
        <f>ROUNDUP(SUM(P27+I20),4)</f>
        <v>1992.9</v>
      </c>
      <c r="Q28" s="6">
        <f t="shared" si="4"/>
        <v>2</v>
      </c>
      <c r="R28" s="26">
        <f>FREQUENCY(B8:K12,P28:P29)</f>
        <v>49</v>
      </c>
    </row>
    <row r="29" spans="1:21" ht="17.100000000000001" customHeight="1">
      <c r="A29" s="15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49"/>
      <c r="M29" s="49"/>
      <c r="N29" s="49"/>
      <c r="O29" s="42">
        <f>ROUNDUP(SUM(P27+I20),4)</f>
        <v>1992.9</v>
      </c>
      <c r="P29" s="42">
        <f>ROUNDUP(SUM(P28+I20),4)</f>
        <v>2015.1</v>
      </c>
      <c r="Q29" s="6">
        <f t="shared" si="4"/>
        <v>1</v>
      </c>
      <c r="R29" s="26">
        <f>FREQUENCY(B8:K12,P29:P30)</f>
        <v>50</v>
      </c>
    </row>
    <row r="30" spans="1:21" ht="17.100000000000001" customHeight="1">
      <c r="A30" s="44"/>
      <c r="B30" s="44"/>
      <c r="C30" s="20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2">
        <f>ROUNDUP(SUM(P28+I20),4)</f>
        <v>2015.1</v>
      </c>
      <c r="P30" s="42">
        <f>ROUNDUP(SUM(P29+I20),4)</f>
        <v>2037.3</v>
      </c>
      <c r="Q30" s="6">
        <f t="shared" si="4"/>
        <v>0</v>
      </c>
      <c r="R30" s="26">
        <f>FREQUENCY(B8:K12,P30:P31)</f>
        <v>50</v>
      </c>
    </row>
    <row r="31" spans="1:21" ht="17.100000000000001" customHeight="1">
      <c r="A31" s="15"/>
      <c r="B31" s="15"/>
      <c r="C31" s="15"/>
      <c r="D31" s="15"/>
      <c r="E31" s="15"/>
      <c r="F31" s="52"/>
      <c r="G31" s="52"/>
      <c r="H31" s="52"/>
      <c r="I31" s="15"/>
      <c r="J31" s="149" t="s">
        <v>72</v>
      </c>
      <c r="K31" s="143"/>
      <c r="L31" s="144"/>
      <c r="M31" s="53" t="s">
        <v>73</v>
      </c>
      <c r="N31" s="47"/>
      <c r="O31" s="42">
        <f>ROUNDUP(SUM(P29+I20),4)</f>
        <v>2037.3</v>
      </c>
      <c r="P31" s="42">
        <f>ROUNDUP(SUM(P30+I20),4)</f>
        <v>2059.5</v>
      </c>
      <c r="Q31" s="6">
        <f t="shared" si="4"/>
        <v>0</v>
      </c>
      <c r="R31" s="26">
        <f>FREQUENCY(B8:K12,P31:P31)</f>
        <v>50</v>
      </c>
    </row>
    <row r="32" spans="1:21" ht="17.100000000000001" customHeight="1">
      <c r="A32" s="15"/>
      <c r="B32" s="20"/>
      <c r="C32" s="20"/>
      <c r="D32" s="20"/>
      <c r="E32" s="20"/>
      <c r="F32" s="20"/>
      <c r="G32" s="20"/>
      <c r="H32" s="20"/>
      <c r="I32" s="20"/>
      <c r="J32" s="149">
        <v>1</v>
      </c>
      <c r="K32" s="143"/>
      <c r="L32" s="144"/>
      <c r="M32" s="53">
        <v>0</v>
      </c>
      <c r="N32" s="49"/>
      <c r="O32" s="97" t="s">
        <v>74</v>
      </c>
      <c r="P32" s="150"/>
      <c r="Q32" s="151">
        <f>(M18+(Q12*M17))</f>
        <v>1967.047</v>
      </c>
      <c r="R32" s="152"/>
      <c r="S32" s="54"/>
    </row>
    <row r="33" spans="1:18" ht="17.100000000000001" customHeight="1">
      <c r="A33" s="15"/>
      <c r="B33" s="20"/>
      <c r="C33" s="20"/>
      <c r="D33" s="20"/>
      <c r="E33" s="20"/>
      <c r="F33" s="20"/>
      <c r="G33" s="20"/>
      <c r="H33" s="20"/>
      <c r="I33" s="20"/>
      <c r="J33" s="149">
        <v>0.1</v>
      </c>
      <c r="K33" s="143"/>
      <c r="L33" s="144"/>
      <c r="M33" s="53">
        <v>1</v>
      </c>
      <c r="N33" s="49"/>
      <c r="O33" s="153" t="s">
        <v>75</v>
      </c>
      <c r="P33" s="150"/>
      <c r="Q33" s="154">
        <f>(M18-(Q12*M17))</f>
        <v>1901.7930000000001</v>
      </c>
      <c r="R33" s="152"/>
    </row>
    <row r="34" spans="1:18" ht="17.100000000000001" customHeight="1">
      <c r="A34" s="15"/>
      <c r="B34" s="20"/>
      <c r="C34" s="20"/>
      <c r="D34" s="20"/>
      <c r="E34" s="20"/>
      <c r="F34" s="20"/>
      <c r="G34" s="20"/>
      <c r="H34" s="20"/>
      <c r="I34" s="20"/>
      <c r="J34" s="149">
        <v>0.01</v>
      </c>
      <c r="K34" s="143"/>
      <c r="L34" s="144"/>
      <c r="M34" s="53">
        <v>2</v>
      </c>
      <c r="N34" s="49"/>
      <c r="O34" s="97" t="s">
        <v>76</v>
      </c>
      <c r="P34" s="150"/>
      <c r="Q34" s="155">
        <f>M17*R12</f>
        <v>116.68299999999999</v>
      </c>
      <c r="R34" s="152"/>
    </row>
    <row r="35" spans="1:18" ht="17.100000000000001" customHeight="1">
      <c r="A35" s="15"/>
      <c r="B35" s="20"/>
      <c r="C35" s="20"/>
      <c r="D35" s="20"/>
      <c r="E35" s="20"/>
      <c r="F35" s="20"/>
      <c r="G35" s="20"/>
      <c r="H35" s="20"/>
      <c r="I35" s="20"/>
      <c r="J35" s="149">
        <v>1E-3</v>
      </c>
      <c r="K35" s="143"/>
      <c r="L35" s="144"/>
      <c r="M35" s="56">
        <v>3</v>
      </c>
      <c r="N35" s="49"/>
      <c r="O35" s="97" t="s">
        <v>77</v>
      </c>
      <c r="P35" s="150"/>
      <c r="Q35" s="156">
        <f>M17*0</f>
        <v>0</v>
      </c>
      <c r="R35" s="111"/>
    </row>
    <row r="36" spans="1:18" s="60" customFormat="1" ht="17.100000000000001" customHeight="1">
      <c r="A36" s="57"/>
      <c r="B36" s="58"/>
      <c r="C36" s="57"/>
      <c r="D36" s="59"/>
      <c r="E36" s="59"/>
      <c r="F36" s="59"/>
      <c r="G36" s="59"/>
      <c r="H36" s="59"/>
      <c r="I36" s="59"/>
      <c r="J36" s="167">
        <v>1E-4</v>
      </c>
      <c r="K36" s="167"/>
      <c r="L36" s="167"/>
      <c r="M36" s="56">
        <v>4</v>
      </c>
      <c r="N36" s="59"/>
      <c r="O36" s="168" t="s">
        <v>78</v>
      </c>
      <c r="P36" s="169"/>
      <c r="Q36" s="170">
        <f>STDEV(B8:K12)</f>
        <v>23.668708353056385</v>
      </c>
      <c r="R36" s="111"/>
    </row>
    <row r="37" spans="1:18" ht="17.100000000000001" customHeight="1">
      <c r="A37" s="58"/>
      <c r="B37" s="58"/>
      <c r="C37" s="59"/>
      <c r="D37" s="59"/>
      <c r="E37" s="59"/>
      <c r="F37" s="59"/>
      <c r="G37" s="59"/>
      <c r="H37" s="59"/>
      <c r="I37" s="59"/>
      <c r="J37" s="61"/>
      <c r="K37" s="59"/>
      <c r="L37" s="59"/>
      <c r="N37" s="59"/>
      <c r="O37" s="171" t="s">
        <v>95</v>
      </c>
      <c r="P37" s="172"/>
      <c r="Q37" s="170">
        <f>ROUNDUP(SUM(I19/(6*Q36)),4)</f>
        <v>2.1125000000000003</v>
      </c>
      <c r="R37" s="152"/>
    </row>
    <row r="38" spans="1:18" ht="15" customHeight="1">
      <c r="A38" s="157" t="s">
        <v>79</v>
      </c>
      <c r="B38" s="157"/>
      <c r="C38" s="158" t="str">
        <f>IF(OR(AND(Q37&gt;=0,Q37&lt;=0.5),AND(Q38&gt;=0,Q38&lt;=0.5)),"PROCESS IS VERY POOR TAKE IMMEDIATE ACTION",IF(OR(AND(Q37&gt;0.5,Q37&lt;=1.33),AND(Q38&gt;0.5,Q38&lt;=1.33)),"PROCESS NEEDS CORRECTION ,Cp &amp; Cpk SHOULD BE &gt;=1.33",IF(OR(AND(Q37&gt;1,Q37&lt;=1.67),AND(Q38&gt;1,Q38&lt;=1.67)),"PROCESS IS GOOD BUT STILL IMPROVEMENT IS REQIURED","PROCESS IS EXCELLENT")))</f>
        <v>PROCESS IS EXCELLENT</v>
      </c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60"/>
      <c r="O38" s="196" t="s">
        <v>94</v>
      </c>
      <c r="P38" s="196"/>
      <c r="Q38" s="197">
        <f>ROUNDUP(SUM((1-N19)*Q37),4)</f>
        <v>1.8931</v>
      </c>
      <c r="R38" s="198"/>
    </row>
    <row r="39" spans="1:18" ht="23.25" customHeight="1">
      <c r="A39" s="157"/>
      <c r="B39" s="157"/>
      <c r="C39" s="161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3"/>
      <c r="O39" s="191" t="s">
        <v>80</v>
      </c>
      <c r="P39" s="192"/>
      <c r="Q39" s="193"/>
      <c r="R39" s="194"/>
    </row>
    <row r="40" spans="1:18" ht="12.75" customHeight="1">
      <c r="A40" s="157"/>
      <c r="B40" s="157"/>
      <c r="C40" s="164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6"/>
      <c r="O40" s="191" t="s">
        <v>93</v>
      </c>
      <c r="P40" s="192"/>
      <c r="Q40" s="193"/>
      <c r="R40" s="194"/>
    </row>
    <row r="41" spans="1:18">
      <c r="M41" s="63"/>
      <c r="P41" s="64"/>
    </row>
  </sheetData>
  <mergeCells count="75">
    <mergeCell ref="A38:B40"/>
    <mergeCell ref="C38:N40"/>
    <mergeCell ref="J36:L36"/>
    <mergeCell ref="O36:P36"/>
    <mergeCell ref="Q36:R36"/>
    <mergeCell ref="O37:P37"/>
    <mergeCell ref="Q37:R37"/>
    <mergeCell ref="O38:P38"/>
    <mergeCell ref="Q38:R38"/>
    <mergeCell ref="O39:P39"/>
    <mergeCell ref="Q39:R39"/>
    <mergeCell ref="O40:P40"/>
    <mergeCell ref="Q40:R40"/>
    <mergeCell ref="J34:L34"/>
    <mergeCell ref="O34:P34"/>
    <mergeCell ref="Q34:R34"/>
    <mergeCell ref="J35:L35"/>
    <mergeCell ref="O35:P35"/>
    <mergeCell ref="Q35:R35"/>
    <mergeCell ref="J31:L31"/>
    <mergeCell ref="J32:L32"/>
    <mergeCell ref="O32:P32"/>
    <mergeCell ref="Q32:R32"/>
    <mergeCell ref="J33:L33"/>
    <mergeCell ref="O33:P33"/>
    <mergeCell ref="Q33:R33"/>
    <mergeCell ref="A20:C20"/>
    <mergeCell ref="D20:E20"/>
    <mergeCell ref="F20:H20"/>
    <mergeCell ref="I20:J20"/>
    <mergeCell ref="K20:M20"/>
    <mergeCell ref="A21:C21"/>
    <mergeCell ref="D21:E21"/>
    <mergeCell ref="F21:H21"/>
    <mergeCell ref="I21:J21"/>
    <mergeCell ref="K21:M21"/>
    <mergeCell ref="N18:P18"/>
    <mergeCell ref="A19:C19"/>
    <mergeCell ref="D19:E19"/>
    <mergeCell ref="F19:H19"/>
    <mergeCell ref="I19:J19"/>
    <mergeCell ref="K19:M19"/>
    <mergeCell ref="O19:P19"/>
    <mergeCell ref="N17:P17"/>
    <mergeCell ref="O5:P5"/>
    <mergeCell ref="A6:L6"/>
    <mergeCell ref="M6:Q6"/>
    <mergeCell ref="L7:L9"/>
    <mergeCell ref="M7:N9"/>
    <mergeCell ref="L10:L12"/>
    <mergeCell ref="M10:N12"/>
    <mergeCell ref="A13:R13"/>
    <mergeCell ref="A14:R14"/>
    <mergeCell ref="N15:P16"/>
    <mergeCell ref="Q15:Q16"/>
    <mergeCell ref="R15:R16"/>
    <mergeCell ref="A5:B5"/>
    <mergeCell ref="C5:E5"/>
    <mergeCell ref="F5:G5"/>
    <mergeCell ref="H5:J5"/>
    <mergeCell ref="K5:L5"/>
    <mergeCell ref="A1:R1"/>
    <mergeCell ref="A2:R2"/>
    <mergeCell ref="A3:B3"/>
    <mergeCell ref="C3:E3"/>
    <mergeCell ref="F3:G3"/>
    <mergeCell ref="H3:J3"/>
    <mergeCell ref="K3:L3"/>
    <mergeCell ref="N3:N4"/>
    <mergeCell ref="O3:R4"/>
    <mergeCell ref="A4:B4"/>
    <mergeCell ref="C4:E4"/>
    <mergeCell ref="F4:G4"/>
    <mergeCell ref="H4:J4"/>
    <mergeCell ref="K4:L4"/>
  </mergeCells>
  <printOptions horizontalCentered="1"/>
  <pageMargins left="0.3" right="0.14000000000000001" top="0.43" bottom="0.37" header="0.37" footer="0.28999999999999998"/>
  <pageSetup scale="82" orientation="landscape" horizontalDpi="300" verticalDpi="300" r:id="rId1"/>
  <headerFooter alignWithMargins="0">
    <oddFooter>&amp;CPage &amp;P&amp;R&amp;Z&amp;F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opLeftCell="D1" workbookViewId="0">
      <selection activeCell="M1" sqref="M1:V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Element Resistance</vt:lpstr>
      <vt:lpstr>DFT</vt:lpstr>
      <vt:lpstr>Wattage L1</vt:lpstr>
      <vt:lpstr>Wattage L2</vt:lpstr>
      <vt:lpstr>Sheet1</vt:lpstr>
      <vt:lpstr>DFT!Print_Area</vt:lpstr>
      <vt:lpstr>'Element Resistance'!Print_Area</vt:lpstr>
      <vt:lpstr>'Wattage L1'!Print_Area</vt:lpstr>
      <vt:lpstr>'Wattage L2'!Print_Area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2021-10-26T11:43:27Z</dcterms:modified>
</cp:coreProperties>
</file>