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Anura\Downloads\"/>
    </mc:Choice>
  </mc:AlternateContent>
  <xr:revisionPtr revIDLastSave="0" documentId="13_ncr:1_{7A4689D0-B0CE-4395-B1D4-3D811E6A70D2}" xr6:coauthVersionLast="47" xr6:coauthVersionMax="47" xr10:uidLastSave="{00000000-0000-0000-0000-000000000000}"/>
  <bookViews>
    <workbookView xWindow="-108" yWindow="-108" windowWidth="23256" windowHeight="12456" activeTab="3" xr2:uid="{00000000-000D-0000-FFFF-FFFF00000000}"/>
  </bookViews>
  <sheets>
    <sheet name="Comparable Companies Analysis" sheetId="1" r:id="rId1"/>
    <sheet name="Dividend Discount Model" sheetId="2" r:id="rId2"/>
    <sheet name="Cost Of Equity" sheetId="3" r:id="rId3"/>
    <sheet name="Fair Share Pric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4" l="1"/>
  <c r="F5" i="4"/>
  <c r="F3" i="4"/>
  <c r="B1" i="4"/>
  <c r="B11" i="3"/>
  <c r="B6" i="3"/>
  <c r="B10" i="3" s="1"/>
  <c r="B4" i="4" s="1"/>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G18" i="2" s="1"/>
  <c r="E65" i="2"/>
  <c r="E64" i="2"/>
  <c r="E63" i="2"/>
  <c r="E62" i="2"/>
  <c r="E61" i="2"/>
  <c r="G17" i="2" s="1"/>
  <c r="H17" i="2" s="1"/>
  <c r="E60" i="2"/>
  <c r="E59" i="2"/>
  <c r="E58" i="2"/>
  <c r="E57" i="2"/>
  <c r="E56" i="2"/>
  <c r="E55" i="2"/>
  <c r="E54" i="2"/>
  <c r="E53" i="2"/>
  <c r="E52" i="2"/>
  <c r="E51" i="2"/>
  <c r="E50" i="2"/>
  <c r="E49" i="2"/>
  <c r="G14" i="2" s="1"/>
  <c r="H14" i="2" s="1"/>
  <c r="E48" i="2"/>
  <c r="E47" i="2"/>
  <c r="E46" i="2"/>
  <c r="E45" i="2"/>
  <c r="E44" i="2"/>
  <c r="E43" i="2"/>
  <c r="E42" i="2"/>
  <c r="E41" i="2"/>
  <c r="G40" i="2"/>
  <c r="E40" i="2"/>
  <c r="G39" i="2"/>
  <c r="E39" i="2"/>
  <c r="G11" i="2" s="1"/>
  <c r="H11" i="2" s="1"/>
  <c r="G38" i="2"/>
  <c r="E38" i="2"/>
  <c r="E37" i="2"/>
  <c r="E36" i="2"/>
  <c r="E35" i="2"/>
  <c r="E34" i="2"/>
  <c r="E33" i="2"/>
  <c r="G10" i="2" s="1"/>
  <c r="E32" i="2"/>
  <c r="E31" i="2"/>
  <c r="E30" i="2"/>
  <c r="E29" i="2"/>
  <c r="E28" i="2"/>
  <c r="G9" i="2" s="1"/>
  <c r="H9" i="2" s="1"/>
  <c r="E27" i="2"/>
  <c r="E26" i="2"/>
  <c r="E25" i="2"/>
  <c r="E24" i="2"/>
  <c r="G13" i="2" s="1"/>
  <c r="H13" i="2" s="1"/>
  <c r="E23" i="2"/>
  <c r="E22" i="2"/>
  <c r="E21" i="2"/>
  <c r="E20" i="2"/>
  <c r="E19" i="2"/>
  <c r="G6" i="2" s="1"/>
  <c r="E18" i="2"/>
  <c r="E17" i="2"/>
  <c r="G16" i="2"/>
  <c r="H16" i="2" s="1"/>
  <c r="E16" i="2"/>
  <c r="G15" i="2"/>
  <c r="H15" i="2" s="1"/>
  <c r="E15" i="2"/>
  <c r="E14" i="2"/>
  <c r="E13" i="2"/>
  <c r="G12" i="2"/>
  <c r="E12" i="2"/>
  <c r="E11" i="2"/>
  <c r="E10" i="2"/>
  <c r="E9" i="2"/>
  <c r="G8" i="2"/>
  <c r="E8" i="2"/>
  <c r="G7" i="2"/>
  <c r="H7" i="2" s="1"/>
  <c r="E7" i="2"/>
  <c r="E6" i="2"/>
  <c r="G3" i="2" s="1"/>
  <c r="H3" i="2" s="1"/>
  <c r="G5" i="2"/>
  <c r="E5" i="2"/>
  <c r="G4" i="2"/>
  <c r="H4" i="2" s="1"/>
  <c r="E4" i="2"/>
  <c r="E3" i="2"/>
  <c r="E2" i="2"/>
  <c r="M15" i="1"/>
  <c r="I9" i="1"/>
  <c r="H9" i="1"/>
  <c r="G9" i="1"/>
  <c r="F9" i="1"/>
  <c r="E9" i="1"/>
  <c r="J9" i="1" s="1"/>
  <c r="D9" i="1"/>
  <c r="M9" i="1" s="1"/>
  <c r="C9" i="1"/>
  <c r="B9" i="1"/>
  <c r="I8" i="1"/>
  <c r="H8" i="1"/>
  <c r="G8" i="1"/>
  <c r="F8" i="1"/>
  <c r="E8" i="1"/>
  <c r="L8" i="1" s="1"/>
  <c r="D8" i="1"/>
  <c r="M8" i="1" s="1"/>
  <c r="C8" i="1"/>
  <c r="B8" i="1"/>
  <c r="N8" i="1" s="1"/>
  <c r="I7" i="1"/>
  <c r="H7" i="1"/>
  <c r="G7" i="1"/>
  <c r="F7" i="1"/>
  <c r="E7" i="1"/>
  <c r="D7" i="1"/>
  <c r="C7" i="1"/>
  <c r="B7" i="1"/>
  <c r="N7" i="1" s="1"/>
  <c r="I6" i="1"/>
  <c r="H6" i="1"/>
  <c r="G6" i="1"/>
  <c r="F6" i="1"/>
  <c r="E6" i="1"/>
  <c r="J6" i="1" s="1"/>
  <c r="D6" i="1"/>
  <c r="C6" i="1"/>
  <c r="B6" i="1"/>
  <c r="I5" i="1"/>
  <c r="H5" i="1"/>
  <c r="G5" i="1"/>
  <c r="F5" i="1"/>
  <c r="E5" i="1"/>
  <c r="D5" i="1"/>
  <c r="C5" i="1"/>
  <c r="B5" i="1"/>
  <c r="N5" i="1" s="1"/>
  <c r="I4" i="1"/>
  <c r="H4" i="1"/>
  <c r="G4" i="1"/>
  <c r="F4" i="1"/>
  <c r="E4" i="1"/>
  <c r="D4" i="1"/>
  <c r="C4" i="1"/>
  <c r="B4" i="1"/>
  <c r="N4" i="1" s="1"/>
  <c r="D3" i="1"/>
  <c r="E3" i="1" s="1"/>
  <c r="C3" i="1"/>
  <c r="B3" i="1"/>
  <c r="N3" i="1" s="1"/>
  <c r="D2" i="1"/>
  <c r="M2" i="1" s="1"/>
  <c r="C2" i="1"/>
  <c r="B2" i="1"/>
  <c r="N2" i="1" s="1"/>
  <c r="K6" i="1" l="1"/>
  <c r="K5" i="1"/>
  <c r="J4" i="1"/>
  <c r="L6" i="1"/>
  <c r="J5" i="1"/>
  <c r="L5" i="1"/>
  <c r="N6" i="1"/>
  <c r="L4" i="1"/>
  <c r="E2" i="1"/>
  <c r="L2" i="1" s="1"/>
  <c r="K7" i="1"/>
  <c r="M4" i="1"/>
  <c r="K4" i="1"/>
  <c r="K3" i="1"/>
  <c r="L3" i="1"/>
  <c r="K9" i="1"/>
  <c r="L9" i="1"/>
  <c r="M3" i="1"/>
  <c r="M5" i="1"/>
  <c r="J8" i="1"/>
  <c r="K8" i="1"/>
  <c r="M7" i="1"/>
  <c r="M6" i="1"/>
  <c r="L7" i="1"/>
  <c r="L11" i="1" s="1"/>
  <c r="L12" i="1" s="1"/>
  <c r="L13" i="1" s="1"/>
  <c r="N11" i="1"/>
  <c r="H8" i="2"/>
  <c r="H6" i="2"/>
  <c r="H5" i="2"/>
  <c r="I3" i="2" s="1"/>
  <c r="H10" i="2"/>
  <c r="H12" i="2"/>
  <c r="J7" i="1"/>
  <c r="N9" i="1"/>
  <c r="J3" i="1"/>
  <c r="M11" i="1" l="1"/>
  <c r="M12" i="1" s="1"/>
  <c r="M13" i="1" s="1"/>
  <c r="K2" i="1"/>
  <c r="K11" i="1" s="1"/>
  <c r="K12" i="1" s="1"/>
  <c r="K13" i="1" s="1"/>
  <c r="J2" i="1"/>
  <c r="J11" i="1" s="1"/>
  <c r="J12" i="1" s="1"/>
  <c r="J13" i="1" s="1"/>
  <c r="B3" i="4"/>
  <c r="B2" i="4"/>
  <c r="B5" i="4" s="1"/>
  <c r="B7" i="4" s="1"/>
  <c r="N12" i="1"/>
  <c r="N13" i="1" s="1"/>
  <c r="L15" i="1" l="1"/>
  <c r="L16" i="1" s="1"/>
</calcChain>
</file>

<file path=xl/sharedStrings.xml><?xml version="1.0" encoding="utf-8"?>
<sst xmlns="http://schemas.openxmlformats.org/spreadsheetml/2006/main" count="77" uniqueCount="75">
  <si>
    <t>Company</t>
  </si>
  <si>
    <t>Price</t>
  </si>
  <si>
    <t>EPS</t>
  </si>
  <si>
    <t>Market Cap ( Price* No. of shares )</t>
  </si>
  <si>
    <t>Enterprise Value</t>
  </si>
  <si>
    <t>Sales</t>
  </si>
  <si>
    <t>EBITDA</t>
  </si>
  <si>
    <t>EBIT</t>
  </si>
  <si>
    <t>Earnings (Net Profit)</t>
  </si>
  <si>
    <t>EV/Sales</t>
  </si>
  <si>
    <t>EV/EBITDA</t>
  </si>
  <si>
    <t>EV/EBIT</t>
  </si>
  <si>
    <t>P/E(Mkt Cap/Earnings)</t>
  </si>
  <si>
    <t>P/E(Price/EPS)</t>
  </si>
  <si>
    <t>Price-to-book (P/B) ratio</t>
  </si>
  <si>
    <t>Price/earnings-to-growth (PEG)</t>
  </si>
  <si>
    <t>Profits growth (5 Years)</t>
  </si>
  <si>
    <t>Profits growth (10 Years)</t>
  </si>
  <si>
    <t>Return on equity (ROE)</t>
  </si>
  <si>
    <t>PEG ratio</t>
  </si>
  <si>
    <t>GM</t>
  </si>
  <si>
    <t>Ford</t>
  </si>
  <si>
    <t>Toyota</t>
  </si>
  <si>
    <t>Volkswagen</t>
  </si>
  <si>
    <t>Daimler</t>
  </si>
  <si>
    <t>BMW</t>
  </si>
  <si>
    <t>Honda</t>
  </si>
  <si>
    <t>Tesla</t>
  </si>
  <si>
    <t>Average</t>
  </si>
  <si>
    <t>Difference(Share X/ Avg X)</t>
  </si>
  <si>
    <t>Fair Value (Share Price/Difference)</t>
  </si>
  <si>
    <t>Target Valuation</t>
  </si>
  <si>
    <t>Fair Value Average</t>
  </si>
  <si>
    <t>Downside</t>
  </si>
  <si>
    <t>STRONG SELL</t>
  </si>
  <si>
    <t>Market Capitalization : Values the Equity of the company</t>
  </si>
  <si>
    <t>Enterprise Value : Values the whole company including the value of debt = Mrkt Cap +Gross Debit - Cash or Mrkt Cap + Net Debt</t>
  </si>
  <si>
    <t>TTM(Trailing 12 months) Calculates the last 4 quarters</t>
  </si>
  <si>
    <t>EV/Sales = How many years of sales we need to cover the value of the company</t>
  </si>
  <si>
    <t>EV/EBITDA = How many years of EBITDA we need to cover the value of the company</t>
  </si>
  <si>
    <t>EV/EBIT = How many years of EBIT we need to cover the value of the company</t>
  </si>
  <si>
    <t xml:space="preserve">P/E = How many years of net Profit we need to cover the cost of Equity for the company. Price to book is useful only for evaluating certain types of businesses. If most of a business's assets are intangible -- as is the case with many technology companies -- its price to book may be unhelpfully high. Software giant Microsoft, for example, trades for more than 10 times its book value. On the other hand, price to book can be useful for capital-intensive businesses like banks.
</t>
  </si>
  <si>
    <t>PEG : This is similar to the P/E ratio but adjusts to level the playing field between companies that might be growing at slightly different rates (thus, PEG, or price-to-earnings-to-growth, ratio). By dividing a company's P/E ratio by its annualized earnings growth rate, you get a more apples-to-apples comparison between different businesses.</t>
  </si>
  <si>
    <t>Year</t>
  </si>
  <si>
    <t>Payment Date</t>
  </si>
  <si>
    <t>Record Date</t>
  </si>
  <si>
    <t>Amount</t>
  </si>
  <si>
    <t>For old companies, Blue Chip, stable companies that don't really increase production not really grow they redistribute the profit as dividents and not with growth.</t>
  </si>
  <si>
    <t>Not for low dividend companies but for companies which distribute more than 50% of their profit.</t>
  </si>
  <si>
    <t>Stock Split : When a company issues more shares to the existing share holders</t>
  </si>
  <si>
    <t>Always consider stock splits while checking it</t>
  </si>
  <si>
    <t>COE =The cost of equity is the return that a company requires to decide if an investment meets capital return requirements.</t>
  </si>
  <si>
    <t>Calculated using 10 Years United States coupon or</t>
  </si>
  <si>
    <t>Risk Free Rate</t>
  </si>
  <si>
    <t>Market Return(S&amp;P500)</t>
  </si>
  <si>
    <t>Beta</t>
  </si>
  <si>
    <t>Systematic and Unsysstematic Risk</t>
  </si>
  <si>
    <t>Calculations : 1) Varience covarience of one stock 2) industry average * debt/equity of company 3) Just take Betas that are already calculated for us.</t>
  </si>
  <si>
    <t>Unsystematic Risk can be ignored by deversifying portfolio</t>
  </si>
  <si>
    <t>Systematic Risk : When the whole market will go down how much this share would go down, shows how resilient this stock is to the whole stock market risk i.e. how much it will correlate to the stock market risk</t>
  </si>
  <si>
    <t>COE</t>
  </si>
  <si>
    <t>Risk Free Rate +Beta (Risk Free Rate - Market Return)</t>
  </si>
  <si>
    <t>Last Dividend</t>
  </si>
  <si>
    <t>Future Dividend</t>
  </si>
  <si>
    <t>Last Div*(1+DivGrowthRate)</t>
  </si>
  <si>
    <t>dividend growth rate</t>
  </si>
  <si>
    <t>Dividend Growth Rate</t>
  </si>
  <si>
    <t>next year's dividend Calculated</t>
  </si>
  <si>
    <t>Fair Share Price</t>
  </si>
  <si>
    <t>FutureDiv/(COE-DivGrowthRate)</t>
  </si>
  <si>
    <t>Current Share Price</t>
  </si>
  <si>
    <t>Upside Potential</t>
  </si>
  <si>
    <t>Drawbacks :</t>
  </si>
  <si>
    <t>1. Assumes constant Div growth Rate</t>
  </si>
  <si>
    <t>2. if COE is lower than the dividend growth rate then this model can't be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</si>
</sst>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mm\-dd\-yy"/>
    <numFmt numFmtId="166" formatCode="m\-d\-yy"/>
  </numFmts>
  <fonts count="11">
    <font>
      <sz val="10"/>
      <color rgb="FF000000"/>
      <name val="Arial"/>
      <scheme val="minor"/>
    </font>
    <font>
      <b/>
      <sz val="10"/>
      <color theme="1"/>
      <name val="Arial"/>
      <scheme val="minor"/>
    </font>
    <font>
      <sz val="10"/>
      <color theme="1"/>
      <name val="Arial"/>
      <scheme val="minor"/>
    </font>
    <font>
      <sz val="10"/>
      <color rgb="FF232A31"/>
      <name val="Arial"/>
    </font>
    <font>
      <sz val="10"/>
      <color rgb="FF232A31"/>
      <name val="&quot;Yahoo Sans Finance&quot;"/>
    </font>
    <font>
      <b/>
      <sz val="10"/>
      <color rgb="FF232A31"/>
      <name val="Arial"/>
    </font>
    <font>
      <b/>
      <sz val="10"/>
      <color rgb="FFFF0000"/>
      <name val="Arial"/>
      <scheme val="minor"/>
    </font>
    <font>
      <sz val="10"/>
      <color rgb="FF191919"/>
      <name val="&quot;ATTAleckSans Bold&quot;"/>
    </font>
    <font>
      <sz val="12"/>
      <color rgb="FF191919"/>
      <name val="&quot;ATTAleckSans Bold&quot;"/>
    </font>
    <font>
      <sz val="12"/>
      <color rgb="FF191919"/>
      <name val="&quot;ATTAleckSans Regular&quot;"/>
    </font>
    <font>
      <sz val="10"/>
      <name val="Arial"/>
    </font>
  </fonts>
  <fills count="4">
    <fill>
      <patternFill patternType="none"/>
    </fill>
    <fill>
      <patternFill patternType="gray125"/>
    </fill>
    <fill>
      <patternFill patternType="solid">
        <fgColor rgb="FFE0F0FF"/>
        <bgColor rgb="FFE0F0FF"/>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D2D2D2"/>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D2D2D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1" xfId="0" applyFont="1" applyBorder="1" applyAlignment="1"/>
    <xf numFmtId="164" fontId="2" fillId="0" borderId="1" xfId="0" applyNumberFormat="1" applyFont="1" applyBorder="1"/>
    <xf numFmtId="164" fontId="3" fillId="2" borderId="1" xfId="0" applyNumberFormat="1" applyFont="1" applyFill="1" applyBorder="1" applyAlignment="1">
      <alignment horizontal="center"/>
    </xf>
    <xf numFmtId="164" fontId="2" fillId="0" borderId="1" xfId="0" applyNumberFormat="1" applyFont="1" applyBorder="1" applyAlignment="1"/>
    <xf numFmtId="0" fontId="2" fillId="0" borderId="1" xfId="0" applyFont="1" applyBorder="1"/>
    <xf numFmtId="164" fontId="4" fillId="2" borderId="1" xfId="0" applyNumberFormat="1" applyFont="1" applyFill="1" applyBorder="1" applyAlignment="1">
      <alignment horizontal="center"/>
    </xf>
    <xf numFmtId="164" fontId="1" fillId="0" borderId="1" xfId="0" applyNumberFormat="1" applyFont="1" applyBorder="1"/>
    <xf numFmtId="164" fontId="5" fillId="2" borderId="1" xfId="0" applyNumberFormat="1" applyFont="1" applyFill="1" applyBorder="1" applyAlignment="1">
      <alignment horizontal="right"/>
    </xf>
    <xf numFmtId="164" fontId="5" fillId="2" borderId="1" xfId="0" applyNumberFormat="1" applyFont="1" applyFill="1" applyBorder="1" applyAlignment="1">
      <alignment horizontal="center"/>
    </xf>
    <xf numFmtId="0" fontId="1" fillId="0" borderId="1" xfId="0" applyFont="1" applyBorder="1"/>
    <xf numFmtId="0" fontId="1" fillId="0" borderId="0" xfId="0" applyFont="1"/>
    <xf numFmtId="0" fontId="1" fillId="0" borderId="0" xfId="0" applyFont="1" applyAlignment="1"/>
    <xf numFmtId="2" fontId="1" fillId="0" borderId="0" xfId="0" applyNumberFormat="1" applyFont="1"/>
    <xf numFmtId="164" fontId="1" fillId="0" borderId="0" xfId="0" applyNumberFormat="1" applyFont="1"/>
    <xf numFmtId="0" fontId="2" fillId="0" borderId="0" xfId="0" applyFont="1"/>
    <xf numFmtId="0" fontId="2" fillId="0" borderId="0" xfId="0" applyFont="1" applyAlignment="1"/>
    <xf numFmtId="0" fontId="6" fillId="0" borderId="0" xfId="0" applyFont="1"/>
    <xf numFmtId="0" fontId="6" fillId="0" borderId="0" xfId="0" applyFont="1" applyAlignment="1"/>
    <xf numFmtId="0" fontId="2" fillId="0" borderId="0" xfId="0" applyFont="1" applyAlignment="1">
      <alignment horizontal="left"/>
    </xf>
    <xf numFmtId="0" fontId="7" fillId="3" borderId="2" xfId="0" applyFont="1" applyFill="1" applyBorder="1" applyAlignment="1">
      <alignment horizontal="left"/>
    </xf>
    <xf numFmtId="165" fontId="9" fillId="3" borderId="2" xfId="0" applyNumberFormat="1" applyFont="1" applyFill="1" applyBorder="1" applyAlignment="1">
      <alignment vertical="top"/>
    </xf>
    <xf numFmtId="164" fontId="9" fillId="3" borderId="2" xfId="0" applyNumberFormat="1" applyFont="1" applyFill="1" applyBorder="1" applyAlignment="1">
      <alignment vertical="top"/>
    </xf>
    <xf numFmtId="164" fontId="2" fillId="0" borderId="0" xfId="0" applyNumberFormat="1" applyFont="1"/>
    <xf numFmtId="10" fontId="2" fillId="0" borderId="0" xfId="0" applyNumberFormat="1" applyFont="1"/>
    <xf numFmtId="10" fontId="1" fillId="0" borderId="0" xfId="0" applyNumberFormat="1" applyFont="1"/>
    <xf numFmtId="166" fontId="9" fillId="3" borderId="2" xfId="0" applyNumberFormat="1" applyFont="1" applyFill="1" applyBorder="1" applyAlignment="1">
      <alignment vertical="top"/>
    </xf>
    <xf numFmtId="165" fontId="9" fillId="3" borderId="1" xfId="0" applyNumberFormat="1" applyFont="1" applyFill="1" applyBorder="1" applyAlignment="1">
      <alignment vertical="top"/>
    </xf>
    <xf numFmtId="164" fontId="9" fillId="3" borderId="1" xfId="0" applyNumberFormat="1" applyFont="1" applyFill="1" applyBorder="1" applyAlignment="1">
      <alignment vertical="top"/>
    </xf>
    <xf numFmtId="9" fontId="2" fillId="0" borderId="0" xfId="0" applyNumberFormat="1" applyFont="1" applyAlignment="1"/>
    <xf numFmtId="9" fontId="2" fillId="0" borderId="0" xfId="0" applyNumberFormat="1" applyFont="1"/>
    <xf numFmtId="10" fontId="2" fillId="0" borderId="0" xfId="0" applyNumberFormat="1" applyFont="1" applyAlignment="1"/>
    <xf numFmtId="0" fontId="2" fillId="0" borderId="0" xfId="0" applyFont="1" applyAlignment="1"/>
    <xf numFmtId="0" fontId="8" fillId="3" borderId="3" xfId="0" applyFont="1" applyFill="1" applyBorder="1" applyAlignment="1"/>
    <xf numFmtId="0" fontId="10" fillId="0" borderId="4" xfId="0" applyFont="1" applyBorder="1"/>
    <xf numFmtId="0" fontId="10" fillId="0" borderId="5" xfId="0" applyFont="1" applyBorder="1"/>
    <xf numFmtId="0" fontId="9" fillId="3" borderId="3" xfId="0" applyFont="1" applyFill="1" applyBorder="1" applyAlignment="1">
      <alignment vertical="top"/>
    </xf>
    <xf numFmtId="0" fontId="10" fillId="0" borderId="6" xfId="0" applyFont="1" applyBorder="1"/>
    <xf numFmtId="0" fontId="2" fillId="0" borderId="7" xfId="0" applyFont="1" applyBorder="1" applyAlignment="1"/>
    <xf numFmtId="164" fontId="2" fillId="0" borderId="7" xfId="0" applyNumberFormat="1" applyFont="1" applyBorder="1"/>
    <xf numFmtId="10" fontId="2" fillId="0" borderId="7" xfId="0" applyNumberFormat="1" applyFont="1" applyBorder="1"/>
    <xf numFmtId="9" fontId="2" fillId="0" borderId="7" xfId="0" applyNumberFormat="1" applyFont="1" applyBorder="1"/>
    <xf numFmtId="0" fontId="1" fillId="0" borderId="7"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28"/>
  <sheetViews>
    <sheetView workbookViewId="0">
      <pane xSplit="1" topLeftCell="B1" activePane="topRight" state="frozen"/>
      <selection pane="topRight" activeCell="B8" sqref="B8"/>
    </sheetView>
  </sheetViews>
  <sheetFormatPr defaultColWidth="12.6640625" defaultRowHeight="15.75" customHeight="1"/>
  <cols>
    <col min="1" max="1" width="28.21875" customWidth="1"/>
    <col min="2" max="2" width="7.88671875" customWidth="1"/>
    <col min="3" max="4" width="33.6640625" customWidth="1"/>
    <col min="5" max="5" width="19.109375" customWidth="1"/>
    <col min="6" max="6" width="19.5546875" bestFit="1" customWidth="1"/>
    <col min="7" max="8" width="18" bestFit="1" customWidth="1"/>
    <col min="9" max="9" width="19.21875" bestFit="1" customWidth="1"/>
    <col min="13" max="13" width="18.88671875" customWidth="1"/>
    <col min="15" max="15" width="18.88671875" customWidth="1"/>
    <col min="16" max="16" width="24.21875" customWidth="1"/>
    <col min="17" max="17" width="18.33203125" customWidth="1"/>
    <col min="18" max="18" width="19.21875" customWidth="1"/>
    <col min="19" max="19" width="18.3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16</v>
      </c>
      <c r="R1" s="2" t="s">
        <v>17</v>
      </c>
      <c r="S1" s="2" t="s">
        <v>18</v>
      </c>
      <c r="T1" s="3" t="s">
        <v>19</v>
      </c>
    </row>
    <row r="2" spans="1:20">
      <c r="A2" s="2" t="s">
        <v>20</v>
      </c>
      <c r="B2" s="4">
        <f ca="1">IFERROR(__xludf.DUMMYFUNCTION("GOOGLEFINANCE(""NYSE:GM"",""price"")"),32.09)</f>
        <v>32.090000000000003</v>
      </c>
      <c r="C2" s="4">
        <f ca="1">IFERROR(__xludf.DUMMYFUNCTION("GOOGLEFINANCE(""NYSE:GM"",""eps"")"),5.26)</f>
        <v>5.26</v>
      </c>
      <c r="D2" s="4">
        <f ca="1">IFERROR(__xludf.DUMMYFUNCTION("GOOGLEFINANCE(""NYSE:GM"", ""marketcap"")"),46788792632)</f>
        <v>46788792632</v>
      </c>
      <c r="E2" s="4">
        <f ca="1">D2+ 93456000000</f>
        <v>140244792632</v>
      </c>
      <c r="F2" s="5">
        <v>130509000000</v>
      </c>
      <c r="G2" s="6">
        <v>24157000000</v>
      </c>
      <c r="H2" s="5">
        <v>12230000000</v>
      </c>
      <c r="I2" s="5">
        <v>8848000000</v>
      </c>
      <c r="J2" s="7">
        <f t="shared" ref="J2:J9" ca="1" si="0">E2/F2</f>
        <v>1.0745986302247355</v>
      </c>
      <c r="K2" s="7">
        <f t="shared" ref="K2:K9" ca="1" si="1">E2/G2</f>
        <v>5.8055550205737472</v>
      </c>
      <c r="L2" s="7">
        <f t="shared" ref="L2:L9" ca="1" si="2">E2/H2</f>
        <v>11.467276584791497</v>
      </c>
      <c r="M2" s="7">
        <f t="shared" ref="M2:M9" ca="1" si="3">D2/I2</f>
        <v>5.288064266726944</v>
      </c>
      <c r="N2" s="7">
        <f t="shared" ref="N2:N9" ca="1" si="4">B2/C2</f>
        <v>6.1007604562737647</v>
      </c>
      <c r="O2" s="7"/>
      <c r="P2" s="7"/>
      <c r="Q2" s="7"/>
      <c r="R2" s="7"/>
      <c r="S2" s="7"/>
      <c r="T2" s="7"/>
    </row>
    <row r="3" spans="1:20">
      <c r="A3" s="2" t="s">
        <v>21</v>
      </c>
      <c r="B3" s="4">
        <f ca="1">IFERROR(__xludf.DUMMYFUNCTION("GOOGLEFINANCE(""NYSE:F"",""price"")"),11.2)</f>
        <v>11.2</v>
      </c>
      <c r="C3" s="4">
        <f ca="1">IFERROR(__xludf.DUMMYFUNCTION("GOOGLEFINANCE(""NYSE:F"",""eps"")"),2.87)</f>
        <v>2.87</v>
      </c>
      <c r="D3" s="4">
        <f ca="1">IFERROR(__xludf.DUMMYFUNCTION("GOOGLEFINANCE(""NYSE:F"",""marketcap"")"),45026653633)</f>
        <v>45026653633</v>
      </c>
      <c r="E3" s="4">
        <f ca="1">D3+ 1145880000</f>
        <v>46172533633</v>
      </c>
      <c r="F3" s="5">
        <v>134589000000</v>
      </c>
      <c r="G3" s="5">
        <v>22375000000</v>
      </c>
      <c r="H3" s="5">
        <v>16610000000</v>
      </c>
      <c r="I3" s="5">
        <v>11565000000</v>
      </c>
      <c r="J3" s="7">
        <f t="shared" ca="1" si="0"/>
        <v>0.34306320451894284</v>
      </c>
      <c r="K3" s="7">
        <f t="shared" ca="1" si="1"/>
        <v>2.0635769221452516</v>
      </c>
      <c r="L3" s="7">
        <f t="shared" ca="1" si="2"/>
        <v>2.7798033493678509</v>
      </c>
      <c r="M3" s="7">
        <f t="shared" ca="1" si="3"/>
        <v>3.8933552644185041</v>
      </c>
      <c r="N3" s="7">
        <f t="shared" ca="1" si="4"/>
        <v>3.9024390243902434</v>
      </c>
      <c r="O3" s="7"/>
      <c r="P3" s="7"/>
      <c r="Q3" s="7"/>
      <c r="R3" s="7"/>
      <c r="S3" s="7"/>
      <c r="T3" s="7"/>
    </row>
    <row r="4" spans="1:20">
      <c r="A4" s="2" t="s">
        <v>22</v>
      </c>
      <c r="B4" s="4">
        <f ca="1">IFERROR(__xludf.DUMMYFUNCTION("GOOGLEFINANCE(""FRA:TOM
"",""price"")*GOOGLEFINANCE(""CURRENCY:EURUSD"")"),13.2327)</f>
        <v>13.232699999999999</v>
      </c>
      <c r="C4" s="4" t="str">
        <f ca="1">IFERROR(__xludf.DUMMYFUNCTION("GOOGLEFINANCE(""FRA:TOM"",""eps"")"),"#N/A")</f>
        <v>#N/A</v>
      </c>
      <c r="D4" s="4">
        <f ca="1">IFERROR(__xludf.DUMMYFUNCTION("GOOGLEFINANCE(""FRA:TOM"", ""marketcap"")*GOOGLEFINANCE(""CURRENCY:EURUSD"")"),205402399738.346)</f>
        <v>205402399738.34601</v>
      </c>
      <c r="E4" s="4">
        <f ca="1">IFERROR(__xludf.DUMMYFUNCTION("D4+ 19352102000000*GOOGLEFINANCE(""CURRENCY:JPYUSD"")"),339095699729.674)</f>
        <v>339095699729.67401</v>
      </c>
      <c r="F4" s="6">
        <f ca="1">IFERROR(__xludf.DUMMYFUNCTION("30956378000000*GOOGLEFINANCE(""CURRENCY:JPYUSD"")"),213861022983.392)</f>
        <v>213861022983.392</v>
      </c>
      <c r="G4" s="6">
        <f ca="1">IFERROR(__xludf.DUMMYFUNCTION("5767324000000*GOOGLEFINANCE(""CURRENCY:JPYUSD"")"),39843350230.336)</f>
        <v>39843350230.335999</v>
      </c>
      <c r="H4" s="5">
        <f ca="1">IFERROR(__xludf.DUMMYFUNCTION("3998688000000*GOOGLEFINANCE(""CURRENCY:JPYUSD"")"),27624792095.232)</f>
        <v>27624792095.231998</v>
      </c>
      <c r="I4" s="5">
        <f ca="1">IFERROR(__xludf.DUMMYFUNCTION("3105988000000*GOOGLEFINANCE(""CURRENCY:JPYUSD"")"),21457606282.432)</f>
        <v>21457606282.431999</v>
      </c>
      <c r="J4" s="7">
        <f t="shared" ca="1" si="0"/>
        <v>1.5855890662040248</v>
      </c>
      <c r="K4" s="7">
        <f t="shared" ca="1" si="1"/>
        <v>8.5107225614650428</v>
      </c>
      <c r="L4" s="7">
        <f t="shared" ca="1" si="2"/>
        <v>12.275049837866526</v>
      </c>
      <c r="M4" s="7">
        <f t="shared" ca="1" si="3"/>
        <v>9.5724750018605409</v>
      </c>
      <c r="N4" s="7" t="e">
        <f ca="1">B4/C4</f>
        <v>#VALUE!</v>
      </c>
      <c r="O4" s="7"/>
      <c r="P4" s="7"/>
      <c r="Q4" s="7"/>
      <c r="R4" s="7"/>
      <c r="S4" s="7"/>
      <c r="T4" s="7"/>
    </row>
    <row r="5" spans="1:20">
      <c r="A5" s="2" t="s">
        <v>23</v>
      </c>
      <c r="B5" s="4">
        <f ca="1">IFERROR(__xludf.DUMMYFUNCTION("GOOGLEFINANCE(""ETR:VOW3"",""price"")*GOOGLEFINANCE(""CURRENCY:EURUSD"")"),123.89728)</f>
        <v>123.89727999999999</v>
      </c>
      <c r="C5" s="4">
        <f ca="1">IFERROR(__xludf.DUMMYFUNCTION("GOOGLEFINANCE(""ETR:VOW3"",""eps"")*GOOGLEFINANCE(""CURRENCY:EURUSD"")"),33.307196)</f>
        <v>33.307195999999998</v>
      </c>
      <c r="D5" s="4">
        <f ca="1">IFERROR(__xludf.DUMMYFUNCTION("GOOGLEFINANCE(""ETR:VOW3"", ""marketcap"")*GOOGLEFINANCE(""CURRENCY:EURUSD"")"),74792810088.36)</f>
        <v>74792810088.360001</v>
      </c>
      <c r="E5" s="4">
        <f ca="1">IFERROR(__xludf.DUMMYFUNCTION("D5+ 131122000000*GOOGLEFINANCE(""CURRENCY:EURUSD"")"),203318594488.36)</f>
        <v>203318594488.35999</v>
      </c>
      <c r="F5" s="4">
        <f ca="1">IFERROR(__xludf.DUMMYFUNCTION("250566000000*GOOGLEFINANCE(""CURRENCY:EURUSD"")"),245604793200)</f>
        <v>245604793200</v>
      </c>
      <c r="G5" s="5">
        <f ca="1">IFERROR(__xludf.DUMMYFUNCTION("53570000000*GOOGLEFINANCE(""CURRENCY:EURUSD"")"),52509314000)</f>
        <v>52509314000</v>
      </c>
      <c r="H5" s="5">
        <f ca="1">IFERROR(__xludf.DUMMYFUNCTION("25716000000*GOOGLEFINANCE(""CURRENCY:EURUSD"")"),25206823200)</f>
        <v>25206823200</v>
      </c>
      <c r="I5" s="5">
        <f ca="1">IFERROR(__xludf.DUMMYFUNCTION("18154000000*GOOGLEFINANCE(""CURRENCY:EURUSD"")"),17794550800)</f>
        <v>17794550800</v>
      </c>
      <c r="J5" s="7">
        <f t="shared" ca="1" si="0"/>
        <v>0.827828283965103</v>
      </c>
      <c r="K5" s="7">
        <f t="shared" ca="1" si="1"/>
        <v>3.8720481948851968</v>
      </c>
      <c r="L5" s="7">
        <f t="shared" ca="1" si="2"/>
        <v>8.0660142246072475</v>
      </c>
      <c r="M5" s="7">
        <f t="shared" ca="1" si="3"/>
        <v>4.203129987881459</v>
      </c>
      <c r="N5" s="7">
        <f t="shared" ca="1" si="4"/>
        <v>3.7198351971748087</v>
      </c>
      <c r="O5" s="7"/>
      <c r="P5" s="7"/>
      <c r="Q5" s="7"/>
      <c r="R5" s="7"/>
      <c r="S5" s="7"/>
      <c r="T5" s="7"/>
    </row>
    <row r="6" spans="1:20">
      <c r="A6" s="2" t="s">
        <v>24</v>
      </c>
      <c r="B6" s="4">
        <f ca="1">IFERROR(__xludf.DUMMYFUNCTION("GOOGLEFINANCE(""FRA:MBG"",""price"")*GOOGLEFINANCE(""CURRENCY:EURUSD"")"),51.0488159999999)</f>
        <v>51.048815999999903</v>
      </c>
      <c r="C6" s="4">
        <f ca="1">IFERROR(__xludf.DUMMYFUNCTION("GOOGLEFINANCE(""FRA:MBG"",""eps"")*GOOGLEFINANCE(""CURRENCY:EURUSD"")"),12.683788)</f>
        <v>12.683788</v>
      </c>
      <c r="D6" s="4">
        <f ca="1">IFERROR(__xludf.DUMMYFUNCTION("GOOGLEFINANCE(""FRA:MBG"", ""marketcap"")*GOOGLEFINANCE(""CURRENCY:EURUSD"")"),75716320.4174)</f>
        <v>75716320.417400002</v>
      </c>
      <c r="E6" s="4">
        <f ca="1">IFERROR(__xludf.DUMMYFUNCTION("D6+84286000000*GOOGLEFINANCE(""CURRENCY:EURUSD"")"),82692853520.4174)</f>
        <v>82692853520.417404</v>
      </c>
      <c r="F6" s="5">
        <f ca="1">IFERROR(__xludf.DUMMYFUNCTION("135869000000*GOOGLEFINANCE(""CURRENCY:EURUSD"")"),133178793800)</f>
        <v>133178793800</v>
      </c>
      <c r="G6" s="5">
        <f ca="1">IFERROR(__xludf.DUMMYFUNCTION("23531000000*GOOGLEFINANCE(""CURRENCY:EURUSD"")"),23065086200)</f>
        <v>23065086200</v>
      </c>
      <c r="H6" s="5">
        <f ca="1">IFERROR(__xludf.DUMMYFUNCTION("16756000000*GOOGLEFINANCE(""CURRENCY:EURUSD"")"),16424231200)</f>
        <v>16424231200</v>
      </c>
      <c r="I6" s="5">
        <f ca="1">IFERROR(__xludf.DUMMYFUNCTION("22206000000*GOOGLEFINANCE(""CURRENCY:EURUSD"")"),21766321200)</f>
        <v>21766321200</v>
      </c>
      <c r="J6" s="7">
        <f t="shared" ca="1" si="0"/>
        <v>0.62091607200317955</v>
      </c>
      <c r="K6" s="7">
        <f t="shared" ca="1" si="1"/>
        <v>3.5851959452211979</v>
      </c>
      <c r="L6" s="7">
        <f t="shared" ca="1" si="2"/>
        <v>5.0348081753998573</v>
      </c>
      <c r="M6" s="7">
        <f t="shared" ca="1" si="3"/>
        <v>3.4785997928487799E-3</v>
      </c>
      <c r="N6" s="7">
        <f t="shared" ca="1" si="4"/>
        <v>4.0247295208655256</v>
      </c>
      <c r="O6" s="7"/>
      <c r="P6" s="7"/>
      <c r="Q6" s="7"/>
      <c r="R6" s="7"/>
      <c r="S6" s="7"/>
      <c r="T6" s="7"/>
    </row>
    <row r="7" spans="1:20">
      <c r="A7" s="2" t="s">
        <v>25</v>
      </c>
      <c r="B7" s="4">
        <f ca="1">IFERROR(__xludf.DUMMYFUNCTION("GOOGLEFINANCE(""ETR:BMW"",""price"")*GOOGLEFINANCE(""CURRENCY:EURUSD"")"),68.604198)</f>
        <v>68.604197999999997</v>
      </c>
      <c r="C7" s="4">
        <f ca="1">IFERROR(__xludf.DUMMYFUNCTION("GOOGLEFINANCE(""ETR:BMW"",""eps"")*GOOGLEFINANCE(""CURRENCY:EURUSD"")"),26.4359939999999)</f>
        <v>26.435993999999901</v>
      </c>
      <c r="D7" s="4">
        <f ca="1">IFERROR(__xludf.DUMMYFUNCTION("GOOGLEFINANCE(""ETR:BMW"", ""marketcap"")*GOOGLEFINANCE(""CURRENCY:EURUSD"")"),44567964305.7532)</f>
        <v>44567964305.753197</v>
      </c>
      <c r="E7" s="4">
        <f ca="1">IFERROR(__xludf.DUMMYFUNCTION("D7+65304000000*GOOGLEFINANCE(""CURRENCY:EURUSD"")"),108578945105.753)</f>
        <v>108578945105.75301</v>
      </c>
      <c r="F7" s="5">
        <f ca="1">IFERROR(__xludf.DUMMYFUNCTION("115603000000*GOOGLEFINANCE(""CURRENCY:EURUSD"")"),113314060600)</f>
        <v>113314060600</v>
      </c>
      <c r="G7" s="8">
        <f ca="1">IFERROR(__xludf.DUMMYFUNCTION("31483000000*GOOGLEFINANCE(""CURRENCY:EURUSD"")"),30859636600)</f>
        <v>30859636600</v>
      </c>
      <c r="H7" s="8">
        <f ca="1">IFERROR(__xludf.DUMMYFUNCTION("24747000000*GOOGLEFINANCE(""CURRENCY:EURUSD"")"),24257009400)</f>
        <v>24257009400</v>
      </c>
      <c r="I7" s="8">
        <f ca="1">IFERROR(__xludf.DUMMYFUNCTION("19712000000*GOOGLEFINANCE(""CURRENCY:EURUSD"")"),19321702400)</f>
        <v>19321702400</v>
      </c>
      <c r="J7" s="7">
        <f t="shared" ca="1" si="0"/>
        <v>0.9582124630502652</v>
      </c>
      <c r="K7" s="7">
        <f t="shared" ca="1" si="1"/>
        <v>3.5184777615220848</v>
      </c>
      <c r="L7" s="7">
        <f t="shared" ca="1" si="2"/>
        <v>4.4761884416696898</v>
      </c>
      <c r="M7" s="7">
        <f t="shared" ca="1" si="3"/>
        <v>2.3066271999797077</v>
      </c>
      <c r="N7" s="7">
        <f t="shared" ca="1" si="4"/>
        <v>2.595105672969976</v>
      </c>
      <c r="O7" s="7"/>
      <c r="P7" s="7"/>
      <c r="Q7" s="7"/>
      <c r="R7" s="7"/>
      <c r="S7" s="7"/>
      <c r="T7" s="7"/>
    </row>
    <row r="8" spans="1:20">
      <c r="A8" s="2" t="s">
        <v>26</v>
      </c>
      <c r="B8" s="4">
        <f ca="1">IFERROR(__xludf.DUMMYFUNCTION("GOOGLEFINANCE(""NYSE:HMC"",""price"")"),21.59)</f>
        <v>21.59</v>
      </c>
      <c r="C8" s="4">
        <f ca="1">IFERROR(__xludf.DUMMYFUNCTION("GOOGLEFINANCE(""NYSE:HMC"",""eps"")"),2.56)</f>
        <v>2.56</v>
      </c>
      <c r="D8" s="4">
        <f ca="1">IFERROR(__xludf.DUMMYFUNCTION("GOOGLEFINANCE(""NYSE:HMC"", ""marketcap"")"),38927914545)</f>
        <v>38927914545</v>
      </c>
      <c r="E8" s="4">
        <f ca="1">IFERROR(__xludf.DUMMYFUNCTION("D8+4899290000000*GOOGLEFINANCE(""CURRENCY:JPYUSD"")"),72774483135.56)</f>
        <v>72774483135.559998</v>
      </c>
      <c r="F8" s="8">
        <f ca="1">IFERROR(__xludf.DUMMYFUNCTION("14300819000000*GOOGLEFINANCE(""CURRENCY:JPYUSD"")"),98796693232.016)</f>
        <v>98796693232.016006</v>
      </c>
      <c r="G8" s="5">
        <f ca="1">IFERROR(__xludf.DUMMYFUNCTION("1753250000000*GOOGLEFINANCE(""CURRENCY:JPYUSD"")"),12112264508)</f>
        <v>12112264508</v>
      </c>
      <c r="H8" s="5">
        <f ca="1">IFERROR(__xludf.DUMMYFUNCTION("1115567000000*GOOGLEFINANCE(""CURRENCY:JPYUSD"")"),7706854459.088)</f>
        <v>7706854459.0880003</v>
      </c>
      <c r="I8" s="5">
        <f ca="1">IFERROR(__xludf.DUMMYFUNCTION("795492000000*GOOGLEFINANCE(""CURRENCY:JPYUSD"")"),5495627844.288)</f>
        <v>5495627844.2880001</v>
      </c>
      <c r="J8" s="7">
        <f t="shared" ca="1" si="0"/>
        <v>0.73660849118355654</v>
      </c>
      <c r="K8" s="7">
        <f t="shared" ca="1" si="1"/>
        <v>6.0083300763035155</v>
      </c>
      <c r="L8" s="7">
        <f t="shared" ca="1" si="2"/>
        <v>9.4428256718593655</v>
      </c>
      <c r="M8" s="7">
        <f t="shared" ca="1" si="3"/>
        <v>7.0834335307949523</v>
      </c>
      <c r="N8" s="7">
        <f t="shared" ca="1" si="4"/>
        <v>8.43359375</v>
      </c>
      <c r="O8" s="7"/>
      <c r="P8" s="7"/>
      <c r="Q8" s="7"/>
      <c r="R8" s="7"/>
      <c r="S8" s="7"/>
      <c r="T8" s="7"/>
    </row>
    <row r="9" spans="1:20">
      <c r="A9" s="1" t="s">
        <v>27</v>
      </c>
      <c r="B9" s="9">
        <f ca="1">IFERROR(__xludf.DUMMYFUNCTION("GOOGLEFINANCE(""ETR:TL0"",""price"")*GOOGLEFINANCE(""CURRENCY:EURUSD"")"),273.81887)</f>
        <v>273.81887</v>
      </c>
      <c r="C9" s="9" t="str">
        <f ca="1">IFERROR(__xludf.DUMMYFUNCTION("GOOGLEFINANCE(""ETR:TL0"",""eps"")"),"#N/A")</f>
        <v>#N/A</v>
      </c>
      <c r="D9" s="9">
        <f ca="1">IFERROR(__xludf.DUMMYFUNCTION("GOOGLEFINANCE(""ETR:TL0"", ""marketcap"")*GOOGLEFINANCE(""CURRENCY:EURUSD"")"),814696089733.5)</f>
        <v>814696089733.5</v>
      </c>
      <c r="E9" s="10">
        <f ca="1">IFERROR(__xludf.DUMMYFUNCTION("D9+5533000000*GOOGLEFINANCE(""CURRENCY:EURUSD"")"),820119536333.5)</f>
        <v>820119536333.5</v>
      </c>
      <c r="F9" s="5">
        <f ca="1">IFERROR(__xludf.DUMMYFUNCTION("62190000000*GOOGLEFINANCE(""CURRENCY:EURUSD"")"),60958638000)</f>
        <v>60958638000</v>
      </c>
      <c r="G9" s="11">
        <f ca="1">IFERROR(__xludf.DUMMYFUNCTION("12939000000*GOOGLEFINANCE(""CURRENCY:EURUSD"")"),12682807800)</f>
        <v>12682807800</v>
      </c>
      <c r="H9" s="11">
        <f ca="1">IFERROR(__xludf.DUMMYFUNCTION("9769000000*GOOGLEFINANCE(""CURRENCY:EURUSD"")"),9575573800)</f>
        <v>9575573800</v>
      </c>
      <c r="I9" s="11">
        <f ca="1">IFERROR(__xludf.DUMMYFUNCTION("8399000000*GOOGLEFINANCE(""CURRENCY:EURUSD"")"),8232699800)</f>
        <v>8232699800</v>
      </c>
      <c r="J9" s="12">
        <f t="shared" ca="1" si="0"/>
        <v>13.453705057083132</v>
      </c>
      <c r="K9" s="12">
        <f t="shared" ca="1" si="1"/>
        <v>64.663878004482569</v>
      </c>
      <c r="L9" s="12">
        <f t="shared" ca="1" si="2"/>
        <v>85.64703833555123</v>
      </c>
      <c r="M9" s="12">
        <f t="shared" ca="1" si="3"/>
        <v>98.958556673413497</v>
      </c>
      <c r="N9" s="12" t="e">
        <f t="shared" ca="1" si="4"/>
        <v>#VALUE!</v>
      </c>
      <c r="O9" s="7"/>
      <c r="P9" s="7"/>
      <c r="Q9" s="7"/>
      <c r="R9" s="7"/>
      <c r="S9" s="7"/>
      <c r="T9" s="7"/>
    </row>
    <row r="10" spans="1:20">
      <c r="M10" s="13"/>
    </row>
    <row r="11" spans="1:20">
      <c r="A11" s="14" t="s">
        <v>28</v>
      </c>
      <c r="J11" s="15">
        <f t="shared" ref="J11:N11" ca="1" si="5">AVERAGE(J2:J9)</f>
        <v>2.4500651585291173</v>
      </c>
      <c r="K11" s="15">
        <f t="shared" ca="1" si="5"/>
        <v>12.253473060824826</v>
      </c>
      <c r="L11" s="15">
        <f t="shared" ca="1" si="5"/>
        <v>17.398625577639159</v>
      </c>
      <c r="M11" s="15">
        <f t="shared" ca="1" si="5"/>
        <v>16.413640065608558</v>
      </c>
      <c r="N11" s="15" t="e">
        <f t="shared" ca="1" si="5"/>
        <v>#VALUE!</v>
      </c>
    </row>
    <row r="12" spans="1:20">
      <c r="A12" s="14" t="s">
        <v>29</v>
      </c>
      <c r="J12" s="15">
        <f t="shared" ref="J12:N12" ca="1" si="6">J9/J11</f>
        <v>5.4911621473610062</v>
      </c>
      <c r="K12" s="15">
        <f t="shared" ca="1" si="6"/>
        <v>5.2771877559528262</v>
      </c>
      <c r="L12" s="15">
        <f t="shared" ca="1" si="6"/>
        <v>4.9226324202082621</v>
      </c>
      <c r="M12" s="15">
        <f t="shared" ca="1" si="6"/>
        <v>6.0290439096907589</v>
      </c>
      <c r="N12" s="15" t="e">
        <f t="shared" ca="1" si="6"/>
        <v>#VALUE!</v>
      </c>
    </row>
    <row r="13" spans="1:20">
      <c r="A13" s="14" t="s">
        <v>30</v>
      </c>
      <c r="J13" s="16">
        <f t="shared" ref="J13:N13" ca="1" si="7">$B$9/J12</f>
        <v>49.865376882304311</v>
      </c>
      <c r="K13" s="16">
        <f t="shared" ca="1" si="7"/>
        <v>51.887270770520551</v>
      </c>
      <c r="L13" s="16">
        <f t="shared" ca="1" si="7"/>
        <v>55.624480283339039</v>
      </c>
      <c r="M13" s="16">
        <f t="shared" ca="1" si="7"/>
        <v>45.416632239131374</v>
      </c>
      <c r="N13" s="17" t="e">
        <f t="shared" ca="1" si="7"/>
        <v>#VALUE!</v>
      </c>
    </row>
    <row r="14" spans="1:20">
      <c r="M14" s="18" t="s">
        <v>31</v>
      </c>
    </row>
    <row r="15" spans="1:20">
      <c r="A15" s="14" t="s">
        <v>32</v>
      </c>
      <c r="L15" s="16">
        <f ca="1">AVERAGE(J13:L13)</f>
        <v>52.459042645387967</v>
      </c>
      <c r="M15" s="17" t="str">
        <f ca="1">IFERROR(__xludf.DUMMYFUNCTION("L15*GOOGLEFINANCE(""ETR:TL0"",""shares"")"),"#N/A")</f>
        <v>#N/A</v>
      </c>
    </row>
    <row r="16" spans="1:20">
      <c r="A16" s="14" t="s">
        <v>33</v>
      </c>
      <c r="L16" s="19">
        <f ca="1">L15/B9-1</f>
        <v>-0.80841699242499987</v>
      </c>
      <c r="M16" s="20" t="s">
        <v>34</v>
      </c>
    </row>
    <row r="19" spans="3:4">
      <c r="C19" s="18"/>
      <c r="D19" s="18" t="s">
        <v>35</v>
      </c>
    </row>
    <row r="20" spans="3:4">
      <c r="C20" s="18"/>
      <c r="D20" s="18" t="s">
        <v>36</v>
      </c>
    </row>
    <row r="22" spans="3:4">
      <c r="C22" s="18"/>
      <c r="D22" s="18" t="s">
        <v>37</v>
      </c>
    </row>
    <row r="24" spans="3:4">
      <c r="C24" s="18"/>
      <c r="D24" s="18" t="s">
        <v>38</v>
      </c>
    </row>
    <row r="25" spans="3:4">
      <c r="C25" s="18"/>
      <c r="D25" s="18" t="s">
        <v>39</v>
      </c>
    </row>
    <row r="26" spans="3:4">
      <c r="C26" s="18"/>
      <c r="D26" s="18" t="s">
        <v>40</v>
      </c>
    </row>
    <row r="27" spans="3:4">
      <c r="C27" s="18"/>
      <c r="D27" s="21" t="s">
        <v>41</v>
      </c>
    </row>
    <row r="28" spans="3:4">
      <c r="D28" s="1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68"/>
  <sheetViews>
    <sheetView topLeftCell="A154" workbookViewId="0">
      <selection activeCell="F164" sqref="F164"/>
    </sheetView>
  </sheetViews>
  <sheetFormatPr defaultColWidth="12.6640625" defaultRowHeight="15.75" customHeight="1"/>
  <sheetData>
    <row r="1" spans="1:9">
      <c r="A1" s="22" t="s">
        <v>43</v>
      </c>
      <c r="B1" s="22" t="s">
        <v>44</v>
      </c>
      <c r="C1" s="22" t="s">
        <v>45</v>
      </c>
      <c r="D1" s="22" t="s">
        <v>46</v>
      </c>
    </row>
    <row r="2" spans="1:9">
      <c r="A2" s="35">
        <v>2022</v>
      </c>
      <c r="B2" s="23">
        <v>44683</v>
      </c>
      <c r="C2" s="23">
        <v>44665</v>
      </c>
      <c r="D2" s="24">
        <v>0.27750000000000002</v>
      </c>
      <c r="E2" s="25">
        <f t="shared" ref="E2:E101" si="0">D2*3*2*2</f>
        <v>3.33</v>
      </c>
      <c r="F2" s="2">
        <v>2022</v>
      </c>
    </row>
    <row r="3" spans="1:9">
      <c r="A3" s="36"/>
      <c r="B3" s="23">
        <v>44593</v>
      </c>
      <c r="C3" s="23">
        <v>44571</v>
      </c>
      <c r="D3" s="24">
        <v>0.52</v>
      </c>
      <c r="E3" s="25">
        <f t="shared" si="0"/>
        <v>6.24</v>
      </c>
      <c r="F3" s="2">
        <v>2021</v>
      </c>
      <c r="G3" s="25">
        <f>SUM(E4:E7)</f>
        <v>24.96</v>
      </c>
      <c r="H3" s="26">
        <f t="shared" ref="H3:H17" si="1">G3/G4-1</f>
        <v>0</v>
      </c>
      <c r="I3" s="27">
        <f>MEDIAN(H3:H17)</f>
        <v>2.1739130434782483E-2</v>
      </c>
    </row>
    <row r="4" spans="1:9">
      <c r="A4" s="35">
        <v>2021</v>
      </c>
      <c r="B4" s="23">
        <v>44501</v>
      </c>
      <c r="C4" s="28">
        <v>44480</v>
      </c>
      <c r="D4" s="24">
        <v>0.52</v>
      </c>
      <c r="E4" s="25">
        <f t="shared" si="0"/>
        <v>6.24</v>
      </c>
      <c r="F4" s="2">
        <v>2020</v>
      </c>
      <c r="G4" s="25">
        <f>SUM(E8:E11)</f>
        <v>24.96</v>
      </c>
      <c r="H4" s="26">
        <f t="shared" si="1"/>
        <v>1.9607843137254832E-2</v>
      </c>
    </row>
    <row r="5" spans="1:9">
      <c r="A5" s="37"/>
      <c r="B5" s="23">
        <v>44410</v>
      </c>
      <c r="C5" s="23">
        <v>44386</v>
      </c>
      <c r="D5" s="24">
        <v>0.52</v>
      </c>
      <c r="E5" s="25">
        <f t="shared" si="0"/>
        <v>6.24</v>
      </c>
      <c r="F5" s="2">
        <v>2019</v>
      </c>
      <c r="G5" s="25">
        <f>SUM(E12:E15)</f>
        <v>24.48</v>
      </c>
      <c r="H5" s="26">
        <f t="shared" si="1"/>
        <v>2.0000000000000018E-2</v>
      </c>
    </row>
    <row r="6" spans="1:9">
      <c r="A6" s="37"/>
      <c r="B6" s="23">
        <v>44319</v>
      </c>
      <c r="C6" s="23">
        <v>44295</v>
      </c>
      <c r="D6" s="24">
        <v>0.52</v>
      </c>
      <c r="E6" s="25">
        <f t="shared" si="0"/>
        <v>6.24</v>
      </c>
      <c r="F6" s="2">
        <v>2018</v>
      </c>
      <c r="G6" s="25">
        <f>SUM(E16:E19)</f>
        <v>24</v>
      </c>
      <c r="H6" s="26">
        <f t="shared" si="1"/>
        <v>2.0408163265306145E-2</v>
      </c>
    </row>
    <row r="7" spans="1:9">
      <c r="A7" s="36"/>
      <c r="B7" s="23">
        <v>44228</v>
      </c>
      <c r="C7" s="23">
        <v>44207</v>
      </c>
      <c r="D7" s="24">
        <v>0.52</v>
      </c>
      <c r="E7" s="25">
        <f t="shared" si="0"/>
        <v>6.24</v>
      </c>
      <c r="F7" s="2">
        <v>2017</v>
      </c>
      <c r="G7" s="25">
        <f>SUM(E20:E23)</f>
        <v>23.52</v>
      </c>
      <c r="H7" s="26">
        <f t="shared" si="1"/>
        <v>2.0833333333333259E-2</v>
      </c>
    </row>
    <row r="8" spans="1:9">
      <c r="A8" s="38">
        <v>2020</v>
      </c>
      <c r="B8" s="23">
        <v>44137</v>
      </c>
      <c r="C8" s="28">
        <v>44116</v>
      </c>
      <c r="D8" s="24">
        <v>0.52</v>
      </c>
      <c r="E8" s="25">
        <f t="shared" si="0"/>
        <v>6.24</v>
      </c>
      <c r="F8" s="2">
        <v>2016</v>
      </c>
      <c r="G8" s="25">
        <f>SUM(E24:E27)</f>
        <v>23.04</v>
      </c>
      <c r="H8" s="26">
        <f t="shared" si="1"/>
        <v>2.1276595744680771E-2</v>
      </c>
    </row>
    <row r="9" spans="1:9">
      <c r="A9" s="37"/>
      <c r="B9" s="23">
        <v>44046</v>
      </c>
      <c r="C9" s="23">
        <v>44022</v>
      </c>
      <c r="D9" s="24">
        <v>0.52</v>
      </c>
      <c r="E9" s="25">
        <f t="shared" si="0"/>
        <v>6.24</v>
      </c>
      <c r="F9" s="2">
        <v>2015</v>
      </c>
      <c r="G9" s="25">
        <f>SUM(E28:E31)</f>
        <v>22.56</v>
      </c>
      <c r="H9" s="26">
        <f t="shared" si="1"/>
        <v>2.1739130434782483E-2</v>
      </c>
    </row>
    <row r="10" spans="1:9">
      <c r="A10" s="37"/>
      <c r="B10" s="23">
        <v>43952</v>
      </c>
      <c r="C10" s="23">
        <v>43930</v>
      </c>
      <c r="D10" s="24">
        <v>0.52</v>
      </c>
      <c r="E10" s="25">
        <f t="shared" si="0"/>
        <v>6.24</v>
      </c>
      <c r="F10" s="2">
        <v>2014</v>
      </c>
      <c r="G10" s="25">
        <f>SUM(E32:E35)</f>
        <v>22.080000000000002</v>
      </c>
      <c r="H10" s="26">
        <f t="shared" si="1"/>
        <v>2.2222222222222143E-2</v>
      </c>
    </row>
    <row r="11" spans="1:9">
      <c r="A11" s="36"/>
      <c r="B11" s="23">
        <v>43864</v>
      </c>
      <c r="C11" s="23">
        <v>43840</v>
      </c>
      <c r="D11" s="24">
        <v>0.52</v>
      </c>
      <c r="E11" s="25">
        <f t="shared" si="0"/>
        <v>6.24</v>
      </c>
      <c r="F11" s="2">
        <v>2013</v>
      </c>
      <c r="G11" s="25">
        <f>SUM(E36:E39)</f>
        <v>21.6</v>
      </c>
      <c r="H11" s="26">
        <f t="shared" si="1"/>
        <v>2.2727272727272707E-2</v>
      </c>
    </row>
    <row r="12" spans="1:9">
      <c r="A12" s="38">
        <v>2019</v>
      </c>
      <c r="B12" s="23">
        <v>43770</v>
      </c>
      <c r="C12" s="28">
        <v>43748</v>
      </c>
      <c r="D12" s="24">
        <v>0.51</v>
      </c>
      <c r="E12" s="25">
        <f t="shared" si="0"/>
        <v>6.12</v>
      </c>
      <c r="F12" s="2">
        <v>2012</v>
      </c>
      <c r="G12" s="25">
        <f>SUM(E40:E43)</f>
        <v>21.12</v>
      </c>
      <c r="H12" s="26">
        <f t="shared" si="1"/>
        <v>-8.8082901554404014E-2</v>
      </c>
    </row>
    <row r="13" spans="1:9">
      <c r="A13" s="37"/>
      <c r="B13" s="23">
        <v>43678</v>
      </c>
      <c r="C13" s="23">
        <v>43656</v>
      </c>
      <c r="D13" s="24">
        <v>0.51</v>
      </c>
      <c r="E13" s="25">
        <f t="shared" si="0"/>
        <v>6.12</v>
      </c>
      <c r="F13" s="2">
        <v>2011</v>
      </c>
      <c r="G13" s="25">
        <f>SUM(E23:E26)</f>
        <v>23.159999999999997</v>
      </c>
      <c r="H13" s="26">
        <f t="shared" si="1"/>
        <v>0.14880952380952372</v>
      </c>
    </row>
    <row r="14" spans="1:9">
      <c r="A14" s="37"/>
      <c r="B14" s="23">
        <v>43586</v>
      </c>
      <c r="C14" s="23">
        <v>43565</v>
      </c>
      <c r="D14" s="24">
        <v>0.51</v>
      </c>
      <c r="E14" s="25">
        <f t="shared" si="0"/>
        <v>6.12</v>
      </c>
      <c r="F14" s="2">
        <v>2010</v>
      </c>
      <c r="G14" s="25">
        <f>SUM(E48:E51)</f>
        <v>20.16</v>
      </c>
      <c r="H14" s="26">
        <f t="shared" si="1"/>
        <v>2.4390243902439046E-2</v>
      </c>
    </row>
    <row r="15" spans="1:9">
      <c r="A15" s="36"/>
      <c r="B15" s="23">
        <v>43497</v>
      </c>
      <c r="C15" s="23">
        <v>43475</v>
      </c>
      <c r="D15" s="24">
        <v>0.51</v>
      </c>
      <c r="E15" s="25">
        <f t="shared" si="0"/>
        <v>6.12</v>
      </c>
      <c r="F15" s="2">
        <v>2009</v>
      </c>
      <c r="G15" s="25">
        <f>SUM(E52:E55)</f>
        <v>19.68</v>
      </c>
      <c r="H15" s="26">
        <f t="shared" si="1"/>
        <v>2.4999999999999911E-2</v>
      </c>
    </row>
    <row r="16" spans="1:9">
      <c r="A16" s="35">
        <v>2018</v>
      </c>
      <c r="B16" s="23">
        <v>43405</v>
      </c>
      <c r="C16" s="28">
        <v>43383</v>
      </c>
      <c r="D16" s="24">
        <v>0.5</v>
      </c>
      <c r="E16" s="25">
        <f t="shared" si="0"/>
        <v>6</v>
      </c>
      <c r="F16" s="2">
        <v>2008</v>
      </c>
      <c r="G16" s="25">
        <f>SUM(E56:E59)</f>
        <v>19.200000000000003</v>
      </c>
      <c r="H16" s="26">
        <f t="shared" si="1"/>
        <v>0.12676056338028197</v>
      </c>
    </row>
    <row r="17" spans="1:8">
      <c r="A17" s="37"/>
      <c r="B17" s="23">
        <v>43313</v>
      </c>
      <c r="C17" s="23">
        <v>43291</v>
      </c>
      <c r="D17" s="24">
        <v>0.5</v>
      </c>
      <c r="E17" s="25">
        <f t="shared" si="0"/>
        <v>6</v>
      </c>
      <c r="F17" s="2">
        <v>2007</v>
      </c>
      <c r="G17" s="25">
        <f>SUM(E60:E63)</f>
        <v>17.04</v>
      </c>
      <c r="H17" s="26">
        <f t="shared" si="1"/>
        <v>6.7669172932330657E-2</v>
      </c>
    </row>
    <row r="18" spans="1:8">
      <c r="A18" s="37"/>
      <c r="B18" s="23">
        <v>43221</v>
      </c>
      <c r="C18" s="23">
        <v>43200</v>
      </c>
      <c r="D18" s="24">
        <v>0.5</v>
      </c>
      <c r="E18" s="25">
        <f t="shared" si="0"/>
        <v>6</v>
      </c>
      <c r="F18" s="2">
        <v>2006</v>
      </c>
      <c r="G18" s="25">
        <f>SUM(E64:E67)</f>
        <v>15.96</v>
      </c>
    </row>
    <row r="19" spans="1:8">
      <c r="A19" s="36"/>
      <c r="B19" s="23">
        <v>43132</v>
      </c>
      <c r="C19" s="23">
        <v>43110</v>
      </c>
      <c r="D19" s="24">
        <v>0.5</v>
      </c>
      <c r="E19" s="25">
        <f t="shared" si="0"/>
        <v>6</v>
      </c>
      <c r="F19" s="2">
        <v>2005</v>
      </c>
    </row>
    <row r="20" spans="1:8">
      <c r="A20" s="35">
        <v>2017</v>
      </c>
      <c r="B20" s="23">
        <v>43040</v>
      </c>
      <c r="C20" s="28">
        <v>43018</v>
      </c>
      <c r="D20" s="24">
        <v>0.49</v>
      </c>
      <c r="E20" s="25">
        <f t="shared" si="0"/>
        <v>5.88</v>
      </c>
      <c r="F20" s="2">
        <v>2004</v>
      </c>
    </row>
    <row r="21" spans="1:8">
      <c r="A21" s="37"/>
      <c r="B21" s="23">
        <v>42948</v>
      </c>
      <c r="C21" s="23">
        <v>42926</v>
      </c>
      <c r="D21" s="24">
        <v>0.49</v>
      </c>
      <c r="E21" s="25">
        <f t="shared" si="0"/>
        <v>5.88</v>
      </c>
      <c r="F21" s="2">
        <v>2003</v>
      </c>
    </row>
    <row r="22" spans="1:8">
      <c r="A22" s="37"/>
      <c r="B22" s="23">
        <v>42856</v>
      </c>
      <c r="C22" s="23">
        <v>42835</v>
      </c>
      <c r="D22" s="24">
        <v>0.49</v>
      </c>
      <c r="E22" s="25">
        <f t="shared" si="0"/>
        <v>5.88</v>
      </c>
      <c r="F22" s="2">
        <v>2002</v>
      </c>
    </row>
    <row r="23" spans="1:8">
      <c r="A23" s="36"/>
      <c r="B23" s="23">
        <v>42767</v>
      </c>
      <c r="C23" s="23">
        <v>42745</v>
      </c>
      <c r="D23" s="24">
        <v>0.49</v>
      </c>
      <c r="E23" s="25">
        <f t="shared" si="0"/>
        <v>5.88</v>
      </c>
      <c r="F23" s="2">
        <v>2001</v>
      </c>
    </row>
    <row r="24" spans="1:8">
      <c r="A24" s="35">
        <v>2016</v>
      </c>
      <c r="B24" s="23">
        <v>42675</v>
      </c>
      <c r="C24" s="28">
        <v>42653</v>
      </c>
      <c r="D24" s="24">
        <v>0.48</v>
      </c>
      <c r="E24" s="25">
        <f t="shared" si="0"/>
        <v>5.76</v>
      </c>
      <c r="F24" s="2">
        <v>2000</v>
      </c>
    </row>
    <row r="25" spans="1:8">
      <c r="A25" s="37"/>
      <c r="B25" s="23">
        <v>42583</v>
      </c>
      <c r="C25" s="23">
        <v>42559</v>
      </c>
      <c r="D25" s="24">
        <v>0.48</v>
      </c>
      <c r="E25" s="25">
        <f t="shared" si="0"/>
        <v>5.76</v>
      </c>
      <c r="F25" s="2">
        <v>1999</v>
      </c>
    </row>
    <row r="26" spans="1:8">
      <c r="A26" s="37"/>
      <c r="B26" s="23">
        <v>42492</v>
      </c>
      <c r="C26" s="23">
        <v>42468</v>
      </c>
      <c r="D26" s="24">
        <v>0.48</v>
      </c>
      <c r="E26" s="25">
        <f t="shared" si="0"/>
        <v>5.76</v>
      </c>
      <c r="F26" s="2">
        <v>1998</v>
      </c>
    </row>
    <row r="27" spans="1:8">
      <c r="A27" s="36"/>
      <c r="B27" s="23">
        <v>42401</v>
      </c>
      <c r="C27" s="23">
        <v>42377</v>
      </c>
      <c r="D27" s="24">
        <v>0.48</v>
      </c>
      <c r="E27" s="25">
        <f t="shared" si="0"/>
        <v>5.76</v>
      </c>
      <c r="F27" s="2">
        <v>1997</v>
      </c>
    </row>
    <row r="28" spans="1:8">
      <c r="A28" s="35">
        <v>2015</v>
      </c>
      <c r="B28" s="23">
        <v>42310</v>
      </c>
      <c r="C28" s="23">
        <v>42286</v>
      </c>
      <c r="D28" s="24">
        <v>0.47</v>
      </c>
      <c r="E28" s="25">
        <f t="shared" si="0"/>
        <v>5.64</v>
      </c>
      <c r="F28" s="2">
        <v>1996</v>
      </c>
    </row>
    <row r="29" spans="1:8">
      <c r="A29" s="37"/>
      <c r="B29" s="23">
        <v>42219</v>
      </c>
      <c r="C29" s="23">
        <v>42195</v>
      </c>
      <c r="D29" s="24">
        <v>0.47</v>
      </c>
      <c r="E29" s="25">
        <f t="shared" si="0"/>
        <v>5.64</v>
      </c>
      <c r="F29" s="2">
        <v>1995</v>
      </c>
    </row>
    <row r="30" spans="1:8">
      <c r="A30" s="37"/>
      <c r="B30" s="23">
        <v>42125</v>
      </c>
      <c r="C30" s="23">
        <v>42104</v>
      </c>
      <c r="D30" s="24">
        <v>0.47</v>
      </c>
      <c r="E30" s="25">
        <f t="shared" si="0"/>
        <v>5.64</v>
      </c>
      <c r="F30" s="2">
        <v>1994</v>
      </c>
    </row>
    <row r="31" spans="1:8">
      <c r="A31" s="36"/>
      <c r="B31" s="23">
        <v>42037</v>
      </c>
      <c r="C31" s="23">
        <v>42013</v>
      </c>
      <c r="D31" s="24">
        <v>0.47</v>
      </c>
      <c r="E31" s="25">
        <f t="shared" si="0"/>
        <v>5.64</v>
      </c>
      <c r="F31" s="2">
        <v>1993</v>
      </c>
    </row>
    <row r="32" spans="1:8">
      <c r="A32" s="35">
        <v>2014</v>
      </c>
      <c r="B32" s="23">
        <v>41946</v>
      </c>
      <c r="C32" s="28">
        <v>41922</v>
      </c>
      <c r="D32" s="24">
        <v>0.46</v>
      </c>
      <c r="E32" s="25">
        <f t="shared" si="0"/>
        <v>5.5200000000000005</v>
      </c>
      <c r="F32" s="2">
        <v>1992</v>
      </c>
    </row>
    <row r="33" spans="1:7">
      <c r="A33" s="37"/>
      <c r="B33" s="23">
        <v>41852</v>
      </c>
      <c r="C33" s="23">
        <v>41830</v>
      </c>
      <c r="D33" s="24">
        <v>0.46</v>
      </c>
      <c r="E33" s="25">
        <f t="shared" si="0"/>
        <v>5.5200000000000005</v>
      </c>
      <c r="F33" s="2">
        <v>1991</v>
      </c>
    </row>
    <row r="34" spans="1:7">
      <c r="A34" s="37"/>
      <c r="B34" s="23">
        <v>41760</v>
      </c>
      <c r="C34" s="23">
        <v>41739</v>
      </c>
      <c r="D34" s="24">
        <v>0.46</v>
      </c>
      <c r="E34" s="25">
        <f t="shared" si="0"/>
        <v>5.5200000000000005</v>
      </c>
      <c r="F34" s="2">
        <v>1990</v>
      </c>
    </row>
    <row r="35" spans="1:7">
      <c r="A35" s="36"/>
      <c r="B35" s="23">
        <v>41673</v>
      </c>
      <c r="C35" s="23">
        <v>41649</v>
      </c>
      <c r="D35" s="24">
        <v>0.46</v>
      </c>
      <c r="E35" s="25">
        <f t="shared" si="0"/>
        <v>5.5200000000000005</v>
      </c>
      <c r="F35" s="2">
        <v>1989</v>
      </c>
    </row>
    <row r="36" spans="1:7">
      <c r="A36" s="35">
        <v>2013</v>
      </c>
      <c r="B36" s="23">
        <v>41579</v>
      </c>
      <c r="C36" s="28">
        <v>41557</v>
      </c>
      <c r="D36" s="24">
        <v>0.45</v>
      </c>
      <c r="E36" s="25">
        <f t="shared" si="0"/>
        <v>5.4</v>
      </c>
      <c r="F36" s="2">
        <v>1988</v>
      </c>
    </row>
    <row r="37" spans="1:7">
      <c r="A37" s="37"/>
      <c r="B37" s="23">
        <v>41487</v>
      </c>
      <c r="C37" s="23">
        <v>41465</v>
      </c>
      <c r="D37" s="24">
        <v>0.45</v>
      </c>
      <c r="E37" s="25">
        <f t="shared" si="0"/>
        <v>5.4</v>
      </c>
      <c r="F37" s="2">
        <v>1987</v>
      </c>
    </row>
    <row r="38" spans="1:7">
      <c r="A38" s="37"/>
      <c r="B38" s="23">
        <v>41395</v>
      </c>
      <c r="C38" s="23">
        <v>41374</v>
      </c>
      <c r="D38" s="24">
        <v>0.45</v>
      </c>
      <c r="E38" s="25">
        <f t="shared" si="0"/>
        <v>5.4</v>
      </c>
      <c r="F38" s="2">
        <v>1986</v>
      </c>
      <c r="G38" s="25">
        <f>SUM(E147:E150)</f>
        <v>6.3000000000000007</v>
      </c>
    </row>
    <row r="39" spans="1:7">
      <c r="A39" s="36"/>
      <c r="B39" s="23">
        <v>41306</v>
      </c>
      <c r="C39" s="23">
        <v>41284</v>
      </c>
      <c r="D39" s="24">
        <v>0.45</v>
      </c>
      <c r="E39" s="25">
        <f t="shared" si="0"/>
        <v>5.4</v>
      </c>
      <c r="F39" s="2">
        <v>1985</v>
      </c>
      <c r="G39" s="25">
        <f>SUM(E151:E154)</f>
        <v>5.9</v>
      </c>
    </row>
    <row r="40" spans="1:7">
      <c r="A40" s="35">
        <v>2012</v>
      </c>
      <c r="B40" s="23">
        <v>41214</v>
      </c>
      <c r="C40" s="28">
        <v>41192</v>
      </c>
      <c r="D40" s="24">
        <v>0.44</v>
      </c>
      <c r="E40" s="25">
        <f t="shared" si="0"/>
        <v>5.28</v>
      </c>
      <c r="F40" s="2">
        <v>1984</v>
      </c>
      <c r="G40" s="25">
        <f>SUM(E155:E157)</f>
        <v>4.1999999999999993</v>
      </c>
    </row>
    <row r="41" spans="1:7">
      <c r="A41" s="37"/>
      <c r="B41" s="23">
        <v>41122</v>
      </c>
      <c r="C41" s="23">
        <v>41100</v>
      </c>
      <c r="D41" s="24">
        <v>0.44</v>
      </c>
      <c r="E41" s="25">
        <f t="shared" si="0"/>
        <v>5.28</v>
      </c>
    </row>
    <row r="42" spans="1:7">
      <c r="A42" s="37"/>
      <c r="B42" s="23">
        <v>41030</v>
      </c>
      <c r="C42" s="23">
        <v>41009</v>
      </c>
      <c r="D42" s="24">
        <v>0.44</v>
      </c>
      <c r="E42" s="25">
        <f t="shared" si="0"/>
        <v>5.28</v>
      </c>
    </row>
    <row r="43" spans="1:7">
      <c r="A43" s="36"/>
      <c r="B43" s="23">
        <v>40940</v>
      </c>
      <c r="C43" s="23">
        <v>40918</v>
      </c>
      <c r="D43" s="24">
        <v>0.44</v>
      </c>
      <c r="E43" s="25">
        <f t="shared" si="0"/>
        <v>5.28</v>
      </c>
    </row>
    <row r="44" spans="1:7">
      <c r="A44" s="35">
        <v>2011</v>
      </c>
      <c r="B44" s="23">
        <v>40848</v>
      </c>
      <c r="C44" s="28">
        <v>40826</v>
      </c>
      <c r="D44" s="24">
        <v>0.43</v>
      </c>
      <c r="E44" s="25">
        <f t="shared" si="0"/>
        <v>5.16</v>
      </c>
    </row>
    <row r="45" spans="1:7">
      <c r="A45" s="37"/>
      <c r="B45" s="23">
        <v>40756</v>
      </c>
      <c r="C45" s="23">
        <v>40732</v>
      </c>
      <c r="D45" s="24">
        <v>0.43</v>
      </c>
      <c r="E45" s="25">
        <f t="shared" si="0"/>
        <v>5.16</v>
      </c>
    </row>
    <row r="46" spans="1:7">
      <c r="A46" s="37"/>
      <c r="B46" s="23">
        <v>40665</v>
      </c>
      <c r="C46" s="23">
        <v>40641</v>
      </c>
      <c r="D46" s="24">
        <v>0.43</v>
      </c>
      <c r="E46" s="25">
        <f t="shared" si="0"/>
        <v>5.16</v>
      </c>
    </row>
    <row r="47" spans="1:7">
      <c r="A47" s="36"/>
      <c r="B47" s="23">
        <v>40575</v>
      </c>
      <c r="C47" s="23">
        <v>40553</v>
      </c>
      <c r="D47" s="24">
        <v>0.43</v>
      </c>
      <c r="E47" s="25">
        <f t="shared" si="0"/>
        <v>5.16</v>
      </c>
    </row>
    <row r="48" spans="1:7">
      <c r="A48" s="35">
        <v>2010</v>
      </c>
      <c r="B48" s="23">
        <v>40483</v>
      </c>
      <c r="C48" s="23">
        <v>40459</v>
      </c>
      <c r="D48" s="24">
        <v>0.42</v>
      </c>
      <c r="E48" s="25">
        <f t="shared" si="0"/>
        <v>5.04</v>
      </c>
    </row>
    <row r="49" spans="1:5">
      <c r="A49" s="37"/>
      <c r="B49" s="23">
        <v>40392</v>
      </c>
      <c r="C49" s="23">
        <v>40368</v>
      </c>
      <c r="D49" s="24">
        <v>0.42</v>
      </c>
      <c r="E49" s="25">
        <f t="shared" si="0"/>
        <v>5.04</v>
      </c>
    </row>
    <row r="50" spans="1:5">
      <c r="A50" s="37"/>
      <c r="B50" s="23">
        <v>40301</v>
      </c>
      <c r="C50" s="23">
        <v>40277</v>
      </c>
      <c r="D50" s="24">
        <v>0.42</v>
      </c>
      <c r="E50" s="25">
        <f t="shared" si="0"/>
        <v>5.04</v>
      </c>
    </row>
    <row r="51" spans="1:5">
      <c r="A51" s="36"/>
      <c r="B51" s="23">
        <v>40210</v>
      </c>
      <c r="C51" s="23">
        <v>40186</v>
      </c>
      <c r="D51" s="24">
        <v>0.42</v>
      </c>
      <c r="E51" s="25">
        <f t="shared" si="0"/>
        <v>5.04</v>
      </c>
    </row>
    <row r="52" spans="1:5">
      <c r="A52" s="35">
        <v>2009</v>
      </c>
      <c r="B52" s="23">
        <v>40119</v>
      </c>
      <c r="C52" s="23">
        <v>40095</v>
      </c>
      <c r="D52" s="24">
        <v>0.41</v>
      </c>
      <c r="E52" s="25">
        <f t="shared" si="0"/>
        <v>4.92</v>
      </c>
    </row>
    <row r="53" spans="1:5">
      <c r="A53" s="37"/>
      <c r="B53" s="23">
        <v>40028</v>
      </c>
      <c r="C53" s="23">
        <v>40004</v>
      </c>
      <c r="D53" s="24">
        <v>0.41</v>
      </c>
      <c r="E53" s="25">
        <f t="shared" si="0"/>
        <v>4.92</v>
      </c>
    </row>
    <row r="54" spans="1:5">
      <c r="A54" s="37"/>
      <c r="B54" s="23">
        <v>39934</v>
      </c>
      <c r="C54" s="23">
        <v>39912</v>
      </c>
      <c r="D54" s="24">
        <v>0.41</v>
      </c>
      <c r="E54" s="25">
        <f t="shared" si="0"/>
        <v>4.92</v>
      </c>
    </row>
    <row r="55" spans="1:5">
      <c r="A55" s="36"/>
      <c r="B55" s="23">
        <v>39846</v>
      </c>
      <c r="C55" s="23">
        <v>39822</v>
      </c>
      <c r="D55" s="24">
        <v>0.41</v>
      </c>
      <c r="E55" s="25">
        <f t="shared" si="0"/>
        <v>4.92</v>
      </c>
    </row>
    <row r="56" spans="1:5">
      <c r="A56" s="35">
        <v>2008</v>
      </c>
      <c r="B56" s="23">
        <v>39755</v>
      </c>
      <c r="C56" s="28">
        <v>39731</v>
      </c>
      <c r="D56" s="24">
        <v>0.4</v>
      </c>
      <c r="E56" s="25">
        <f t="shared" si="0"/>
        <v>4.8000000000000007</v>
      </c>
    </row>
    <row r="57" spans="1:5">
      <c r="A57" s="37"/>
      <c r="B57" s="23">
        <v>39661</v>
      </c>
      <c r="C57" s="23">
        <v>39639</v>
      </c>
      <c r="D57" s="24">
        <v>0.4</v>
      </c>
      <c r="E57" s="25">
        <f t="shared" si="0"/>
        <v>4.8000000000000007</v>
      </c>
    </row>
    <row r="58" spans="1:5">
      <c r="A58" s="37"/>
      <c r="B58" s="23">
        <v>39569</v>
      </c>
      <c r="C58" s="23">
        <v>39548</v>
      </c>
      <c r="D58" s="24">
        <v>0.4</v>
      </c>
      <c r="E58" s="25">
        <f t="shared" si="0"/>
        <v>4.8000000000000007</v>
      </c>
    </row>
    <row r="59" spans="1:5">
      <c r="A59" s="36"/>
      <c r="B59" s="23">
        <v>39479</v>
      </c>
      <c r="C59" s="23">
        <v>39457</v>
      </c>
      <c r="D59" s="24">
        <v>0.4</v>
      </c>
      <c r="E59" s="25">
        <f t="shared" si="0"/>
        <v>4.8000000000000007</v>
      </c>
    </row>
    <row r="60" spans="1:5">
      <c r="A60" s="35">
        <v>2007</v>
      </c>
      <c r="B60" s="23">
        <v>39387</v>
      </c>
      <c r="C60" s="28">
        <v>39365</v>
      </c>
      <c r="D60" s="24">
        <v>0.35499999999999998</v>
      </c>
      <c r="E60" s="25">
        <f t="shared" si="0"/>
        <v>4.26</v>
      </c>
    </row>
    <row r="61" spans="1:5">
      <c r="A61" s="37"/>
      <c r="B61" s="23">
        <v>39295</v>
      </c>
      <c r="C61" s="23">
        <v>39273</v>
      </c>
      <c r="D61" s="24">
        <v>0.35499999999999998</v>
      </c>
      <c r="E61" s="25">
        <f t="shared" si="0"/>
        <v>4.26</v>
      </c>
    </row>
    <row r="62" spans="1:5">
      <c r="A62" s="37"/>
      <c r="B62" s="23">
        <v>39203</v>
      </c>
      <c r="C62" s="23">
        <v>39182</v>
      </c>
      <c r="D62" s="24">
        <v>0.35499999999999998</v>
      </c>
      <c r="E62" s="25">
        <f t="shared" si="0"/>
        <v>4.26</v>
      </c>
    </row>
    <row r="63" spans="1:5">
      <c r="A63" s="36"/>
      <c r="B63" s="23">
        <v>39114</v>
      </c>
      <c r="C63" s="23">
        <v>39092</v>
      </c>
      <c r="D63" s="24">
        <v>0.35499999999999998</v>
      </c>
      <c r="E63" s="25">
        <f t="shared" si="0"/>
        <v>4.26</v>
      </c>
    </row>
    <row r="64" spans="1:5">
      <c r="A64" s="35">
        <v>2006</v>
      </c>
      <c r="B64" s="23">
        <v>39022</v>
      </c>
      <c r="C64" s="28">
        <v>39000</v>
      </c>
      <c r="D64" s="24">
        <v>0.33250000000000002</v>
      </c>
      <c r="E64" s="25">
        <f t="shared" si="0"/>
        <v>3.99</v>
      </c>
    </row>
    <row r="65" spans="1:5">
      <c r="A65" s="37"/>
      <c r="B65" s="23">
        <v>38930</v>
      </c>
      <c r="C65" s="23">
        <v>38908</v>
      </c>
      <c r="D65" s="24">
        <v>0.33250000000000002</v>
      </c>
      <c r="E65" s="25">
        <f t="shared" si="0"/>
        <v>3.99</v>
      </c>
    </row>
    <row r="66" spans="1:5">
      <c r="A66" s="37"/>
      <c r="B66" s="23">
        <v>38838</v>
      </c>
      <c r="C66" s="23">
        <v>38817</v>
      </c>
      <c r="D66" s="24">
        <v>0.33250000000000002</v>
      </c>
      <c r="E66" s="25">
        <f t="shared" si="0"/>
        <v>3.99</v>
      </c>
    </row>
    <row r="67" spans="1:5">
      <c r="A67" s="36"/>
      <c r="B67" s="23">
        <v>38749</v>
      </c>
      <c r="C67" s="23">
        <v>38727</v>
      </c>
      <c r="D67" s="24">
        <v>0.33250000000000002</v>
      </c>
      <c r="E67" s="25">
        <f t="shared" si="0"/>
        <v>3.99</v>
      </c>
    </row>
    <row r="68" spans="1:5">
      <c r="A68" s="35">
        <v>2005</v>
      </c>
      <c r="B68" s="23">
        <v>38657</v>
      </c>
      <c r="C68" s="28">
        <v>38635</v>
      </c>
      <c r="D68" s="24">
        <v>0.32250000000000001</v>
      </c>
      <c r="E68" s="25">
        <f t="shared" si="0"/>
        <v>3.87</v>
      </c>
    </row>
    <row r="69" spans="1:5">
      <c r="A69" s="37"/>
      <c r="B69" s="23">
        <v>38565</v>
      </c>
      <c r="C69" s="23">
        <v>38541</v>
      </c>
      <c r="D69" s="24">
        <v>0.32250000000000001</v>
      </c>
      <c r="E69" s="25">
        <f t="shared" si="0"/>
        <v>3.87</v>
      </c>
    </row>
    <row r="70" spans="1:5">
      <c r="A70" s="37"/>
      <c r="B70" s="23">
        <v>38474</v>
      </c>
      <c r="C70" s="23">
        <v>38450</v>
      </c>
      <c r="D70" s="24">
        <v>0.32250000000000001</v>
      </c>
      <c r="E70" s="25">
        <f t="shared" si="0"/>
        <v>3.87</v>
      </c>
    </row>
    <row r="71" spans="1:5">
      <c r="A71" s="36"/>
      <c r="B71" s="23">
        <v>38384</v>
      </c>
      <c r="C71" s="23">
        <v>38362</v>
      </c>
      <c r="D71" s="24">
        <v>0.32250000000000001</v>
      </c>
      <c r="E71" s="25">
        <f t="shared" si="0"/>
        <v>3.87</v>
      </c>
    </row>
    <row r="72" spans="1:5">
      <c r="A72" s="35">
        <v>2004</v>
      </c>
      <c r="B72" s="23">
        <v>38292</v>
      </c>
      <c r="C72" s="23">
        <v>38268</v>
      </c>
      <c r="D72" s="24">
        <v>0.3125</v>
      </c>
      <c r="E72" s="25">
        <f t="shared" si="0"/>
        <v>3.75</v>
      </c>
    </row>
    <row r="73" spans="1:5">
      <c r="A73" s="37"/>
      <c r="B73" s="23">
        <v>38201</v>
      </c>
      <c r="C73" s="23">
        <v>38178</v>
      </c>
      <c r="D73" s="24">
        <v>0.3125</v>
      </c>
      <c r="E73" s="25">
        <f t="shared" si="0"/>
        <v>3.75</v>
      </c>
    </row>
    <row r="74" spans="1:5">
      <c r="A74" s="37"/>
      <c r="B74" s="23">
        <v>38110</v>
      </c>
      <c r="C74" s="23">
        <v>38087</v>
      </c>
      <c r="D74" s="24">
        <v>0.3125</v>
      </c>
      <c r="E74" s="25">
        <f t="shared" si="0"/>
        <v>3.75</v>
      </c>
    </row>
    <row r="75" spans="1:5">
      <c r="A75" s="36"/>
      <c r="B75" s="23">
        <v>38019</v>
      </c>
      <c r="C75" s="23">
        <v>37996</v>
      </c>
      <c r="D75" s="24">
        <v>0.3125</v>
      </c>
      <c r="E75" s="25">
        <f t="shared" si="0"/>
        <v>3.75</v>
      </c>
    </row>
    <row r="76" spans="1:5">
      <c r="A76" s="35">
        <v>2003</v>
      </c>
      <c r="B76" s="23">
        <v>37928</v>
      </c>
      <c r="C76" s="28">
        <v>37904</v>
      </c>
      <c r="D76" s="24">
        <v>0.28249999999999997</v>
      </c>
      <c r="E76" s="25">
        <f t="shared" si="0"/>
        <v>3.3899999999999997</v>
      </c>
    </row>
    <row r="77" spans="1:5">
      <c r="A77" s="37"/>
      <c r="B77" s="23">
        <v>37928</v>
      </c>
      <c r="C77" s="28">
        <v>37904</v>
      </c>
      <c r="D77" s="24">
        <v>0.1</v>
      </c>
      <c r="E77" s="25">
        <f t="shared" si="0"/>
        <v>1.2000000000000002</v>
      </c>
    </row>
    <row r="78" spans="1:5">
      <c r="A78" s="37"/>
      <c r="B78" s="23">
        <v>37834</v>
      </c>
      <c r="C78" s="23">
        <v>37812</v>
      </c>
      <c r="D78" s="24">
        <v>0.28249999999999997</v>
      </c>
      <c r="E78" s="25">
        <f t="shared" si="0"/>
        <v>3.3899999999999997</v>
      </c>
    </row>
    <row r="79" spans="1:5">
      <c r="A79" s="37"/>
      <c r="B79" s="23">
        <v>37834</v>
      </c>
      <c r="C79" s="23">
        <v>37812</v>
      </c>
      <c r="D79" s="24">
        <v>0.1</v>
      </c>
      <c r="E79" s="25">
        <f t="shared" si="0"/>
        <v>1.2000000000000002</v>
      </c>
    </row>
    <row r="80" spans="1:5">
      <c r="A80" s="37"/>
      <c r="B80" s="23">
        <v>37742</v>
      </c>
      <c r="C80" s="23">
        <v>37721</v>
      </c>
      <c r="D80" s="24">
        <v>0.28249999999999997</v>
      </c>
      <c r="E80" s="25">
        <f t="shared" si="0"/>
        <v>3.3899999999999997</v>
      </c>
    </row>
    <row r="81" spans="1:5">
      <c r="A81" s="37"/>
      <c r="B81" s="23">
        <v>37742</v>
      </c>
      <c r="C81" s="23">
        <v>37721</v>
      </c>
      <c r="D81" s="24">
        <v>0.05</v>
      </c>
      <c r="E81" s="25">
        <f t="shared" si="0"/>
        <v>0.60000000000000009</v>
      </c>
    </row>
    <row r="82" spans="1:5">
      <c r="A82" s="36"/>
      <c r="B82" s="23">
        <v>37655</v>
      </c>
      <c r="C82" s="23">
        <v>37631</v>
      </c>
      <c r="D82" s="24">
        <v>0.27</v>
      </c>
      <c r="E82" s="25">
        <f t="shared" si="0"/>
        <v>3.24</v>
      </c>
    </row>
    <row r="83" spans="1:5">
      <c r="A83" s="35">
        <v>2002</v>
      </c>
      <c r="B83" s="23">
        <v>37561</v>
      </c>
      <c r="C83" s="28">
        <v>37539</v>
      </c>
      <c r="D83" s="24">
        <v>0.27</v>
      </c>
      <c r="E83" s="25">
        <f t="shared" si="0"/>
        <v>3.24</v>
      </c>
    </row>
    <row r="84" spans="1:5">
      <c r="A84" s="37"/>
      <c r="B84" s="23">
        <v>37469</v>
      </c>
      <c r="C84" s="23">
        <v>37447</v>
      </c>
      <c r="D84" s="24">
        <v>0.27</v>
      </c>
      <c r="E84" s="25">
        <f t="shared" si="0"/>
        <v>3.24</v>
      </c>
    </row>
    <row r="85" spans="1:5">
      <c r="A85" s="37"/>
      <c r="B85" s="23">
        <v>37377</v>
      </c>
      <c r="C85" s="23">
        <v>37356</v>
      </c>
      <c r="D85" s="24">
        <v>0.27</v>
      </c>
      <c r="E85" s="25">
        <f t="shared" si="0"/>
        <v>3.24</v>
      </c>
    </row>
    <row r="86" spans="1:5">
      <c r="A86" s="36"/>
      <c r="B86" s="23">
        <v>37288</v>
      </c>
      <c r="C86" s="23">
        <v>37266</v>
      </c>
      <c r="D86" s="24">
        <v>0.25624999999999998</v>
      </c>
      <c r="E86" s="25">
        <f t="shared" si="0"/>
        <v>3.0749999999999997</v>
      </c>
    </row>
    <row r="87" spans="1:5">
      <c r="A87" s="35">
        <v>2001</v>
      </c>
      <c r="B87" s="23">
        <v>37196</v>
      </c>
      <c r="C87" s="28">
        <v>37174</v>
      </c>
      <c r="D87" s="24">
        <v>0.25624999999999998</v>
      </c>
      <c r="E87" s="25">
        <f t="shared" si="0"/>
        <v>3.0749999999999997</v>
      </c>
    </row>
    <row r="88" spans="1:5">
      <c r="A88" s="37"/>
      <c r="B88" s="23">
        <v>37104</v>
      </c>
      <c r="C88" s="23">
        <v>37082</v>
      </c>
      <c r="D88" s="24">
        <v>0.25624999999999998</v>
      </c>
      <c r="E88" s="25">
        <f t="shared" si="0"/>
        <v>3.0749999999999997</v>
      </c>
    </row>
    <row r="89" spans="1:5">
      <c r="A89" s="37"/>
      <c r="B89" s="23">
        <v>37012</v>
      </c>
      <c r="C89" s="23">
        <v>36991</v>
      </c>
      <c r="D89" s="24">
        <v>0.25624999999999998</v>
      </c>
      <c r="E89" s="25">
        <f t="shared" si="0"/>
        <v>3.0749999999999997</v>
      </c>
    </row>
    <row r="90" spans="1:5">
      <c r="A90" s="36"/>
      <c r="B90" s="23">
        <v>36923</v>
      </c>
      <c r="C90" s="23">
        <v>36901</v>
      </c>
      <c r="D90" s="24">
        <v>0.25374999999999998</v>
      </c>
      <c r="E90" s="25">
        <f t="shared" si="0"/>
        <v>3.0449999999999999</v>
      </c>
    </row>
    <row r="91" spans="1:5">
      <c r="A91" s="35">
        <v>2000</v>
      </c>
      <c r="B91" s="23">
        <v>36831</v>
      </c>
      <c r="C91" s="28">
        <v>36809</v>
      </c>
      <c r="D91" s="24">
        <v>0.25374999999999998</v>
      </c>
      <c r="E91" s="25">
        <f t="shared" si="0"/>
        <v>3.0449999999999999</v>
      </c>
    </row>
    <row r="92" spans="1:5">
      <c r="A92" s="37"/>
      <c r="B92" s="23">
        <v>36739</v>
      </c>
      <c r="C92" s="23">
        <v>36717</v>
      </c>
      <c r="D92" s="24">
        <v>0.25374999999999998</v>
      </c>
      <c r="E92" s="25">
        <f t="shared" si="0"/>
        <v>3.0449999999999999</v>
      </c>
    </row>
    <row r="93" spans="1:5">
      <c r="A93" s="37"/>
      <c r="B93" s="23">
        <v>36647</v>
      </c>
      <c r="C93" s="23">
        <v>36626</v>
      </c>
      <c r="D93" s="24">
        <v>0.25374999999999998</v>
      </c>
      <c r="E93" s="25">
        <f t="shared" si="0"/>
        <v>3.0449999999999999</v>
      </c>
    </row>
    <row r="94" spans="1:5">
      <c r="A94" s="36"/>
      <c r="B94" s="23">
        <v>36557</v>
      </c>
      <c r="C94" s="23">
        <v>36535</v>
      </c>
      <c r="D94" s="24">
        <v>0.24374999999999999</v>
      </c>
      <c r="E94" s="25">
        <f t="shared" si="0"/>
        <v>2.9249999999999998</v>
      </c>
    </row>
    <row r="95" spans="1:5">
      <c r="A95" s="35">
        <v>1999</v>
      </c>
      <c r="B95" s="23">
        <v>36465</v>
      </c>
      <c r="C95" s="23">
        <v>36412</v>
      </c>
      <c r="D95" s="24">
        <v>0.24374999999999999</v>
      </c>
      <c r="E95" s="25">
        <f t="shared" si="0"/>
        <v>2.9249999999999998</v>
      </c>
    </row>
    <row r="96" spans="1:5">
      <c r="A96" s="37"/>
      <c r="B96" s="23">
        <v>36374</v>
      </c>
      <c r="C96" s="23">
        <v>36351</v>
      </c>
      <c r="D96" s="24">
        <v>0.24374999999999999</v>
      </c>
      <c r="E96" s="25">
        <f t="shared" si="0"/>
        <v>2.9249999999999998</v>
      </c>
    </row>
    <row r="97" spans="1:5">
      <c r="A97" s="37"/>
      <c r="B97" s="23">
        <v>36283</v>
      </c>
      <c r="C97" s="23">
        <v>36260</v>
      </c>
      <c r="D97" s="24">
        <v>0.24374999999999999</v>
      </c>
      <c r="E97" s="25">
        <f t="shared" si="0"/>
        <v>2.9249999999999998</v>
      </c>
    </row>
    <row r="98" spans="1:5">
      <c r="A98" s="36"/>
      <c r="B98" s="23">
        <v>36192</v>
      </c>
      <c r="C98" s="23">
        <v>36170</v>
      </c>
      <c r="D98" s="24">
        <v>0.23375000000000001</v>
      </c>
      <c r="E98" s="25">
        <f t="shared" si="0"/>
        <v>2.8050000000000002</v>
      </c>
    </row>
    <row r="99" spans="1:5">
      <c r="A99" s="35">
        <v>1998</v>
      </c>
      <c r="B99" s="23">
        <v>36101</v>
      </c>
      <c r="C99" s="28">
        <v>36078</v>
      </c>
      <c r="D99" s="24">
        <v>0.23375000000000001</v>
      </c>
      <c r="E99" s="25">
        <f t="shared" si="0"/>
        <v>2.8050000000000002</v>
      </c>
    </row>
    <row r="100" spans="1:5">
      <c r="A100" s="37"/>
      <c r="B100" s="23">
        <v>36010</v>
      </c>
      <c r="C100" s="23">
        <v>35986</v>
      </c>
      <c r="D100" s="24">
        <v>0.23375000000000001</v>
      </c>
      <c r="E100" s="25">
        <f t="shared" si="0"/>
        <v>2.8050000000000002</v>
      </c>
    </row>
    <row r="101" spans="1:5">
      <c r="A101" s="37"/>
      <c r="B101" s="23">
        <v>35916</v>
      </c>
      <c r="C101" s="23">
        <v>35895</v>
      </c>
      <c r="D101" s="24">
        <v>0.23375000000000001</v>
      </c>
      <c r="E101" s="25">
        <f t="shared" si="0"/>
        <v>2.8050000000000002</v>
      </c>
    </row>
    <row r="102" spans="1:5">
      <c r="A102" s="36"/>
      <c r="B102" s="23">
        <v>35828</v>
      </c>
      <c r="C102" s="23">
        <v>35805</v>
      </c>
      <c r="D102" s="24">
        <v>0.44750000000000001</v>
      </c>
      <c r="E102" s="25">
        <f t="shared" ref="E102:E120" si="2">D102*3*2</f>
        <v>2.6850000000000001</v>
      </c>
    </row>
    <row r="103" spans="1:5">
      <c r="A103" s="35">
        <v>1997</v>
      </c>
      <c r="B103" s="23">
        <v>35737</v>
      </c>
      <c r="C103" s="28">
        <v>35713</v>
      </c>
      <c r="D103" s="24">
        <v>0.44750000000000001</v>
      </c>
      <c r="E103" s="25">
        <f t="shared" si="2"/>
        <v>2.6850000000000001</v>
      </c>
    </row>
    <row r="104" spans="1:5">
      <c r="A104" s="37"/>
      <c r="B104" s="23">
        <v>35643</v>
      </c>
      <c r="C104" s="23">
        <v>35621</v>
      </c>
      <c r="D104" s="24">
        <v>0.44750000000000001</v>
      </c>
      <c r="E104" s="25">
        <f t="shared" si="2"/>
        <v>2.6850000000000001</v>
      </c>
    </row>
    <row r="105" spans="1:5">
      <c r="A105" s="37"/>
      <c r="B105" s="23">
        <v>35551</v>
      </c>
      <c r="C105" s="23">
        <v>35517</v>
      </c>
      <c r="D105" s="24">
        <v>0.44750000000000001</v>
      </c>
      <c r="E105" s="25">
        <f t="shared" si="2"/>
        <v>2.6850000000000001</v>
      </c>
    </row>
    <row r="106" spans="1:5">
      <c r="A106" s="36"/>
      <c r="B106" s="23">
        <v>35464</v>
      </c>
      <c r="C106" s="23">
        <v>35440</v>
      </c>
      <c r="D106" s="24">
        <v>0.43</v>
      </c>
      <c r="E106" s="25">
        <f t="shared" si="2"/>
        <v>2.58</v>
      </c>
    </row>
    <row r="107" spans="1:5">
      <c r="A107" s="35">
        <v>1996</v>
      </c>
      <c r="B107" s="23">
        <v>35370</v>
      </c>
      <c r="C107" s="28">
        <v>35348</v>
      </c>
      <c r="D107" s="24">
        <v>0.43</v>
      </c>
      <c r="E107" s="25">
        <f t="shared" si="2"/>
        <v>2.58</v>
      </c>
    </row>
    <row r="108" spans="1:5">
      <c r="A108" s="37"/>
      <c r="B108" s="23">
        <v>35278</v>
      </c>
      <c r="C108" s="23">
        <v>35256</v>
      </c>
      <c r="D108" s="24">
        <v>0.43</v>
      </c>
      <c r="E108" s="25">
        <f t="shared" si="2"/>
        <v>2.58</v>
      </c>
    </row>
    <row r="109" spans="1:5">
      <c r="A109" s="37"/>
      <c r="B109" s="23">
        <v>35186</v>
      </c>
      <c r="C109" s="23">
        <v>35165</v>
      </c>
      <c r="D109" s="24">
        <v>0.43</v>
      </c>
      <c r="E109" s="25">
        <f t="shared" si="2"/>
        <v>2.58</v>
      </c>
    </row>
    <row r="110" spans="1:5">
      <c r="A110" s="36"/>
      <c r="B110" s="23">
        <v>35096</v>
      </c>
      <c r="C110" s="23">
        <v>35074</v>
      </c>
      <c r="D110" s="24">
        <v>0.41249999999999998</v>
      </c>
      <c r="E110" s="25">
        <f t="shared" si="2"/>
        <v>2.4749999999999996</v>
      </c>
    </row>
    <row r="111" spans="1:5">
      <c r="A111" s="35">
        <v>1995</v>
      </c>
      <c r="B111" s="23">
        <v>35004</v>
      </c>
      <c r="C111" s="28">
        <v>34982</v>
      </c>
      <c r="D111" s="24">
        <v>0.41249999999999998</v>
      </c>
      <c r="E111" s="25">
        <f t="shared" si="2"/>
        <v>2.4749999999999996</v>
      </c>
    </row>
    <row r="112" spans="1:5">
      <c r="A112" s="37"/>
      <c r="B112" s="23">
        <v>34912</v>
      </c>
      <c r="C112" s="23">
        <v>34890</v>
      </c>
      <c r="D112" s="24">
        <v>0.41249999999999998</v>
      </c>
      <c r="E112" s="25">
        <f t="shared" si="2"/>
        <v>2.4749999999999996</v>
      </c>
    </row>
    <row r="113" spans="1:5">
      <c r="A113" s="37"/>
      <c r="B113" s="23">
        <v>34820</v>
      </c>
      <c r="C113" s="23">
        <v>34799</v>
      </c>
      <c r="D113" s="24">
        <v>0.41249999999999998</v>
      </c>
      <c r="E113" s="25">
        <f t="shared" si="2"/>
        <v>2.4749999999999996</v>
      </c>
    </row>
    <row r="114" spans="1:5">
      <c r="A114" s="36"/>
      <c r="B114" s="23">
        <v>34731</v>
      </c>
      <c r="C114" s="23">
        <v>34709</v>
      </c>
      <c r="D114" s="24">
        <v>0.39500000000000002</v>
      </c>
      <c r="E114" s="25">
        <f t="shared" si="2"/>
        <v>2.37</v>
      </c>
    </row>
    <row r="115" spans="1:5">
      <c r="A115" s="35">
        <v>1994</v>
      </c>
      <c r="B115" s="23">
        <v>34639</v>
      </c>
      <c r="C115" s="28">
        <v>34618</v>
      </c>
      <c r="D115" s="24">
        <v>0.39500000000000002</v>
      </c>
      <c r="E115" s="25">
        <f t="shared" si="2"/>
        <v>2.37</v>
      </c>
    </row>
    <row r="116" spans="1:5">
      <c r="A116" s="37"/>
      <c r="B116" s="23">
        <v>34547</v>
      </c>
      <c r="C116" s="23">
        <v>34525</v>
      </c>
      <c r="D116" s="24">
        <v>0.39500000000000002</v>
      </c>
      <c r="E116" s="25">
        <f t="shared" si="2"/>
        <v>2.37</v>
      </c>
    </row>
    <row r="117" spans="1:5">
      <c r="A117" s="37"/>
      <c r="B117" s="23">
        <v>34456</v>
      </c>
      <c r="C117" s="23">
        <v>34434</v>
      </c>
      <c r="D117" s="24">
        <v>0.39500000000000002</v>
      </c>
      <c r="E117" s="25">
        <f t="shared" si="2"/>
        <v>2.37</v>
      </c>
    </row>
    <row r="118" spans="1:5">
      <c r="A118" s="36"/>
      <c r="B118" s="23">
        <v>34366</v>
      </c>
      <c r="C118" s="23">
        <v>34344</v>
      </c>
      <c r="D118" s="24">
        <v>0.3775</v>
      </c>
      <c r="E118" s="25">
        <f t="shared" si="2"/>
        <v>2.2650000000000001</v>
      </c>
    </row>
    <row r="119" spans="1:5">
      <c r="A119" s="35">
        <v>1993</v>
      </c>
      <c r="B119" s="23">
        <v>34274</v>
      </c>
      <c r="C119" s="28">
        <v>34252</v>
      </c>
      <c r="D119" s="24">
        <v>0.3775</v>
      </c>
      <c r="E119" s="25">
        <f t="shared" si="2"/>
        <v>2.2650000000000001</v>
      </c>
    </row>
    <row r="120" spans="1:5">
      <c r="A120" s="37"/>
      <c r="B120" s="23">
        <v>34183</v>
      </c>
      <c r="C120" s="23">
        <v>34160</v>
      </c>
      <c r="D120" s="24">
        <v>0.3775</v>
      </c>
      <c r="E120" s="25">
        <f t="shared" si="2"/>
        <v>2.2650000000000001</v>
      </c>
    </row>
    <row r="121" spans="1:5">
      <c r="A121" s="37"/>
      <c r="B121" s="23">
        <v>34092</v>
      </c>
      <c r="C121" s="23">
        <v>34069</v>
      </c>
      <c r="D121" s="24">
        <v>0.3775</v>
      </c>
      <c r="E121" s="25">
        <f t="shared" ref="E121:E144" si="3">D121*3</f>
        <v>1.1325000000000001</v>
      </c>
    </row>
    <row r="122" spans="1:5">
      <c r="A122" s="36"/>
      <c r="B122" s="23">
        <v>34001</v>
      </c>
      <c r="C122" s="23">
        <v>33979</v>
      </c>
      <c r="D122" s="24">
        <v>0.73</v>
      </c>
      <c r="E122" s="25">
        <f t="shared" si="3"/>
        <v>2.19</v>
      </c>
    </row>
    <row r="123" spans="1:5">
      <c r="A123" s="35">
        <v>1992</v>
      </c>
      <c r="B123" s="23">
        <v>33910</v>
      </c>
      <c r="C123" s="28">
        <v>33888</v>
      </c>
      <c r="D123" s="24">
        <v>0.73</v>
      </c>
      <c r="E123" s="25">
        <f t="shared" si="3"/>
        <v>2.19</v>
      </c>
    </row>
    <row r="124" spans="1:5">
      <c r="A124" s="37"/>
      <c r="B124" s="23">
        <v>33819</v>
      </c>
      <c r="C124" s="23">
        <v>33795</v>
      </c>
      <c r="D124" s="24">
        <v>0.73</v>
      </c>
      <c r="E124" s="25">
        <f t="shared" si="3"/>
        <v>2.19</v>
      </c>
    </row>
    <row r="125" spans="1:5">
      <c r="A125" s="37"/>
      <c r="B125" s="23">
        <v>33725</v>
      </c>
      <c r="C125" s="23">
        <v>33704</v>
      </c>
      <c r="D125" s="24">
        <v>0.73</v>
      </c>
      <c r="E125" s="25">
        <f t="shared" si="3"/>
        <v>2.19</v>
      </c>
    </row>
    <row r="126" spans="1:5">
      <c r="A126" s="36"/>
      <c r="B126" s="23">
        <v>33637</v>
      </c>
      <c r="C126" s="23">
        <v>33613</v>
      </c>
      <c r="D126" s="24">
        <v>0.71</v>
      </c>
      <c r="E126" s="25">
        <f t="shared" si="3"/>
        <v>2.13</v>
      </c>
    </row>
    <row r="127" spans="1:5">
      <c r="A127" s="35">
        <v>1991</v>
      </c>
      <c r="B127" s="23">
        <v>33543</v>
      </c>
      <c r="C127" s="28">
        <v>33521</v>
      </c>
      <c r="D127" s="24">
        <v>0.71</v>
      </c>
      <c r="E127" s="25">
        <f t="shared" si="3"/>
        <v>2.13</v>
      </c>
    </row>
    <row r="128" spans="1:5">
      <c r="A128" s="37"/>
      <c r="B128" s="23">
        <v>33451</v>
      </c>
      <c r="C128" s="23">
        <v>33429</v>
      </c>
      <c r="D128" s="24">
        <v>0.71</v>
      </c>
      <c r="E128" s="25">
        <f t="shared" si="3"/>
        <v>2.13</v>
      </c>
    </row>
    <row r="129" spans="1:5">
      <c r="A129" s="37"/>
      <c r="B129" s="23">
        <v>33359</v>
      </c>
      <c r="C129" s="23">
        <v>33338</v>
      </c>
      <c r="D129" s="24">
        <v>0.71</v>
      </c>
      <c r="E129" s="25">
        <f t="shared" si="3"/>
        <v>2.13</v>
      </c>
    </row>
    <row r="130" spans="1:5">
      <c r="A130" s="36"/>
      <c r="B130" s="23">
        <v>33270</v>
      </c>
      <c r="C130" s="23">
        <v>33248</v>
      </c>
      <c r="D130" s="24">
        <v>0.69</v>
      </c>
      <c r="E130" s="25">
        <f t="shared" si="3"/>
        <v>2.0699999999999998</v>
      </c>
    </row>
    <row r="131" spans="1:5">
      <c r="A131" s="35">
        <v>1990</v>
      </c>
      <c r="B131" s="23">
        <v>33178</v>
      </c>
      <c r="C131" s="28">
        <v>33156</v>
      </c>
      <c r="D131" s="24">
        <v>0.69</v>
      </c>
      <c r="E131" s="25">
        <f t="shared" si="3"/>
        <v>2.0699999999999998</v>
      </c>
    </row>
    <row r="132" spans="1:5">
      <c r="A132" s="37"/>
      <c r="B132" s="23">
        <v>33086</v>
      </c>
      <c r="C132" s="23">
        <v>33064</v>
      </c>
      <c r="D132" s="24">
        <v>0.69</v>
      </c>
      <c r="E132" s="25">
        <f t="shared" si="3"/>
        <v>2.0699999999999998</v>
      </c>
    </row>
    <row r="133" spans="1:5">
      <c r="A133" s="37"/>
      <c r="B133" s="23">
        <v>32994</v>
      </c>
      <c r="C133" s="23">
        <v>32973</v>
      </c>
      <c r="D133" s="24">
        <v>0.69</v>
      </c>
      <c r="E133" s="25">
        <f t="shared" si="3"/>
        <v>2.0699999999999998</v>
      </c>
    </row>
    <row r="134" spans="1:5">
      <c r="A134" s="36"/>
      <c r="B134" s="23">
        <v>32905</v>
      </c>
      <c r="C134" s="23">
        <v>32883</v>
      </c>
      <c r="D134" s="24">
        <v>0.65</v>
      </c>
      <c r="E134" s="25">
        <f t="shared" si="3"/>
        <v>1.9500000000000002</v>
      </c>
    </row>
    <row r="135" spans="1:5">
      <c r="A135" s="35">
        <v>1989</v>
      </c>
      <c r="B135" s="23">
        <v>32813</v>
      </c>
      <c r="C135" s="28">
        <v>32791</v>
      </c>
      <c r="D135" s="24">
        <v>0.65</v>
      </c>
      <c r="E135" s="25">
        <f t="shared" si="3"/>
        <v>1.9500000000000002</v>
      </c>
    </row>
    <row r="136" spans="1:5">
      <c r="A136" s="37"/>
      <c r="B136" s="23">
        <v>32721</v>
      </c>
      <c r="C136" s="23">
        <v>32700</v>
      </c>
      <c r="D136" s="24">
        <v>0.65</v>
      </c>
      <c r="E136" s="25">
        <f t="shared" si="3"/>
        <v>1.9500000000000002</v>
      </c>
    </row>
    <row r="137" spans="1:5">
      <c r="A137" s="37"/>
      <c r="B137" s="23">
        <v>32629</v>
      </c>
      <c r="C137" s="23">
        <v>32608</v>
      </c>
      <c r="D137" s="24">
        <v>0.65</v>
      </c>
      <c r="E137" s="25">
        <f t="shared" si="3"/>
        <v>1.9500000000000002</v>
      </c>
    </row>
    <row r="138" spans="1:5">
      <c r="A138" s="36"/>
      <c r="B138" s="23">
        <v>32540</v>
      </c>
      <c r="C138" s="23">
        <v>32518</v>
      </c>
      <c r="D138" s="24">
        <v>0.62</v>
      </c>
      <c r="E138" s="25">
        <f t="shared" si="3"/>
        <v>1.8599999999999999</v>
      </c>
    </row>
    <row r="139" spans="1:5">
      <c r="A139" s="35">
        <v>1988</v>
      </c>
      <c r="B139" s="23">
        <v>32448</v>
      </c>
      <c r="C139" s="28">
        <v>32427</v>
      </c>
      <c r="D139" s="24">
        <v>0.62</v>
      </c>
      <c r="E139" s="25">
        <f t="shared" si="3"/>
        <v>1.8599999999999999</v>
      </c>
    </row>
    <row r="140" spans="1:5">
      <c r="A140" s="37"/>
      <c r="B140" s="23">
        <v>32356</v>
      </c>
      <c r="C140" s="23">
        <v>32332</v>
      </c>
      <c r="D140" s="24">
        <v>0.62</v>
      </c>
      <c r="E140" s="25">
        <f t="shared" si="3"/>
        <v>1.8599999999999999</v>
      </c>
    </row>
    <row r="141" spans="1:5">
      <c r="A141" s="37"/>
      <c r="B141" s="23">
        <v>32265</v>
      </c>
      <c r="C141" s="23">
        <v>32241</v>
      </c>
      <c r="D141" s="24">
        <v>0.62</v>
      </c>
      <c r="E141" s="25">
        <f t="shared" si="3"/>
        <v>1.8599999999999999</v>
      </c>
    </row>
    <row r="142" spans="1:5">
      <c r="A142" s="36"/>
      <c r="B142" s="23">
        <v>32174</v>
      </c>
      <c r="C142" s="23">
        <v>32150</v>
      </c>
      <c r="D142" s="24">
        <v>0.57999999999999996</v>
      </c>
      <c r="E142" s="25">
        <f t="shared" si="3"/>
        <v>1.7399999999999998</v>
      </c>
    </row>
    <row r="143" spans="1:5">
      <c r="A143" s="35">
        <v>1987</v>
      </c>
      <c r="B143" s="23">
        <v>32082</v>
      </c>
      <c r="C143" s="23">
        <v>32059</v>
      </c>
      <c r="D143" s="24">
        <v>0.57999999999999996</v>
      </c>
      <c r="E143" s="25">
        <f t="shared" si="3"/>
        <v>1.7399999999999998</v>
      </c>
    </row>
    <row r="144" spans="1:5">
      <c r="A144" s="37"/>
      <c r="B144" s="23">
        <v>31990</v>
      </c>
      <c r="C144" s="23">
        <v>31968</v>
      </c>
      <c r="D144" s="24">
        <v>0.57999999999999996</v>
      </c>
      <c r="E144" s="25">
        <f t="shared" si="3"/>
        <v>1.7399999999999998</v>
      </c>
    </row>
    <row r="145" spans="1:5">
      <c r="A145" s="37"/>
      <c r="B145" s="23">
        <v>31898</v>
      </c>
      <c r="C145" s="23">
        <v>31877</v>
      </c>
      <c r="D145" s="24">
        <v>1.74</v>
      </c>
      <c r="E145" s="25">
        <f t="shared" ref="E145:E157" si="4">D145</f>
        <v>1.74</v>
      </c>
    </row>
    <row r="146" spans="1:5">
      <c r="A146" s="36"/>
      <c r="B146" s="23">
        <v>31809</v>
      </c>
      <c r="C146" s="23">
        <v>31786</v>
      </c>
      <c r="D146" s="24">
        <v>1.6</v>
      </c>
      <c r="E146" s="25">
        <f t="shared" si="4"/>
        <v>1.6</v>
      </c>
    </row>
    <row r="147" spans="1:5">
      <c r="A147" s="35">
        <v>1986</v>
      </c>
      <c r="B147" s="23">
        <v>31717</v>
      </c>
      <c r="C147" s="28">
        <v>31695</v>
      </c>
      <c r="D147" s="24">
        <v>1.6</v>
      </c>
      <c r="E147" s="25">
        <f t="shared" si="4"/>
        <v>1.6</v>
      </c>
    </row>
    <row r="148" spans="1:5">
      <c r="A148" s="37"/>
      <c r="B148" s="23">
        <v>31625</v>
      </c>
      <c r="C148" s="23">
        <v>31603</v>
      </c>
      <c r="D148" s="24">
        <v>1.6</v>
      </c>
      <c r="E148" s="25">
        <f t="shared" si="4"/>
        <v>1.6</v>
      </c>
    </row>
    <row r="149" spans="1:5">
      <c r="A149" s="37"/>
      <c r="B149" s="23">
        <v>31533</v>
      </c>
      <c r="C149" s="23">
        <v>31512</v>
      </c>
      <c r="D149" s="24">
        <v>1.6</v>
      </c>
      <c r="E149" s="25">
        <f t="shared" si="4"/>
        <v>1.6</v>
      </c>
    </row>
    <row r="150" spans="1:5">
      <c r="A150" s="36"/>
      <c r="B150" s="23">
        <v>31444</v>
      </c>
      <c r="C150" s="23">
        <v>31422</v>
      </c>
      <c r="D150" s="24">
        <v>1.5</v>
      </c>
      <c r="E150" s="25">
        <f t="shared" si="4"/>
        <v>1.5</v>
      </c>
    </row>
    <row r="151" spans="1:5">
      <c r="A151" s="35">
        <v>1985</v>
      </c>
      <c r="B151" s="23">
        <v>31352</v>
      </c>
      <c r="C151" s="28">
        <v>31330</v>
      </c>
      <c r="D151" s="24">
        <v>1.5</v>
      </c>
      <c r="E151" s="25">
        <f t="shared" si="4"/>
        <v>1.5</v>
      </c>
    </row>
    <row r="152" spans="1:5">
      <c r="A152" s="37"/>
      <c r="B152" s="23">
        <v>31260</v>
      </c>
      <c r="C152" s="23">
        <v>31238</v>
      </c>
      <c r="D152" s="24">
        <v>1.5</v>
      </c>
      <c r="E152" s="25">
        <f t="shared" si="4"/>
        <v>1.5</v>
      </c>
    </row>
    <row r="153" spans="1:5">
      <c r="A153" s="37"/>
      <c r="B153" s="23">
        <v>31168</v>
      </c>
      <c r="C153" s="23">
        <v>31147</v>
      </c>
      <c r="D153" s="24">
        <v>1.5</v>
      </c>
      <c r="E153" s="25">
        <f t="shared" si="4"/>
        <v>1.5</v>
      </c>
    </row>
    <row r="154" spans="1:5">
      <c r="A154" s="36"/>
      <c r="B154" s="23">
        <v>31079</v>
      </c>
      <c r="C154" s="23">
        <v>31057</v>
      </c>
      <c r="D154" s="24">
        <v>1.4</v>
      </c>
      <c r="E154" s="25">
        <f t="shared" si="4"/>
        <v>1.4</v>
      </c>
    </row>
    <row r="155" spans="1:5">
      <c r="A155" s="35">
        <v>1984</v>
      </c>
      <c r="B155" s="23">
        <v>30987</v>
      </c>
      <c r="C155" s="23">
        <v>30953</v>
      </c>
      <c r="D155" s="24">
        <v>1.4</v>
      </c>
      <c r="E155" s="25">
        <f t="shared" si="4"/>
        <v>1.4</v>
      </c>
    </row>
    <row r="156" spans="1:5">
      <c r="A156" s="37"/>
      <c r="B156" s="23">
        <v>30895</v>
      </c>
      <c r="C156" s="23">
        <v>30862</v>
      </c>
      <c r="D156" s="24">
        <v>1.4</v>
      </c>
      <c r="E156" s="25">
        <f t="shared" si="4"/>
        <v>1.4</v>
      </c>
    </row>
    <row r="157" spans="1:5">
      <c r="A157" s="39"/>
      <c r="B157" s="29">
        <v>30803</v>
      </c>
      <c r="C157" s="29">
        <v>30771</v>
      </c>
      <c r="D157" s="30">
        <v>1.4</v>
      </c>
      <c r="E157" s="25">
        <f t="shared" si="4"/>
        <v>1.4</v>
      </c>
    </row>
    <row r="164" spans="1:1">
      <c r="A164" s="18" t="s">
        <v>47</v>
      </c>
    </row>
    <row r="165" spans="1:1">
      <c r="A165" s="18" t="s">
        <v>48</v>
      </c>
    </row>
    <row r="167" spans="1:1">
      <c r="A167" s="18" t="s">
        <v>49</v>
      </c>
    </row>
    <row r="168" spans="1:1">
      <c r="A168" s="18" t="s">
        <v>50</v>
      </c>
    </row>
  </sheetData>
  <mergeCells count="39">
    <mergeCell ref="A151:A154"/>
    <mergeCell ref="A155:A157"/>
    <mergeCell ref="A115:A118"/>
    <mergeCell ref="A119:A122"/>
    <mergeCell ref="A123:A126"/>
    <mergeCell ref="A127:A130"/>
    <mergeCell ref="A131:A134"/>
    <mergeCell ref="A135:A138"/>
    <mergeCell ref="A139:A142"/>
    <mergeCell ref="A103:A106"/>
    <mergeCell ref="A107:A110"/>
    <mergeCell ref="A111:A114"/>
    <mergeCell ref="A143:A146"/>
    <mergeCell ref="A147:A150"/>
    <mergeCell ref="A83:A86"/>
    <mergeCell ref="A87:A90"/>
    <mergeCell ref="A91:A94"/>
    <mergeCell ref="A95:A98"/>
    <mergeCell ref="A99:A102"/>
    <mergeCell ref="A60:A63"/>
    <mergeCell ref="A64:A67"/>
    <mergeCell ref="A68:A71"/>
    <mergeCell ref="A72:A75"/>
    <mergeCell ref="A76:A82"/>
    <mergeCell ref="A40:A43"/>
    <mergeCell ref="A44:A47"/>
    <mergeCell ref="A48:A51"/>
    <mergeCell ref="A52:A55"/>
    <mergeCell ref="A56:A59"/>
    <mergeCell ref="A20:A23"/>
    <mergeCell ref="A24:A27"/>
    <mergeCell ref="A28:A31"/>
    <mergeCell ref="A32:A35"/>
    <mergeCell ref="A36:A39"/>
    <mergeCell ref="A2:A3"/>
    <mergeCell ref="A4:A7"/>
    <mergeCell ref="A8:A11"/>
    <mergeCell ref="A12:A15"/>
    <mergeCell ref="A16:A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1"/>
  <sheetViews>
    <sheetView workbookViewId="0"/>
  </sheetViews>
  <sheetFormatPr defaultColWidth="12.6640625" defaultRowHeight="15.75" customHeight="1"/>
  <cols>
    <col min="1" max="1" width="20.6640625" customWidth="1"/>
  </cols>
  <sheetData>
    <row r="1" spans="1:6">
      <c r="A1" s="18" t="s">
        <v>51</v>
      </c>
    </row>
    <row r="2" spans="1:6">
      <c r="A2" s="18" t="s">
        <v>52</v>
      </c>
    </row>
    <row r="4" spans="1:6">
      <c r="A4" s="18" t="s">
        <v>53</v>
      </c>
      <c r="B4" s="31">
        <v>0.03</v>
      </c>
    </row>
    <row r="5" spans="1:6">
      <c r="A5" s="18" t="s">
        <v>54</v>
      </c>
      <c r="B5" s="31">
        <v>0.11</v>
      </c>
    </row>
    <row r="6" spans="1:6">
      <c r="A6" s="18" t="s">
        <v>55</v>
      </c>
      <c r="B6" s="17">
        <f ca="1">IFERROR(__xludf.DUMMYFUNCTION("GOOGLEFINANCE(""NYSE:T"", ""beta"")"),0.49)</f>
        <v>0.49</v>
      </c>
      <c r="C6" s="18" t="s">
        <v>56</v>
      </c>
      <c r="F6" s="18" t="s">
        <v>57</v>
      </c>
    </row>
    <row r="7" spans="1:6">
      <c r="B7" s="18">
        <v>1.5</v>
      </c>
      <c r="C7" s="18" t="s">
        <v>58</v>
      </c>
    </row>
    <row r="8" spans="1:6">
      <c r="C8" s="18" t="s">
        <v>59</v>
      </c>
    </row>
    <row r="10" spans="1:6">
      <c r="A10" s="18" t="s">
        <v>60</v>
      </c>
      <c r="B10" s="32">
        <f ca="1">B4+B6*(B5-B4)</f>
        <v>6.9199999999999998E-2</v>
      </c>
      <c r="C10" s="18" t="s">
        <v>61</v>
      </c>
    </row>
    <row r="11" spans="1:6">
      <c r="B11" s="32">
        <f>B4+B7*(B5-B4)</f>
        <v>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2"/>
  <sheetViews>
    <sheetView tabSelected="1" workbookViewId="0">
      <selection activeCell="C5" sqref="C5"/>
    </sheetView>
  </sheetViews>
  <sheetFormatPr defaultColWidth="12.6640625" defaultRowHeight="15.75" customHeight="1"/>
  <cols>
    <col min="1" max="1" width="19.77734375" customWidth="1"/>
    <col min="2" max="2" width="13.33203125" customWidth="1"/>
    <col min="3" max="3" width="27.5546875" bestFit="1" customWidth="1"/>
    <col min="7" max="7" width="26.33203125" bestFit="1" customWidth="1"/>
  </cols>
  <sheetData>
    <row r="1" spans="1:8">
      <c r="A1" s="40" t="s">
        <v>62</v>
      </c>
      <c r="B1" s="41">
        <f>SUM('Dividend Discount Model'!D4:D7)</f>
        <v>2.08</v>
      </c>
      <c r="F1" s="18">
        <v>10</v>
      </c>
      <c r="G1" s="18" t="s">
        <v>62</v>
      </c>
    </row>
    <row r="2" spans="1:8">
      <c r="A2" s="40" t="s">
        <v>63</v>
      </c>
      <c r="B2" s="41">
        <f>B1*(1+'Dividend Discount Model'!I3)</f>
        <v>2.1252173913043477</v>
      </c>
      <c r="C2" s="18" t="s">
        <v>64</v>
      </c>
      <c r="F2" s="33">
        <v>0.05</v>
      </c>
      <c r="G2" s="34" t="s">
        <v>65</v>
      </c>
    </row>
    <row r="3" spans="1:8">
      <c r="A3" s="40" t="s">
        <v>66</v>
      </c>
      <c r="B3" s="42">
        <f>'Dividend Discount Model'!I3</f>
        <v>2.1739130434782483E-2</v>
      </c>
      <c r="F3" s="17">
        <f>F1*(1+F2)</f>
        <v>10.5</v>
      </c>
      <c r="G3" s="18" t="s">
        <v>67</v>
      </c>
      <c r="H3" s="18">
        <v>5</v>
      </c>
    </row>
    <row r="4" spans="1:8">
      <c r="A4" s="40" t="s">
        <v>60</v>
      </c>
      <c r="B4" s="43">
        <f ca="1">'Cost Of Equity'!B10</f>
        <v>6.9199999999999998E-2</v>
      </c>
      <c r="F4" s="33">
        <v>0.1</v>
      </c>
    </row>
    <row r="5" spans="1:8">
      <c r="A5" s="44" t="s">
        <v>68</v>
      </c>
      <c r="B5" s="41">
        <f ca="1">B2/(B4-B3)</f>
        <v>44.778307072187495</v>
      </c>
      <c r="C5" s="18" t="s">
        <v>69</v>
      </c>
      <c r="F5" s="17">
        <f>H3/(F4-F2)</f>
        <v>100</v>
      </c>
    </row>
    <row r="6" spans="1:8">
      <c r="A6" s="44" t="s">
        <v>70</v>
      </c>
      <c r="B6" s="41">
        <f ca="1">IFERROR(__xludf.DUMMYFUNCTION("GOOGLEFINANCE(""NYSE:T"")"),15.34)</f>
        <v>15.34</v>
      </c>
    </row>
    <row r="7" spans="1:8">
      <c r="A7" s="44" t="s">
        <v>71</v>
      </c>
      <c r="B7" s="42">
        <f ca="1">B5/B6</f>
        <v>2.9190552198296933</v>
      </c>
    </row>
    <row r="10" spans="1:8">
      <c r="A10" s="18" t="s">
        <v>72</v>
      </c>
    </row>
    <row r="11" spans="1:8">
      <c r="A11" s="18" t="s">
        <v>73</v>
      </c>
    </row>
    <row r="12" spans="1:8">
      <c r="A12" s="18"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Comparable Companies Analysis</vt:lpstr>
      <vt:lpstr>Dividend Discount Model</vt:lpstr>
      <vt:lpstr>Cost Of Equity</vt:lpstr>
      <vt:lpstr>Fair Share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Anurag Mathur</cp:lastModifiedBy>
  <dcterms:modified xsi:type="dcterms:W3CDTF">2022-10-01T22:08:29Z</dcterms:modified>
</cp:coreProperties>
</file>