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SHKA\Desktop\Financial Analyst\"/>
    </mc:Choice>
  </mc:AlternateContent>
  <xr:revisionPtr revIDLastSave="0" documentId="13_ncr:1_{99309DD5-9A39-4238-B6E3-CCD4147F83B3}" xr6:coauthVersionLast="47" xr6:coauthVersionMax="47" xr10:uidLastSave="{00000000-0000-0000-0000-000000000000}"/>
  <bookViews>
    <workbookView xWindow="-120" yWindow="-120" windowWidth="20730" windowHeight="11040" tabRatio="913" firstSheet="6" activeTab="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Data Sheet" sheetId="6" r:id="rId5"/>
    <sheet name="Cash Flow Statement" sheetId="8" r:id="rId6"/>
    <sheet name="Historical Financial Statement" sheetId="7" r:id="rId7"/>
    <sheet name="Ratio Analysis" sheetId="22" r:id="rId8"/>
    <sheet name="COMMON - SIZE" sheetId="14" r:id="rId9"/>
    <sheet name="FORECASTING" sheetId="15" r:id="rId10"/>
    <sheet name="DATA ROOM" sheetId="17" r:id="rId11"/>
    <sheet name="Intrinsic Growth" sheetId="19" r:id="rId12"/>
    <sheet name="DATA ROOM 2" sheetId="20" r:id="rId13"/>
    <sheet name="Relative Valuation" sheetId="21" r:id="rId14"/>
    <sheet name="Chart" sheetId="16" r:id="rId15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7" l="1"/>
  <c r="P9" i="21"/>
  <c r="P10" i="21"/>
  <c r="P11" i="21"/>
  <c r="P12" i="21"/>
  <c r="P13" i="21"/>
  <c r="P8" i="21"/>
  <c r="M9" i="21"/>
  <c r="M10" i="21"/>
  <c r="M11" i="21"/>
  <c r="M12" i="21"/>
  <c r="M13" i="21"/>
  <c r="M8" i="21"/>
  <c r="L9" i="21"/>
  <c r="L10" i="21"/>
  <c r="L11" i="21"/>
  <c r="L12" i="21"/>
  <c r="L13" i="21"/>
  <c r="L8" i="21"/>
  <c r="H12" i="21"/>
  <c r="F9" i="21"/>
  <c r="F10" i="21"/>
  <c r="F11" i="21"/>
  <c r="F12" i="21"/>
  <c r="F13" i="21"/>
  <c r="F8" i="21"/>
  <c r="E9" i="21"/>
  <c r="E10" i="21"/>
  <c r="E11" i="21"/>
  <c r="E12" i="21"/>
  <c r="E13" i="21"/>
  <c r="E8" i="21"/>
  <c r="B9" i="21"/>
  <c r="B10" i="21"/>
  <c r="B11" i="21"/>
  <c r="B12" i="21"/>
  <c r="B13" i="21"/>
  <c r="B8" i="21"/>
  <c r="H10" i="20"/>
  <c r="H13" i="21" s="1"/>
  <c r="H9" i="20"/>
  <c r="H8" i="20"/>
  <c r="H11" i="21" s="1"/>
  <c r="H7" i="20"/>
  <c r="H10" i="21" s="1"/>
  <c r="H6" i="20"/>
  <c r="H9" i="21" s="1"/>
  <c r="H5" i="20"/>
  <c r="H8" i="21" s="1"/>
  <c r="F44" i="19"/>
  <c r="G44" i="19"/>
  <c r="H44" i="19"/>
  <c r="I44" i="19"/>
  <c r="E44" i="19"/>
  <c r="F32" i="19"/>
  <c r="G32" i="19"/>
  <c r="H32" i="19"/>
  <c r="I32" i="19"/>
  <c r="E32" i="19"/>
  <c r="B32" i="19"/>
  <c r="E30" i="19"/>
  <c r="F30" i="19"/>
  <c r="G30" i="19"/>
  <c r="H30" i="19"/>
  <c r="I30" i="19"/>
  <c r="F22" i="19"/>
  <c r="G22" i="19"/>
  <c r="H22" i="19"/>
  <c r="I22" i="19"/>
  <c r="F23" i="19"/>
  <c r="G23" i="19"/>
  <c r="H23" i="19"/>
  <c r="I23" i="19"/>
  <c r="F24" i="19"/>
  <c r="G24" i="19"/>
  <c r="H24" i="19"/>
  <c r="I24" i="19"/>
  <c r="F25" i="19"/>
  <c r="G25" i="19"/>
  <c r="H25" i="19"/>
  <c r="I25" i="19"/>
  <c r="F26" i="19"/>
  <c r="G26" i="19"/>
  <c r="H26" i="19"/>
  <c r="I26" i="19"/>
  <c r="F27" i="19"/>
  <c r="G27" i="19"/>
  <c r="H27" i="19"/>
  <c r="I27" i="19"/>
  <c r="F28" i="19"/>
  <c r="G28" i="19"/>
  <c r="H28" i="19"/>
  <c r="I28" i="19"/>
  <c r="F29" i="19"/>
  <c r="G29" i="19"/>
  <c r="H29" i="19"/>
  <c r="I29" i="19"/>
  <c r="E23" i="19"/>
  <c r="E24" i="19"/>
  <c r="E25" i="19"/>
  <c r="E26" i="19"/>
  <c r="E27" i="19"/>
  <c r="E28" i="19"/>
  <c r="E29" i="19"/>
  <c r="E22" i="19"/>
  <c r="B30" i="19"/>
  <c r="B23" i="19"/>
  <c r="B24" i="19"/>
  <c r="B25" i="19"/>
  <c r="B26" i="19"/>
  <c r="B27" i="19"/>
  <c r="B28" i="19"/>
  <c r="B29" i="19"/>
  <c r="B22" i="19"/>
  <c r="F13" i="19"/>
  <c r="G13" i="19"/>
  <c r="H13" i="19"/>
  <c r="I13" i="19"/>
  <c r="F14" i="19"/>
  <c r="G14" i="19"/>
  <c r="H14" i="19"/>
  <c r="I14" i="19"/>
  <c r="F15" i="19"/>
  <c r="G15" i="19"/>
  <c r="H15" i="19"/>
  <c r="I15" i="19"/>
  <c r="E15" i="19"/>
  <c r="E14" i="19"/>
  <c r="E13" i="19"/>
  <c r="B14" i="19"/>
  <c r="B15" i="19"/>
  <c r="B13" i="19"/>
  <c r="E9" i="19"/>
  <c r="F9" i="19"/>
  <c r="G9" i="19"/>
  <c r="H9" i="19"/>
  <c r="I9" i="19"/>
  <c r="F8" i="19"/>
  <c r="G8" i="19"/>
  <c r="H8" i="19"/>
  <c r="I8" i="19"/>
  <c r="E8" i="19"/>
  <c r="B9" i="19"/>
  <c r="B8" i="19"/>
  <c r="B7" i="19"/>
  <c r="B6" i="19"/>
  <c r="E7" i="19"/>
  <c r="F7" i="19"/>
  <c r="G7" i="19"/>
  <c r="H7" i="19"/>
  <c r="I7" i="19"/>
  <c r="F6" i="19"/>
  <c r="G6" i="19"/>
  <c r="H6" i="19"/>
  <c r="I6" i="19"/>
  <c r="E6" i="19"/>
  <c r="F3" i="19"/>
  <c r="F42" i="19" s="1"/>
  <c r="F57" i="19" s="1"/>
  <c r="G3" i="19"/>
  <c r="G42" i="19" s="1"/>
  <c r="G57" i="19" s="1"/>
  <c r="H3" i="19"/>
  <c r="H42" i="19" s="1"/>
  <c r="H57" i="19" s="1"/>
  <c r="I3" i="19"/>
  <c r="I42" i="19" s="1"/>
  <c r="I57" i="19" s="1"/>
  <c r="E3" i="19"/>
  <c r="E42" i="19" s="1"/>
  <c r="E57" i="19" s="1"/>
  <c r="D31" i="17"/>
  <c r="E31" i="17"/>
  <c r="F31" i="17"/>
  <c r="G31" i="17"/>
  <c r="H31" i="17"/>
  <c r="I31" i="17"/>
  <c r="J31" i="17"/>
  <c r="K31" i="17"/>
  <c r="L31" i="17"/>
  <c r="M31" i="17"/>
  <c r="N31" i="17"/>
  <c r="C31" i="17"/>
  <c r="D43" i="14"/>
  <c r="F43" i="14"/>
  <c r="H43" i="14"/>
  <c r="J43" i="14"/>
  <c r="L43" i="14"/>
  <c r="F41" i="14"/>
  <c r="H41" i="14"/>
  <c r="J41" i="14"/>
  <c r="L41" i="14"/>
  <c r="D38" i="14"/>
  <c r="F38" i="14"/>
  <c r="H38" i="14"/>
  <c r="J38" i="14"/>
  <c r="L38" i="14"/>
  <c r="D40" i="14"/>
  <c r="F40" i="14"/>
  <c r="H40" i="14"/>
  <c r="J40" i="14"/>
  <c r="L40" i="14"/>
  <c r="F37" i="14"/>
  <c r="H37" i="14"/>
  <c r="J37" i="14"/>
  <c r="L37" i="14"/>
  <c r="G36" i="14"/>
  <c r="K36" i="14"/>
  <c r="D36" i="14"/>
  <c r="C76" i="6"/>
  <c r="D41" i="14" s="1"/>
  <c r="D76" i="6"/>
  <c r="E43" i="14" s="1"/>
  <c r="E76" i="6"/>
  <c r="F42" i="14" s="1"/>
  <c r="F76" i="6"/>
  <c r="G38" i="14" s="1"/>
  <c r="G76" i="6"/>
  <c r="H36" i="14" s="1"/>
  <c r="H76" i="6"/>
  <c r="I43" i="14" s="1"/>
  <c r="I76" i="6"/>
  <c r="J42" i="14" s="1"/>
  <c r="J76" i="6"/>
  <c r="K38" i="14" s="1"/>
  <c r="K76" i="6"/>
  <c r="L36" i="14" s="1"/>
  <c r="B76" i="6"/>
  <c r="D32" i="14"/>
  <c r="E32" i="14"/>
  <c r="F32" i="14"/>
  <c r="G32" i="14"/>
  <c r="H32" i="14"/>
  <c r="I32" i="14"/>
  <c r="J32" i="14"/>
  <c r="K32" i="14"/>
  <c r="L32" i="14"/>
  <c r="D33" i="14"/>
  <c r="E33" i="14"/>
  <c r="F33" i="14"/>
  <c r="G33" i="14"/>
  <c r="H33" i="14"/>
  <c r="I33" i="14"/>
  <c r="J33" i="14"/>
  <c r="K33" i="14"/>
  <c r="L33" i="14"/>
  <c r="D34" i="14"/>
  <c r="E34" i="14"/>
  <c r="F34" i="14"/>
  <c r="G34" i="14"/>
  <c r="H34" i="14"/>
  <c r="I34" i="14"/>
  <c r="J34" i="14"/>
  <c r="K34" i="14"/>
  <c r="L34" i="14"/>
  <c r="E31" i="14"/>
  <c r="F31" i="14"/>
  <c r="G31" i="14"/>
  <c r="H31" i="14"/>
  <c r="I31" i="14"/>
  <c r="J31" i="14"/>
  <c r="K31" i="14"/>
  <c r="L31" i="14"/>
  <c r="D31" i="14"/>
  <c r="E30" i="14"/>
  <c r="F30" i="14"/>
  <c r="G30" i="14"/>
  <c r="H30" i="14"/>
  <c r="I30" i="14"/>
  <c r="J30" i="14"/>
  <c r="K30" i="14"/>
  <c r="L30" i="14"/>
  <c r="D30" i="14"/>
  <c r="B43" i="14"/>
  <c r="B32" i="14"/>
  <c r="B33" i="14"/>
  <c r="B34" i="14"/>
  <c r="B37" i="14"/>
  <c r="B38" i="14"/>
  <c r="B39" i="14"/>
  <c r="B40" i="14"/>
  <c r="B41" i="14"/>
  <c r="B42" i="14"/>
  <c r="B31" i="14"/>
  <c r="F25" i="14"/>
  <c r="H25" i="14"/>
  <c r="J25" i="14"/>
  <c r="L25" i="14"/>
  <c r="D12" i="14"/>
  <c r="E12" i="14"/>
  <c r="F12" i="14"/>
  <c r="G12" i="14"/>
  <c r="H12" i="14"/>
  <c r="I12" i="14"/>
  <c r="J12" i="14"/>
  <c r="K12" i="14"/>
  <c r="L12" i="14"/>
  <c r="D13" i="14"/>
  <c r="E13" i="14"/>
  <c r="F13" i="14"/>
  <c r="G13" i="14"/>
  <c r="H13" i="14"/>
  <c r="I13" i="14"/>
  <c r="J13" i="14"/>
  <c r="K13" i="14"/>
  <c r="L13" i="14"/>
  <c r="D14" i="14"/>
  <c r="E14" i="14"/>
  <c r="F14" i="14"/>
  <c r="G14" i="14"/>
  <c r="H14" i="14"/>
  <c r="I14" i="14"/>
  <c r="J14" i="14"/>
  <c r="K14" i="14"/>
  <c r="L14" i="14"/>
  <c r="D15" i="14"/>
  <c r="E15" i="14"/>
  <c r="F15" i="14"/>
  <c r="G15" i="14"/>
  <c r="H15" i="14"/>
  <c r="I15" i="14"/>
  <c r="J15" i="14"/>
  <c r="K15" i="14"/>
  <c r="L15" i="14"/>
  <c r="D16" i="14"/>
  <c r="E16" i="14"/>
  <c r="F16" i="14"/>
  <c r="G16" i="14"/>
  <c r="H16" i="14"/>
  <c r="I16" i="14"/>
  <c r="J16" i="14"/>
  <c r="K16" i="14"/>
  <c r="L16" i="14"/>
  <c r="D17" i="14"/>
  <c r="E17" i="14"/>
  <c r="F17" i="14"/>
  <c r="G17" i="14"/>
  <c r="H17" i="14"/>
  <c r="I17" i="14"/>
  <c r="J17" i="14"/>
  <c r="K17" i="14"/>
  <c r="L17" i="14"/>
  <c r="D18" i="14"/>
  <c r="E18" i="14"/>
  <c r="F18" i="14"/>
  <c r="G18" i="14"/>
  <c r="H18" i="14"/>
  <c r="I18" i="14"/>
  <c r="J18" i="14"/>
  <c r="K18" i="14"/>
  <c r="L18" i="14"/>
  <c r="D19" i="14"/>
  <c r="E19" i="14"/>
  <c r="F19" i="14"/>
  <c r="G19" i="14"/>
  <c r="H19" i="14"/>
  <c r="I19" i="14"/>
  <c r="J19" i="14"/>
  <c r="K19" i="14"/>
  <c r="L19" i="14"/>
  <c r="D20" i="14"/>
  <c r="E20" i="14"/>
  <c r="F20" i="14"/>
  <c r="G20" i="14"/>
  <c r="H20" i="14"/>
  <c r="I20" i="14"/>
  <c r="J20" i="14"/>
  <c r="K20" i="14"/>
  <c r="L20" i="14"/>
  <c r="D21" i="14"/>
  <c r="E21" i="14"/>
  <c r="F21" i="14"/>
  <c r="G21" i="14"/>
  <c r="H21" i="14"/>
  <c r="I21" i="14"/>
  <c r="J21" i="14"/>
  <c r="K21" i="14"/>
  <c r="L21" i="14"/>
  <c r="D22" i="14"/>
  <c r="E22" i="14"/>
  <c r="F22" i="14"/>
  <c r="G22" i="14"/>
  <c r="H22" i="14"/>
  <c r="I22" i="14"/>
  <c r="J22" i="14"/>
  <c r="K22" i="14"/>
  <c r="L22" i="14"/>
  <c r="D23" i="14"/>
  <c r="E23" i="14"/>
  <c r="F23" i="14"/>
  <c r="G23" i="14"/>
  <c r="H23" i="14"/>
  <c r="I23" i="14"/>
  <c r="J23" i="14"/>
  <c r="K23" i="14"/>
  <c r="L23" i="14"/>
  <c r="D24" i="14"/>
  <c r="E24" i="14"/>
  <c r="F24" i="14"/>
  <c r="G24" i="14"/>
  <c r="H24" i="14"/>
  <c r="I24" i="14"/>
  <c r="J24" i="14"/>
  <c r="K24" i="14"/>
  <c r="L24" i="14"/>
  <c r="E11" i="14"/>
  <c r="F11" i="14"/>
  <c r="G11" i="14"/>
  <c r="H11" i="14"/>
  <c r="I11" i="14"/>
  <c r="J11" i="14"/>
  <c r="K11" i="14"/>
  <c r="L11" i="14"/>
  <c r="D11" i="14"/>
  <c r="E10" i="14"/>
  <c r="F10" i="14"/>
  <c r="G10" i="14"/>
  <c r="H10" i="14"/>
  <c r="I10" i="14"/>
  <c r="J10" i="14"/>
  <c r="K10" i="14"/>
  <c r="L10" i="14"/>
  <c r="D10" i="14"/>
  <c r="B25" i="14"/>
  <c r="D34" i="6"/>
  <c r="E25" i="14" s="1"/>
  <c r="E34" i="6"/>
  <c r="F34" i="6"/>
  <c r="G25" i="14" s="1"/>
  <c r="G34" i="6"/>
  <c r="H34" i="6"/>
  <c r="I25" i="14" s="1"/>
  <c r="I34" i="6"/>
  <c r="J34" i="6"/>
  <c r="K25" i="14" s="1"/>
  <c r="K34" i="6"/>
  <c r="C34" i="6"/>
  <c r="D25" i="14" s="1"/>
  <c r="B21" i="14"/>
  <c r="B22" i="14"/>
  <c r="B23" i="14"/>
  <c r="B24" i="14"/>
  <c r="B11" i="14"/>
  <c r="B12" i="14"/>
  <c r="B13" i="14"/>
  <c r="B14" i="14"/>
  <c r="B15" i="14"/>
  <c r="B16" i="14"/>
  <c r="B17" i="14"/>
  <c r="B18" i="14"/>
  <c r="B19" i="14"/>
  <c r="B20" i="14"/>
  <c r="B10" i="14"/>
  <c r="E8" i="14"/>
  <c r="F8" i="14"/>
  <c r="G8" i="14"/>
  <c r="H8" i="14"/>
  <c r="I8" i="14"/>
  <c r="J8" i="14"/>
  <c r="K8" i="14"/>
  <c r="L8" i="14"/>
  <c r="D8" i="14"/>
  <c r="O26" i="21" l="1"/>
  <c r="P26" i="21"/>
  <c r="I39" i="14"/>
  <c r="E39" i="14"/>
  <c r="I42" i="14"/>
  <c r="E42" i="14"/>
  <c r="J36" i="14"/>
  <c r="F36" i="14"/>
  <c r="K37" i="14"/>
  <c r="G37" i="14"/>
  <c r="K40" i="14"/>
  <c r="G40" i="14"/>
  <c r="L39" i="14"/>
  <c r="H39" i="14"/>
  <c r="D39" i="14"/>
  <c r="I38" i="14"/>
  <c r="E38" i="14"/>
  <c r="K41" i="14"/>
  <c r="G41" i="14"/>
  <c r="K43" i="14"/>
  <c r="G43" i="14"/>
  <c r="L42" i="14"/>
  <c r="H42" i="14"/>
  <c r="D42" i="14"/>
  <c r="P28" i="21"/>
  <c r="O28" i="21"/>
  <c r="G11" i="21"/>
  <c r="Q11" i="21" s="1"/>
  <c r="G13" i="21"/>
  <c r="Q13" i="21" s="1"/>
  <c r="G9" i="21"/>
  <c r="I36" i="14"/>
  <c r="E36" i="14"/>
  <c r="K39" i="14"/>
  <c r="G39" i="14"/>
  <c r="K42" i="14"/>
  <c r="G42" i="14"/>
  <c r="D37" i="14"/>
  <c r="I37" i="14"/>
  <c r="E37" i="14"/>
  <c r="I40" i="14"/>
  <c r="E40" i="14"/>
  <c r="J39" i="14"/>
  <c r="F39" i="14"/>
  <c r="I41" i="14"/>
  <c r="E41" i="14"/>
  <c r="G8" i="21"/>
  <c r="Q8" i="21" s="1"/>
  <c r="G10" i="21"/>
  <c r="G12" i="21"/>
  <c r="Q12" i="21" s="1"/>
  <c r="I12" i="21"/>
  <c r="O12" i="21" s="1"/>
  <c r="I8" i="21"/>
  <c r="O8" i="21" s="1"/>
  <c r="Q10" i="21"/>
  <c r="I10" i="21"/>
  <c r="O10" i="21" s="1"/>
  <c r="I11" i="21"/>
  <c r="O11" i="21" s="1"/>
  <c r="I13" i="21"/>
  <c r="O13" i="21" s="1"/>
  <c r="I9" i="21"/>
  <c r="O9" i="21" s="1"/>
  <c r="Q9" i="21"/>
  <c r="P17" i="21"/>
  <c r="P16" i="21"/>
  <c r="P20" i="21"/>
  <c r="P15" i="21"/>
  <c r="P19" i="21"/>
  <c r="P18" i="21"/>
  <c r="F10" i="19"/>
  <c r="G10" i="19"/>
  <c r="F16" i="19"/>
  <c r="H31" i="19"/>
  <c r="H33" i="19" s="1"/>
  <c r="I31" i="19"/>
  <c r="I33" i="19" s="1"/>
  <c r="E16" i="19"/>
  <c r="H16" i="19"/>
  <c r="G31" i="19"/>
  <c r="G33" i="19" s="1"/>
  <c r="E10" i="19"/>
  <c r="G16" i="19"/>
  <c r="F31" i="19"/>
  <c r="F33" i="19" s="1"/>
  <c r="I10" i="19"/>
  <c r="E31" i="19"/>
  <c r="E33" i="19" s="1"/>
  <c r="H10" i="19"/>
  <c r="I16" i="19"/>
  <c r="Q18" i="21" l="1"/>
  <c r="P27" i="21" s="1"/>
  <c r="Q19" i="21"/>
  <c r="Q15" i="21"/>
  <c r="Q20" i="21"/>
  <c r="Q16" i="21"/>
  <c r="Q17" i="21"/>
  <c r="O20" i="21"/>
  <c r="O16" i="21"/>
  <c r="O19" i="21"/>
  <c r="O17" i="21"/>
  <c r="O15" i="21"/>
  <c r="O18" i="21"/>
  <c r="F19" i="19"/>
  <c r="H19" i="19"/>
  <c r="H36" i="19" s="1"/>
  <c r="G19" i="19"/>
  <c r="H45" i="19" s="1"/>
  <c r="H51" i="19" s="1"/>
  <c r="E19" i="19"/>
  <c r="F36" i="19"/>
  <c r="I19" i="19"/>
  <c r="E111" i="7"/>
  <c r="F111" i="7"/>
  <c r="I111" i="7"/>
  <c r="J111" i="7"/>
  <c r="D99" i="7"/>
  <c r="E99" i="7"/>
  <c r="H99" i="7"/>
  <c r="I99" i="7"/>
  <c r="D84" i="7"/>
  <c r="G84" i="7"/>
  <c r="H84" i="7"/>
  <c r="K84" i="7"/>
  <c r="D102" i="7"/>
  <c r="D111" i="7" s="1"/>
  <c r="E102" i="7"/>
  <c r="F102" i="7"/>
  <c r="G102" i="7"/>
  <c r="G111" i="7" s="1"/>
  <c r="H102" i="7"/>
  <c r="H111" i="7" s="1"/>
  <c r="I102" i="7"/>
  <c r="J102" i="7"/>
  <c r="K102" i="7"/>
  <c r="K111" i="7" s="1"/>
  <c r="D103" i="7"/>
  <c r="E103" i="7"/>
  <c r="F103" i="7"/>
  <c r="G103" i="7"/>
  <c r="H103" i="7"/>
  <c r="I103" i="7"/>
  <c r="J103" i="7"/>
  <c r="K103" i="7"/>
  <c r="D104" i="7"/>
  <c r="E104" i="7"/>
  <c r="F104" i="7"/>
  <c r="G104" i="7"/>
  <c r="H104" i="7"/>
  <c r="I104" i="7"/>
  <c r="J104" i="7"/>
  <c r="K104" i="7"/>
  <c r="D105" i="7"/>
  <c r="E105" i="7"/>
  <c r="F105" i="7"/>
  <c r="G105" i="7"/>
  <c r="H105" i="7"/>
  <c r="I105" i="7"/>
  <c r="J105" i="7"/>
  <c r="K105" i="7"/>
  <c r="D106" i="7"/>
  <c r="E106" i="7"/>
  <c r="F106" i="7"/>
  <c r="G106" i="7"/>
  <c r="H106" i="7"/>
  <c r="I106" i="7"/>
  <c r="J106" i="7"/>
  <c r="K106" i="7"/>
  <c r="D107" i="7"/>
  <c r="E107" i="7"/>
  <c r="F107" i="7"/>
  <c r="G107" i="7"/>
  <c r="H107" i="7"/>
  <c r="I107" i="7"/>
  <c r="J107" i="7"/>
  <c r="K107" i="7"/>
  <c r="D108" i="7"/>
  <c r="E108" i="7"/>
  <c r="F108" i="7"/>
  <c r="G108" i="7"/>
  <c r="H108" i="7"/>
  <c r="I108" i="7"/>
  <c r="J108" i="7"/>
  <c r="K108" i="7"/>
  <c r="D109" i="7"/>
  <c r="E109" i="7"/>
  <c r="F109" i="7"/>
  <c r="G109" i="7"/>
  <c r="H109" i="7"/>
  <c r="I109" i="7"/>
  <c r="J109" i="7"/>
  <c r="K109" i="7"/>
  <c r="D110" i="7"/>
  <c r="E110" i="7"/>
  <c r="F110" i="7"/>
  <c r="G110" i="7"/>
  <c r="H110" i="7"/>
  <c r="I110" i="7"/>
  <c r="J110" i="7"/>
  <c r="K110" i="7"/>
  <c r="C110" i="7"/>
  <c r="C103" i="7"/>
  <c r="C104" i="7"/>
  <c r="C105" i="7"/>
  <c r="C106" i="7"/>
  <c r="C107" i="7"/>
  <c r="C108" i="7"/>
  <c r="C109" i="7"/>
  <c r="C102" i="7"/>
  <c r="C111" i="7" s="1"/>
  <c r="D87" i="7"/>
  <c r="E87" i="7"/>
  <c r="F87" i="7"/>
  <c r="F99" i="7" s="1"/>
  <c r="G87" i="7"/>
  <c r="G99" i="7" s="1"/>
  <c r="H87" i="7"/>
  <c r="I87" i="7"/>
  <c r="J87" i="7"/>
  <c r="J99" i="7" s="1"/>
  <c r="K87" i="7"/>
  <c r="K99" i="7" s="1"/>
  <c r="D88" i="7"/>
  <c r="E88" i="7"/>
  <c r="F88" i="7"/>
  <c r="G88" i="7"/>
  <c r="H88" i="7"/>
  <c r="I88" i="7"/>
  <c r="J88" i="7"/>
  <c r="K88" i="7"/>
  <c r="D89" i="7"/>
  <c r="E89" i="7"/>
  <c r="F89" i="7"/>
  <c r="G89" i="7"/>
  <c r="H89" i="7"/>
  <c r="I89" i="7"/>
  <c r="J89" i="7"/>
  <c r="K89" i="7"/>
  <c r="D90" i="7"/>
  <c r="E90" i="7"/>
  <c r="F90" i="7"/>
  <c r="G90" i="7"/>
  <c r="H90" i="7"/>
  <c r="I90" i="7"/>
  <c r="J90" i="7"/>
  <c r="K90" i="7"/>
  <c r="D91" i="7"/>
  <c r="E91" i="7"/>
  <c r="F91" i="7"/>
  <c r="G91" i="7"/>
  <c r="H91" i="7"/>
  <c r="I91" i="7"/>
  <c r="J91" i="7"/>
  <c r="K91" i="7"/>
  <c r="D92" i="7"/>
  <c r="E92" i="7"/>
  <c r="F92" i="7"/>
  <c r="G92" i="7"/>
  <c r="H92" i="7"/>
  <c r="I92" i="7"/>
  <c r="J92" i="7"/>
  <c r="K92" i="7"/>
  <c r="D93" i="7"/>
  <c r="E93" i="7"/>
  <c r="F93" i="7"/>
  <c r="G93" i="7"/>
  <c r="H93" i="7"/>
  <c r="I93" i="7"/>
  <c r="J93" i="7"/>
  <c r="K93" i="7"/>
  <c r="D94" i="7"/>
  <c r="E94" i="7"/>
  <c r="F94" i="7"/>
  <c r="G94" i="7"/>
  <c r="H94" i="7"/>
  <c r="I94" i="7"/>
  <c r="J94" i="7"/>
  <c r="K94" i="7"/>
  <c r="D95" i="7"/>
  <c r="E95" i="7"/>
  <c r="F95" i="7"/>
  <c r="G95" i="7"/>
  <c r="H95" i="7"/>
  <c r="I95" i="7"/>
  <c r="J95" i="7"/>
  <c r="K95" i="7"/>
  <c r="D96" i="7"/>
  <c r="E96" i="7"/>
  <c r="F96" i="7"/>
  <c r="G96" i="7"/>
  <c r="H96" i="7"/>
  <c r="I96" i="7"/>
  <c r="J96" i="7"/>
  <c r="K96" i="7"/>
  <c r="D97" i="7"/>
  <c r="E97" i="7"/>
  <c r="F97" i="7"/>
  <c r="G97" i="7"/>
  <c r="H97" i="7"/>
  <c r="I97" i="7"/>
  <c r="J97" i="7"/>
  <c r="K97" i="7"/>
  <c r="D98" i="7"/>
  <c r="E98" i="7"/>
  <c r="F98" i="7"/>
  <c r="G98" i="7"/>
  <c r="H98" i="7"/>
  <c r="I98" i="7"/>
  <c r="J98" i="7"/>
  <c r="K98" i="7"/>
  <c r="C88" i="7"/>
  <c r="C89" i="7"/>
  <c r="C99" i="7" s="1"/>
  <c r="C90" i="7"/>
  <c r="C91" i="7"/>
  <c r="C92" i="7"/>
  <c r="C93" i="7"/>
  <c r="C94" i="7"/>
  <c r="C95" i="7"/>
  <c r="C96" i="7"/>
  <c r="C97" i="7"/>
  <c r="C98" i="7"/>
  <c r="C87" i="7"/>
  <c r="D76" i="7"/>
  <c r="E76" i="7"/>
  <c r="E84" i="7" s="1"/>
  <c r="F76" i="7"/>
  <c r="F84" i="7" s="1"/>
  <c r="G76" i="7"/>
  <c r="H76" i="7"/>
  <c r="I76" i="7"/>
  <c r="I84" i="7" s="1"/>
  <c r="J76" i="7"/>
  <c r="J84" i="7" s="1"/>
  <c r="K76" i="7"/>
  <c r="D77" i="7"/>
  <c r="E77" i="7"/>
  <c r="F77" i="7"/>
  <c r="G77" i="7"/>
  <c r="H77" i="7"/>
  <c r="I77" i="7"/>
  <c r="J77" i="7"/>
  <c r="K77" i="7"/>
  <c r="D78" i="7"/>
  <c r="E78" i="7"/>
  <c r="F78" i="7"/>
  <c r="G78" i="7"/>
  <c r="H78" i="7"/>
  <c r="I78" i="7"/>
  <c r="J78" i="7"/>
  <c r="K78" i="7"/>
  <c r="D79" i="7"/>
  <c r="E79" i="7"/>
  <c r="F79" i="7"/>
  <c r="G79" i="7"/>
  <c r="H79" i="7"/>
  <c r="I79" i="7"/>
  <c r="J79" i="7"/>
  <c r="K79" i="7"/>
  <c r="D80" i="7"/>
  <c r="E80" i="7"/>
  <c r="F80" i="7"/>
  <c r="G80" i="7"/>
  <c r="H80" i="7"/>
  <c r="I80" i="7"/>
  <c r="J80" i="7"/>
  <c r="K80" i="7"/>
  <c r="D81" i="7"/>
  <c r="E81" i="7"/>
  <c r="F81" i="7"/>
  <c r="G81" i="7"/>
  <c r="H81" i="7"/>
  <c r="I81" i="7"/>
  <c r="J81" i="7"/>
  <c r="K81" i="7"/>
  <c r="D82" i="7"/>
  <c r="E82" i="7"/>
  <c r="F82" i="7"/>
  <c r="G82" i="7"/>
  <c r="H82" i="7"/>
  <c r="I82" i="7"/>
  <c r="J82" i="7"/>
  <c r="K82" i="7"/>
  <c r="D83" i="7"/>
  <c r="E83" i="7"/>
  <c r="F83" i="7"/>
  <c r="G83" i="7"/>
  <c r="H83" i="7"/>
  <c r="I83" i="7"/>
  <c r="J83" i="7"/>
  <c r="K83" i="7"/>
  <c r="C77" i="7"/>
  <c r="C78" i="7"/>
  <c r="C79" i="7"/>
  <c r="C84" i="7" s="1"/>
  <c r="C80" i="7"/>
  <c r="C81" i="7"/>
  <c r="C82" i="7"/>
  <c r="C83" i="7"/>
  <c r="C76" i="7"/>
  <c r="D60" i="7"/>
  <c r="E60" i="7"/>
  <c r="F60" i="7"/>
  <c r="G60" i="7"/>
  <c r="H60" i="7"/>
  <c r="I60" i="7"/>
  <c r="J60" i="7"/>
  <c r="K60" i="7"/>
  <c r="C60" i="7"/>
  <c r="D63" i="7"/>
  <c r="E63" i="7"/>
  <c r="F63" i="7"/>
  <c r="G63" i="7"/>
  <c r="H63" i="7"/>
  <c r="I63" i="7"/>
  <c r="J63" i="7"/>
  <c r="K63" i="7"/>
  <c r="D64" i="7"/>
  <c r="E64" i="7"/>
  <c r="F64" i="7"/>
  <c r="G64" i="7"/>
  <c r="H64" i="7"/>
  <c r="I64" i="7"/>
  <c r="J64" i="7"/>
  <c r="K64" i="7"/>
  <c r="D65" i="7"/>
  <c r="E65" i="7"/>
  <c r="F65" i="7"/>
  <c r="G65" i="7"/>
  <c r="H65" i="7"/>
  <c r="I65" i="7"/>
  <c r="J65" i="7"/>
  <c r="K65" i="7"/>
  <c r="C64" i="7"/>
  <c r="C65" i="7"/>
  <c r="C63" i="7"/>
  <c r="D57" i="7"/>
  <c r="E57" i="7"/>
  <c r="F57" i="7"/>
  <c r="G57" i="7"/>
  <c r="H57" i="7"/>
  <c r="I57" i="7"/>
  <c r="J57" i="7"/>
  <c r="K57" i="7"/>
  <c r="D58" i="7"/>
  <c r="E58" i="7"/>
  <c r="F58" i="7"/>
  <c r="G58" i="7"/>
  <c r="H58" i="7"/>
  <c r="I58" i="7"/>
  <c r="J58" i="7"/>
  <c r="K58" i="7"/>
  <c r="D59" i="7"/>
  <c r="E59" i="7"/>
  <c r="F59" i="7"/>
  <c r="G59" i="7"/>
  <c r="H59" i="7"/>
  <c r="I59" i="7"/>
  <c r="J59" i="7"/>
  <c r="K59" i="7"/>
  <c r="C58" i="7"/>
  <c r="C59" i="7"/>
  <c r="C57" i="7"/>
  <c r="D51" i="7"/>
  <c r="E51" i="7"/>
  <c r="F51" i="7"/>
  <c r="G51" i="7"/>
  <c r="H51" i="7"/>
  <c r="I51" i="7"/>
  <c r="J51" i="7"/>
  <c r="K51" i="7"/>
  <c r="D52" i="7"/>
  <c r="E52" i="7"/>
  <c r="F52" i="7"/>
  <c r="G52" i="7"/>
  <c r="H52" i="7"/>
  <c r="I52" i="7"/>
  <c r="J52" i="7"/>
  <c r="K52" i="7"/>
  <c r="D53" i="7"/>
  <c r="E40" i="22" s="1"/>
  <c r="E53" i="7"/>
  <c r="F40" i="22" s="1"/>
  <c r="F53" i="7"/>
  <c r="G40" i="22" s="1"/>
  <c r="G53" i="7"/>
  <c r="H40" i="22" s="1"/>
  <c r="H53" i="7"/>
  <c r="I40" i="22" s="1"/>
  <c r="I53" i="7"/>
  <c r="J40" i="22" s="1"/>
  <c r="J53" i="7"/>
  <c r="K40" i="22" s="1"/>
  <c r="K53" i="7"/>
  <c r="L40" i="22" s="1"/>
  <c r="D54" i="7"/>
  <c r="E54" i="7"/>
  <c r="F54" i="7"/>
  <c r="G54" i="7"/>
  <c r="H54" i="7"/>
  <c r="I54" i="7"/>
  <c r="J54" i="7"/>
  <c r="K54" i="7"/>
  <c r="D55" i="7"/>
  <c r="E55" i="7"/>
  <c r="F55" i="7"/>
  <c r="G55" i="7"/>
  <c r="H55" i="7"/>
  <c r="I55" i="7"/>
  <c r="J55" i="7"/>
  <c r="K55" i="7"/>
  <c r="C52" i="7"/>
  <c r="C53" i="7"/>
  <c r="D40" i="22" s="1"/>
  <c r="C54" i="7"/>
  <c r="C55" i="7"/>
  <c r="C51" i="7"/>
  <c r="B49" i="7"/>
  <c r="D38" i="7"/>
  <c r="D43" i="7" s="1"/>
  <c r="E9" i="22" s="1"/>
  <c r="E38" i="7"/>
  <c r="F38" i="7"/>
  <c r="F43" i="7" s="1"/>
  <c r="G38" i="7"/>
  <c r="G43" i="7" s="1"/>
  <c r="H9" i="22" s="1"/>
  <c r="H38" i="7"/>
  <c r="H43" i="7" s="1"/>
  <c r="I9" i="22" s="1"/>
  <c r="I38" i="7"/>
  <c r="I43" i="7" s="1"/>
  <c r="J38" i="7"/>
  <c r="J43" i="7" s="1"/>
  <c r="K38" i="7"/>
  <c r="K43" i="7" s="1"/>
  <c r="L9" i="22" s="1"/>
  <c r="L38" i="7"/>
  <c r="E43" i="7"/>
  <c r="C38" i="7"/>
  <c r="C43" i="7" s="1"/>
  <c r="L32" i="7"/>
  <c r="D32" i="7"/>
  <c r="E32" i="7"/>
  <c r="F32" i="7"/>
  <c r="G32" i="7"/>
  <c r="H32" i="7"/>
  <c r="I32" i="7"/>
  <c r="J32" i="7"/>
  <c r="K32" i="7"/>
  <c r="C32" i="7"/>
  <c r="L26" i="7"/>
  <c r="D26" i="7"/>
  <c r="E26" i="7"/>
  <c r="F26" i="7"/>
  <c r="G26" i="7"/>
  <c r="H26" i="7"/>
  <c r="I26" i="7"/>
  <c r="J26" i="7"/>
  <c r="K26" i="7"/>
  <c r="C26" i="7"/>
  <c r="L23" i="7"/>
  <c r="D23" i="7"/>
  <c r="E23" i="7"/>
  <c r="F23" i="7"/>
  <c r="G23" i="7"/>
  <c r="H23" i="7"/>
  <c r="I23" i="7"/>
  <c r="J23" i="7"/>
  <c r="K23" i="7"/>
  <c r="C23" i="7"/>
  <c r="D17" i="7"/>
  <c r="E17" i="7"/>
  <c r="F17" i="7"/>
  <c r="G17" i="7"/>
  <c r="H17" i="7"/>
  <c r="I17" i="7"/>
  <c r="J17" i="7"/>
  <c r="K17" i="7"/>
  <c r="C17" i="7"/>
  <c r="L11" i="7"/>
  <c r="D11" i="7"/>
  <c r="E11" i="7"/>
  <c r="F11" i="7"/>
  <c r="G11" i="7"/>
  <c r="H11" i="7"/>
  <c r="I11" i="7"/>
  <c r="J11" i="7"/>
  <c r="K11" i="7"/>
  <c r="C11" i="7"/>
  <c r="D4" i="7"/>
  <c r="E3" i="22" s="1"/>
  <c r="E4" i="7"/>
  <c r="F3" i="22" s="1"/>
  <c r="H4" i="7"/>
  <c r="I3" i="22" s="1"/>
  <c r="I4" i="7"/>
  <c r="J3" i="22" s="1"/>
  <c r="C6" i="3"/>
  <c r="D6" i="3"/>
  <c r="E6" i="3"/>
  <c r="F6" i="3"/>
  <c r="G6" i="3"/>
  <c r="G14" i="3" s="1"/>
  <c r="H6" i="3"/>
  <c r="I6" i="3"/>
  <c r="J6" i="3"/>
  <c r="L6" i="1" s="1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E21" i="2" s="1"/>
  <c r="F18" i="2"/>
  <c r="G18" i="2"/>
  <c r="H18" i="2"/>
  <c r="I18" i="2"/>
  <c r="J18" i="2"/>
  <c r="K18" i="2"/>
  <c r="B17" i="2"/>
  <c r="C4" i="2"/>
  <c r="C23" i="2" s="1"/>
  <c r="D4" i="2"/>
  <c r="E4" i="2"/>
  <c r="E5" i="2"/>
  <c r="E23" i="2"/>
  <c r="F4" i="2"/>
  <c r="G4" i="2"/>
  <c r="H4" i="2"/>
  <c r="H23" i="2" s="1"/>
  <c r="I4" i="2"/>
  <c r="I5" i="2"/>
  <c r="J4" i="2"/>
  <c r="J5" i="2"/>
  <c r="J23" i="2" s="1"/>
  <c r="K4" i="2"/>
  <c r="C5" i="2"/>
  <c r="D5" i="2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K16" i="2" s="1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D16" i="2" s="1"/>
  <c r="E13" i="2"/>
  <c r="E16" i="2" s="1"/>
  <c r="F13" i="2"/>
  <c r="F16" i="2" s="1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D14" i="3" s="1"/>
  <c r="E4" i="3"/>
  <c r="F4" i="3"/>
  <c r="G4" i="3"/>
  <c r="H4" i="3"/>
  <c r="H14" i="3" s="1"/>
  <c r="I4" i="3"/>
  <c r="I14" i="3" s="1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C8" i="7" s="1"/>
  <c r="D4" i="1"/>
  <c r="E4" i="1"/>
  <c r="F4" i="1"/>
  <c r="F20" i="2" s="1"/>
  <c r="G4" i="1"/>
  <c r="G8" i="7" s="1"/>
  <c r="H4" i="1"/>
  <c r="I4" i="1"/>
  <c r="I8" i="7" s="1"/>
  <c r="J4" i="1"/>
  <c r="J20" i="2" s="1"/>
  <c r="K4" i="1"/>
  <c r="K8" i="7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F12" i="1"/>
  <c r="F13" i="1" s="1"/>
  <c r="G12" i="1"/>
  <c r="H12" i="1"/>
  <c r="H13" i="1" s="1"/>
  <c r="I12" i="1"/>
  <c r="J12" i="1"/>
  <c r="J13" i="1" s="1"/>
  <c r="K12" i="1"/>
  <c r="K13" i="1" s="1"/>
  <c r="C15" i="1"/>
  <c r="D15" i="1"/>
  <c r="E15" i="1"/>
  <c r="F15" i="1"/>
  <c r="G15" i="1"/>
  <c r="H15" i="1"/>
  <c r="I15" i="1"/>
  <c r="J15" i="1"/>
  <c r="K15" i="1"/>
  <c r="B15" i="1"/>
  <c r="I13" i="1"/>
  <c r="B7" i="1"/>
  <c r="B4" i="1"/>
  <c r="A1" i="1"/>
  <c r="E1" i="6"/>
  <c r="H1" i="1" s="1"/>
  <c r="E1" i="3"/>
  <c r="H16" i="2"/>
  <c r="C16" i="2"/>
  <c r="K6" i="1"/>
  <c r="K19" i="1" s="1"/>
  <c r="G6" i="1"/>
  <c r="G19" i="1" s="1"/>
  <c r="C6" i="1"/>
  <c r="C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C4" i="7" s="1"/>
  <c r="D3" i="22" s="1"/>
  <c r="D3" i="1"/>
  <c r="E3" i="1"/>
  <c r="F3" i="1"/>
  <c r="F4" i="7" s="1"/>
  <c r="G3" i="22" s="1"/>
  <c r="G3" i="1"/>
  <c r="G4" i="7" s="1"/>
  <c r="H3" i="22" s="1"/>
  <c r="H3" i="1"/>
  <c r="I3" i="1"/>
  <c r="J3" i="1"/>
  <c r="J4" i="7" s="1"/>
  <c r="K3" i="22" s="1"/>
  <c r="K3" i="1"/>
  <c r="K4" i="7" s="1"/>
  <c r="L3" i="22" s="1"/>
  <c r="B7" i="4"/>
  <c r="B6" i="4"/>
  <c r="B5" i="4"/>
  <c r="B4" i="4"/>
  <c r="B3" i="4"/>
  <c r="K21" i="2"/>
  <c r="I21" i="2"/>
  <c r="G21" i="2"/>
  <c r="C21" i="2"/>
  <c r="B18" i="2"/>
  <c r="B21" i="2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20" i="2"/>
  <c r="K20" i="2"/>
  <c r="D20" i="2"/>
  <c r="C20" i="2"/>
  <c r="L10" i="1"/>
  <c r="A1" i="2"/>
  <c r="A1" i="4" s="1"/>
  <c r="H23" i="1"/>
  <c r="I23" i="1"/>
  <c r="J28" i="22" l="1"/>
  <c r="J34" i="22" s="1"/>
  <c r="J31" i="22"/>
  <c r="J29" i="22"/>
  <c r="J35" i="22" s="1"/>
  <c r="J38" i="22"/>
  <c r="J30" i="22"/>
  <c r="J27" i="22"/>
  <c r="J33" i="22" s="1"/>
  <c r="D15" i="15"/>
  <c r="L38" i="22"/>
  <c r="L30" i="22"/>
  <c r="L27" i="22"/>
  <c r="L33" i="22" s="1"/>
  <c r="L28" i="22"/>
  <c r="L34" i="22" s="1"/>
  <c r="L36" i="22" s="1"/>
  <c r="L31" i="22"/>
  <c r="L29" i="22"/>
  <c r="L35" i="22" s="1"/>
  <c r="D17" i="15"/>
  <c r="H38" i="22"/>
  <c r="H30" i="22"/>
  <c r="H27" i="22"/>
  <c r="H33" i="22" s="1"/>
  <c r="H28" i="22"/>
  <c r="H34" i="22" s="1"/>
  <c r="H31" i="22"/>
  <c r="H29" i="22"/>
  <c r="H35" i="22" s="1"/>
  <c r="D13" i="15"/>
  <c r="D31" i="22"/>
  <c r="D29" i="22"/>
  <c r="D38" i="22"/>
  <c r="D30" i="22"/>
  <c r="D27" i="22"/>
  <c r="D28" i="22"/>
  <c r="D9" i="15"/>
  <c r="J8" i="7"/>
  <c r="F8" i="7"/>
  <c r="G23" i="2"/>
  <c r="L9" i="1"/>
  <c r="J21" i="2"/>
  <c r="J6" i="1"/>
  <c r="J19" i="1" s="1"/>
  <c r="C14" i="1"/>
  <c r="E6" i="1"/>
  <c r="E19" i="1" s="1"/>
  <c r="L11" i="1"/>
  <c r="L7" i="1"/>
  <c r="O40" i="22"/>
  <c r="N40" i="22"/>
  <c r="F21" i="2"/>
  <c r="A1" i="3"/>
  <c r="B2" i="22" s="1"/>
  <c r="B28" i="14"/>
  <c r="B6" i="14"/>
  <c r="J14" i="1"/>
  <c r="F14" i="1"/>
  <c r="H21" i="2"/>
  <c r="D6" i="1"/>
  <c r="D19" i="1" s="1"/>
  <c r="L12" i="1"/>
  <c r="L13" i="1" s="1"/>
  <c r="L14" i="1" s="1"/>
  <c r="L25" i="1" s="1"/>
  <c r="L5" i="1"/>
  <c r="K14" i="3"/>
  <c r="C14" i="3"/>
  <c r="K23" i="2"/>
  <c r="D23" i="2"/>
  <c r="H8" i="7"/>
  <c r="D8" i="7"/>
  <c r="K9" i="22"/>
  <c r="G9" i="22"/>
  <c r="G61" i="7"/>
  <c r="B73" i="7"/>
  <c r="B16" i="2"/>
  <c r="K14" i="1"/>
  <c r="L8" i="1"/>
  <c r="E8" i="7"/>
  <c r="J23" i="1"/>
  <c r="B20" i="2"/>
  <c r="L8" i="7"/>
  <c r="L18" i="7" s="1"/>
  <c r="B6" i="7"/>
  <c r="F9" i="22"/>
  <c r="J9" i="22"/>
  <c r="O9" i="22" s="1"/>
  <c r="F45" i="19"/>
  <c r="F51" i="19" s="1"/>
  <c r="P29" i="21"/>
  <c r="P31" i="21" s="1"/>
  <c r="P25" i="21"/>
  <c r="O25" i="21"/>
  <c r="O27" i="21" s="1"/>
  <c r="O29" i="21" s="1"/>
  <c r="O31" i="21" s="1"/>
  <c r="G36" i="19"/>
  <c r="G45" i="19"/>
  <c r="G51" i="19" s="1"/>
  <c r="E36" i="19"/>
  <c r="I36" i="19"/>
  <c r="I45" i="19"/>
  <c r="I51" i="19" s="1"/>
  <c r="K61" i="7"/>
  <c r="I61" i="7"/>
  <c r="E61" i="7"/>
  <c r="H61" i="7"/>
  <c r="D61" i="7"/>
  <c r="C61" i="7"/>
  <c r="J61" i="7"/>
  <c r="F61" i="7"/>
  <c r="J66" i="7"/>
  <c r="F66" i="7"/>
  <c r="K66" i="7"/>
  <c r="G66" i="7"/>
  <c r="G68" i="7" s="1"/>
  <c r="I66" i="7"/>
  <c r="I68" i="7" s="1"/>
  <c r="E66" i="7"/>
  <c r="H66" i="7"/>
  <c r="D66" i="7"/>
  <c r="C66" i="7"/>
  <c r="C68" i="7" s="1"/>
  <c r="C14" i="7"/>
  <c r="K14" i="7"/>
  <c r="G14" i="7"/>
  <c r="I14" i="7"/>
  <c r="I15" i="7" s="1"/>
  <c r="K11" i="22" s="1"/>
  <c r="J14" i="7"/>
  <c r="F14" i="7"/>
  <c r="C24" i="7"/>
  <c r="H24" i="7"/>
  <c r="D24" i="7"/>
  <c r="J27" i="7"/>
  <c r="K18" i="22" s="1"/>
  <c r="L24" i="7"/>
  <c r="I27" i="7"/>
  <c r="J18" i="22" s="1"/>
  <c r="E27" i="7"/>
  <c r="F18" i="22" s="1"/>
  <c r="I18" i="7"/>
  <c r="J17" i="22" s="1"/>
  <c r="E18" i="7"/>
  <c r="F17" i="22" s="1"/>
  <c r="J24" i="7"/>
  <c r="F24" i="7"/>
  <c r="C27" i="7"/>
  <c r="H27" i="7"/>
  <c r="I18" i="22" s="1"/>
  <c r="D27" i="7"/>
  <c r="E18" i="22" s="1"/>
  <c r="I24" i="7"/>
  <c r="L27" i="7"/>
  <c r="G12" i="7"/>
  <c r="K24" i="7"/>
  <c r="G27" i="7"/>
  <c r="H18" i="22" s="1"/>
  <c r="D9" i="7"/>
  <c r="E5" i="22" s="1"/>
  <c r="J12" i="7"/>
  <c r="F12" i="7"/>
  <c r="C18" i="7"/>
  <c r="H18" i="7"/>
  <c r="I17" i="22" s="1"/>
  <c r="D18" i="7"/>
  <c r="E17" i="22" s="1"/>
  <c r="K12" i="7"/>
  <c r="G24" i="7"/>
  <c r="K27" i="7"/>
  <c r="L18" i="22" s="1"/>
  <c r="I9" i="7"/>
  <c r="J5" i="22" s="1"/>
  <c r="I12" i="7"/>
  <c r="K18" i="7"/>
  <c r="L17" i="22" s="1"/>
  <c r="G18" i="7"/>
  <c r="H17" i="22" s="1"/>
  <c r="H9" i="7"/>
  <c r="I5" i="22" s="1"/>
  <c r="C12" i="7"/>
  <c r="H12" i="7"/>
  <c r="D12" i="7"/>
  <c r="J18" i="7"/>
  <c r="K17" i="22" s="1"/>
  <c r="K9" i="7"/>
  <c r="L5" i="22" s="1"/>
  <c r="G9" i="7"/>
  <c r="H5" i="22" s="1"/>
  <c r="L14" i="7"/>
  <c r="L15" i="7" s="1"/>
  <c r="J9" i="7"/>
  <c r="K5" i="22" s="1"/>
  <c r="F9" i="7"/>
  <c r="G5" i="22" s="1"/>
  <c r="E9" i="7"/>
  <c r="F5" i="22" s="1"/>
  <c r="L9" i="7"/>
  <c r="E20" i="2"/>
  <c r="D21" i="2"/>
  <c r="B23" i="2"/>
  <c r="H14" i="1"/>
  <c r="J16" i="2"/>
  <c r="G16" i="2"/>
  <c r="G24" i="2"/>
  <c r="E24" i="2"/>
  <c r="G13" i="1"/>
  <c r="G14" i="1" s="1"/>
  <c r="D13" i="1"/>
  <c r="E13" i="1" s="1"/>
  <c r="E14" i="1" s="1"/>
  <c r="I25" i="1" s="1"/>
  <c r="J24" i="2"/>
  <c r="D24" i="2"/>
  <c r="N11" i="1"/>
  <c r="M11" i="1"/>
  <c r="I24" i="2"/>
  <c r="B14" i="1"/>
  <c r="I16" i="2"/>
  <c r="K24" i="2"/>
  <c r="L4" i="1"/>
  <c r="L23" i="1" s="1"/>
  <c r="I6" i="1"/>
  <c r="I19" i="1" s="1"/>
  <c r="K24" i="1" s="1"/>
  <c r="E1" i="2"/>
  <c r="I14" i="1"/>
  <c r="K25" i="1" s="1"/>
  <c r="M25" i="1" s="1"/>
  <c r="M14" i="1" s="1"/>
  <c r="C24" i="2"/>
  <c r="I23" i="2"/>
  <c r="H24" i="2"/>
  <c r="F24" i="2"/>
  <c r="J25" i="1"/>
  <c r="M9" i="1"/>
  <c r="N9" i="1"/>
  <c r="N8" i="1"/>
  <c r="M8" i="1"/>
  <c r="I20" i="2"/>
  <c r="J24" i="1"/>
  <c r="H20" i="2"/>
  <c r="K23" i="1"/>
  <c r="M23" i="1" s="1"/>
  <c r="M4" i="1" s="1"/>
  <c r="H6" i="1"/>
  <c r="H19" i="1" s="1"/>
  <c r="F6" i="1"/>
  <c r="F19" i="1" s="1"/>
  <c r="I24" i="1" s="1"/>
  <c r="E1" i="4"/>
  <c r="H24" i="1" l="1"/>
  <c r="C20" i="7"/>
  <c r="C15" i="7"/>
  <c r="E11" i="22" s="1"/>
  <c r="E31" i="22"/>
  <c r="E29" i="22"/>
  <c r="E35" i="22" s="1"/>
  <c r="E38" i="22"/>
  <c r="E30" i="22"/>
  <c r="E27" i="22"/>
  <c r="E33" i="22" s="1"/>
  <c r="E28" i="22"/>
  <c r="E34" i="22" s="1"/>
  <c r="E36" i="22" s="1"/>
  <c r="D10" i="15"/>
  <c r="E10" i="15" s="1"/>
  <c r="O18" i="22"/>
  <c r="F20" i="7"/>
  <c r="F15" i="7"/>
  <c r="H11" i="22" s="1"/>
  <c r="G20" i="7"/>
  <c r="G15" i="7"/>
  <c r="I11" i="22" s="1"/>
  <c r="C70" i="7"/>
  <c r="D39" i="22"/>
  <c r="I70" i="7"/>
  <c r="J39" i="22"/>
  <c r="F28" i="22"/>
  <c r="F34" i="22" s="1"/>
  <c r="F31" i="22"/>
  <c r="O31" i="22" s="1"/>
  <c r="F29" i="22"/>
  <c r="F35" i="22" s="1"/>
  <c r="F38" i="22"/>
  <c r="N38" i="22" s="1"/>
  <c r="F30" i="22"/>
  <c r="F27" i="22"/>
  <c r="F33" i="22" s="1"/>
  <c r="D11" i="15"/>
  <c r="E11" i="15" s="1"/>
  <c r="I31" i="22"/>
  <c r="I29" i="22"/>
  <c r="I35" i="22" s="1"/>
  <c r="I38" i="22"/>
  <c r="O38" i="22" s="1"/>
  <c r="I30" i="22"/>
  <c r="I27" i="22"/>
  <c r="I33" i="22" s="1"/>
  <c r="I28" i="22"/>
  <c r="I34" i="22" s="1"/>
  <c r="I36" i="22" s="1"/>
  <c r="D14" i="15"/>
  <c r="E14" i="15" s="1"/>
  <c r="D34" i="22"/>
  <c r="O29" i="22"/>
  <c r="D35" i="22"/>
  <c r="O5" i="22"/>
  <c r="N5" i="22"/>
  <c r="J20" i="7"/>
  <c r="J15" i="7"/>
  <c r="L11" i="22" s="1"/>
  <c r="K20" i="7"/>
  <c r="K15" i="7"/>
  <c r="D68" i="7"/>
  <c r="G70" i="7"/>
  <c r="H39" i="22"/>
  <c r="G27" i="22"/>
  <c r="G33" i="22" s="1"/>
  <c r="G28" i="22"/>
  <c r="G34" i="22" s="1"/>
  <c r="G36" i="22" s="1"/>
  <c r="G31" i="22"/>
  <c r="G29" i="22"/>
  <c r="G35" i="22" s="1"/>
  <c r="G38" i="22"/>
  <c r="G30" i="22"/>
  <c r="N30" i="22" s="1"/>
  <c r="D12" i="15"/>
  <c r="E12" i="15" s="1"/>
  <c r="D33" i="22"/>
  <c r="H36" i="22"/>
  <c r="D14" i="1"/>
  <c r="H25" i="1" s="1"/>
  <c r="L12" i="7"/>
  <c r="H14" i="7"/>
  <c r="H15" i="7" s="1"/>
  <c r="J11" i="22" s="1"/>
  <c r="F18" i="7"/>
  <c r="G17" i="22" s="1"/>
  <c r="O17" i="22" s="1"/>
  <c r="E12" i="7"/>
  <c r="E24" i="7"/>
  <c r="F27" i="7"/>
  <c r="G18" i="22" s="1"/>
  <c r="N18" i="22" s="1"/>
  <c r="E14" i="7"/>
  <c r="D14" i="7"/>
  <c r="K68" i="7"/>
  <c r="J68" i="7"/>
  <c r="N9" i="22"/>
  <c r="K27" i="22"/>
  <c r="K33" i="22" s="1"/>
  <c r="K28" i="22"/>
  <c r="K34" i="22" s="1"/>
  <c r="K36" i="22" s="1"/>
  <c r="K31" i="22"/>
  <c r="K29" i="22"/>
  <c r="K35" i="22" s="1"/>
  <c r="K38" i="22"/>
  <c r="K30" i="22"/>
  <c r="D16" i="15"/>
  <c r="E16" i="15" s="1"/>
  <c r="E13" i="15"/>
  <c r="J36" i="22"/>
  <c r="H68" i="7"/>
  <c r="E68" i="7"/>
  <c r="F68" i="7"/>
  <c r="I20" i="7"/>
  <c r="K29" i="7"/>
  <c r="G21" i="7"/>
  <c r="I12" i="22" s="1"/>
  <c r="G29" i="7"/>
  <c r="F21" i="7"/>
  <c r="H12" i="22" s="1"/>
  <c r="F29" i="7"/>
  <c r="J21" i="7"/>
  <c r="L12" i="22" s="1"/>
  <c r="J29" i="7"/>
  <c r="L20" i="7"/>
  <c r="H20" i="7"/>
  <c r="N25" i="1"/>
  <c r="N14" i="1" s="1"/>
  <c r="N23" i="1"/>
  <c r="N4" i="1" s="1"/>
  <c r="L19" i="1"/>
  <c r="L24" i="1" s="1"/>
  <c r="N24" i="1" s="1"/>
  <c r="E20" i="7" l="1"/>
  <c r="E15" i="7"/>
  <c r="G11" i="22" s="1"/>
  <c r="I21" i="7"/>
  <c r="K12" i="22" s="1"/>
  <c r="K13" i="22"/>
  <c r="K19" i="22" s="1"/>
  <c r="J6" i="22"/>
  <c r="J25" i="22"/>
  <c r="J21" i="22"/>
  <c r="I15" i="15"/>
  <c r="J70" i="7"/>
  <c r="K39" i="22"/>
  <c r="N6" i="1"/>
  <c r="N10" i="1" s="1"/>
  <c r="N12" i="1" s="1"/>
  <c r="N13" i="1" s="1"/>
  <c r="J13" i="22"/>
  <c r="J19" i="22" s="1"/>
  <c r="I6" i="22"/>
  <c r="I25" i="22"/>
  <c r="I21" i="22"/>
  <c r="I14" i="15"/>
  <c r="F70" i="7"/>
  <c r="G39" i="22"/>
  <c r="O30" i="22"/>
  <c r="K70" i="7"/>
  <c r="L39" i="22"/>
  <c r="N31" i="22"/>
  <c r="O27" i="22"/>
  <c r="D70" i="7"/>
  <c r="E39" i="22"/>
  <c r="N39" i="22" s="1"/>
  <c r="L25" i="22"/>
  <c r="L13" i="22"/>
  <c r="L19" i="22" s="1"/>
  <c r="K6" i="22"/>
  <c r="K25" i="22"/>
  <c r="K21" i="22"/>
  <c r="I16" i="15"/>
  <c r="J16" i="15" s="1"/>
  <c r="N29" i="22"/>
  <c r="O28" i="22"/>
  <c r="N17" i="22"/>
  <c r="D19" i="15"/>
  <c r="O11" i="22"/>
  <c r="N11" i="22"/>
  <c r="K35" i="7"/>
  <c r="L7" i="22"/>
  <c r="I37" i="19"/>
  <c r="H70" i="7"/>
  <c r="I39" i="22"/>
  <c r="M24" i="1"/>
  <c r="M6" i="1" s="1"/>
  <c r="M10" i="1" s="1"/>
  <c r="M12" i="1" s="1"/>
  <c r="M13" i="1" s="1"/>
  <c r="M15" i="1" s="1"/>
  <c r="E70" i="7"/>
  <c r="F39" i="22"/>
  <c r="D20" i="7"/>
  <c r="D15" i="7"/>
  <c r="F11" i="22" s="1"/>
  <c r="O35" i="22"/>
  <c r="N35" i="22"/>
  <c r="O34" i="22"/>
  <c r="N34" i="22"/>
  <c r="D36" i="22"/>
  <c r="H13" i="22"/>
  <c r="H19" i="22" s="1"/>
  <c r="G6" i="22"/>
  <c r="G25" i="22"/>
  <c r="G21" i="22"/>
  <c r="I12" i="15"/>
  <c r="D20" i="15"/>
  <c r="E20" i="15" s="1"/>
  <c r="C21" i="7"/>
  <c r="E12" i="22" s="1"/>
  <c r="D25" i="22"/>
  <c r="D21" i="22"/>
  <c r="E13" i="22"/>
  <c r="I9" i="15"/>
  <c r="C29" i="7"/>
  <c r="D21" i="15"/>
  <c r="H37" i="19"/>
  <c r="E17" i="15"/>
  <c r="O33" i="22"/>
  <c r="N33" i="22"/>
  <c r="K21" i="7"/>
  <c r="L21" i="22"/>
  <c r="L6" i="22"/>
  <c r="I17" i="15"/>
  <c r="J17" i="15" s="1"/>
  <c r="G33" i="7"/>
  <c r="H7" i="22"/>
  <c r="E37" i="19"/>
  <c r="N27" i="22"/>
  <c r="E15" i="15"/>
  <c r="N28" i="22"/>
  <c r="F36" i="22"/>
  <c r="H25" i="22"/>
  <c r="H21" i="22"/>
  <c r="I13" i="22"/>
  <c r="I19" i="22" s="1"/>
  <c r="H6" i="22"/>
  <c r="I13" i="15"/>
  <c r="J13" i="15" s="1"/>
  <c r="D22" i="15"/>
  <c r="D18" i="15"/>
  <c r="E18" i="15" s="1"/>
  <c r="I29" i="7"/>
  <c r="K30" i="7"/>
  <c r="K33" i="7"/>
  <c r="G35" i="7"/>
  <c r="G30" i="7"/>
  <c r="I14" i="22" s="1"/>
  <c r="K36" i="7"/>
  <c r="K40" i="7"/>
  <c r="L21" i="7"/>
  <c r="L29" i="7"/>
  <c r="H21" i="7"/>
  <c r="J12" i="22" s="1"/>
  <c r="H29" i="7"/>
  <c r="F33" i="7"/>
  <c r="F30" i="7"/>
  <c r="H14" i="22" s="1"/>
  <c r="F35" i="7"/>
  <c r="J35" i="7"/>
  <c r="J33" i="7"/>
  <c r="J30" i="7"/>
  <c r="L14" i="22" s="1"/>
  <c r="I33" i="7"/>
  <c r="N5" i="1"/>
  <c r="N15" i="1"/>
  <c r="M5" i="1"/>
  <c r="C33" i="15" l="1"/>
  <c r="C33" i="7"/>
  <c r="C30" i="7"/>
  <c r="E14" i="22" s="1"/>
  <c r="C35" i="7"/>
  <c r="O36" i="22"/>
  <c r="N36" i="22"/>
  <c r="I47" i="19"/>
  <c r="I49" i="19" s="1"/>
  <c r="I52" i="19" s="1"/>
  <c r="I59" i="19" s="1"/>
  <c r="I39" i="19"/>
  <c r="I60" i="19" s="1"/>
  <c r="O39" i="22"/>
  <c r="J14" i="15"/>
  <c r="J15" i="15"/>
  <c r="C34" i="15"/>
  <c r="E22" i="15"/>
  <c r="H47" i="19"/>
  <c r="H49" i="19" s="1"/>
  <c r="H52" i="19" s="1"/>
  <c r="H59" i="19" s="1"/>
  <c r="H39" i="19"/>
  <c r="H60" i="19" s="1"/>
  <c r="I18" i="15"/>
  <c r="J18" i="15" s="1"/>
  <c r="I20" i="15"/>
  <c r="J20" i="15" s="1"/>
  <c r="I19" i="15"/>
  <c r="J19" i="15" s="1"/>
  <c r="N12" i="22"/>
  <c r="I7" i="22"/>
  <c r="F37" i="19"/>
  <c r="G40" i="7"/>
  <c r="H23" i="22"/>
  <c r="H8" i="22"/>
  <c r="J40" i="7"/>
  <c r="K23" i="22"/>
  <c r="E19" i="22"/>
  <c r="O13" i="22"/>
  <c r="D21" i="7"/>
  <c r="F12" i="22" s="1"/>
  <c r="O12" i="22" s="1"/>
  <c r="F13" i="22"/>
  <c r="F19" i="22" s="1"/>
  <c r="E6" i="22"/>
  <c r="E25" i="22"/>
  <c r="E21" i="22"/>
  <c r="I10" i="15"/>
  <c r="J10" i="15" s="1"/>
  <c r="D29" i="7"/>
  <c r="L23" i="22"/>
  <c r="L8" i="22"/>
  <c r="E19" i="15"/>
  <c r="K44" i="7"/>
  <c r="K46" i="7" s="1"/>
  <c r="L22" i="22" s="1"/>
  <c r="L24" i="22" s="1"/>
  <c r="N17" i="15"/>
  <c r="I35" i="7"/>
  <c r="J7" i="22"/>
  <c r="G37" i="19"/>
  <c r="K7" i="22"/>
  <c r="I30" i="7"/>
  <c r="K14" i="22" s="1"/>
  <c r="F40" i="7"/>
  <c r="G23" i="22"/>
  <c r="E47" i="19"/>
  <c r="E49" i="19" s="1"/>
  <c r="E39" i="19"/>
  <c r="E21" i="15"/>
  <c r="F6" i="22"/>
  <c r="G13" i="22"/>
  <c r="G19" i="22" s="1"/>
  <c r="F25" i="22"/>
  <c r="F21" i="22"/>
  <c r="I11" i="15"/>
  <c r="J11" i="15" s="1"/>
  <c r="E21" i="7"/>
  <c r="G12" i="22" s="1"/>
  <c r="E29" i="7"/>
  <c r="G36" i="7"/>
  <c r="I15" i="22" s="1"/>
  <c r="K41" i="7"/>
  <c r="G41" i="7"/>
  <c r="I36" i="7"/>
  <c r="K15" i="22" s="1"/>
  <c r="H33" i="7"/>
  <c r="H30" i="7"/>
  <c r="J14" i="22" s="1"/>
  <c r="H35" i="7"/>
  <c r="L33" i="7"/>
  <c r="L30" i="7"/>
  <c r="L35" i="7"/>
  <c r="J36" i="7"/>
  <c r="L15" i="22" s="1"/>
  <c r="F36" i="7"/>
  <c r="H15" i="22" s="1"/>
  <c r="H40" i="7" l="1"/>
  <c r="I8" i="22"/>
  <c r="I23" i="22"/>
  <c r="O25" i="22"/>
  <c r="N25" i="22"/>
  <c r="G44" i="7"/>
  <c r="G46" i="7" s="1"/>
  <c r="H22" i="22" s="1"/>
  <c r="H24" i="22" s="1"/>
  <c r="N13" i="15"/>
  <c r="N13" i="22"/>
  <c r="C40" i="7"/>
  <c r="D23" i="22"/>
  <c r="C36" i="7"/>
  <c r="E15" i="22" s="1"/>
  <c r="F7" i="22"/>
  <c r="G7" i="22"/>
  <c r="E30" i="7"/>
  <c r="G14" i="22" s="1"/>
  <c r="E35" i="7"/>
  <c r="E33" i="7"/>
  <c r="G47" i="19"/>
  <c r="G49" i="19" s="1"/>
  <c r="G52" i="19" s="1"/>
  <c r="G59" i="19" s="1"/>
  <c r="G39" i="19"/>
  <c r="G60" i="19" s="1"/>
  <c r="F44" i="7"/>
  <c r="F46" i="7" s="1"/>
  <c r="G22" i="22" s="1"/>
  <c r="G24" i="22" s="1"/>
  <c r="N12" i="15"/>
  <c r="D33" i="7"/>
  <c r="E7" i="22"/>
  <c r="D30" i="7"/>
  <c r="F14" i="22" s="1"/>
  <c r="N14" i="22" s="1"/>
  <c r="D35" i="7"/>
  <c r="O6" i="22"/>
  <c r="N6" i="22"/>
  <c r="J44" i="7"/>
  <c r="J46" i="7" s="1"/>
  <c r="K22" i="22" s="1"/>
  <c r="K24" i="22" s="1"/>
  <c r="N16" i="15"/>
  <c r="F47" i="19"/>
  <c r="F49" i="19" s="1"/>
  <c r="F52" i="19" s="1"/>
  <c r="F39" i="19"/>
  <c r="F60" i="19" s="1"/>
  <c r="J41" i="7"/>
  <c r="I40" i="7"/>
  <c r="J23" i="22"/>
  <c r="J8" i="22"/>
  <c r="C35" i="15"/>
  <c r="O19" i="22"/>
  <c r="N19" i="22"/>
  <c r="I21" i="15"/>
  <c r="I61" i="19"/>
  <c r="J12" i="15"/>
  <c r="O17" i="15"/>
  <c r="O21" i="22"/>
  <c r="N21" i="22"/>
  <c r="K8" i="22"/>
  <c r="I22" i="15"/>
  <c r="H34" i="15" s="1"/>
  <c r="H61" i="19"/>
  <c r="H41" i="7"/>
  <c r="I41" i="7"/>
  <c r="L36" i="7"/>
  <c r="L40" i="7"/>
  <c r="H36" i="7"/>
  <c r="J15" i="22" s="1"/>
  <c r="J22" i="15" l="1"/>
  <c r="J21" i="15"/>
  <c r="H33" i="15" s="1"/>
  <c r="N15" i="22"/>
  <c r="O14" i="22"/>
  <c r="F59" i="19"/>
  <c r="F61" i="19" s="1"/>
  <c r="I63" i="19" s="1"/>
  <c r="I55" i="19"/>
  <c r="I54" i="19"/>
  <c r="G61" i="19"/>
  <c r="O7" i="22"/>
  <c r="N7" i="22"/>
  <c r="E40" i="7"/>
  <c r="F23" i="22"/>
  <c r="F8" i="22"/>
  <c r="G8" i="22"/>
  <c r="E36" i="7"/>
  <c r="G15" i="22" s="1"/>
  <c r="I44" i="7"/>
  <c r="I46" i="7" s="1"/>
  <c r="J22" i="22" s="1"/>
  <c r="J24" i="22" s="1"/>
  <c r="N15" i="15"/>
  <c r="O16" i="15" s="1"/>
  <c r="D40" i="7"/>
  <c r="E8" i="22"/>
  <c r="E23" i="22"/>
  <c r="D36" i="7"/>
  <c r="F15" i="22" s="1"/>
  <c r="O15" i="22" s="1"/>
  <c r="O13" i="15"/>
  <c r="C44" i="7"/>
  <c r="C46" i="7" s="1"/>
  <c r="D22" i="22" s="1"/>
  <c r="D24" i="22" s="1"/>
  <c r="N9" i="15"/>
  <c r="H44" i="7"/>
  <c r="H46" i="7" s="1"/>
  <c r="I22" i="22" s="1"/>
  <c r="I24" i="22" s="1"/>
  <c r="N14" i="15"/>
  <c r="N8" i="22" l="1"/>
  <c r="O8" i="22"/>
  <c r="D44" i="7"/>
  <c r="D46" i="7" s="1"/>
  <c r="E22" i="22" s="1"/>
  <c r="N10" i="15"/>
  <c r="O10" i="15" s="1"/>
  <c r="D41" i="7"/>
  <c r="I64" i="19"/>
  <c r="O23" i="22"/>
  <c r="N23" i="22"/>
  <c r="O15" i="15"/>
  <c r="O14" i="15"/>
  <c r="E44" i="7"/>
  <c r="E46" i="7" s="1"/>
  <c r="F22" i="22" s="1"/>
  <c r="F24" i="22" s="1"/>
  <c r="N11" i="15"/>
  <c r="E41" i="7"/>
  <c r="F41" i="7"/>
  <c r="H35" i="15"/>
  <c r="O11" i="15" l="1"/>
  <c r="O12" i="15"/>
  <c r="N19" i="15"/>
  <c r="O19" i="15" s="1"/>
  <c r="N22" i="15"/>
  <c r="O22" i="15" s="1"/>
  <c r="N21" i="15"/>
  <c r="E24" i="22"/>
  <c r="O22" i="22"/>
  <c r="N22" i="22"/>
  <c r="N20" i="15"/>
  <c r="N18" i="15"/>
  <c r="O18" i="15" s="1"/>
  <c r="N24" i="22" l="1"/>
  <c r="O24" i="22"/>
  <c r="O20" i="15"/>
  <c r="O21" i="15"/>
  <c r="O34" i="15" s="1"/>
  <c r="O33" i="1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<sst xmlns="http://schemas.openxmlformats.org/spreadsheetml/2006/main" count="436" uniqueCount="287">
  <si>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</si>
  <si>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</si>
  <si>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</si>
  <si>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</si>
  <si>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</si>
  <si>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</si>
  <si>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</si>
  <si>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</si>
  <si>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</si>
  <si>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</si>
  <si>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</si>
  <si>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</si>
  <si>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</si>
  <si>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</si>
  <si>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</si>
  <si>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</si>
  <si>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</si>
  <si>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</si>
  <si>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</si>
  <si>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</si>
  <si>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</si>
  <si>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</si>
  <si>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</si>
  <si>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</si>
  <si>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</si>
  <si>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</si>
  <si>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</si>
  <si>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</si>
  <si>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</si>
  <si>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</si>
  <si>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</si>
  <si>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</si>
  <si>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</si>
  <si>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</si>
  <si>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</si>
  <si>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</si>
  <si>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</si>
  <si>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</si>
  <si>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</si>
  <si>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</si>
  <si>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</si>
  <si>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</si>
  <si>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</si>
  <si>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</si>
  <si>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</si>
  <si>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</si>
  <si>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</si>
  <si>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</si>
  <si>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</si>
  <si>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</si>
  <si>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</si>
  <si>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</si>
  <si>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</si>
  <si>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</si>
  <si>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</si>
  <si>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</si>
  <si>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</si>
  <si>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</si>
  <si>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</si>
  <si>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</si>
  <si>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</si>
  <si>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</si>
  <si>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</si>
  <si>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</si>
  <si>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</si>
  <si>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</si>
  <si>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</si>
  <si>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</si>
  <si>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</si>
  <si>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</si>
  <si>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</si>
  <si>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</si>
  <si>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</si>
  <si>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</si>
  <si>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</si>
  <si>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</si>
  <si>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</si>
  <si>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</si>
  <si>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</si>
  <si>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</si>
  <si>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</si>
  <si>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</si>
  <si>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LTM</t>
  </si>
  <si>
    <t>#</t>
  </si>
  <si>
    <t>COGS</t>
  </si>
  <si>
    <t>COGS % Sales</t>
  </si>
  <si>
    <t>Gross Profit</t>
  </si>
  <si>
    <t>Selling and Administrative Epenses</t>
  </si>
  <si>
    <t>S&amp;G % Sales</t>
  </si>
  <si>
    <t>EBITDA</t>
  </si>
  <si>
    <t>NIL</t>
  </si>
  <si>
    <t>Historical Financial Statement</t>
  </si>
  <si>
    <t>EBITDA % Sales</t>
  </si>
  <si>
    <t>Gross Margin</t>
  </si>
  <si>
    <t>Interest % sales</t>
  </si>
  <si>
    <t>Depriciation</t>
  </si>
  <si>
    <t>Depriciation % Sales</t>
  </si>
  <si>
    <t>Profit Before Tax</t>
  </si>
  <si>
    <t>EBT % Sales</t>
  </si>
  <si>
    <t>Effective Tax Rate</t>
  </si>
  <si>
    <t>Net Profit</t>
  </si>
  <si>
    <t>Net Margins</t>
  </si>
  <si>
    <t>Earning Per Share</t>
  </si>
  <si>
    <t>Divident Per Share</t>
  </si>
  <si>
    <t>EPS growth %</t>
  </si>
  <si>
    <t>Divident Payout Ratio</t>
  </si>
  <si>
    <t>Retained Earnings</t>
  </si>
  <si>
    <t>Total Laiblities</t>
  </si>
  <si>
    <t>Total Non - Curr Assets</t>
  </si>
  <si>
    <t>Total Current Assets</t>
  </si>
  <si>
    <t>Total Assets</t>
  </si>
  <si>
    <t>Check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</si>
  <si>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</si>
  <si>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</si>
  <si>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</si>
  <si>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</si>
  <si>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</si>
  <si>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</si>
  <si>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</si>
  <si>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</si>
  <si>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</si>
  <si>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</si>
  <si>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</si>
  <si>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</si>
  <si>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</si>
  <si>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</si>
  <si>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</si>
  <si>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</si>
  <si>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</si>
  <si>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</si>
  <si>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</si>
  <si>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</si>
  <si>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</si>
  <si>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</si>
  <si>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</si>
  <si>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</si>
  <si>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</si>
  <si>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</si>
  <si>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</si>
  <si>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</si>
  <si>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</si>
  <si>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EBITDA Growth</t>
  </si>
  <si>
    <t>Sales Weight</t>
  </si>
  <si>
    <t>Forecasting of TATA MOTORS</t>
  </si>
  <si>
    <t>Average Sales Growth</t>
  </si>
  <si>
    <t>Geometric Growth</t>
  </si>
  <si>
    <t>Standard Deviation</t>
  </si>
  <si>
    <t>Year</t>
  </si>
  <si>
    <t>Particulars</t>
  </si>
  <si>
    <t>Total Asset</t>
  </si>
  <si>
    <t xml:space="preserve">Cash from Operating Activity </t>
  </si>
  <si>
    <t xml:space="preserve">Cash from Investing Activity </t>
  </si>
  <si>
    <t xml:space="preserve">Cash from Financing Activity </t>
  </si>
  <si>
    <t>COMMON SIZE STATEMENT</t>
  </si>
  <si>
    <t xml:space="preserve">Sales </t>
  </si>
  <si>
    <t>EPS Growth</t>
  </si>
  <si>
    <t>FORECAST</t>
  </si>
  <si>
    <t>EBITDA Weight</t>
  </si>
  <si>
    <t>EPS Weight</t>
  </si>
  <si>
    <t>Average EBITDA Growth</t>
  </si>
  <si>
    <t>Average EPS Growth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</si>
  <si>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</si>
  <si>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</si>
  <si>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</si>
  <si>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</si>
  <si>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</si>
  <si>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</si>
  <si>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</si>
  <si>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</si>
  <si>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</si>
  <si>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</si>
  <si>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</si>
  <si>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</si>
  <si>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</si>
  <si>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</si>
  <si>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</si>
  <si>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</si>
  <si>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</si>
  <si>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</si>
  <si>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</si>
  <si>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</si>
  <si>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</si>
  <si>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</si>
  <si>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</si>
  <si>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</si>
  <si>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</si>
  <si>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</si>
  <si>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</si>
  <si>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</t>
  </si>
  <si>
    <t>Cash Equivalents</t>
  </si>
  <si>
    <t>Short term loans</t>
  </si>
  <si>
    <t>Other asset items</t>
  </si>
  <si>
    <t>Calculation of ROIC</t>
  </si>
  <si>
    <t>Current Assets</t>
  </si>
  <si>
    <t>Current Liablities</t>
  </si>
  <si>
    <t>Total Current Liablities</t>
  </si>
  <si>
    <t xml:space="preserve">Net Working Capital </t>
  </si>
  <si>
    <t>Non Current Assets</t>
  </si>
  <si>
    <t>Net Non Current Assets</t>
  </si>
  <si>
    <t>Invested Capital</t>
  </si>
  <si>
    <t>EBIT</t>
  </si>
  <si>
    <t>ROIC</t>
  </si>
  <si>
    <t>Calculation of Reinvestment Rate</t>
  </si>
  <si>
    <t>Net CAPEX</t>
  </si>
  <si>
    <t>Change in Working Capital</t>
  </si>
  <si>
    <t>Marginal Tax Rate</t>
  </si>
  <si>
    <t>Reinvestment</t>
  </si>
  <si>
    <t>Reinvestment Rate</t>
  </si>
  <si>
    <t>EBIT(1-Tax Rate)</t>
  </si>
  <si>
    <t>4 Year Average</t>
  </si>
  <si>
    <t>4 Year Median</t>
  </si>
  <si>
    <t>Calculation of Growth Rate</t>
  </si>
  <si>
    <t>Intrinsic Growth</t>
  </si>
  <si>
    <t>S.No.</t>
  </si>
  <si>
    <t>Name</t>
  </si>
  <si>
    <t>CMP Rs.</t>
  </si>
  <si>
    <t>P/E</t>
  </si>
  <si>
    <t xml:space="preserve">Mar Cap Rs.Cr. </t>
  </si>
  <si>
    <t>Net Debt</t>
  </si>
  <si>
    <t>No. Eq. Shares Cr.</t>
  </si>
  <si>
    <t>Debt Rs.Cr.</t>
  </si>
  <si>
    <t>Cash End Rs.Cr.</t>
  </si>
  <si>
    <t>EV Rs.Cr.</t>
  </si>
  <si>
    <t>Sales Rs.Cr.</t>
  </si>
  <si>
    <t>NP 12M Rs.Cr.</t>
  </si>
  <si>
    <t>EV / EBITDA</t>
  </si>
  <si>
    <t>Tata Motors</t>
  </si>
  <si>
    <t>Ashok Leyland</t>
  </si>
  <si>
    <t>Tata Motors-DVR</t>
  </si>
  <si>
    <t>Olectra Greentec</t>
  </si>
  <si>
    <t>Force Motors</t>
  </si>
  <si>
    <t>SML ISUZU</t>
  </si>
  <si>
    <t>Comparable Company Valuation in Crores</t>
  </si>
  <si>
    <t>Market Data</t>
  </si>
  <si>
    <t>Financials</t>
  </si>
  <si>
    <t>Valuation</t>
  </si>
  <si>
    <t>Share</t>
  </si>
  <si>
    <t xml:space="preserve">Company </t>
  </si>
  <si>
    <t>Tricker</t>
  </si>
  <si>
    <t xml:space="preserve">Price </t>
  </si>
  <si>
    <t>Outstanding</t>
  </si>
  <si>
    <t>Equity value</t>
  </si>
  <si>
    <t>Enterprise value</t>
  </si>
  <si>
    <t>Revenue</t>
  </si>
  <si>
    <t>Net Income</t>
  </si>
  <si>
    <t>EV/Revenue</t>
  </si>
  <si>
    <t>EV/EBITDA</t>
  </si>
  <si>
    <t>High</t>
  </si>
  <si>
    <t>75th Percentile</t>
  </si>
  <si>
    <t>Average</t>
  </si>
  <si>
    <t>Median</t>
  </si>
  <si>
    <t>25th Percentile</t>
  </si>
  <si>
    <t>Low</t>
  </si>
  <si>
    <t>Tata Motor Comparable Valuation</t>
  </si>
  <si>
    <t>Implied Enterprise Value</t>
  </si>
  <si>
    <t>Implied Market Value</t>
  </si>
  <si>
    <t>Shares Oustanding</t>
  </si>
  <si>
    <t>Implied Value Per Share</t>
  </si>
  <si>
    <t xml:space="preserve"> Source : Screener.in</t>
  </si>
  <si>
    <t>Trend</t>
  </si>
  <si>
    <t>Mean</t>
  </si>
  <si>
    <t>SalesGrowth</t>
  </si>
  <si>
    <t>EBIT Growth</t>
  </si>
  <si>
    <t>Net Profit Growth</t>
  </si>
  <si>
    <t>Dividend Growth</t>
  </si>
  <si>
    <t>EBITDA Margin</t>
  </si>
  <si>
    <t>EBIT Margin</t>
  </si>
  <si>
    <t>EBT Margin</t>
  </si>
  <si>
    <t>Net Profit Margin</t>
  </si>
  <si>
    <t>SalesExpenses%Sales</t>
  </si>
  <si>
    <t>Depreciation%Sales</t>
  </si>
  <si>
    <t>OperatingIncome%Sales</t>
  </si>
  <si>
    <t>Return on Capital Employed</t>
  </si>
  <si>
    <t>Retained Earnings%</t>
  </si>
  <si>
    <t>Return on Equity%</t>
  </si>
  <si>
    <t>Self Sustained Growth Rate</t>
  </si>
  <si>
    <t>Interest Coverage Ratio</t>
  </si>
  <si>
    <t>Debtor Turnover Ratio</t>
  </si>
  <si>
    <t>Creditor Turnover Ratio</t>
  </si>
  <si>
    <t>Fixed Asset Turnover</t>
  </si>
  <si>
    <t>Capital Turnover Ratio</t>
  </si>
  <si>
    <t>Payable Days</t>
  </si>
  <si>
    <t>Inventory Days</t>
  </si>
  <si>
    <t>Cash Conversion Cycle (in days)</t>
  </si>
  <si>
    <t>CFO/Sales</t>
  </si>
  <si>
    <t>CFO/Total Assets</t>
  </si>
  <si>
    <t>CFO/Total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</si>
</sst>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"/>
    <numFmt numFmtId="167" formatCode="0.0%"/>
    <numFmt numFmtId="168" formatCode="&quot;₹&quot;\ #,##0.0"/>
    <numFmt numFmtId="169" formatCode="&quot;₹&quot;\ #,##0.0;&quot;₹&quot;\ \(#,##0.0\)"/>
    <numFmt numFmtId="170" formatCode="0\A"/>
    <numFmt numFmtId="171" formatCode="0\E"/>
    <numFmt numFmtId="172" formatCode="#,##0.0;\(#,##0.0\);\-"/>
    <numFmt numFmtId="173" formatCode="#,##0.0"/>
    <numFmt numFmtId="174" formatCode="#,##0.0;\(#,###.00\);\-"/>
    <numFmt numFmtId="175" formatCode="#,##0.00;\(#,###.000\);\-"/>
    <numFmt numFmtId="176" formatCode="0.0"/>
    <numFmt numFmtId="177" formatCode="0.0\X"/>
    <numFmt numFmtId="178" formatCode="0.00&quot;x&quot;"/>
    <numFmt numFmtId="179" formatCode="0&quot;Days&quot;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i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rgb="FF13343B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7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08">
    <xf numFmtId="0" fontId="0" fillId="0" borderId="0" xfId="0"/>
    <xf numFmtId="43" fontId="2" fillId="0" borderId="0" xfId="1" applyFont="1" applyBorder="1"/>
    <xf numFmtId="0" fontId="2" fillId="0" borderId="0" xfId="0" applyFont="1"/>
    <xf numFmtId="0" fontId="7" fillId="0" borderId="0" xfId="0" applyFont="1"/>
    <xf numFmtId="43" fontId="0" fillId="0" borderId="0" xfId="1" applyFont="1" applyBorder="1"/>
    <xf numFmtId="10" fontId="0" fillId="0" borderId="0" xfId="0" applyNumberFormat="1"/>
    <xf numFmtId="43" fontId="4" fillId="0" borderId="0" xfId="1" applyFont="1" applyBorder="1"/>
    <xf numFmtId="9" fontId="4" fillId="0" borderId="0" xfId="1" applyNumberFormat="1" applyFont="1" applyBorder="1"/>
    <xf numFmtId="43" fontId="3" fillId="2" borderId="0" xfId="3" applyNumberFormat="1" applyFont="1" applyBorder="1"/>
    <xf numFmtId="43" fontId="3" fillId="3" borderId="0" xfId="4" applyNumberFormat="1" applyFont="1" applyBorder="1"/>
    <xf numFmtId="9" fontId="2" fillId="0" borderId="0" xfId="6" applyFont="1" applyBorder="1"/>
    <xf numFmtId="0" fontId="3" fillId="5" borderId="0" xfId="0" applyFont="1" applyFill="1"/>
    <xf numFmtId="165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10" fontId="2" fillId="0" borderId="0" xfId="0" applyNumberFormat="1" applyFont="1"/>
    <xf numFmtId="165" fontId="3" fillId="5" borderId="0" xfId="1" applyNumberFormat="1" applyFont="1" applyFill="1" applyBorder="1"/>
    <xf numFmtId="165" fontId="8" fillId="0" borderId="0" xfId="1" applyNumberFormat="1" applyFont="1" applyFill="1" applyBorder="1"/>
    <xf numFmtId="0" fontId="8" fillId="0" borderId="0" xfId="0" applyFont="1"/>
    <xf numFmtId="164" fontId="0" fillId="0" borderId="0" xfId="1" applyNumberFormat="1" applyFont="1" applyBorder="1"/>
    <xf numFmtId="166" fontId="0" fillId="0" borderId="0" xfId="0" applyNumberFormat="1"/>
    <xf numFmtId="0" fontId="9" fillId="0" borderId="0" xfId="0" applyFont="1"/>
    <xf numFmtId="10" fontId="9" fillId="0" borderId="0" xfId="6" applyNumberFormat="1" applyFont="1"/>
    <xf numFmtId="167" fontId="9" fillId="0" borderId="0" xfId="6" applyNumberFormat="1" applyFont="1"/>
    <xf numFmtId="0" fontId="9" fillId="0" borderId="0" xfId="0" applyFont="1" applyAlignment="1">
      <alignment horizontal="right"/>
    </xf>
    <xf numFmtId="165" fontId="10" fillId="5" borderId="0" xfId="0" applyNumberFormat="1" applyFont="1" applyFill="1" applyAlignment="1">
      <alignment horizontal="center"/>
    </xf>
    <xf numFmtId="0" fontId="11" fillId="0" borderId="0" xfId="0" applyFont="1"/>
    <xf numFmtId="166" fontId="0" fillId="0" borderId="0" xfId="6" applyNumberFormat="1" applyFont="1"/>
    <xf numFmtId="166" fontId="9" fillId="0" borderId="0" xfId="0" applyNumberFormat="1" applyFont="1"/>
    <xf numFmtId="17" fontId="0" fillId="0" borderId="0" xfId="0" applyNumberFormat="1"/>
    <xf numFmtId="3" fontId="0" fillId="0" borderId="0" xfId="0" applyNumberFormat="1"/>
    <xf numFmtId="169" fontId="0" fillId="0" borderId="0" xfId="0" applyNumberFormat="1"/>
    <xf numFmtId="0" fontId="2" fillId="7" borderId="0" xfId="0" applyFont="1" applyFill="1"/>
    <xf numFmtId="0" fontId="0" fillId="7" borderId="0" xfId="0" applyFill="1"/>
    <xf numFmtId="10" fontId="0" fillId="0" borderId="0" xfId="6" applyNumberFormat="1" applyFont="1"/>
    <xf numFmtId="0" fontId="0" fillId="0" borderId="0" xfId="0" applyAlignment="1">
      <alignment horizontal="left"/>
    </xf>
    <xf numFmtId="0" fontId="0" fillId="0" borderId="1" xfId="0" applyBorder="1"/>
    <xf numFmtId="0" fontId="6" fillId="8" borderId="0" xfId="0" applyFont="1" applyFill="1" applyAlignment="1">
      <alignment horizontal="center"/>
    </xf>
    <xf numFmtId="0" fontId="13" fillId="9" borderId="0" xfId="0" applyFont="1" applyFill="1"/>
    <xf numFmtId="0" fontId="14" fillId="9" borderId="0" xfId="0" applyFont="1" applyFill="1"/>
    <xf numFmtId="0" fontId="17" fillId="7" borderId="0" xfId="0" applyFont="1" applyFill="1"/>
    <xf numFmtId="0" fontId="2" fillId="0" borderId="2" xfId="0" applyFont="1" applyBorder="1"/>
    <xf numFmtId="166" fontId="0" fillId="0" borderId="2" xfId="0" applyNumberFormat="1" applyBorder="1"/>
    <xf numFmtId="0" fontId="2" fillId="0" borderId="3" xfId="0" applyFont="1" applyBorder="1"/>
    <xf numFmtId="10" fontId="9" fillId="0" borderId="3" xfId="6" applyNumberFormat="1" applyFont="1" applyBorder="1"/>
    <xf numFmtId="0" fontId="9" fillId="0" borderId="3" xfId="0" applyFont="1" applyBorder="1"/>
    <xf numFmtId="0" fontId="0" fillId="0" borderId="2" xfId="0" applyBorder="1"/>
    <xf numFmtId="168" fontId="0" fillId="0" borderId="2" xfId="0" applyNumberFormat="1" applyBorder="1"/>
    <xf numFmtId="10" fontId="0" fillId="0" borderId="1" xfId="0" applyNumberFormat="1" applyBorder="1"/>
    <xf numFmtId="0" fontId="2" fillId="0" borderId="5" xfId="0" applyFont="1" applyBorder="1"/>
    <xf numFmtId="166" fontId="2" fillId="0" borderId="5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4" xfId="0" applyFont="1" applyBorder="1"/>
    <xf numFmtId="169" fontId="2" fillId="0" borderId="4" xfId="0" applyNumberFormat="1" applyFont="1" applyBorder="1"/>
    <xf numFmtId="0" fontId="18" fillId="6" borderId="0" xfId="0" applyFont="1" applyFill="1"/>
    <xf numFmtId="17" fontId="18" fillId="6" borderId="0" xfId="0" applyNumberFormat="1" applyFont="1" applyFill="1"/>
    <xf numFmtId="17" fontId="18" fillId="6" borderId="0" xfId="0" applyNumberFormat="1" applyFont="1" applyFill="1" applyAlignment="1">
      <alignment horizontal="right"/>
    </xf>
    <xf numFmtId="44" fontId="16" fillId="10" borderId="0" xfId="7" applyFont="1" applyFill="1" applyAlignment="1">
      <alignment horizontal="left" vertical="top"/>
    </xf>
    <xf numFmtId="44" fontId="15" fillId="10" borderId="0" xfId="7" applyFont="1" applyFill="1" applyAlignment="1">
      <alignment horizontal="left" vertical="top"/>
    </xf>
    <xf numFmtId="0" fontId="0" fillId="11" borderId="0" xfId="0" applyFill="1"/>
    <xf numFmtId="10" fontId="4" fillId="11" borderId="0" xfId="6" applyNumberFormat="1" applyFont="1" applyFill="1"/>
    <xf numFmtId="10" fontId="4" fillId="0" borderId="0" xfId="6" applyNumberFormat="1" applyFont="1"/>
    <xf numFmtId="43" fontId="0" fillId="0" borderId="0" xfId="0" applyNumberFormat="1" applyAlignment="1">
      <alignment horizontal="left" vertical="top"/>
    </xf>
    <xf numFmtId="43" fontId="0" fillId="12" borderId="6" xfId="0" applyNumberFormat="1" applyFill="1" applyBorder="1" applyAlignment="1">
      <alignment horizontal="left" vertical="top"/>
    </xf>
    <xf numFmtId="0" fontId="0" fillId="12" borderId="6" xfId="0" applyFill="1" applyBorder="1"/>
    <xf numFmtId="10" fontId="4" fillId="12" borderId="6" xfId="6" applyNumberFormat="1" applyFont="1" applyFill="1" applyBorder="1"/>
    <xf numFmtId="10" fontId="4" fillId="0" borderId="0" xfId="6" applyNumberFormat="1" applyFont="1" applyBorder="1"/>
    <xf numFmtId="43" fontId="0" fillId="0" borderId="0" xfId="0" applyNumberFormat="1"/>
    <xf numFmtId="10" fontId="2" fillId="0" borderId="4" xfId="6" applyNumberFormat="1" applyFont="1" applyBorder="1"/>
    <xf numFmtId="43" fontId="2" fillId="0" borderId="4" xfId="0" applyNumberFormat="1" applyFont="1" applyBorder="1"/>
    <xf numFmtId="0" fontId="0" fillId="13" borderId="0" xfId="0" applyFill="1"/>
    <xf numFmtId="43" fontId="0" fillId="13" borderId="0" xfId="0" applyNumberFormat="1" applyFill="1"/>
    <xf numFmtId="0" fontId="6" fillId="8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14" borderId="0" xfId="0" applyFill="1" applyAlignment="1">
      <alignment horizontal="left"/>
    </xf>
    <xf numFmtId="2" fontId="0" fillId="14" borderId="0" xfId="0" applyNumberFormat="1" applyFill="1"/>
    <xf numFmtId="10" fontId="0" fillId="14" borderId="0" xfId="6" applyNumberFormat="1" applyFont="1" applyFill="1"/>
    <xf numFmtId="0" fontId="0" fillId="12" borderId="0" xfId="0" applyFill="1"/>
    <xf numFmtId="0" fontId="22" fillId="12" borderId="0" xfId="0" applyFont="1" applyFill="1"/>
    <xf numFmtId="10" fontId="23" fillId="12" borderId="0" xfId="6" applyNumberFormat="1" applyFont="1" applyFill="1" applyBorder="1"/>
    <xf numFmtId="10" fontId="23" fillId="12" borderId="0" xfId="6" applyNumberFormat="1" applyFont="1" applyFill="1"/>
    <xf numFmtId="0" fontId="22" fillId="10" borderId="0" xfId="0" applyFont="1" applyFill="1"/>
    <xf numFmtId="0" fontId="0" fillId="10" borderId="0" xfId="0" applyFill="1"/>
    <xf numFmtId="10" fontId="13" fillId="12" borderId="0" xfId="6" applyNumberFormat="1" applyFont="1" applyFill="1"/>
    <xf numFmtId="0" fontId="12" fillId="0" borderId="3" xfId="0" applyFont="1" applyBorder="1" applyAlignment="1">
      <alignment horizontal="left"/>
    </xf>
    <xf numFmtId="0" fontId="12" fillId="0" borderId="3" xfId="0" applyFont="1" applyBorder="1"/>
    <xf numFmtId="17" fontId="12" fillId="0" borderId="3" xfId="0" applyNumberFormat="1" applyFont="1" applyBorder="1"/>
    <xf numFmtId="166" fontId="0" fillId="14" borderId="0" xfId="0" applyNumberFormat="1" applyFill="1"/>
    <xf numFmtId="166" fontId="24" fillId="0" borderId="0" xfId="0" applyNumberFormat="1" applyFont="1"/>
    <xf numFmtId="170" fontId="0" fillId="0" borderId="0" xfId="0" applyNumberFormat="1"/>
    <xf numFmtId="171" fontId="0" fillId="14" borderId="0" xfId="0" applyNumberFormat="1" applyFill="1"/>
    <xf numFmtId="17" fontId="6" fillId="10" borderId="0" xfId="0" applyNumberFormat="1" applyFont="1" applyFill="1"/>
    <xf numFmtId="17" fontId="25" fillId="6" borderId="0" xfId="0" applyNumberFormat="1" applyFont="1" applyFill="1"/>
    <xf numFmtId="0" fontId="2" fillId="0" borderId="7" xfId="0" applyFont="1" applyBorder="1"/>
    <xf numFmtId="172" fontId="0" fillId="0" borderId="4" xfId="0" applyNumberFormat="1" applyBorder="1"/>
    <xf numFmtId="172" fontId="0" fillId="0" borderId="0" xfId="0" applyNumberFormat="1"/>
    <xf numFmtId="172" fontId="2" fillId="0" borderId="7" xfId="0" applyNumberFormat="1" applyFont="1" applyBorder="1"/>
    <xf numFmtId="172" fontId="2" fillId="0" borderId="0" xfId="0" applyNumberFormat="1" applyFont="1"/>
    <xf numFmtId="172" fontId="0" fillId="0" borderId="2" xfId="0" applyNumberFormat="1" applyBorder="1"/>
    <xf numFmtId="172" fontId="2" fillId="0" borderId="4" xfId="0" applyNumberFormat="1" applyFont="1" applyBorder="1"/>
    <xf numFmtId="172" fontId="2" fillId="0" borderId="2" xfId="0" applyNumberFormat="1" applyFont="1" applyBorder="1"/>
    <xf numFmtId="173" fontId="0" fillId="0" borderId="0" xfId="0" applyNumberFormat="1"/>
    <xf numFmtId="0" fontId="2" fillId="0" borderId="8" xfId="0" applyFont="1" applyBorder="1"/>
    <xf numFmtId="0" fontId="0" fillId="0" borderId="8" xfId="0" applyBorder="1"/>
    <xf numFmtId="172" fontId="0" fillId="0" borderId="8" xfId="0" applyNumberFormat="1" applyBorder="1"/>
    <xf numFmtId="0" fontId="14" fillId="0" borderId="0" xfId="0" applyFont="1"/>
    <xf numFmtId="0" fontId="3" fillId="15" borderId="0" xfId="0" applyFont="1" applyFill="1"/>
    <xf numFmtId="17" fontId="3" fillId="15" borderId="0" xfId="0" applyNumberFormat="1" applyFont="1" applyFill="1"/>
    <xf numFmtId="17" fontId="0" fillId="12" borderId="0" xfId="0" applyNumberFormat="1" applyFill="1"/>
    <xf numFmtId="3" fontId="0" fillId="12" borderId="0" xfId="0" applyNumberFormat="1" applyFill="1"/>
    <xf numFmtId="174" fontId="0" fillId="0" borderId="0" xfId="0" applyNumberFormat="1"/>
    <xf numFmtId="174" fontId="2" fillId="0" borderId="2" xfId="0" applyNumberFormat="1" applyFont="1" applyBorder="1"/>
    <xf numFmtId="174" fontId="0" fillId="0" borderId="8" xfId="0" applyNumberFormat="1" applyBorder="1"/>
    <xf numFmtId="174" fontId="2" fillId="0" borderId="0" xfId="0" applyNumberFormat="1" applyFont="1"/>
    <xf numFmtId="174" fontId="14" fillId="0" borderId="0" xfId="0" applyNumberFormat="1" applyFont="1"/>
    <xf numFmtId="174" fontId="0" fillId="0" borderId="0" xfId="6" applyNumberFormat="1" applyFont="1"/>
    <xf numFmtId="175" fontId="26" fillId="0" borderId="0" xfId="0" applyNumberFormat="1" applyFont="1"/>
    <xf numFmtId="174" fontId="2" fillId="0" borderId="8" xfId="0" applyNumberFormat="1" applyFont="1" applyBorder="1"/>
    <xf numFmtId="0" fontId="2" fillId="12" borderId="9" xfId="0" applyFont="1" applyFill="1" applyBorder="1"/>
    <xf numFmtId="0" fontId="2" fillId="12" borderId="11" xfId="0" applyFont="1" applyFill="1" applyBorder="1"/>
    <xf numFmtId="0" fontId="2" fillId="12" borderId="4" xfId="0" applyFont="1" applyFill="1" applyBorder="1"/>
    <xf numFmtId="10" fontId="2" fillId="12" borderId="4" xfId="6" applyNumberFormat="1" applyFont="1" applyFill="1" applyBorder="1"/>
    <xf numFmtId="175" fontId="0" fillId="0" borderId="0" xfId="0" applyNumberFormat="1"/>
    <xf numFmtId="0" fontId="17" fillId="0" borderId="0" xfId="0" applyFont="1"/>
    <xf numFmtId="0" fontId="3" fillId="16" borderId="0" xfId="0" applyFont="1" applyFill="1"/>
    <xf numFmtId="0" fontId="3" fillId="16" borderId="0" xfId="0" applyFont="1" applyFill="1" applyAlignment="1">
      <alignment horizontal="center"/>
    </xf>
    <xf numFmtId="0" fontId="6" fillId="16" borderId="0" xfId="0" applyFont="1" applyFill="1"/>
    <xf numFmtId="0" fontId="0" fillId="16" borderId="0" xfId="0" applyFill="1"/>
    <xf numFmtId="0" fontId="30" fillId="16" borderId="0" xfId="0" applyFont="1" applyFill="1" applyAlignment="1">
      <alignment horizontal="right"/>
    </xf>
    <xf numFmtId="0" fontId="0" fillId="10" borderId="0" xfId="0" applyFill="1" applyAlignment="1">
      <alignment horizontal="left" vertical="top"/>
    </xf>
    <xf numFmtId="176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29" fillId="9" borderId="0" xfId="0" applyFont="1" applyFill="1" applyAlignment="1">
      <alignment horizontal="left" vertical="top"/>
    </xf>
    <xf numFmtId="176" fontId="29" fillId="9" borderId="0" xfId="0" applyNumberFormat="1" applyFont="1" applyFill="1" applyAlignment="1">
      <alignment horizontal="right"/>
    </xf>
    <xf numFmtId="0" fontId="29" fillId="9" borderId="0" xfId="0" applyFont="1" applyFill="1" applyAlignment="1">
      <alignment horizontal="right"/>
    </xf>
    <xf numFmtId="177" fontId="29" fillId="9" borderId="0" xfId="0" applyNumberFormat="1" applyFont="1" applyFill="1" applyAlignment="1">
      <alignment horizontal="right"/>
    </xf>
    <xf numFmtId="0" fontId="29" fillId="10" borderId="0" xfId="0" applyFont="1" applyFill="1" applyAlignment="1">
      <alignment horizontal="left" vertical="top"/>
    </xf>
    <xf numFmtId="0" fontId="0" fillId="0" borderId="0" xfId="0" applyAlignment="1">
      <alignment horizontal="right"/>
    </xf>
    <xf numFmtId="176" fontId="29" fillId="10" borderId="0" xfId="0" applyNumberFormat="1" applyFont="1" applyFill="1" applyAlignment="1">
      <alignment horizontal="right"/>
    </xf>
    <xf numFmtId="0" fontId="0" fillId="9" borderId="4" xfId="0" applyFill="1" applyBorder="1" applyAlignment="1">
      <alignment horizontal="left" vertical="top"/>
    </xf>
    <xf numFmtId="176" fontId="0" fillId="9" borderId="4" xfId="0" applyNumberFormat="1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177" fontId="0" fillId="9" borderId="4" xfId="0" applyNumberFormat="1" applyFill="1" applyBorder="1" applyAlignment="1">
      <alignment horizontal="right"/>
    </xf>
    <xf numFmtId="0" fontId="29" fillId="9" borderId="4" xfId="0" applyFont="1" applyFill="1" applyBorder="1"/>
    <xf numFmtId="177" fontId="29" fillId="9" borderId="4" xfId="0" applyNumberFormat="1" applyFont="1" applyFill="1" applyBorder="1" applyAlignment="1">
      <alignment horizontal="right"/>
    </xf>
    <xf numFmtId="0" fontId="0" fillId="9" borderId="4" xfId="0" applyFill="1" applyBorder="1"/>
    <xf numFmtId="0" fontId="28" fillId="16" borderId="0" xfId="0" applyFont="1" applyFill="1"/>
    <xf numFmtId="0" fontId="30" fillId="16" borderId="0" xfId="0" applyFont="1" applyFill="1"/>
    <xf numFmtId="176" fontId="0" fillId="0" borderId="0" xfId="0" applyNumberFormat="1"/>
    <xf numFmtId="0" fontId="29" fillId="9" borderId="15" xfId="0" applyFont="1" applyFill="1" applyBorder="1"/>
    <xf numFmtId="176" fontId="29" fillId="9" borderId="15" xfId="0" applyNumberFormat="1" applyFont="1" applyFill="1" applyBorder="1"/>
    <xf numFmtId="0" fontId="31" fillId="0" borderId="0" xfId="0" applyFont="1" applyAlignment="1">
      <alignment horizontal="right"/>
    </xf>
    <xf numFmtId="0" fontId="32" fillId="0" borderId="0" xfId="0" applyFont="1"/>
    <xf numFmtId="0" fontId="1" fillId="10" borderId="0" xfId="0" applyFont="1" applyFill="1" applyAlignment="1">
      <alignment horizontal="left" vertical="top"/>
    </xf>
    <xf numFmtId="176" fontId="1" fillId="10" borderId="0" xfId="0" applyNumberFormat="1" applyFont="1" applyFill="1" applyAlignment="1">
      <alignment horizontal="right"/>
    </xf>
    <xf numFmtId="177" fontId="1" fillId="10" borderId="0" xfId="0" applyNumberFormat="1" applyFont="1" applyFill="1" applyAlignment="1">
      <alignment horizontal="right"/>
    </xf>
    <xf numFmtId="0" fontId="28" fillId="8" borderId="0" xfId="0" applyFont="1" applyFill="1"/>
    <xf numFmtId="17" fontId="28" fillId="8" borderId="0" xfId="0" applyNumberFormat="1" applyFont="1" applyFill="1"/>
    <xf numFmtId="17" fontId="28" fillId="8" borderId="0" xfId="0" applyNumberFormat="1" applyFont="1" applyFill="1" applyAlignment="1">
      <alignment horizontal="right"/>
    </xf>
    <xf numFmtId="0" fontId="0" fillId="0" borderId="16" xfId="0" applyBorder="1"/>
    <xf numFmtId="10" fontId="0" fillId="0" borderId="16" xfId="6" applyNumberFormat="1" applyFont="1" applyBorder="1"/>
    <xf numFmtId="10" fontId="0" fillId="0" borderId="0" xfId="6" applyNumberFormat="1" applyFont="1" applyBorder="1"/>
    <xf numFmtId="0" fontId="0" fillId="0" borderId="17" xfId="0" applyBorder="1"/>
    <xf numFmtId="10" fontId="0" fillId="0" borderId="17" xfId="6" applyNumberFormat="1" applyFont="1" applyBorder="1"/>
    <xf numFmtId="10" fontId="0" fillId="0" borderId="17" xfId="0" applyNumberFormat="1" applyBorder="1"/>
    <xf numFmtId="178" fontId="0" fillId="0" borderId="17" xfId="0" applyNumberFormat="1" applyBorder="1"/>
    <xf numFmtId="178" fontId="0" fillId="0" borderId="16" xfId="0" applyNumberFormat="1" applyBorder="1"/>
    <xf numFmtId="178" fontId="0" fillId="0" borderId="0" xfId="0" applyNumberFormat="1"/>
    <xf numFmtId="1" fontId="0" fillId="0" borderId="16" xfId="0" applyNumberFormat="1" applyBorder="1"/>
    <xf numFmtId="179" fontId="0" fillId="0" borderId="16" xfId="0" applyNumberFormat="1" applyBorder="1"/>
    <xf numFmtId="179" fontId="0" fillId="0" borderId="0" xfId="0" applyNumberFormat="1"/>
    <xf numFmtId="179" fontId="0" fillId="0" borderId="17" xfId="0" applyNumberFormat="1" applyBorder="1"/>
    <xf numFmtId="1" fontId="0" fillId="0" borderId="0" xfId="0" applyNumberFormat="1"/>
    <xf numFmtId="10" fontId="0" fillId="0" borderId="18" xfId="6" applyNumberFormat="1" applyFont="1" applyBorder="1"/>
    <xf numFmtId="178" fontId="0" fillId="0" borderId="18" xfId="0" applyNumberFormat="1" applyBorder="1"/>
    <xf numFmtId="1" fontId="0" fillId="0" borderId="18" xfId="0" applyNumberFormat="1" applyBorder="1"/>
    <xf numFmtId="0" fontId="2" fillId="0" borderId="16" xfId="0" applyFont="1" applyBorder="1"/>
    <xf numFmtId="0" fontId="2" fillId="0" borderId="17" xfId="0" applyFon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33" fillId="0" borderId="0" xfId="0" applyFont="1"/>
    <xf numFmtId="10" fontId="2" fillId="0" borderId="8" xfId="6" applyNumberFormat="1" applyFont="1" applyBorder="1"/>
    <xf numFmtId="167" fontId="2" fillId="12" borderId="10" xfId="6" applyNumberFormat="1" applyFont="1" applyFill="1" applyBorder="1"/>
    <xf numFmtId="167" fontId="2" fillId="12" borderId="12" xfId="6" applyNumberFormat="1" applyFont="1" applyFill="1" applyBorder="1"/>
    <xf numFmtId="43" fontId="5" fillId="0" borderId="0" xfId="2" applyNumberFormat="1" applyBorder="1" applyAlignment="1" applyProtection="1">
      <alignment horizontal="center"/>
    </xf>
    <xf numFmtId="43" fontId="3" fillId="4" borderId="0" xfId="5" applyNumberFormat="1" applyFont="1" applyBorder="1" applyAlignment="1">
      <alignment horizontal="center"/>
    </xf>
    <xf numFmtId="0" fontId="20" fillId="6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8" borderId="0" xfId="0" applyFont="1" applyFill="1" applyAlignment="1">
      <alignment horizontal="center"/>
    </xf>
    <xf numFmtId="44" fontId="12" fillId="11" borderId="0" xfId="7" applyFont="1" applyFill="1" applyAlignment="1">
      <alignment horizontal="left"/>
    </xf>
    <xf numFmtId="0" fontId="12" fillId="11" borderId="0" xfId="0" applyFont="1" applyFill="1" applyAlignment="1">
      <alignment horizontal="left" vertical="top"/>
    </xf>
    <xf numFmtId="44" fontId="19" fillId="6" borderId="0" xfId="7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44" fontId="3" fillId="16" borderId="13" xfId="7" applyFont="1" applyFill="1" applyBorder="1" applyAlignment="1">
      <alignment horizontal="center"/>
    </xf>
    <xf numFmtId="0" fontId="28" fillId="16" borderId="14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176" fontId="0" fillId="10" borderId="0" xfId="0" applyNumberFormat="1" applyFill="1" applyAlignment="1">
      <alignment horizontal="right"/>
    </xf>
    <xf numFmtId="176" fontId="29" fillId="9" borderId="0" xfId="0" applyNumberFormat="1" applyFont="1" applyFill="1" applyAlignment="1">
      <alignment horizontal="right"/>
    </xf>
    <xf numFmtId="176" fontId="1" fillId="10" borderId="0" xfId="0" applyNumberFormat="1" applyFont="1" applyFill="1" applyAlignment="1">
      <alignment horizontal="right"/>
    </xf>
    <xf numFmtId="176" fontId="0" fillId="9" borderId="4" xfId="0" applyNumberFormat="1" applyFill="1" applyBorder="1" applyAlignment="1">
      <alignment horizontal="right"/>
    </xf>
    <xf numFmtId="0" fontId="3" fillId="16" borderId="13" xfId="0" applyFont="1" applyFill="1" applyBorder="1" applyAlignment="1">
      <alignment horizontal="center"/>
    </xf>
  </cellXfs>
  <cellStyles count="8">
    <cellStyle name="60% - Accent1" xfId="3" builtinId="32"/>
    <cellStyle name="60% - Accent3" xfId="4" builtinId="40"/>
    <cellStyle name="Accent6" xfId="5" builtinId="49"/>
    <cellStyle name="Comma" xfId="1" builtinId="3"/>
    <cellStyle name="Currency" xfId="7" builtinId="4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3333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FORECASTING!$D$8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FORECASTING!$D$9:$D$22</c:f>
              <c:numCache>
                <c:formatCode>"₹"\ #,##0.00</c:formatCode>
                <c:ptCount val="14"/>
                <c:pt idx="0">
                  <c:v>263158.98</c:v>
                </c:pt>
                <c:pt idx="1">
                  <c:v>273045.59999999998</c:v>
                </c:pt>
                <c:pt idx="2">
                  <c:v>269692.51</c:v>
                </c:pt>
                <c:pt idx="3">
                  <c:v>291550.48</c:v>
                </c:pt>
                <c:pt idx="4">
                  <c:v>301938.40000000002</c:v>
                </c:pt>
                <c:pt idx="5">
                  <c:v>261067.97</c:v>
                </c:pt>
                <c:pt idx="6">
                  <c:v>249794.75</c:v>
                </c:pt>
                <c:pt idx="7">
                  <c:v>278453.62</c:v>
                </c:pt>
                <c:pt idx="8">
                  <c:v>345966.97</c:v>
                </c:pt>
                <c:pt idx="9">
                  <c:v>304728.08583333326</c:v>
                </c:pt>
                <c:pt idx="10">
                  <c:v>309347.71899999992</c:v>
                </c:pt>
                <c:pt idx="11">
                  <c:v>313967.35216666659</c:v>
                </c:pt>
                <c:pt idx="12">
                  <c:v>318586.98533333326</c:v>
                </c:pt>
                <c:pt idx="13">
                  <c:v>323206.61849999992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F-4A25-ADDA-50BC88F8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938480"/>
        <c:axId val="1651772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FORECASTING!$C$8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4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FORECASTING!$C$9:$C$22</c15:sqref>
                        </c15:formulaRef>
                      </c:ext>
                    </c:extLst>
                    <c:numCache>
                      <c:formatCode>0\A</c:formatCode>
                      <c:ptCount val="14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 formatCode="0\E">
                        <c:v>2024</c:v>
                      </c:pt>
                      <c:pt idx="10" formatCode="0\E">
                        <c:v>2025</c:v>
                      </c:pt>
                      <c:pt idx="11" formatCode="0\E">
                        <c:v>2026</c:v>
                      </c:pt>
                      <c:pt idx="12" formatCode="0\E">
                        <c:v>2027</c:v>
                      </c:pt>
                      <c:pt idx="13" formatCode="0\E">
                        <c:v>2028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BF-4A25-ADDA-50BC88F86DC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FORECASTING!$E$8</c:f>
              <c:strCache>
                <c:ptCount val="1"/>
                <c:pt idx="0">
                  <c:v>Sales Growth</c:v>
                </c:pt>
              </c:strCache>
            </c:strRef>
          </c:tx>
          <c:spPr>
            <a:ln w="28575" cap="rnd">
              <a:solidFill>
                <a:schemeClr val="accent4">
                  <a:tint val="6500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FORECASTING!$E$9:$E$22</c:f>
              <c:numCache>
                <c:formatCode>0.00%</c:formatCode>
                <c:ptCount val="14"/>
                <c:pt idx="1">
                  <c:v>3.75690010654397E-2</c:v>
                </c:pt>
                <c:pt idx="2">
                  <c:v>-1.2280329732469508E-2</c:v>
                </c:pt>
                <c:pt idx="3">
                  <c:v>8.104774581985974E-2</c:v>
                </c:pt>
                <c:pt idx="4">
                  <c:v>3.5629919045237157E-2</c:v>
                </c:pt>
                <c:pt idx="5">
                  <c:v>-0.135360159555724</c:v>
                </c:pt>
                <c:pt idx="6">
                  <c:v>-4.3181168490336042E-2</c:v>
                </c:pt>
                <c:pt idx="7">
                  <c:v>0.11472967306158344</c:v>
                </c:pt>
                <c:pt idx="8">
                  <c:v>0.24245815155859707</c:v>
                </c:pt>
                <c:pt idx="9">
                  <c:v>-0.11919890551016099</c:v>
                </c:pt>
                <c:pt idx="10">
                  <c:v>1.5159853592206396E-2</c:v>
                </c:pt>
                <c:pt idx="11">
                  <c:v>1.493346445740773E-2</c:v>
                </c:pt>
                <c:pt idx="12">
                  <c:v>1.471373738316073E-2</c:v>
                </c:pt>
                <c:pt idx="13">
                  <c:v>1.4500382562185443E-2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F-4A25-ADDA-50BC88F8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23951"/>
        <c:axId val="1655531040"/>
      </c:lineChart>
      <c:catAx>
        <c:axId val="16449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72624"/>
        <c:crosses val="autoZero"/>
        <c:auto val="1"/>
        <c:lblAlgn val="ctr"/>
        <c:lblOffset val="100"/>
        <c:noMultiLvlLbl val="0"/>
      </c:catAx>
      <c:valAx>
        <c:axId val="1651772624"/>
        <c:scaling>
          <c:orientation val="minMax"/>
          <c:max val="305000"/>
          <c:min val="5000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38480"/>
        <c:crosses val="autoZero"/>
        <c:crossBetween val="between"/>
      </c:valAx>
      <c:valAx>
        <c:axId val="1655531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23951"/>
        <c:crosses val="max"/>
        <c:crossBetween val="between"/>
      </c:valAx>
      <c:catAx>
        <c:axId val="488523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65553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FORECASTING!$I$8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FORECASTING!$I$9:$I$22</c:f>
              <c:numCache>
                <c:formatCode>"₹"\ #,##0.00</c:formatCode>
                <c:ptCount val="14"/>
                <c:pt idx="0">
                  <c:v>39238.64999999998</c:v>
                </c:pt>
                <c:pt idx="1">
                  <c:v>38395.249999999971</c:v>
                </c:pt>
                <c:pt idx="2">
                  <c:v>29588.690000000046</c:v>
                </c:pt>
                <c:pt idx="3">
                  <c:v>31457.679999999993</c:v>
                </c:pt>
                <c:pt idx="4">
                  <c:v>24664.330000000024</c:v>
                </c:pt>
                <c:pt idx="5">
                  <c:v>17987.069999999963</c:v>
                </c:pt>
                <c:pt idx="6">
                  <c:v>32287.429999999989</c:v>
                </c:pt>
                <c:pt idx="7">
                  <c:v>24720.090000000015</c:v>
                </c:pt>
                <c:pt idx="8">
                  <c:v>31815.799999999959</c:v>
                </c:pt>
                <c:pt idx="9">
                  <c:v>23451.386944444435</c:v>
                </c:pt>
                <c:pt idx="10">
                  <c:v>22138.220111111099</c:v>
                </c:pt>
                <c:pt idx="11">
                  <c:v>20825.053277777763</c:v>
                </c:pt>
                <c:pt idx="12">
                  <c:v>19511.88644444443</c:v>
                </c:pt>
                <c:pt idx="13">
                  <c:v>18198.719611111093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9-440C-9D58-6787AE30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35440"/>
        <c:axId val="1663978688"/>
      </c:barChart>
      <c:lineChart>
        <c:grouping val="standard"/>
        <c:varyColors val="0"/>
        <c:ser>
          <c:idx val="1"/>
          <c:order val="1"/>
          <c:tx>
            <c:strRef>
              <c:f>FORECASTING!$J$8</c:f>
              <c:strCache>
                <c:ptCount val="1"/>
                <c:pt idx="0">
                  <c:v>EBITDA Growth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FORECASTING!$J$9:$J$22</c:f>
              <c:numCache>
                <c:formatCode>0.00%</c:formatCode>
                <c:ptCount val="14"/>
                <c:pt idx="1">
                  <c:v>-2.1494113584437979E-2</c:v>
                </c:pt>
                <c:pt idx="2">
                  <c:v>-0.22936587208052905</c:v>
                </c:pt>
                <c:pt idx="3">
                  <c:v>6.3165689322506102E-2</c:v>
                </c:pt>
                <c:pt idx="4">
                  <c:v>-0.21595203460649259</c:v>
                </c:pt>
                <c:pt idx="5">
                  <c:v>-0.27072537547138131</c:v>
                </c:pt>
                <c:pt idx="6">
                  <c:v>0.79503554497758966</c:v>
                </c:pt>
                <c:pt idx="7">
                  <c:v>-0.234374182150762</c:v>
                </c:pt>
                <c:pt idx="8">
                  <c:v>0.28704223973294352</c:v>
                </c:pt>
                <c:pt idx="9">
                  <c:v>-0.26290123320977421</c:v>
                </c:pt>
                <c:pt idx="10">
                  <c:v>-5.5995273816605629E-2</c:v>
                </c:pt>
                <c:pt idx="11">
                  <c:v>-5.9316730375910454E-2</c:v>
                </c:pt>
                <c:pt idx="12">
                  <c:v>-6.3057069569882107E-2</c:v>
                </c:pt>
                <c:pt idx="13">
                  <c:v>-6.730086488932141E-2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9-440C-9D58-6787AE30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26800"/>
        <c:axId val="1663993568"/>
      </c:lineChart>
      <c:catAx>
        <c:axId val="164063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78688"/>
        <c:crosses val="autoZero"/>
        <c:auto val="1"/>
        <c:lblAlgn val="ctr"/>
        <c:lblOffset val="100"/>
        <c:noMultiLvlLbl val="0"/>
      </c:catAx>
      <c:valAx>
        <c:axId val="1663978688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35440"/>
        <c:crosses val="autoZero"/>
        <c:crossBetween val="between"/>
      </c:valAx>
      <c:valAx>
        <c:axId val="1663993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26800"/>
        <c:crosses val="max"/>
        <c:crossBetween val="between"/>
      </c:valAx>
      <c:catAx>
        <c:axId val="1640626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6399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73251169690745"/>
          <c:y val="7.0343707309753506E-2"/>
          <c:w val="0.76507845486705461"/>
          <c:h val="0.63502240474772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FORECASTING!$N$8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FORECASTING!$N$9:$N$22</c:f>
              <c:numCache>
                <c:formatCode>"₹"\ #,##0.00</c:formatCode>
                <c:ptCount val="14"/>
                <c:pt idx="0">
                  <c:v>46.220198102098706</c:v>
                </c:pt>
                <c:pt idx="1">
                  <c:v>47.694444444444336</c:v>
                </c:pt>
                <c:pt idx="2">
                  <c:v>14.527274616423808</c:v>
                </c:pt>
                <c:pt idx="3">
                  <c:v>3.049111626779315</c:v>
                </c:pt>
                <c:pt idx="4">
                  <c:v>-7.7839157690575265</c:v>
                </c:pt>
                <c:pt idx="5">
                  <c:v>-35.859307219164904</c:v>
                </c:pt>
                <c:pt idx="6">
                  <c:v>-5.7172845827184542</c:v>
                </c:pt>
                <c:pt idx="7">
                  <c:v>-41.132140813683833</c:v>
                </c:pt>
                <c:pt idx="8">
                  <c:v>-11.965495438533218</c:v>
                </c:pt>
                <c:pt idx="9">
                  <c:v>-47.214685046585281</c:v>
                </c:pt>
                <c:pt idx="10">
                  <c:v>-56.858352832937619</c:v>
                </c:pt>
                <c:pt idx="11">
                  <c:v>-66.502020619289965</c:v>
                </c:pt>
                <c:pt idx="12">
                  <c:v>-76.145688405642318</c:v>
                </c:pt>
                <c:pt idx="13">
                  <c:v>-85.789356191994671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D-4F1E-99BB-4E2355FA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544111"/>
        <c:axId val="1655536000"/>
      </c:barChart>
      <c:lineChart>
        <c:grouping val="standard"/>
        <c:varyColors val="0"/>
        <c:ser>
          <c:idx val="1"/>
          <c:order val="1"/>
          <c:tx>
            <c:strRef>
              <c:f>FORECASTING!$O$8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FORECASTING!$O$9:$O$22</c:f>
              <c:numCache>
                <c:formatCode>0.00</c:formatCode>
                <c:ptCount val="14"/>
                <c:pt idx="1">
                  <c:v>3.189614936502605E-2</c:v>
                </c:pt>
                <c:pt idx="2">
                  <c:v>-0.69540950134463697</c:v>
                </c:pt>
                <c:pt idx="3">
                  <c:v>-0.79011124197155724</c:v>
                </c:pt>
                <c:pt idx="4">
                  <c:v>-3.5528470983790919</c:v>
                </c:pt>
                <c:pt idx="5">
                  <c:v>3.6068467700681115</c:v>
                </c:pt>
                <c:pt idx="6">
                  <c:v>-0.84056344011958861</c:v>
                </c:pt>
                <c:pt idx="7">
                  <c:v>6.194349033807641</c:v>
                </c:pt>
                <c:pt idx="8">
                  <c:v>-0.70909621522659627</c:v>
                </c:pt>
                <c:pt idx="9">
                  <c:v>2.945903058433915</c:v>
                </c:pt>
                <c:pt idx="10">
                  <c:v>0.20425144797296069</c:v>
                </c:pt>
                <c:pt idx="11">
                  <c:v>0.16960863806040183</c:v>
                </c:pt>
                <c:pt idx="12">
                  <c:v>0.14501315443571738</c:v>
                </c:pt>
                <c:pt idx="13">
                  <c:v>0.12664758817306554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D-4F1E-99BB-4E2355FA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19631"/>
        <c:axId val="1655532528"/>
      </c:lineChart>
      <c:catAx>
        <c:axId val="48854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36000"/>
        <c:crosses val="autoZero"/>
        <c:auto val="1"/>
        <c:lblAlgn val="ctr"/>
        <c:lblOffset val="100"/>
        <c:noMultiLvlLbl val="0"/>
      </c:catAx>
      <c:valAx>
        <c:axId val="1655536000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44111"/>
        <c:crosses val="autoZero"/>
        <c:crossBetween val="between"/>
      </c:valAx>
      <c:valAx>
        <c:axId val="1655532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9631"/>
        <c:crosses val="max"/>
        <c:crossBetween val="between"/>
      </c:valAx>
      <c:catAx>
        <c:axId val="4885196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553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34B8DF-380D-4D03-B4F9-7533DFD55EF5}" type="doc">
      <dgm:prSet loTypeId="urn:diagrams.loki3.com/VaryingWidthList" loCatId="list" qsTypeId="urn:microsoft.com/office/officeart/2005/8/quickstyle/simple1" qsCatId="simple" csTypeId="urn:microsoft.com/office/officeart/2005/8/colors/accent1_2" csCatId="accent1" phldr="1"/>
      <dgm:spPr/>
    </dgm:pt>
    <dgm:pt modelId="{E170B620-C7A2-46AB-B210-BA9100E95C55}">
      <dgm:prSet phldrT="[Text]" custT="1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sz="2000" b="1" u="sng">
              <a:solidFill>
                <a:schemeClr val="bg1"/>
              </a:solidFill>
            </a:rPr>
            <a:t>Downdloaded file contain</a:t>
          </a:r>
          <a:r>
            <a:rPr lang="en-IN" sz="2000" b="1">
              <a:solidFill>
                <a:schemeClr val="bg1"/>
              </a:solidFill>
            </a:rPr>
            <a:t>:  Balance sheet cash flow, Profit &amp; Loss, Quaters, Data Sheet </a:t>
          </a:r>
        </a:p>
      </dgm:t>
    </dgm:pt>
    <dgm:pt modelId="{EFC2DE72-AFA4-4036-8444-8833F630FD30}" type="parTrans" cxnId="{9CF1BF62-2F15-4161-AFEB-70958B77DFAE}">
      <dgm:prSet/>
      <dgm:spPr/>
      <dgm:t>
        <a:bodyPr/>
        <a:lstStyle/>
        <a:p>
          <a:endParaRPr lang="en-IN"/>
        </a:p>
      </dgm:t>
    </dgm:pt>
    <dgm:pt modelId="{3B0BFA49-816B-4E62-98A5-60A884322679}" type="sibTrans" cxnId="{9CF1BF62-2F15-4161-AFEB-70958B77DFAE}">
      <dgm:prSet/>
      <dgm:spPr/>
      <dgm:t>
        <a:bodyPr/>
        <a:lstStyle/>
        <a:p>
          <a:endParaRPr lang="en-IN"/>
        </a:p>
      </dgm:t>
    </dgm:pt>
    <dgm:pt modelId="{C8EF49F4-D810-405B-A435-1F9A39794E4A}">
      <dgm:prSet phldrT="[Text]" custT="1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sz="2000" b="1"/>
            <a:t>To paste data from Data Sheet to Model          </a:t>
          </a:r>
        </a:p>
        <a:p>
          <a:r>
            <a:rPr lang="en-IN" sz="2000" b="1"/>
            <a:t>Use =IFERROR('DATA SHEET',0)</a:t>
          </a:r>
        </a:p>
      </dgm:t>
    </dgm:pt>
    <dgm:pt modelId="{CAA5647A-50DF-4F59-9383-1A1FBDBFD902}" type="parTrans" cxnId="{1E03BEC0-1A56-4845-AFF2-83BF21B2F213}">
      <dgm:prSet/>
      <dgm:spPr/>
      <dgm:t>
        <a:bodyPr/>
        <a:lstStyle/>
        <a:p>
          <a:endParaRPr lang="en-IN"/>
        </a:p>
      </dgm:t>
    </dgm:pt>
    <dgm:pt modelId="{F7139B25-D1BF-4D2B-83E4-54C9EEDE67FB}" type="sibTrans" cxnId="{1E03BEC0-1A56-4845-AFF2-83BF21B2F213}">
      <dgm:prSet/>
      <dgm:spPr/>
      <dgm:t>
        <a:bodyPr/>
        <a:lstStyle/>
        <a:p>
          <a:endParaRPr lang="en-IN"/>
        </a:p>
      </dgm:t>
    </dgm:pt>
    <dgm:pt modelId="{B85C5D4E-803F-416F-B1DA-A4B2E120334C}">
      <dgm:prSet phldrT="[Text]" custT="1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sz="2000"/>
            <a:t>For pasting name of the </a:t>
          </a:r>
          <a:r>
            <a:rPr lang="en-IN" sz="2000" b="1"/>
            <a:t>company</a:t>
          </a:r>
          <a:r>
            <a:rPr lang="en-IN" sz="2000"/>
            <a:t> in every sheet : USE </a:t>
          </a:r>
        </a:p>
        <a:p>
          <a:r>
            <a:rPr lang="en-IN" sz="2000" b="1"/>
            <a:t>="Income Statement"&amp;" - "&amp;</a:t>
          </a:r>
          <a:r>
            <a:rPr lang="en-IN" sz="2000" b="1" u="sng"/>
            <a:t>click on cell where </a:t>
          </a:r>
          <a:r>
            <a:rPr lang="en-IN" sz="2000" b="1" u="sng">
              <a:solidFill>
                <a:schemeClr val="bg1"/>
              </a:solidFill>
            </a:rPr>
            <a:t>Company</a:t>
          </a:r>
          <a:r>
            <a:rPr lang="en-IN" sz="2000" b="1" u="sng"/>
            <a:t> name mentioned</a:t>
          </a:r>
        </a:p>
        <a:p>
          <a:endParaRPr lang="en-IN" sz="2000"/>
        </a:p>
      </dgm:t>
    </dgm:pt>
    <dgm:pt modelId="{D0DBCFA5-D6FB-4C08-813A-B1664CEC6AD9}" type="parTrans" cxnId="{AE215C10-908D-44F0-9B2C-13FB6EABC970}">
      <dgm:prSet/>
      <dgm:spPr/>
      <dgm:t>
        <a:bodyPr/>
        <a:lstStyle/>
        <a:p>
          <a:endParaRPr lang="en-IN"/>
        </a:p>
      </dgm:t>
    </dgm:pt>
    <dgm:pt modelId="{5A8DE2C3-FB91-41E2-82F7-86BC86D56EFD}" type="sibTrans" cxnId="{AE215C10-908D-44F0-9B2C-13FB6EABC970}">
      <dgm:prSet/>
      <dgm:spPr/>
      <dgm:t>
        <a:bodyPr/>
        <a:lstStyle/>
        <a:p>
          <a:endParaRPr lang="en-IN"/>
        </a:p>
      </dgm:t>
    </dgm:pt>
    <dgm:pt modelId="{76275514-ECDF-4004-A9B1-82CA11914C9F}" type="pres">
      <dgm:prSet presAssocID="{5634B8DF-380D-4D03-B4F9-7533DFD55EF5}" presName="Name0" presStyleCnt="0">
        <dgm:presLayoutVars>
          <dgm:resizeHandles/>
        </dgm:presLayoutVars>
      </dgm:prSet>
      <dgm:spPr/>
    </dgm:pt>
    <dgm:pt modelId="{A3461066-1C9F-4963-B8AC-9ACF309589AF}" type="pres">
      <dgm:prSet presAssocID="{E170B620-C7A2-46AB-B210-BA9100E95C55}" presName="text" presStyleLbl="node1" presStyleIdx="0" presStyleCnt="3" custScaleX="359078" custScaleY="32613" custLinFactNeighborX="-2125" custLinFactNeighborY="-9506">
        <dgm:presLayoutVars>
          <dgm:bulletEnabled val="1"/>
        </dgm:presLayoutVars>
      </dgm:prSet>
      <dgm:spPr>
        <a:prstGeom prst="snip1Rect">
          <a:avLst/>
        </a:prstGeom>
      </dgm:spPr>
    </dgm:pt>
    <dgm:pt modelId="{2073DAEE-E42B-47AB-BF20-1D835795C5A6}" type="pres">
      <dgm:prSet presAssocID="{3B0BFA49-816B-4E62-98A5-60A884322679}" presName="space" presStyleCnt="0"/>
      <dgm:spPr/>
    </dgm:pt>
    <dgm:pt modelId="{C5B1C3C8-4598-4D96-A43B-76A2BD69DCEB}" type="pres">
      <dgm:prSet presAssocID="{C8EF49F4-D810-405B-A435-1F9A39794E4A}" presName="text" presStyleLbl="node1" presStyleIdx="1" presStyleCnt="3" custScaleX="287263" custScaleY="29400" custLinFactX="-100000" custLinFactNeighborX="-113557" custLinFactNeighborY="-49203">
        <dgm:presLayoutVars>
          <dgm:bulletEnabled val="1"/>
        </dgm:presLayoutVars>
      </dgm:prSet>
      <dgm:spPr>
        <a:prstGeom prst="snip1Rect">
          <a:avLst/>
        </a:prstGeom>
      </dgm:spPr>
    </dgm:pt>
    <dgm:pt modelId="{BAFDB563-96DE-4E89-B13E-F24BA1180F91}" type="pres">
      <dgm:prSet presAssocID="{F7139B25-D1BF-4D2B-83E4-54C9EEDE67FB}" presName="space" presStyleCnt="0"/>
      <dgm:spPr/>
    </dgm:pt>
    <dgm:pt modelId="{1E98D98D-1E71-4A55-8E68-33F6C7434D79}" type="pres">
      <dgm:prSet presAssocID="{B85C5D4E-803F-416F-B1DA-A4B2E120334C}" presName="text" presStyleLbl="node1" presStyleIdx="2" presStyleCnt="3" custScaleX="368527" custScaleY="33191" custLinFactX="-72924" custLinFactY="-284" custLinFactNeighborX="-100000" custLinFactNeighborY="-100000">
        <dgm:presLayoutVars>
          <dgm:bulletEnabled val="1"/>
        </dgm:presLayoutVars>
      </dgm:prSet>
      <dgm:spPr>
        <a:prstGeom prst="snip1Rect">
          <a:avLst/>
        </a:prstGeom>
      </dgm:spPr>
    </dgm:pt>
  </dgm:ptLst>
  <dgm:cxnLst>
    <dgm:cxn modelId="{AE215C10-908D-44F0-9B2C-13FB6EABC970}" srcId="{5634B8DF-380D-4D03-B4F9-7533DFD55EF5}" destId="{B85C5D4E-803F-416F-B1DA-A4B2E120334C}" srcOrd="2" destOrd="0" parTransId="{D0DBCFA5-D6FB-4C08-813A-B1664CEC6AD9}" sibTransId="{5A8DE2C3-FB91-41E2-82F7-86BC86D56EFD}"/>
    <dgm:cxn modelId="{538D7210-02C4-4952-98A6-119B2183613F}" type="presOf" srcId="{E170B620-C7A2-46AB-B210-BA9100E95C55}" destId="{A3461066-1C9F-4963-B8AC-9ACF309589AF}" srcOrd="0" destOrd="0" presId="urn:diagrams.loki3.com/VaryingWidthList"/>
    <dgm:cxn modelId="{9CF1BF62-2F15-4161-AFEB-70958B77DFAE}" srcId="{5634B8DF-380D-4D03-B4F9-7533DFD55EF5}" destId="{E170B620-C7A2-46AB-B210-BA9100E95C55}" srcOrd="0" destOrd="0" parTransId="{EFC2DE72-AFA4-4036-8444-8833F630FD30}" sibTransId="{3B0BFA49-816B-4E62-98A5-60A884322679}"/>
    <dgm:cxn modelId="{108D9E7B-DBF1-4920-9CAB-86EBF71E53A0}" type="presOf" srcId="{5634B8DF-380D-4D03-B4F9-7533DFD55EF5}" destId="{76275514-ECDF-4004-A9B1-82CA11914C9F}" srcOrd="0" destOrd="0" presId="urn:diagrams.loki3.com/VaryingWidthList"/>
    <dgm:cxn modelId="{BC2D6890-9356-4F27-AF01-D5C6506FFF4C}" type="presOf" srcId="{C8EF49F4-D810-405B-A435-1F9A39794E4A}" destId="{C5B1C3C8-4598-4D96-A43B-76A2BD69DCEB}" srcOrd="0" destOrd="0" presId="urn:diagrams.loki3.com/VaryingWidthList"/>
    <dgm:cxn modelId="{1E03BEC0-1A56-4845-AFF2-83BF21B2F213}" srcId="{5634B8DF-380D-4D03-B4F9-7533DFD55EF5}" destId="{C8EF49F4-D810-405B-A435-1F9A39794E4A}" srcOrd="1" destOrd="0" parTransId="{CAA5647A-50DF-4F59-9383-1A1FBDBFD902}" sibTransId="{F7139B25-D1BF-4D2B-83E4-54C9EEDE67FB}"/>
    <dgm:cxn modelId="{A0886DCC-D8FC-409B-846A-B88DEACD2029}" type="presOf" srcId="{B85C5D4E-803F-416F-B1DA-A4B2E120334C}" destId="{1E98D98D-1E71-4A55-8E68-33F6C7434D79}" srcOrd="0" destOrd="0" presId="urn:diagrams.loki3.com/VaryingWidthList"/>
    <dgm:cxn modelId="{FF1918E7-0674-4CD8-B7AC-D0D71E9F0F91}" type="presParOf" srcId="{76275514-ECDF-4004-A9B1-82CA11914C9F}" destId="{A3461066-1C9F-4963-B8AC-9ACF309589AF}" srcOrd="0" destOrd="0" presId="urn:diagrams.loki3.com/VaryingWidthList"/>
    <dgm:cxn modelId="{26C7E308-BFB7-4A85-B297-F3ABC88F7509}" type="presParOf" srcId="{76275514-ECDF-4004-A9B1-82CA11914C9F}" destId="{2073DAEE-E42B-47AB-BF20-1D835795C5A6}" srcOrd="1" destOrd="0" presId="urn:diagrams.loki3.com/VaryingWidthList"/>
    <dgm:cxn modelId="{42E342B2-0080-425E-9AE4-9D9CA83F0784}" type="presParOf" srcId="{76275514-ECDF-4004-A9B1-82CA11914C9F}" destId="{C5B1C3C8-4598-4D96-A43B-76A2BD69DCEB}" srcOrd="2" destOrd="0" presId="urn:diagrams.loki3.com/VaryingWidthList"/>
    <dgm:cxn modelId="{57DAC71D-115D-495E-8D51-B45D7D4BCFD1}" type="presParOf" srcId="{76275514-ECDF-4004-A9B1-82CA11914C9F}" destId="{BAFDB563-96DE-4E89-B13E-F24BA1180F91}" srcOrd="3" destOrd="0" presId="urn:diagrams.loki3.com/VaryingWidthList"/>
    <dgm:cxn modelId="{1F3D27A2-0DE9-49A2-8B81-CB5AD73D963D}" type="presParOf" srcId="{76275514-ECDF-4004-A9B1-82CA11914C9F}" destId="{1E98D98D-1E71-4A55-8E68-33F6C7434D79}" srcOrd="4" destOrd="0" presId="urn:diagrams.loki3.com/VaryingWidthLis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542F2971-2D00-415E-BE12-C791EAD027DD}" type="doc">
      <dgm:prSet loTypeId="urn:microsoft.com/office/officeart/2005/8/layout/hierarchy3" loCatId="list" qsTypeId="urn:microsoft.com/office/officeart/2005/8/quickstyle/simple2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43D8CA5A-316D-4521-9E71-B4C264DB40F0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1"/>
            <a:t>Forecasting</a:t>
          </a:r>
        </a:p>
      </dgm:t>
    </dgm:pt>
    <dgm:pt modelId="{B96173BF-20D2-4688-BA0F-48BA930FB28F}" type="parTrans" cxnId="{F79D768F-36FC-42E4-89F7-39584D8F0BD8}">
      <dgm:prSet/>
      <dgm:spPr/>
      <dgm:t>
        <a:bodyPr/>
        <a:lstStyle/>
        <a:p>
          <a:endParaRPr lang="en-IN"/>
        </a:p>
      </dgm:t>
    </dgm:pt>
    <dgm:pt modelId="{FD3678BE-E2E4-4C42-AA82-F51B65C1DDBB}" type="sibTrans" cxnId="{F79D768F-36FC-42E4-89F7-39584D8F0BD8}">
      <dgm:prSet/>
      <dgm:spPr/>
      <dgm:t>
        <a:bodyPr/>
        <a:lstStyle/>
        <a:p>
          <a:endParaRPr lang="en-IN"/>
        </a:p>
      </dgm:t>
    </dgm:pt>
    <dgm:pt modelId="{B3DCA5F6-A226-449B-BDF1-9FA33BB3C4F8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0"/>
            <a:t>Intrinsic Growth</a:t>
          </a:r>
        </a:p>
      </dgm:t>
    </dgm:pt>
    <dgm:pt modelId="{F9BCD005-EA34-4B2A-A252-41F504B526DA}" type="parTrans" cxnId="{30A4E913-8ABC-477E-AD9B-9CE0DF841657}">
      <dgm:prSet/>
      <dgm:spPr/>
      <dgm:t>
        <a:bodyPr/>
        <a:lstStyle/>
        <a:p>
          <a:endParaRPr lang="en-IN"/>
        </a:p>
      </dgm:t>
    </dgm:pt>
    <dgm:pt modelId="{F6DD90E3-31A7-41A9-B341-69B3B200A91B}" type="sibTrans" cxnId="{30A4E913-8ABC-477E-AD9B-9CE0DF841657}">
      <dgm:prSet/>
      <dgm:spPr/>
      <dgm:t>
        <a:bodyPr/>
        <a:lstStyle/>
        <a:p>
          <a:endParaRPr lang="en-IN"/>
        </a:p>
      </dgm:t>
    </dgm:pt>
    <dgm:pt modelId="{8F17874D-C3EE-4367-8680-C65D15093614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1"/>
            <a:t>Relative Valuation</a:t>
          </a:r>
        </a:p>
      </dgm:t>
    </dgm:pt>
    <dgm:pt modelId="{832895EB-368E-42A7-AC53-8626CB8576E4}" type="parTrans" cxnId="{6B7927CE-3B79-4EF5-A745-2BABD25ECAB8}">
      <dgm:prSet/>
      <dgm:spPr/>
      <dgm:t>
        <a:bodyPr/>
        <a:lstStyle/>
        <a:p>
          <a:endParaRPr lang="en-IN"/>
        </a:p>
      </dgm:t>
    </dgm:pt>
    <dgm:pt modelId="{9EC9AAD6-F18B-4AC0-B301-F15DD1B824CB}" type="sibTrans" cxnId="{6B7927CE-3B79-4EF5-A745-2BABD25ECAB8}">
      <dgm:prSet/>
      <dgm:spPr/>
      <dgm:t>
        <a:bodyPr/>
        <a:lstStyle/>
        <a:p>
          <a:endParaRPr lang="en-IN"/>
        </a:p>
      </dgm:t>
    </dgm:pt>
    <dgm:pt modelId="{9A6A40B4-D9D5-4BC3-A7C8-6A81759E4B87}">
      <dgm:prSet custT="1"/>
      <dgm:spPr/>
      <dgm:t>
        <a:bodyPr/>
        <a:lstStyle/>
        <a:p>
          <a:r>
            <a:rPr lang="en-IN" sz="1400" b="1"/>
            <a:t>From </a:t>
          </a:r>
          <a:r>
            <a:rPr lang="en-IN" sz="1400" b="1" u="sng"/>
            <a:t>2015 to 2023 </a:t>
          </a:r>
          <a:r>
            <a:rPr lang="en-IN" sz="1400" b="1"/>
            <a:t>data will be given.</a:t>
          </a:r>
        </a:p>
        <a:p>
          <a:r>
            <a:rPr lang="en-IN" sz="1400" b="1"/>
            <a:t>we have forecast for next </a:t>
          </a:r>
          <a:r>
            <a:rPr lang="en-IN" sz="1400" b="1" u="sng"/>
            <a:t>5 year</a:t>
          </a:r>
        </a:p>
      </dgm:t>
    </dgm:pt>
    <dgm:pt modelId="{D138ACD4-FC6A-4EA9-A8D7-E871255B8558}" type="parTrans" cxnId="{8F6C8236-F48A-4E33-B2FE-2086BE3A3C3E}">
      <dgm:prSet/>
      <dgm:spPr/>
      <dgm:t>
        <a:bodyPr/>
        <a:lstStyle/>
        <a:p>
          <a:endParaRPr lang="en-IN"/>
        </a:p>
      </dgm:t>
    </dgm:pt>
    <dgm:pt modelId="{2141113B-58FD-405B-9885-0FCFEE4BF1BE}" type="sibTrans" cxnId="{8F6C8236-F48A-4E33-B2FE-2086BE3A3C3E}">
      <dgm:prSet/>
      <dgm:spPr/>
      <dgm:t>
        <a:bodyPr/>
        <a:lstStyle/>
        <a:p>
          <a:endParaRPr lang="en-IN"/>
        </a:p>
      </dgm:t>
    </dgm:pt>
    <dgm:pt modelId="{8A566A42-408C-47D4-8F7B-8A7AF3C292D6}">
      <dgm:prSet custT="1"/>
      <dgm:spPr/>
      <dgm:t>
        <a:bodyPr/>
        <a:lstStyle/>
        <a:p>
          <a:r>
            <a:rPr lang="en-IN" sz="1200"/>
            <a:t>Intrinsic</a:t>
          </a:r>
          <a:r>
            <a:rPr lang="en-IN" sz="1200" baseline="0"/>
            <a:t> Growth will be calculated from </a:t>
          </a:r>
          <a:r>
            <a:rPr lang="en-IN" sz="1200" b="1" baseline="0"/>
            <a:t>2019 to 2023 (5 year).</a:t>
          </a:r>
          <a:endParaRPr lang="en-IN" sz="1200" b="1"/>
        </a:p>
      </dgm:t>
    </dgm:pt>
    <dgm:pt modelId="{E837AEFB-23FF-4C3F-9E39-D22A5C5FE84B}" type="parTrans" cxnId="{66E89C0D-B1B9-4B73-B126-264ABE2DCC44}">
      <dgm:prSet/>
      <dgm:spPr/>
      <dgm:t>
        <a:bodyPr/>
        <a:lstStyle/>
        <a:p>
          <a:endParaRPr lang="en-IN"/>
        </a:p>
      </dgm:t>
    </dgm:pt>
    <dgm:pt modelId="{65A4B107-F131-4307-A617-A9A818426F49}" type="sibTrans" cxnId="{66E89C0D-B1B9-4B73-B126-264ABE2DCC44}">
      <dgm:prSet/>
      <dgm:spPr/>
      <dgm:t>
        <a:bodyPr/>
        <a:lstStyle/>
        <a:p>
          <a:endParaRPr lang="en-IN"/>
        </a:p>
      </dgm:t>
    </dgm:pt>
    <dgm:pt modelId="{2D53DCBA-58EA-4426-ACAE-EBF74DAAD358}">
      <dgm:prSet custT="1"/>
      <dgm:spPr/>
      <dgm:t>
        <a:bodyPr/>
        <a:lstStyle/>
        <a:p>
          <a:r>
            <a:rPr lang="en-IN" sz="1200"/>
            <a:t>In</a:t>
          </a:r>
          <a:r>
            <a:rPr lang="en-IN" sz="1200" baseline="0"/>
            <a:t> the Peer Comps section: Edit colums with market capitalization, Debt, No. of equity shares, Cash end term, EV, Sales</a:t>
          </a:r>
          <a:endParaRPr lang="en-IN" sz="1200"/>
        </a:p>
      </dgm:t>
    </dgm:pt>
    <dgm:pt modelId="{8557CF73-BD9E-4581-ABC6-31DC02EF2D92}" type="parTrans" cxnId="{1539BADE-EB97-4759-94D1-A2F579A37507}">
      <dgm:prSet/>
      <dgm:spPr/>
      <dgm:t>
        <a:bodyPr/>
        <a:lstStyle/>
        <a:p>
          <a:endParaRPr lang="en-IN"/>
        </a:p>
      </dgm:t>
    </dgm:pt>
    <dgm:pt modelId="{1D861054-1554-4FAB-AEB6-D83B5026000A}" type="sibTrans" cxnId="{1539BADE-EB97-4759-94D1-A2F579A37507}">
      <dgm:prSet/>
      <dgm:spPr/>
      <dgm:t>
        <a:bodyPr/>
        <a:lstStyle/>
        <a:p>
          <a:endParaRPr lang="en-IN"/>
        </a:p>
      </dgm:t>
    </dgm:pt>
    <dgm:pt modelId="{6BBA08A3-E7C7-45F0-9279-4F866E43436D}">
      <dgm:prSet custT="1"/>
      <dgm:spPr/>
      <dgm:t>
        <a:bodyPr/>
        <a:lstStyle/>
        <a:p>
          <a:r>
            <a:rPr lang="en-IN" sz="1100"/>
            <a:t>Calculate: </a:t>
          </a:r>
        </a:p>
        <a:p>
          <a:r>
            <a:rPr lang="en-IN" sz="1100"/>
            <a:t>75th Percentile</a:t>
          </a:r>
        </a:p>
        <a:p>
          <a:r>
            <a:rPr lang="en-IN" sz="1100"/>
            <a:t>25th percentile</a:t>
          </a:r>
        </a:p>
        <a:p>
          <a:r>
            <a:rPr lang="en-IN" sz="1100"/>
            <a:t>High</a:t>
          </a:r>
        </a:p>
        <a:p>
          <a:r>
            <a:rPr lang="en-IN" sz="1100"/>
            <a:t>Low</a:t>
          </a:r>
        </a:p>
        <a:p>
          <a:r>
            <a:rPr lang="en-IN" sz="1100"/>
            <a:t>Average </a:t>
          </a:r>
        </a:p>
        <a:p>
          <a:r>
            <a:rPr lang="en-IN" sz="1100"/>
            <a:t>Median</a:t>
          </a:r>
        </a:p>
      </dgm:t>
    </dgm:pt>
    <dgm:pt modelId="{12593685-C1E5-4C09-84C0-82474E97339E}" type="parTrans" cxnId="{D2FF627B-5DCC-4516-9921-E8E991FDD958}">
      <dgm:prSet/>
      <dgm:spPr/>
      <dgm:t>
        <a:bodyPr/>
        <a:lstStyle/>
        <a:p>
          <a:endParaRPr lang="en-IN"/>
        </a:p>
      </dgm:t>
    </dgm:pt>
    <dgm:pt modelId="{D874ACF4-CD43-4B29-9D0C-FB88899015E0}" type="sibTrans" cxnId="{D2FF627B-5DCC-4516-9921-E8E991FDD958}">
      <dgm:prSet/>
      <dgm:spPr/>
      <dgm:t>
        <a:bodyPr/>
        <a:lstStyle/>
        <a:p>
          <a:endParaRPr lang="en-IN"/>
        </a:p>
      </dgm:t>
    </dgm:pt>
    <dgm:pt modelId="{A8841EF6-D44C-4E74-80F4-2D24F4FD2284}">
      <dgm:prSet custT="1"/>
      <dgm:spPr/>
      <dgm:t>
        <a:bodyPr/>
        <a:lstStyle/>
        <a:p>
          <a:r>
            <a:rPr lang="en-IN" sz="1200"/>
            <a:t>It Involves:      </a:t>
          </a:r>
          <a:r>
            <a:rPr lang="en-IN" sz="1200" b="1"/>
            <a:t>Calculation of ROIC</a:t>
          </a:r>
        </a:p>
        <a:p>
          <a:r>
            <a:rPr lang="en-IN" sz="1200" b="1"/>
            <a:t>Calculation of Reinvestment Rate</a:t>
          </a:r>
        </a:p>
        <a:p>
          <a:r>
            <a:rPr lang="en-IN" sz="1200" b="1"/>
            <a:t>and calculation of growth</a:t>
          </a:r>
        </a:p>
      </dgm:t>
    </dgm:pt>
    <dgm:pt modelId="{A5B2422D-1B93-4FEE-A1E5-07A0C7D414A4}" type="parTrans" cxnId="{76C8BCF3-E0D7-4459-8386-3553D416E0D0}">
      <dgm:prSet/>
      <dgm:spPr/>
      <dgm:t>
        <a:bodyPr/>
        <a:lstStyle/>
        <a:p>
          <a:endParaRPr lang="en-IN"/>
        </a:p>
      </dgm:t>
    </dgm:pt>
    <dgm:pt modelId="{5E07D309-C13D-4BF9-A7BD-FADCC1687B95}" type="sibTrans" cxnId="{76C8BCF3-E0D7-4459-8386-3553D416E0D0}">
      <dgm:prSet/>
      <dgm:spPr/>
      <dgm:t>
        <a:bodyPr/>
        <a:lstStyle/>
        <a:p>
          <a:endParaRPr lang="en-IN"/>
        </a:p>
      </dgm:t>
    </dgm:pt>
    <dgm:pt modelId="{326B9740-BF45-432E-AEDD-90E796789C7D}">
      <dgm:prSet custT="1"/>
      <dgm:spPr/>
      <dgm:t>
        <a:bodyPr/>
        <a:lstStyle/>
        <a:p>
          <a:r>
            <a:rPr lang="en-IN" sz="1200"/>
            <a:t>Sales Growth, EBITDA Growth and EPS Growth </a:t>
          </a:r>
        </a:p>
      </dgm:t>
    </dgm:pt>
    <dgm:pt modelId="{5DAFB5AC-E51E-49F9-BC9D-7E0A287BC651}" type="parTrans" cxnId="{12629AA9-D168-4E26-9F5E-8FF23AC720C7}">
      <dgm:prSet/>
      <dgm:spPr/>
      <dgm:t>
        <a:bodyPr/>
        <a:lstStyle/>
        <a:p>
          <a:endParaRPr lang="en-IN"/>
        </a:p>
      </dgm:t>
    </dgm:pt>
    <dgm:pt modelId="{724E3625-A0D0-43B7-BB4D-2F0CA1C39FAB}" type="sibTrans" cxnId="{12629AA9-D168-4E26-9F5E-8FF23AC720C7}">
      <dgm:prSet/>
      <dgm:spPr/>
      <dgm:t>
        <a:bodyPr/>
        <a:lstStyle/>
        <a:p>
          <a:endParaRPr lang="en-IN"/>
        </a:p>
      </dgm:t>
    </dgm:pt>
    <dgm:pt modelId="{4EB36512-4652-444D-BDFB-368BA7D10CAC}">
      <dgm:prSet custT="1"/>
      <dgm:spPr/>
      <dgm:t>
        <a:bodyPr/>
        <a:lstStyle/>
        <a:p>
          <a:r>
            <a:rPr lang="en-IN" sz="1200"/>
            <a:t>By using function:</a:t>
          </a:r>
        </a:p>
        <a:p>
          <a:r>
            <a:rPr lang="en-IN" sz="1200" b="1" i="1"/>
            <a:t>=forecast(Sales weight,sales data, year(2015-2023)</a:t>
          </a:r>
        </a:p>
      </dgm:t>
    </dgm:pt>
    <dgm:pt modelId="{5951E1CF-19BB-4DB1-A206-DB4DD51F9B3A}" type="parTrans" cxnId="{513598B8-B5C1-49FA-A134-0ABF3F727E9F}">
      <dgm:prSet/>
      <dgm:spPr/>
      <dgm:t>
        <a:bodyPr/>
        <a:lstStyle/>
        <a:p>
          <a:endParaRPr lang="en-IN"/>
        </a:p>
      </dgm:t>
    </dgm:pt>
    <dgm:pt modelId="{C5E43F71-C9B3-4FCB-B4C5-0C28F4A85D61}" type="sibTrans" cxnId="{513598B8-B5C1-49FA-A134-0ABF3F727E9F}">
      <dgm:prSet/>
      <dgm:spPr/>
      <dgm:t>
        <a:bodyPr/>
        <a:lstStyle/>
        <a:p>
          <a:endParaRPr lang="en-IN"/>
        </a:p>
      </dgm:t>
    </dgm:pt>
    <dgm:pt modelId="{A063BEB6-09E3-4004-A567-AFF06344C478}" type="pres">
      <dgm:prSet presAssocID="{542F2971-2D00-415E-BE12-C791EAD027DD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91C3B787-3B7B-4B83-916C-C20713508C89}" type="pres">
      <dgm:prSet presAssocID="{43D8CA5A-316D-4521-9E71-B4C264DB40F0}" presName="root" presStyleCnt="0"/>
      <dgm:spPr/>
    </dgm:pt>
    <dgm:pt modelId="{5DC62421-16C7-4BB3-A57B-CE9BD9DB0469}" type="pres">
      <dgm:prSet presAssocID="{43D8CA5A-316D-4521-9E71-B4C264DB40F0}" presName="rootComposite" presStyleCnt="0"/>
      <dgm:spPr/>
    </dgm:pt>
    <dgm:pt modelId="{A0201DE4-1845-4AF1-A59E-0AF852274E13}" type="pres">
      <dgm:prSet presAssocID="{43D8CA5A-316D-4521-9E71-B4C264DB40F0}" presName="rootText" presStyleLbl="node1" presStyleIdx="0" presStyleCnt="3"/>
      <dgm:spPr/>
    </dgm:pt>
    <dgm:pt modelId="{B161FEE9-6226-4495-9CDD-4553A91FA745}" type="pres">
      <dgm:prSet presAssocID="{43D8CA5A-316D-4521-9E71-B4C264DB40F0}" presName="rootConnector" presStyleLbl="node1" presStyleIdx="0" presStyleCnt="3"/>
      <dgm:spPr/>
    </dgm:pt>
    <dgm:pt modelId="{73D21BC7-92F8-4BE9-88D1-81D1058B4EE0}" type="pres">
      <dgm:prSet presAssocID="{43D8CA5A-316D-4521-9E71-B4C264DB40F0}" presName="childShape" presStyleCnt="0"/>
      <dgm:spPr/>
    </dgm:pt>
    <dgm:pt modelId="{D08BD40B-66A5-45B6-AD88-1529E4FAA0C2}" type="pres">
      <dgm:prSet presAssocID="{5DAFB5AC-E51E-49F9-BC9D-7E0A287BC651}" presName="Name13" presStyleLbl="parChTrans1D2" presStyleIdx="0" presStyleCnt="7"/>
      <dgm:spPr/>
    </dgm:pt>
    <dgm:pt modelId="{E6DD551A-C72F-4612-8654-3602F0DA0403}" type="pres">
      <dgm:prSet presAssocID="{326B9740-BF45-432E-AEDD-90E796789C7D}" presName="childText" presStyleLbl="bgAcc1" presStyleIdx="0" presStyleCnt="7" custScaleY="126477">
        <dgm:presLayoutVars>
          <dgm:bulletEnabled val="1"/>
        </dgm:presLayoutVars>
      </dgm:prSet>
      <dgm:spPr/>
    </dgm:pt>
    <dgm:pt modelId="{00BF0992-7168-4684-8F45-1E0C1D2B4A0E}" type="pres">
      <dgm:prSet presAssocID="{D138ACD4-FC6A-4EA9-A8D7-E871255B8558}" presName="Name13" presStyleLbl="parChTrans1D2" presStyleIdx="1" presStyleCnt="7"/>
      <dgm:spPr/>
    </dgm:pt>
    <dgm:pt modelId="{238DA2F4-A094-4F7F-84FA-E57E5EB31251}" type="pres">
      <dgm:prSet presAssocID="{9A6A40B4-D9D5-4BC3-A7C8-6A81759E4B87}" presName="childText" presStyleLbl="bgAcc1" presStyleIdx="1" presStyleCnt="7" custScaleY="184585">
        <dgm:presLayoutVars>
          <dgm:bulletEnabled val="1"/>
        </dgm:presLayoutVars>
      </dgm:prSet>
      <dgm:spPr/>
    </dgm:pt>
    <dgm:pt modelId="{8B2CABBF-5E73-46F7-ABA4-37F533018AFF}" type="pres">
      <dgm:prSet presAssocID="{5951E1CF-19BB-4DB1-A206-DB4DD51F9B3A}" presName="Name13" presStyleLbl="parChTrans1D2" presStyleIdx="2" presStyleCnt="7"/>
      <dgm:spPr/>
    </dgm:pt>
    <dgm:pt modelId="{520F952C-3625-443A-BBE4-D48CD02EFA74}" type="pres">
      <dgm:prSet presAssocID="{4EB36512-4652-444D-BDFB-368BA7D10CAC}" presName="childText" presStyleLbl="bgAcc1" presStyleIdx="2" presStyleCnt="7" custScaleY="185150">
        <dgm:presLayoutVars>
          <dgm:bulletEnabled val="1"/>
        </dgm:presLayoutVars>
      </dgm:prSet>
      <dgm:spPr/>
    </dgm:pt>
    <dgm:pt modelId="{ACF98FCC-4F03-4E49-A52B-3C828C77FAF3}" type="pres">
      <dgm:prSet presAssocID="{B3DCA5F6-A226-449B-BDF1-9FA33BB3C4F8}" presName="root" presStyleCnt="0"/>
      <dgm:spPr/>
    </dgm:pt>
    <dgm:pt modelId="{FE6D66B7-65C8-43C4-B4D4-45E4D595E3D2}" type="pres">
      <dgm:prSet presAssocID="{B3DCA5F6-A226-449B-BDF1-9FA33BB3C4F8}" presName="rootComposite" presStyleCnt="0"/>
      <dgm:spPr/>
    </dgm:pt>
    <dgm:pt modelId="{02F7A3EF-2C10-477F-92B9-70046D196AFF}" type="pres">
      <dgm:prSet presAssocID="{B3DCA5F6-A226-449B-BDF1-9FA33BB3C4F8}" presName="rootText" presStyleLbl="node1" presStyleIdx="1" presStyleCnt="3" custLinFactNeighborX="-4494" custLinFactNeighborY="-8988"/>
      <dgm:spPr/>
    </dgm:pt>
    <dgm:pt modelId="{58F037FC-A996-4086-9A1A-B2F407730DF8}" type="pres">
      <dgm:prSet presAssocID="{B3DCA5F6-A226-449B-BDF1-9FA33BB3C4F8}" presName="rootConnector" presStyleLbl="node1" presStyleIdx="1" presStyleCnt="3"/>
      <dgm:spPr/>
    </dgm:pt>
    <dgm:pt modelId="{1782EC43-B4A8-4521-B64A-B94D268030E5}" type="pres">
      <dgm:prSet presAssocID="{B3DCA5F6-A226-449B-BDF1-9FA33BB3C4F8}" presName="childShape" presStyleCnt="0"/>
      <dgm:spPr/>
    </dgm:pt>
    <dgm:pt modelId="{9339A13A-DF59-4E07-A6CB-CEEA9B53714D}" type="pres">
      <dgm:prSet presAssocID="{E837AEFB-23FF-4C3F-9E39-D22A5C5FE84B}" presName="Name13" presStyleLbl="parChTrans1D2" presStyleIdx="3" presStyleCnt="7"/>
      <dgm:spPr/>
    </dgm:pt>
    <dgm:pt modelId="{A4721688-F8DC-46D2-9C54-FD60B74E865A}" type="pres">
      <dgm:prSet presAssocID="{8A566A42-408C-47D4-8F7B-8A7AF3C292D6}" presName="childText" presStyleLbl="bgAcc1" presStyleIdx="3" presStyleCnt="7" custScaleY="139583">
        <dgm:presLayoutVars>
          <dgm:bulletEnabled val="1"/>
        </dgm:presLayoutVars>
      </dgm:prSet>
      <dgm:spPr/>
    </dgm:pt>
    <dgm:pt modelId="{F5F4459D-9685-42F7-BA46-6D62FE3669B7}" type="pres">
      <dgm:prSet presAssocID="{A5B2422D-1B93-4FEE-A1E5-07A0C7D414A4}" presName="Name13" presStyleLbl="parChTrans1D2" presStyleIdx="4" presStyleCnt="7"/>
      <dgm:spPr/>
    </dgm:pt>
    <dgm:pt modelId="{41DF665B-2E1C-400B-B12B-6B4BE87B618C}" type="pres">
      <dgm:prSet presAssocID="{A8841EF6-D44C-4E74-80F4-2D24F4FD2284}" presName="childText" presStyleLbl="bgAcc1" presStyleIdx="4" presStyleCnt="7" custScaleX="109561" custScaleY="256206">
        <dgm:presLayoutVars>
          <dgm:bulletEnabled val="1"/>
        </dgm:presLayoutVars>
      </dgm:prSet>
      <dgm:spPr/>
    </dgm:pt>
    <dgm:pt modelId="{09BADC60-56D2-4233-8E3A-99EF6C0EA0EE}" type="pres">
      <dgm:prSet presAssocID="{8F17874D-C3EE-4367-8680-C65D15093614}" presName="root" presStyleCnt="0"/>
      <dgm:spPr/>
    </dgm:pt>
    <dgm:pt modelId="{5F58311E-641A-40C2-8AD0-E5A0ECF17E57}" type="pres">
      <dgm:prSet presAssocID="{8F17874D-C3EE-4367-8680-C65D15093614}" presName="rootComposite" presStyleCnt="0"/>
      <dgm:spPr/>
    </dgm:pt>
    <dgm:pt modelId="{D624832C-ACA6-4EA7-B7B7-C05F0CAF9A11}" type="pres">
      <dgm:prSet presAssocID="{8F17874D-C3EE-4367-8680-C65D15093614}" presName="rootText" presStyleLbl="node1" presStyleIdx="2" presStyleCnt="3" custLinFactNeighborY="-12665"/>
      <dgm:spPr/>
    </dgm:pt>
    <dgm:pt modelId="{791E77D7-F0C9-4EC0-AB26-DF8BDB9EFB98}" type="pres">
      <dgm:prSet presAssocID="{8F17874D-C3EE-4367-8680-C65D15093614}" presName="rootConnector" presStyleLbl="node1" presStyleIdx="2" presStyleCnt="3"/>
      <dgm:spPr/>
    </dgm:pt>
    <dgm:pt modelId="{11580F1B-28A8-4DDC-A094-8EA1339F4EB3}" type="pres">
      <dgm:prSet presAssocID="{8F17874D-C3EE-4367-8680-C65D15093614}" presName="childShape" presStyleCnt="0"/>
      <dgm:spPr/>
    </dgm:pt>
    <dgm:pt modelId="{E6192205-9F94-4DEC-9B4A-42D4354BDDF8}" type="pres">
      <dgm:prSet presAssocID="{8557CF73-BD9E-4581-ABC6-31DC02EF2D92}" presName="Name13" presStyleLbl="parChTrans1D2" presStyleIdx="5" presStyleCnt="7"/>
      <dgm:spPr/>
    </dgm:pt>
    <dgm:pt modelId="{29CC8D8F-FBCB-4AB0-BED9-2E55BC02FC98}" type="pres">
      <dgm:prSet presAssocID="{2D53DCBA-58EA-4426-ACAE-EBF74DAAD358}" presName="childText" presStyleLbl="bgAcc1" presStyleIdx="5" presStyleCnt="7" custScaleY="228402" custLinFactNeighborX="-2089" custLinFactNeighborY="32566">
        <dgm:presLayoutVars>
          <dgm:bulletEnabled val="1"/>
        </dgm:presLayoutVars>
      </dgm:prSet>
      <dgm:spPr/>
    </dgm:pt>
    <dgm:pt modelId="{76D2B87D-C67E-43ED-A586-53909E83E64E}" type="pres">
      <dgm:prSet presAssocID="{12593685-C1E5-4C09-84C0-82474E97339E}" presName="Name13" presStyleLbl="parChTrans1D2" presStyleIdx="6" presStyleCnt="7"/>
      <dgm:spPr/>
    </dgm:pt>
    <dgm:pt modelId="{3D880601-DF2D-485D-8B95-455798055486}" type="pres">
      <dgm:prSet presAssocID="{6BBA08A3-E7C7-45F0-9279-4F866E43436D}" presName="childText" presStyleLbl="bgAcc1" presStyleIdx="6" presStyleCnt="7" custScaleY="197100" custLinFactNeighborX="-1071" custLinFactNeighborY="54848">
        <dgm:presLayoutVars>
          <dgm:bulletEnabled val="1"/>
        </dgm:presLayoutVars>
      </dgm:prSet>
      <dgm:spPr/>
    </dgm:pt>
  </dgm:ptLst>
  <dgm:cxnLst>
    <dgm:cxn modelId="{44A4F803-40F9-463D-B667-5EB679D30BFC}" type="presOf" srcId="{8F17874D-C3EE-4367-8680-C65D15093614}" destId="{791E77D7-F0C9-4EC0-AB26-DF8BDB9EFB98}" srcOrd="1" destOrd="0" presId="urn:microsoft.com/office/officeart/2005/8/layout/hierarchy3"/>
    <dgm:cxn modelId="{7503F808-D695-45FC-8333-303A06393A6D}" type="presOf" srcId="{A5B2422D-1B93-4FEE-A1E5-07A0C7D414A4}" destId="{F5F4459D-9685-42F7-BA46-6D62FE3669B7}" srcOrd="0" destOrd="0" presId="urn:microsoft.com/office/officeart/2005/8/layout/hierarchy3"/>
    <dgm:cxn modelId="{66E89C0D-B1B9-4B73-B126-264ABE2DCC44}" srcId="{B3DCA5F6-A226-449B-BDF1-9FA33BB3C4F8}" destId="{8A566A42-408C-47D4-8F7B-8A7AF3C292D6}" srcOrd="0" destOrd="0" parTransId="{E837AEFB-23FF-4C3F-9E39-D22A5C5FE84B}" sibTransId="{65A4B107-F131-4307-A617-A9A818426F49}"/>
    <dgm:cxn modelId="{DFC5130E-133A-49B0-A982-C87085F3CC2D}" type="presOf" srcId="{5DAFB5AC-E51E-49F9-BC9D-7E0A287BC651}" destId="{D08BD40B-66A5-45B6-AD88-1529E4FAA0C2}" srcOrd="0" destOrd="0" presId="urn:microsoft.com/office/officeart/2005/8/layout/hierarchy3"/>
    <dgm:cxn modelId="{3C4D9612-7DEB-4923-8C12-C158CA7A7F8A}" type="presOf" srcId="{8F17874D-C3EE-4367-8680-C65D15093614}" destId="{D624832C-ACA6-4EA7-B7B7-C05F0CAF9A11}" srcOrd="0" destOrd="0" presId="urn:microsoft.com/office/officeart/2005/8/layout/hierarchy3"/>
    <dgm:cxn modelId="{30A4E913-8ABC-477E-AD9B-9CE0DF841657}" srcId="{542F2971-2D00-415E-BE12-C791EAD027DD}" destId="{B3DCA5F6-A226-449B-BDF1-9FA33BB3C4F8}" srcOrd="1" destOrd="0" parTransId="{F9BCD005-EA34-4B2A-A252-41F504B526DA}" sibTransId="{F6DD90E3-31A7-41A9-B341-69B3B200A91B}"/>
    <dgm:cxn modelId="{3D757528-779F-4903-96EC-F2558CD5F3FA}" type="presOf" srcId="{2D53DCBA-58EA-4426-ACAE-EBF74DAAD358}" destId="{29CC8D8F-FBCB-4AB0-BED9-2E55BC02FC98}" srcOrd="0" destOrd="0" presId="urn:microsoft.com/office/officeart/2005/8/layout/hierarchy3"/>
    <dgm:cxn modelId="{021B612D-83BD-46CB-A142-3656CD2F554F}" type="presOf" srcId="{6BBA08A3-E7C7-45F0-9279-4F866E43436D}" destId="{3D880601-DF2D-485D-8B95-455798055486}" srcOrd="0" destOrd="0" presId="urn:microsoft.com/office/officeart/2005/8/layout/hierarchy3"/>
    <dgm:cxn modelId="{8F6C8236-F48A-4E33-B2FE-2086BE3A3C3E}" srcId="{43D8CA5A-316D-4521-9E71-B4C264DB40F0}" destId="{9A6A40B4-D9D5-4BC3-A7C8-6A81759E4B87}" srcOrd="1" destOrd="0" parTransId="{D138ACD4-FC6A-4EA9-A8D7-E871255B8558}" sibTransId="{2141113B-58FD-405B-9885-0FCFEE4BF1BE}"/>
    <dgm:cxn modelId="{8F1AC05F-3FD5-4694-9637-C8B8D660D670}" type="presOf" srcId="{A8841EF6-D44C-4E74-80F4-2D24F4FD2284}" destId="{41DF665B-2E1C-400B-B12B-6B4BE87B618C}" srcOrd="0" destOrd="0" presId="urn:microsoft.com/office/officeart/2005/8/layout/hierarchy3"/>
    <dgm:cxn modelId="{8EB9F841-3806-499B-8AB7-B5BDB9533337}" type="presOf" srcId="{8A566A42-408C-47D4-8F7B-8A7AF3C292D6}" destId="{A4721688-F8DC-46D2-9C54-FD60B74E865A}" srcOrd="0" destOrd="0" presId="urn:microsoft.com/office/officeart/2005/8/layout/hierarchy3"/>
    <dgm:cxn modelId="{7CFAD943-477A-4D94-B9BC-13DA5D52A2AA}" type="presOf" srcId="{4EB36512-4652-444D-BDFB-368BA7D10CAC}" destId="{520F952C-3625-443A-BBE4-D48CD02EFA74}" srcOrd="0" destOrd="0" presId="urn:microsoft.com/office/officeart/2005/8/layout/hierarchy3"/>
    <dgm:cxn modelId="{88972666-AE0B-42B2-BBE1-D2A16E71442D}" type="presOf" srcId="{542F2971-2D00-415E-BE12-C791EAD027DD}" destId="{A063BEB6-09E3-4004-A567-AFF06344C478}" srcOrd="0" destOrd="0" presId="urn:microsoft.com/office/officeart/2005/8/layout/hierarchy3"/>
    <dgm:cxn modelId="{C6A7E854-CE79-46AC-BB61-693CB2B4797B}" type="presOf" srcId="{326B9740-BF45-432E-AEDD-90E796789C7D}" destId="{E6DD551A-C72F-4612-8654-3602F0DA0403}" srcOrd="0" destOrd="0" presId="urn:microsoft.com/office/officeart/2005/8/layout/hierarchy3"/>
    <dgm:cxn modelId="{D7B45E76-C234-4CAA-97FD-5F8EF48BC9E0}" type="presOf" srcId="{43D8CA5A-316D-4521-9E71-B4C264DB40F0}" destId="{A0201DE4-1845-4AF1-A59E-0AF852274E13}" srcOrd="0" destOrd="0" presId="urn:microsoft.com/office/officeart/2005/8/layout/hierarchy3"/>
    <dgm:cxn modelId="{C72A575A-36C1-461A-927D-759EB7EEBD03}" type="presOf" srcId="{B3DCA5F6-A226-449B-BDF1-9FA33BB3C4F8}" destId="{02F7A3EF-2C10-477F-92B9-70046D196AFF}" srcOrd="0" destOrd="0" presId="urn:microsoft.com/office/officeart/2005/8/layout/hierarchy3"/>
    <dgm:cxn modelId="{4A70BF7A-345A-4CE6-A0AF-2EAFF01AD5E5}" type="presOf" srcId="{5951E1CF-19BB-4DB1-A206-DB4DD51F9B3A}" destId="{8B2CABBF-5E73-46F7-ABA4-37F533018AFF}" srcOrd="0" destOrd="0" presId="urn:microsoft.com/office/officeart/2005/8/layout/hierarchy3"/>
    <dgm:cxn modelId="{D2FF627B-5DCC-4516-9921-E8E991FDD958}" srcId="{8F17874D-C3EE-4367-8680-C65D15093614}" destId="{6BBA08A3-E7C7-45F0-9279-4F866E43436D}" srcOrd="1" destOrd="0" parTransId="{12593685-C1E5-4C09-84C0-82474E97339E}" sibTransId="{D874ACF4-CD43-4B29-9D0C-FB88899015E0}"/>
    <dgm:cxn modelId="{F79D768F-36FC-42E4-89F7-39584D8F0BD8}" srcId="{542F2971-2D00-415E-BE12-C791EAD027DD}" destId="{43D8CA5A-316D-4521-9E71-B4C264DB40F0}" srcOrd="0" destOrd="0" parTransId="{B96173BF-20D2-4688-BA0F-48BA930FB28F}" sibTransId="{FD3678BE-E2E4-4C42-AA82-F51B65C1DDBB}"/>
    <dgm:cxn modelId="{B6B7C999-221D-45D1-80C2-9CBB71B3B12A}" type="presOf" srcId="{9A6A40B4-D9D5-4BC3-A7C8-6A81759E4B87}" destId="{238DA2F4-A094-4F7F-84FA-E57E5EB31251}" srcOrd="0" destOrd="0" presId="urn:microsoft.com/office/officeart/2005/8/layout/hierarchy3"/>
    <dgm:cxn modelId="{12629AA9-D168-4E26-9F5E-8FF23AC720C7}" srcId="{43D8CA5A-316D-4521-9E71-B4C264DB40F0}" destId="{326B9740-BF45-432E-AEDD-90E796789C7D}" srcOrd="0" destOrd="0" parTransId="{5DAFB5AC-E51E-49F9-BC9D-7E0A287BC651}" sibTransId="{724E3625-A0D0-43B7-BB4D-2F0CA1C39FAB}"/>
    <dgm:cxn modelId="{C1509FB5-BC18-409E-B37A-8ED91DB5938C}" type="presOf" srcId="{D138ACD4-FC6A-4EA9-A8D7-E871255B8558}" destId="{00BF0992-7168-4684-8F45-1E0C1D2B4A0E}" srcOrd="0" destOrd="0" presId="urn:microsoft.com/office/officeart/2005/8/layout/hierarchy3"/>
    <dgm:cxn modelId="{A30FADB5-B2D9-4D67-84E6-419FB6454588}" type="presOf" srcId="{E837AEFB-23FF-4C3F-9E39-D22A5C5FE84B}" destId="{9339A13A-DF59-4E07-A6CB-CEEA9B53714D}" srcOrd="0" destOrd="0" presId="urn:microsoft.com/office/officeart/2005/8/layout/hierarchy3"/>
    <dgm:cxn modelId="{513598B8-B5C1-49FA-A134-0ABF3F727E9F}" srcId="{43D8CA5A-316D-4521-9E71-B4C264DB40F0}" destId="{4EB36512-4652-444D-BDFB-368BA7D10CAC}" srcOrd="2" destOrd="0" parTransId="{5951E1CF-19BB-4DB1-A206-DB4DD51F9B3A}" sibTransId="{C5E43F71-C9B3-4FCB-B4C5-0C28F4A85D61}"/>
    <dgm:cxn modelId="{6929ADCD-B8D5-41D8-881F-95B0A883623A}" type="presOf" srcId="{43D8CA5A-316D-4521-9E71-B4C264DB40F0}" destId="{B161FEE9-6226-4495-9CDD-4553A91FA745}" srcOrd="1" destOrd="0" presId="urn:microsoft.com/office/officeart/2005/8/layout/hierarchy3"/>
    <dgm:cxn modelId="{6B7927CE-3B79-4EF5-A745-2BABD25ECAB8}" srcId="{542F2971-2D00-415E-BE12-C791EAD027DD}" destId="{8F17874D-C3EE-4367-8680-C65D15093614}" srcOrd="2" destOrd="0" parTransId="{832895EB-368E-42A7-AC53-8626CB8576E4}" sibTransId="{9EC9AAD6-F18B-4AC0-B301-F15DD1B824CB}"/>
    <dgm:cxn modelId="{8859ADD9-5085-4649-B50F-44EBA0080A17}" type="presOf" srcId="{B3DCA5F6-A226-449B-BDF1-9FA33BB3C4F8}" destId="{58F037FC-A996-4086-9A1A-B2F407730DF8}" srcOrd="1" destOrd="0" presId="urn:microsoft.com/office/officeart/2005/8/layout/hierarchy3"/>
    <dgm:cxn modelId="{1539BADE-EB97-4759-94D1-A2F579A37507}" srcId="{8F17874D-C3EE-4367-8680-C65D15093614}" destId="{2D53DCBA-58EA-4426-ACAE-EBF74DAAD358}" srcOrd="0" destOrd="0" parTransId="{8557CF73-BD9E-4581-ABC6-31DC02EF2D92}" sibTransId="{1D861054-1554-4FAB-AEB6-D83B5026000A}"/>
    <dgm:cxn modelId="{B37864E8-F1B9-4C37-9BB9-965FD3F0FA69}" type="presOf" srcId="{8557CF73-BD9E-4581-ABC6-31DC02EF2D92}" destId="{E6192205-9F94-4DEC-9B4A-42D4354BDDF8}" srcOrd="0" destOrd="0" presId="urn:microsoft.com/office/officeart/2005/8/layout/hierarchy3"/>
    <dgm:cxn modelId="{76C8BCF3-E0D7-4459-8386-3553D416E0D0}" srcId="{B3DCA5F6-A226-449B-BDF1-9FA33BB3C4F8}" destId="{A8841EF6-D44C-4E74-80F4-2D24F4FD2284}" srcOrd="1" destOrd="0" parTransId="{A5B2422D-1B93-4FEE-A1E5-07A0C7D414A4}" sibTransId="{5E07D309-C13D-4BF9-A7BD-FADCC1687B95}"/>
    <dgm:cxn modelId="{4DDB4CF7-4430-4265-8EE4-D4E1DD83C7DA}" type="presOf" srcId="{12593685-C1E5-4C09-84C0-82474E97339E}" destId="{76D2B87D-C67E-43ED-A586-53909E83E64E}" srcOrd="0" destOrd="0" presId="urn:microsoft.com/office/officeart/2005/8/layout/hierarchy3"/>
    <dgm:cxn modelId="{F3DC366D-D418-4BE3-B21F-C23E18E353B9}" type="presParOf" srcId="{A063BEB6-09E3-4004-A567-AFF06344C478}" destId="{91C3B787-3B7B-4B83-916C-C20713508C89}" srcOrd="0" destOrd="0" presId="urn:microsoft.com/office/officeart/2005/8/layout/hierarchy3"/>
    <dgm:cxn modelId="{0D87D54B-8A67-47E3-93B4-009D9DE8C104}" type="presParOf" srcId="{91C3B787-3B7B-4B83-916C-C20713508C89}" destId="{5DC62421-16C7-4BB3-A57B-CE9BD9DB0469}" srcOrd="0" destOrd="0" presId="urn:microsoft.com/office/officeart/2005/8/layout/hierarchy3"/>
    <dgm:cxn modelId="{99F721A9-0BB3-4D69-A729-015A61E03E82}" type="presParOf" srcId="{5DC62421-16C7-4BB3-A57B-CE9BD9DB0469}" destId="{A0201DE4-1845-4AF1-A59E-0AF852274E13}" srcOrd="0" destOrd="0" presId="urn:microsoft.com/office/officeart/2005/8/layout/hierarchy3"/>
    <dgm:cxn modelId="{C4FBA121-9312-41D2-A096-C5502B09A875}" type="presParOf" srcId="{5DC62421-16C7-4BB3-A57B-CE9BD9DB0469}" destId="{B161FEE9-6226-4495-9CDD-4553A91FA745}" srcOrd="1" destOrd="0" presId="urn:microsoft.com/office/officeart/2005/8/layout/hierarchy3"/>
    <dgm:cxn modelId="{DB90FD7F-DA66-4103-8EB1-A0E9782A9654}" type="presParOf" srcId="{91C3B787-3B7B-4B83-916C-C20713508C89}" destId="{73D21BC7-92F8-4BE9-88D1-81D1058B4EE0}" srcOrd="1" destOrd="0" presId="urn:microsoft.com/office/officeart/2005/8/layout/hierarchy3"/>
    <dgm:cxn modelId="{0AA318F9-B477-4C9C-B1D6-09CD009639BD}" type="presParOf" srcId="{73D21BC7-92F8-4BE9-88D1-81D1058B4EE0}" destId="{D08BD40B-66A5-45B6-AD88-1529E4FAA0C2}" srcOrd="0" destOrd="0" presId="urn:microsoft.com/office/officeart/2005/8/layout/hierarchy3"/>
    <dgm:cxn modelId="{F409BA61-F765-4AD5-A1E4-74840F5984F6}" type="presParOf" srcId="{73D21BC7-92F8-4BE9-88D1-81D1058B4EE0}" destId="{E6DD551A-C72F-4612-8654-3602F0DA0403}" srcOrd="1" destOrd="0" presId="urn:microsoft.com/office/officeart/2005/8/layout/hierarchy3"/>
    <dgm:cxn modelId="{DDE79308-753C-4269-AA95-D5D0E3A05D02}" type="presParOf" srcId="{73D21BC7-92F8-4BE9-88D1-81D1058B4EE0}" destId="{00BF0992-7168-4684-8F45-1E0C1D2B4A0E}" srcOrd="2" destOrd="0" presId="urn:microsoft.com/office/officeart/2005/8/layout/hierarchy3"/>
    <dgm:cxn modelId="{0420D3DD-889B-46F5-9EDF-AD1BB047B046}" type="presParOf" srcId="{73D21BC7-92F8-4BE9-88D1-81D1058B4EE0}" destId="{238DA2F4-A094-4F7F-84FA-E57E5EB31251}" srcOrd="3" destOrd="0" presId="urn:microsoft.com/office/officeart/2005/8/layout/hierarchy3"/>
    <dgm:cxn modelId="{52E57261-E6A1-41F0-818C-5DAA4129D21E}" type="presParOf" srcId="{73D21BC7-92F8-4BE9-88D1-81D1058B4EE0}" destId="{8B2CABBF-5E73-46F7-ABA4-37F533018AFF}" srcOrd="4" destOrd="0" presId="urn:microsoft.com/office/officeart/2005/8/layout/hierarchy3"/>
    <dgm:cxn modelId="{7AADA1E4-59D4-4065-BB88-F11C2A124156}" type="presParOf" srcId="{73D21BC7-92F8-4BE9-88D1-81D1058B4EE0}" destId="{520F952C-3625-443A-BBE4-D48CD02EFA74}" srcOrd="5" destOrd="0" presId="urn:microsoft.com/office/officeart/2005/8/layout/hierarchy3"/>
    <dgm:cxn modelId="{3A001CD5-5E04-4AD2-8CE4-461CABAB98EE}" type="presParOf" srcId="{A063BEB6-09E3-4004-A567-AFF06344C478}" destId="{ACF98FCC-4F03-4E49-A52B-3C828C77FAF3}" srcOrd="1" destOrd="0" presId="urn:microsoft.com/office/officeart/2005/8/layout/hierarchy3"/>
    <dgm:cxn modelId="{E0BCF396-7ACF-4E1A-A207-42E4C191F089}" type="presParOf" srcId="{ACF98FCC-4F03-4E49-A52B-3C828C77FAF3}" destId="{FE6D66B7-65C8-43C4-B4D4-45E4D595E3D2}" srcOrd="0" destOrd="0" presId="urn:microsoft.com/office/officeart/2005/8/layout/hierarchy3"/>
    <dgm:cxn modelId="{00A6FD55-A7E1-4B90-9332-F0CFD7E7D9F7}" type="presParOf" srcId="{FE6D66B7-65C8-43C4-B4D4-45E4D595E3D2}" destId="{02F7A3EF-2C10-477F-92B9-70046D196AFF}" srcOrd="0" destOrd="0" presId="urn:microsoft.com/office/officeart/2005/8/layout/hierarchy3"/>
    <dgm:cxn modelId="{B09AD77C-26FF-4EB1-BC5C-27675A554345}" type="presParOf" srcId="{FE6D66B7-65C8-43C4-B4D4-45E4D595E3D2}" destId="{58F037FC-A996-4086-9A1A-B2F407730DF8}" srcOrd="1" destOrd="0" presId="urn:microsoft.com/office/officeart/2005/8/layout/hierarchy3"/>
    <dgm:cxn modelId="{EA3E6DBD-2878-408B-9B56-B17A450C8954}" type="presParOf" srcId="{ACF98FCC-4F03-4E49-A52B-3C828C77FAF3}" destId="{1782EC43-B4A8-4521-B64A-B94D268030E5}" srcOrd="1" destOrd="0" presId="urn:microsoft.com/office/officeart/2005/8/layout/hierarchy3"/>
    <dgm:cxn modelId="{ABB2DABF-DF0F-4DC8-A82D-13EE1E7810FC}" type="presParOf" srcId="{1782EC43-B4A8-4521-B64A-B94D268030E5}" destId="{9339A13A-DF59-4E07-A6CB-CEEA9B53714D}" srcOrd="0" destOrd="0" presId="urn:microsoft.com/office/officeart/2005/8/layout/hierarchy3"/>
    <dgm:cxn modelId="{6D9A7D30-E51F-4E40-8AD2-8EA22D758548}" type="presParOf" srcId="{1782EC43-B4A8-4521-B64A-B94D268030E5}" destId="{A4721688-F8DC-46D2-9C54-FD60B74E865A}" srcOrd="1" destOrd="0" presId="urn:microsoft.com/office/officeart/2005/8/layout/hierarchy3"/>
    <dgm:cxn modelId="{82604130-85C3-438F-A872-9962FE7FDF3B}" type="presParOf" srcId="{1782EC43-B4A8-4521-B64A-B94D268030E5}" destId="{F5F4459D-9685-42F7-BA46-6D62FE3669B7}" srcOrd="2" destOrd="0" presId="urn:microsoft.com/office/officeart/2005/8/layout/hierarchy3"/>
    <dgm:cxn modelId="{2560110D-D784-4AD5-97E4-2DD40B75709B}" type="presParOf" srcId="{1782EC43-B4A8-4521-B64A-B94D268030E5}" destId="{41DF665B-2E1C-400B-B12B-6B4BE87B618C}" srcOrd="3" destOrd="0" presId="urn:microsoft.com/office/officeart/2005/8/layout/hierarchy3"/>
    <dgm:cxn modelId="{B174EFFA-73BD-4007-963C-5346BFAAAC15}" type="presParOf" srcId="{A063BEB6-09E3-4004-A567-AFF06344C478}" destId="{09BADC60-56D2-4233-8E3A-99EF6C0EA0EE}" srcOrd="2" destOrd="0" presId="urn:microsoft.com/office/officeart/2005/8/layout/hierarchy3"/>
    <dgm:cxn modelId="{D10619F5-4240-4CAD-A7C0-FB07EC479F29}" type="presParOf" srcId="{09BADC60-56D2-4233-8E3A-99EF6C0EA0EE}" destId="{5F58311E-641A-40C2-8AD0-E5A0ECF17E57}" srcOrd="0" destOrd="0" presId="urn:microsoft.com/office/officeart/2005/8/layout/hierarchy3"/>
    <dgm:cxn modelId="{16B24804-C0E8-4771-A978-64B8E714BF5A}" type="presParOf" srcId="{5F58311E-641A-40C2-8AD0-E5A0ECF17E57}" destId="{D624832C-ACA6-4EA7-B7B7-C05F0CAF9A11}" srcOrd="0" destOrd="0" presId="urn:microsoft.com/office/officeart/2005/8/layout/hierarchy3"/>
    <dgm:cxn modelId="{50AC2F79-DE5D-46B3-9D2B-7C0FA1512128}" type="presParOf" srcId="{5F58311E-641A-40C2-8AD0-E5A0ECF17E57}" destId="{791E77D7-F0C9-4EC0-AB26-DF8BDB9EFB98}" srcOrd="1" destOrd="0" presId="urn:microsoft.com/office/officeart/2005/8/layout/hierarchy3"/>
    <dgm:cxn modelId="{C766D854-CBFF-46D4-A134-FB09E4F6C730}" type="presParOf" srcId="{09BADC60-56D2-4233-8E3A-99EF6C0EA0EE}" destId="{11580F1B-28A8-4DDC-A094-8EA1339F4EB3}" srcOrd="1" destOrd="0" presId="urn:microsoft.com/office/officeart/2005/8/layout/hierarchy3"/>
    <dgm:cxn modelId="{FBC81263-C5DD-4B3E-B7A1-D40E6850A9AD}" type="presParOf" srcId="{11580F1B-28A8-4DDC-A094-8EA1339F4EB3}" destId="{E6192205-9F94-4DEC-9B4A-42D4354BDDF8}" srcOrd="0" destOrd="0" presId="urn:microsoft.com/office/officeart/2005/8/layout/hierarchy3"/>
    <dgm:cxn modelId="{A31C2DA1-50C8-4643-A3EE-CC79E088C0BB}" type="presParOf" srcId="{11580F1B-28A8-4DDC-A094-8EA1339F4EB3}" destId="{29CC8D8F-FBCB-4AB0-BED9-2E55BC02FC98}" srcOrd="1" destOrd="0" presId="urn:microsoft.com/office/officeart/2005/8/layout/hierarchy3"/>
    <dgm:cxn modelId="{AE65B757-F580-47BB-A702-AA6244A1CC17}" type="presParOf" srcId="{11580F1B-28A8-4DDC-A094-8EA1339F4EB3}" destId="{76D2B87D-C67E-43ED-A586-53909E83E64E}" srcOrd="2" destOrd="0" presId="urn:microsoft.com/office/officeart/2005/8/layout/hierarchy3"/>
    <dgm:cxn modelId="{9D2EEBAE-B5BF-4EA3-A305-5BE0AD8AB8AB}" type="presParOf" srcId="{11580F1B-28A8-4DDC-A094-8EA1339F4EB3}" destId="{3D880601-DF2D-485D-8B95-455798055486}" srcOrd="3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4B32045E-7CFF-47EA-A0D3-69118626B01C}" type="doc">
      <dgm:prSet loTypeId="urn:microsoft.com/office/officeart/2005/8/layout/vList5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34CAA342-E7DC-43A1-8C5C-ED243432E532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1" i="0"/>
            <a:t>Liquidity:</a:t>
          </a:r>
          <a:r>
            <a:rPr lang="en-IN" b="0" i="0"/>
            <a:t> </a:t>
          </a:r>
          <a:endParaRPr lang="en-IN"/>
        </a:p>
      </dgm:t>
    </dgm:pt>
    <dgm:pt modelId="{7D085CAE-9C46-4F5D-8357-052601583FD6}" type="parTrans" cxnId="{CDCCC84D-9404-454E-B6C5-510B32CAA187}">
      <dgm:prSet/>
      <dgm:spPr/>
      <dgm:t>
        <a:bodyPr/>
        <a:lstStyle/>
        <a:p>
          <a:endParaRPr lang="en-IN"/>
        </a:p>
      </dgm:t>
    </dgm:pt>
    <dgm:pt modelId="{477DF5E4-52D2-45FD-9180-2412BF5DF358}" type="sibTrans" cxnId="{CDCCC84D-9404-454E-B6C5-510B32CAA187}">
      <dgm:prSet/>
      <dgm:spPr/>
      <dgm:t>
        <a:bodyPr/>
        <a:lstStyle/>
        <a:p>
          <a:endParaRPr lang="en-IN"/>
        </a:p>
      </dgm:t>
    </dgm:pt>
    <dgm:pt modelId="{C4284B2E-2489-43B1-8850-55C185E07500}">
      <dgm:prSet phldrT="[Text]" custT="1"/>
      <dgm:spPr/>
      <dgm:t>
        <a:bodyPr/>
        <a:lstStyle/>
        <a:p>
          <a:r>
            <a:rPr lang="en-IN" sz="1800" b="0" i="0"/>
            <a:t>The debt to equity ratio has increased from 0.84x in Mar-2019 to 3.08x in Mar-2023. </a:t>
          </a:r>
          <a:endParaRPr lang="en-IN" sz="1800"/>
        </a:p>
      </dgm:t>
    </dgm:pt>
    <dgm:pt modelId="{6F00998C-65E0-4719-A45F-9D6D67780DA2}" type="parTrans" cxnId="{C054E884-FAF5-4B01-B39F-A8B7F5D20353}">
      <dgm:prSet/>
      <dgm:spPr/>
      <dgm:t>
        <a:bodyPr/>
        <a:lstStyle/>
        <a:p>
          <a:endParaRPr lang="en-IN"/>
        </a:p>
      </dgm:t>
    </dgm:pt>
    <dgm:pt modelId="{82B60532-7695-47DE-8549-6AA57A949967}" type="sibTrans" cxnId="{C054E884-FAF5-4B01-B39F-A8B7F5D20353}">
      <dgm:prSet/>
      <dgm:spPr/>
      <dgm:t>
        <a:bodyPr/>
        <a:lstStyle/>
        <a:p>
          <a:endParaRPr lang="en-IN"/>
        </a:p>
      </dgm:t>
    </dgm:pt>
    <dgm:pt modelId="{A923158B-42B2-4977-8026-7A6EAAD150DD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1" i="0"/>
            <a:t>Revenue</a:t>
          </a:r>
          <a:endParaRPr lang="en-IN"/>
        </a:p>
      </dgm:t>
    </dgm:pt>
    <dgm:pt modelId="{D93B9754-B4C0-4F13-B51A-C5798D833FE0}" type="parTrans" cxnId="{ADEBD380-12C9-4787-8B08-3EF361D7D1A1}">
      <dgm:prSet/>
      <dgm:spPr/>
      <dgm:t>
        <a:bodyPr/>
        <a:lstStyle/>
        <a:p>
          <a:endParaRPr lang="en-IN"/>
        </a:p>
      </dgm:t>
    </dgm:pt>
    <dgm:pt modelId="{AC29A9D9-F8C8-45BC-A1C2-2409BC0A67E8}" type="sibTrans" cxnId="{ADEBD380-12C9-4787-8B08-3EF361D7D1A1}">
      <dgm:prSet/>
      <dgm:spPr/>
      <dgm:t>
        <a:bodyPr/>
        <a:lstStyle/>
        <a:p>
          <a:endParaRPr lang="en-IN"/>
        </a:p>
      </dgm:t>
    </dgm:pt>
    <dgm:pt modelId="{48BF26BC-0F9E-4775-BB90-4A0EB0F9FD8E}">
      <dgm:prSet phldrT="[Text]" custT="1"/>
      <dgm:spPr/>
      <dgm:t>
        <a:bodyPr/>
        <a:lstStyle/>
        <a:p>
          <a:r>
            <a:rPr lang="en-IN" sz="1800" b="0" i="0"/>
            <a:t>Tata Motors' revenue has grown steadily over the past 5 years, from ₹301,938 Cr in Mar-2019 to ₹345,967 Cr in Mar-2023</a:t>
          </a:r>
          <a:endParaRPr lang="en-IN" sz="1800"/>
        </a:p>
      </dgm:t>
    </dgm:pt>
    <dgm:pt modelId="{32521A88-2CD6-4265-8B9A-10CC5DFBA880}" type="parTrans" cxnId="{0D96BDE8-0AF3-44CE-9BB1-89796450E8BC}">
      <dgm:prSet/>
      <dgm:spPr/>
      <dgm:t>
        <a:bodyPr/>
        <a:lstStyle/>
        <a:p>
          <a:endParaRPr lang="en-IN"/>
        </a:p>
      </dgm:t>
    </dgm:pt>
    <dgm:pt modelId="{50E5CF5B-5922-4A06-92CB-580AB95DD5E4}" type="sibTrans" cxnId="{0D96BDE8-0AF3-44CE-9BB1-89796450E8BC}">
      <dgm:prSet/>
      <dgm:spPr/>
      <dgm:t>
        <a:bodyPr/>
        <a:lstStyle/>
        <a:p>
          <a:endParaRPr lang="en-IN"/>
        </a:p>
      </dgm:t>
    </dgm:pt>
    <dgm:pt modelId="{0E2B0E4D-0A68-41BD-9BC5-38FBA585C619}">
      <dgm:prSet phldrT="[Text]" custT="1"/>
      <dgm:spPr/>
      <dgm:t>
        <a:bodyPr/>
        <a:lstStyle/>
        <a:p>
          <a:r>
            <a:rPr lang="en-IN" sz="1800" b="0" i="0"/>
            <a:t>Revenue declined in Mar-2020 and Mar-2021 </a:t>
          </a:r>
          <a:endParaRPr lang="en-IN" sz="1800"/>
        </a:p>
      </dgm:t>
    </dgm:pt>
    <dgm:pt modelId="{477D3163-1E6A-4DBD-9DBC-23180BEC81BD}" type="parTrans" cxnId="{D2B1A14E-6F4B-4C23-B133-A776C29B66C0}">
      <dgm:prSet/>
      <dgm:spPr/>
      <dgm:t>
        <a:bodyPr/>
        <a:lstStyle/>
        <a:p>
          <a:endParaRPr lang="en-IN"/>
        </a:p>
      </dgm:t>
    </dgm:pt>
    <dgm:pt modelId="{29E40B1F-6C65-4D92-8CA2-09A51F156920}" type="sibTrans" cxnId="{D2B1A14E-6F4B-4C23-B133-A776C29B66C0}">
      <dgm:prSet/>
      <dgm:spPr/>
      <dgm:t>
        <a:bodyPr/>
        <a:lstStyle/>
        <a:p>
          <a:endParaRPr lang="en-IN"/>
        </a:p>
      </dgm:t>
    </dgm:pt>
    <dgm:pt modelId="{99CC6FF6-9566-4B72-82C5-55A13F8E7ADB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1" i="0"/>
            <a:t>Profitability</a:t>
          </a:r>
          <a:endParaRPr lang="en-IN"/>
        </a:p>
      </dgm:t>
    </dgm:pt>
    <dgm:pt modelId="{B7D76548-D973-4277-9D43-F07081821AD4}" type="parTrans" cxnId="{1C67AB29-9FF0-43A4-8238-9F6230683707}">
      <dgm:prSet/>
      <dgm:spPr/>
      <dgm:t>
        <a:bodyPr/>
        <a:lstStyle/>
        <a:p>
          <a:endParaRPr lang="en-IN"/>
        </a:p>
      </dgm:t>
    </dgm:pt>
    <dgm:pt modelId="{55E3EAC7-0193-46BB-B06D-54945F62EE62}" type="sibTrans" cxnId="{1C67AB29-9FF0-43A4-8238-9F6230683707}">
      <dgm:prSet/>
      <dgm:spPr/>
      <dgm:t>
        <a:bodyPr/>
        <a:lstStyle/>
        <a:p>
          <a:endParaRPr lang="en-IN"/>
        </a:p>
      </dgm:t>
    </dgm:pt>
    <dgm:pt modelId="{38E38B0C-251A-4635-BB33-BB0E4D4BCF2A}">
      <dgm:prSet phldrT="[Text]" custT="1"/>
      <dgm:spPr/>
      <dgm:t>
        <a:bodyPr/>
        <a:lstStyle/>
        <a:p>
          <a:r>
            <a:rPr lang="en-IN" sz="2000" b="0" i="0"/>
            <a:t>A net profit margin of -9.55% in Mar-2019 and 0.70% in Mar-2023</a:t>
          </a:r>
          <a:endParaRPr lang="en-IN" sz="2000"/>
        </a:p>
      </dgm:t>
    </dgm:pt>
    <dgm:pt modelId="{D6656335-12CF-4348-8B02-791B76F01E18}" type="parTrans" cxnId="{A6016CD3-15AB-439C-9785-CF867897AFB3}">
      <dgm:prSet/>
      <dgm:spPr/>
      <dgm:t>
        <a:bodyPr/>
        <a:lstStyle/>
        <a:p>
          <a:endParaRPr lang="en-IN"/>
        </a:p>
      </dgm:t>
    </dgm:pt>
    <dgm:pt modelId="{E6FBF7E6-DE46-47DC-B4D8-BAA47EE3451A}" type="sibTrans" cxnId="{A6016CD3-15AB-439C-9785-CF867897AFB3}">
      <dgm:prSet/>
      <dgm:spPr/>
      <dgm:t>
        <a:bodyPr/>
        <a:lstStyle/>
        <a:p>
          <a:endParaRPr lang="en-IN"/>
        </a:p>
      </dgm:t>
    </dgm:pt>
    <dgm:pt modelId="{93D303AB-98E5-47B0-A136-75E14F9A449F}" type="pres">
      <dgm:prSet presAssocID="{4B32045E-7CFF-47EA-A0D3-69118626B01C}" presName="Name0" presStyleCnt="0">
        <dgm:presLayoutVars>
          <dgm:dir/>
          <dgm:animLvl val="lvl"/>
          <dgm:resizeHandles val="exact"/>
        </dgm:presLayoutVars>
      </dgm:prSet>
      <dgm:spPr/>
    </dgm:pt>
    <dgm:pt modelId="{547774C1-B267-404A-91F1-3CEB02045EAB}" type="pres">
      <dgm:prSet presAssocID="{34CAA342-E7DC-43A1-8C5C-ED243432E532}" presName="linNode" presStyleCnt="0"/>
      <dgm:spPr/>
    </dgm:pt>
    <dgm:pt modelId="{1CB30121-0B95-48B1-A1B5-D4AF89927B5C}" type="pres">
      <dgm:prSet presAssocID="{34CAA342-E7DC-43A1-8C5C-ED243432E532}" presName="parentText" presStyleLbl="node1" presStyleIdx="0" presStyleCnt="3" custScaleX="86489" custLinFactNeighborX="-2010">
        <dgm:presLayoutVars>
          <dgm:chMax val="1"/>
          <dgm:bulletEnabled val="1"/>
        </dgm:presLayoutVars>
      </dgm:prSet>
      <dgm:spPr/>
    </dgm:pt>
    <dgm:pt modelId="{A3B7674D-DA03-41BD-806F-32FC92CBEFFE}" type="pres">
      <dgm:prSet presAssocID="{34CAA342-E7DC-43A1-8C5C-ED243432E532}" presName="descendantText" presStyleLbl="alignAccFollowNode1" presStyleIdx="0" presStyleCnt="3" custScaleX="101468" custLinFactNeighborX="-235" custLinFactNeighborY="-1786">
        <dgm:presLayoutVars>
          <dgm:bulletEnabled val="1"/>
        </dgm:presLayoutVars>
      </dgm:prSet>
      <dgm:spPr/>
    </dgm:pt>
    <dgm:pt modelId="{B9B8F53E-1504-437F-AED7-EBAF6B686B30}" type="pres">
      <dgm:prSet presAssocID="{477DF5E4-52D2-45FD-9180-2412BF5DF358}" presName="sp" presStyleCnt="0"/>
      <dgm:spPr/>
    </dgm:pt>
    <dgm:pt modelId="{30D66058-8C01-4D67-B77A-371873AB259E}" type="pres">
      <dgm:prSet presAssocID="{A923158B-42B2-4977-8026-7A6EAAD150DD}" presName="linNode" presStyleCnt="0"/>
      <dgm:spPr/>
    </dgm:pt>
    <dgm:pt modelId="{67F0C77A-002D-4F0A-A7D9-D53AD7C7AAE9}" type="pres">
      <dgm:prSet presAssocID="{A923158B-42B2-4977-8026-7A6EAAD150DD}" presName="parentText" presStyleLbl="node1" presStyleIdx="1" presStyleCnt="3" custScaleX="82299">
        <dgm:presLayoutVars>
          <dgm:chMax val="1"/>
          <dgm:bulletEnabled val="1"/>
        </dgm:presLayoutVars>
      </dgm:prSet>
      <dgm:spPr/>
    </dgm:pt>
    <dgm:pt modelId="{45CB8141-5BDE-4E60-A6D0-24B1FB8D4A5C}" type="pres">
      <dgm:prSet presAssocID="{A923158B-42B2-4977-8026-7A6EAAD150DD}" presName="descendantText" presStyleLbl="alignAccFollowNode1" presStyleIdx="1" presStyleCnt="3" custScaleX="111438" custScaleY="119554">
        <dgm:presLayoutVars>
          <dgm:bulletEnabled val="1"/>
        </dgm:presLayoutVars>
      </dgm:prSet>
      <dgm:spPr/>
    </dgm:pt>
    <dgm:pt modelId="{0963BF38-8586-4CAA-BEE2-D7517A8EE1D0}" type="pres">
      <dgm:prSet presAssocID="{AC29A9D9-F8C8-45BC-A1C2-2409BC0A67E8}" presName="sp" presStyleCnt="0"/>
      <dgm:spPr/>
    </dgm:pt>
    <dgm:pt modelId="{56E5FD8E-8C5B-45D5-B2B2-BBF42EB57DAD}" type="pres">
      <dgm:prSet presAssocID="{99CC6FF6-9566-4B72-82C5-55A13F8E7ADB}" presName="linNode" presStyleCnt="0"/>
      <dgm:spPr/>
    </dgm:pt>
    <dgm:pt modelId="{D05B1A00-DDC8-4DD2-A475-EE8B267C65E8}" type="pres">
      <dgm:prSet presAssocID="{99CC6FF6-9566-4B72-82C5-55A13F8E7ADB}" presName="parentText" presStyleLbl="node1" presStyleIdx="2" presStyleCnt="3" custScaleX="81637">
        <dgm:presLayoutVars>
          <dgm:chMax val="1"/>
          <dgm:bulletEnabled val="1"/>
        </dgm:presLayoutVars>
      </dgm:prSet>
      <dgm:spPr/>
    </dgm:pt>
    <dgm:pt modelId="{8A3896B7-DC5E-4D49-881C-6E1D174AC6CA}" type="pres">
      <dgm:prSet presAssocID="{99CC6FF6-9566-4B72-82C5-55A13F8E7ADB}" presName="descendantText" presStyleLbl="alignAccFollowNode1" presStyleIdx="2" presStyleCnt="3" custScaleX="105194">
        <dgm:presLayoutVars>
          <dgm:bulletEnabled val="1"/>
        </dgm:presLayoutVars>
      </dgm:prSet>
      <dgm:spPr/>
    </dgm:pt>
  </dgm:ptLst>
  <dgm:cxnLst>
    <dgm:cxn modelId="{611B1505-D3F8-48E3-AD76-0F675CC21158}" type="presOf" srcId="{C4284B2E-2489-43B1-8850-55C185E07500}" destId="{A3B7674D-DA03-41BD-806F-32FC92CBEFFE}" srcOrd="0" destOrd="0" presId="urn:microsoft.com/office/officeart/2005/8/layout/vList5"/>
    <dgm:cxn modelId="{71C6B508-972C-4859-A824-056B42321C34}" type="presOf" srcId="{4B32045E-7CFF-47EA-A0D3-69118626B01C}" destId="{93D303AB-98E5-47B0-A136-75E14F9A449F}" srcOrd="0" destOrd="0" presId="urn:microsoft.com/office/officeart/2005/8/layout/vList5"/>
    <dgm:cxn modelId="{CBBBBA14-71AB-45BE-93C7-25506B6304EC}" type="presOf" srcId="{38E38B0C-251A-4635-BB33-BB0E4D4BCF2A}" destId="{8A3896B7-DC5E-4D49-881C-6E1D174AC6CA}" srcOrd="0" destOrd="0" presId="urn:microsoft.com/office/officeart/2005/8/layout/vList5"/>
    <dgm:cxn modelId="{1C67AB29-9FF0-43A4-8238-9F6230683707}" srcId="{4B32045E-7CFF-47EA-A0D3-69118626B01C}" destId="{99CC6FF6-9566-4B72-82C5-55A13F8E7ADB}" srcOrd="2" destOrd="0" parTransId="{B7D76548-D973-4277-9D43-F07081821AD4}" sibTransId="{55E3EAC7-0193-46BB-B06D-54945F62EE62}"/>
    <dgm:cxn modelId="{4DDB5C3D-197E-4707-82E3-986131B59A29}" type="presOf" srcId="{A923158B-42B2-4977-8026-7A6EAAD150DD}" destId="{67F0C77A-002D-4F0A-A7D9-D53AD7C7AAE9}" srcOrd="0" destOrd="0" presId="urn:microsoft.com/office/officeart/2005/8/layout/vList5"/>
    <dgm:cxn modelId="{A65FC443-A4D6-41FF-A9C0-C6125FFD1FF7}" type="presOf" srcId="{34CAA342-E7DC-43A1-8C5C-ED243432E532}" destId="{1CB30121-0B95-48B1-A1B5-D4AF89927B5C}" srcOrd="0" destOrd="0" presId="urn:microsoft.com/office/officeart/2005/8/layout/vList5"/>
    <dgm:cxn modelId="{986C9A66-7DBB-498A-9E9F-A505AFF30147}" type="presOf" srcId="{0E2B0E4D-0A68-41BD-9BC5-38FBA585C619}" destId="{45CB8141-5BDE-4E60-A6D0-24B1FB8D4A5C}" srcOrd="0" destOrd="1" presId="urn:microsoft.com/office/officeart/2005/8/layout/vList5"/>
    <dgm:cxn modelId="{CDCCC84D-9404-454E-B6C5-510B32CAA187}" srcId="{4B32045E-7CFF-47EA-A0D3-69118626B01C}" destId="{34CAA342-E7DC-43A1-8C5C-ED243432E532}" srcOrd="0" destOrd="0" parTransId="{7D085CAE-9C46-4F5D-8357-052601583FD6}" sibTransId="{477DF5E4-52D2-45FD-9180-2412BF5DF358}"/>
    <dgm:cxn modelId="{D2B1A14E-6F4B-4C23-B133-A776C29B66C0}" srcId="{A923158B-42B2-4977-8026-7A6EAAD150DD}" destId="{0E2B0E4D-0A68-41BD-9BC5-38FBA585C619}" srcOrd="1" destOrd="0" parTransId="{477D3163-1E6A-4DBD-9DBC-23180BEC81BD}" sibTransId="{29E40B1F-6C65-4D92-8CA2-09A51F156920}"/>
    <dgm:cxn modelId="{ADEBD380-12C9-4787-8B08-3EF361D7D1A1}" srcId="{4B32045E-7CFF-47EA-A0D3-69118626B01C}" destId="{A923158B-42B2-4977-8026-7A6EAAD150DD}" srcOrd="1" destOrd="0" parTransId="{D93B9754-B4C0-4F13-B51A-C5798D833FE0}" sibTransId="{AC29A9D9-F8C8-45BC-A1C2-2409BC0A67E8}"/>
    <dgm:cxn modelId="{C054E884-FAF5-4B01-B39F-A8B7F5D20353}" srcId="{34CAA342-E7DC-43A1-8C5C-ED243432E532}" destId="{C4284B2E-2489-43B1-8850-55C185E07500}" srcOrd="0" destOrd="0" parTransId="{6F00998C-65E0-4719-A45F-9D6D67780DA2}" sibTransId="{82B60532-7695-47DE-8549-6AA57A949967}"/>
    <dgm:cxn modelId="{AD35379A-4120-496A-A7B2-95BF44C00F12}" type="presOf" srcId="{48BF26BC-0F9E-4775-BB90-4A0EB0F9FD8E}" destId="{45CB8141-5BDE-4E60-A6D0-24B1FB8D4A5C}" srcOrd="0" destOrd="0" presId="urn:microsoft.com/office/officeart/2005/8/layout/vList5"/>
    <dgm:cxn modelId="{9969D0A4-5428-4F64-A752-2F05F3C132E8}" type="presOf" srcId="{99CC6FF6-9566-4B72-82C5-55A13F8E7ADB}" destId="{D05B1A00-DDC8-4DD2-A475-EE8B267C65E8}" srcOrd="0" destOrd="0" presId="urn:microsoft.com/office/officeart/2005/8/layout/vList5"/>
    <dgm:cxn modelId="{A6016CD3-15AB-439C-9785-CF867897AFB3}" srcId="{99CC6FF6-9566-4B72-82C5-55A13F8E7ADB}" destId="{38E38B0C-251A-4635-BB33-BB0E4D4BCF2A}" srcOrd="0" destOrd="0" parTransId="{D6656335-12CF-4348-8B02-791B76F01E18}" sibTransId="{E6FBF7E6-DE46-47DC-B4D8-BAA47EE3451A}"/>
    <dgm:cxn modelId="{0D96BDE8-0AF3-44CE-9BB1-89796450E8BC}" srcId="{A923158B-42B2-4977-8026-7A6EAAD150DD}" destId="{48BF26BC-0F9E-4775-BB90-4A0EB0F9FD8E}" srcOrd="0" destOrd="0" parTransId="{32521A88-2CD6-4265-8B9A-10CC5DFBA880}" sibTransId="{50E5CF5B-5922-4A06-92CB-580AB95DD5E4}"/>
    <dgm:cxn modelId="{4B78E117-AB5B-42A6-84D1-E44F50BFAF50}" type="presParOf" srcId="{93D303AB-98E5-47B0-A136-75E14F9A449F}" destId="{547774C1-B267-404A-91F1-3CEB02045EAB}" srcOrd="0" destOrd="0" presId="urn:microsoft.com/office/officeart/2005/8/layout/vList5"/>
    <dgm:cxn modelId="{A257E82D-FF72-4DE3-9F40-ABA4832AE5CD}" type="presParOf" srcId="{547774C1-B267-404A-91F1-3CEB02045EAB}" destId="{1CB30121-0B95-48B1-A1B5-D4AF89927B5C}" srcOrd="0" destOrd="0" presId="urn:microsoft.com/office/officeart/2005/8/layout/vList5"/>
    <dgm:cxn modelId="{448903B6-66F5-4D06-B630-22EB6DE17D15}" type="presParOf" srcId="{547774C1-B267-404A-91F1-3CEB02045EAB}" destId="{A3B7674D-DA03-41BD-806F-32FC92CBEFFE}" srcOrd="1" destOrd="0" presId="urn:microsoft.com/office/officeart/2005/8/layout/vList5"/>
    <dgm:cxn modelId="{FD4438AB-F37A-4F5F-9709-6A27F7B01860}" type="presParOf" srcId="{93D303AB-98E5-47B0-A136-75E14F9A449F}" destId="{B9B8F53E-1504-437F-AED7-EBAF6B686B30}" srcOrd="1" destOrd="0" presId="urn:microsoft.com/office/officeart/2005/8/layout/vList5"/>
    <dgm:cxn modelId="{39040D79-643F-4C21-ADA1-2A537E78DFEC}" type="presParOf" srcId="{93D303AB-98E5-47B0-A136-75E14F9A449F}" destId="{30D66058-8C01-4D67-B77A-371873AB259E}" srcOrd="2" destOrd="0" presId="urn:microsoft.com/office/officeart/2005/8/layout/vList5"/>
    <dgm:cxn modelId="{029D2A60-1C4B-4B97-95D1-028FA027EEAC}" type="presParOf" srcId="{30D66058-8C01-4D67-B77A-371873AB259E}" destId="{67F0C77A-002D-4F0A-A7D9-D53AD7C7AAE9}" srcOrd="0" destOrd="0" presId="urn:microsoft.com/office/officeart/2005/8/layout/vList5"/>
    <dgm:cxn modelId="{C9610B22-1FD1-4215-A58B-D7487E70A2B2}" type="presParOf" srcId="{30D66058-8C01-4D67-B77A-371873AB259E}" destId="{45CB8141-5BDE-4E60-A6D0-24B1FB8D4A5C}" srcOrd="1" destOrd="0" presId="urn:microsoft.com/office/officeart/2005/8/layout/vList5"/>
    <dgm:cxn modelId="{201D45F4-9520-4E29-B5A6-B4B2BCB88830}" type="presParOf" srcId="{93D303AB-98E5-47B0-A136-75E14F9A449F}" destId="{0963BF38-8586-4CAA-BEE2-D7517A8EE1D0}" srcOrd="3" destOrd="0" presId="urn:microsoft.com/office/officeart/2005/8/layout/vList5"/>
    <dgm:cxn modelId="{DCE2B8FF-5929-43DB-9938-DF6D2249E3B6}" type="presParOf" srcId="{93D303AB-98E5-47B0-A136-75E14F9A449F}" destId="{56E5FD8E-8C5B-45D5-B2B2-BBF42EB57DAD}" srcOrd="4" destOrd="0" presId="urn:microsoft.com/office/officeart/2005/8/layout/vList5"/>
    <dgm:cxn modelId="{23C64BF5-C343-49B5-9D3D-E582D511710C}" type="presParOf" srcId="{56E5FD8E-8C5B-45D5-B2B2-BBF42EB57DAD}" destId="{D05B1A00-DDC8-4DD2-A475-EE8B267C65E8}" srcOrd="0" destOrd="0" presId="urn:microsoft.com/office/officeart/2005/8/layout/vList5"/>
    <dgm:cxn modelId="{1E24E4A5-2995-43F6-8E72-DCC1AE054C6E}" type="presParOf" srcId="{56E5FD8E-8C5B-45D5-B2B2-BBF42EB57DAD}" destId="{8A3896B7-DC5E-4D49-881C-6E1D174AC6CA}" srcOrd="1" destOrd="0" presId="urn:microsoft.com/office/officeart/2005/8/layout/vList5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F7259715-CA89-498F-A100-00763A1BA5BB}" type="doc">
      <dgm:prSet loTypeId="urn:microsoft.com/office/officeart/2005/8/layout/vList5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BE5FE193-93D9-463D-93DE-E4902264CE43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1" i="0"/>
            <a:t>P/E Ratio:</a:t>
          </a:r>
          <a:endParaRPr lang="en-IN"/>
        </a:p>
      </dgm:t>
    </dgm:pt>
    <dgm:pt modelId="{29965C79-B3EE-4D14-BD30-76161C0992F8}" type="parTrans" cxnId="{C1191D9A-D690-4F78-806E-64C22315D608}">
      <dgm:prSet/>
      <dgm:spPr/>
      <dgm:t>
        <a:bodyPr/>
        <a:lstStyle/>
        <a:p>
          <a:endParaRPr lang="en-IN"/>
        </a:p>
      </dgm:t>
    </dgm:pt>
    <dgm:pt modelId="{C07942E1-9808-4EAE-A3C5-F9D63874D27B}" type="sibTrans" cxnId="{C1191D9A-D690-4F78-806E-64C22315D608}">
      <dgm:prSet/>
      <dgm:spPr/>
      <dgm:t>
        <a:bodyPr/>
        <a:lstStyle/>
        <a:p>
          <a:endParaRPr lang="en-IN"/>
        </a:p>
      </dgm:t>
    </dgm:pt>
    <dgm:pt modelId="{2E72C700-A41A-40AE-8535-6DBFEB0731FE}">
      <dgm:prSet phldrT="[Text]"/>
      <dgm:spPr/>
      <dgm:t>
        <a:bodyPr/>
        <a:lstStyle/>
        <a:p>
          <a:r>
            <a:rPr lang="en-IN" b="0" i="0"/>
            <a:t>Tata Motors' P/E ratio is currently 57.89x, which is significantly higher than the industry average.</a:t>
          </a:r>
          <a:endParaRPr lang="en-IN"/>
        </a:p>
      </dgm:t>
    </dgm:pt>
    <dgm:pt modelId="{93C57734-5CD7-43C7-B534-BAB35259DF87}" type="parTrans" cxnId="{5A227C7D-FD1F-497A-8411-890A5F88CCCB}">
      <dgm:prSet/>
      <dgm:spPr/>
      <dgm:t>
        <a:bodyPr/>
        <a:lstStyle/>
        <a:p>
          <a:endParaRPr lang="en-IN"/>
        </a:p>
      </dgm:t>
    </dgm:pt>
    <dgm:pt modelId="{406C8524-E664-4DB1-B894-ED1DEAC15139}" type="sibTrans" cxnId="{5A227C7D-FD1F-497A-8411-890A5F88CCCB}">
      <dgm:prSet/>
      <dgm:spPr/>
      <dgm:t>
        <a:bodyPr/>
        <a:lstStyle/>
        <a:p>
          <a:endParaRPr lang="en-IN"/>
        </a:p>
      </dgm:t>
    </dgm:pt>
    <dgm:pt modelId="{D9E44F01-FBE3-4B7A-AB56-C7BBE2E51135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1" i="0"/>
            <a:t>EV/EBITDA</a:t>
          </a:r>
          <a:endParaRPr lang="en-IN"/>
        </a:p>
      </dgm:t>
    </dgm:pt>
    <dgm:pt modelId="{B99FA0B7-B369-4756-A978-63015C82B63E}" type="parTrans" cxnId="{F34AC651-15F0-470D-9191-DCBE4EE5ED2E}">
      <dgm:prSet/>
      <dgm:spPr/>
      <dgm:t>
        <a:bodyPr/>
        <a:lstStyle/>
        <a:p>
          <a:endParaRPr lang="en-IN"/>
        </a:p>
      </dgm:t>
    </dgm:pt>
    <dgm:pt modelId="{DEB2FD03-C3D8-4E22-82DE-8D9E71D1DFDF}" type="sibTrans" cxnId="{F34AC651-15F0-470D-9191-DCBE4EE5ED2E}">
      <dgm:prSet/>
      <dgm:spPr/>
      <dgm:t>
        <a:bodyPr/>
        <a:lstStyle/>
        <a:p>
          <a:endParaRPr lang="en-IN"/>
        </a:p>
      </dgm:t>
    </dgm:pt>
    <dgm:pt modelId="{84CA2221-6CA4-4261-9F83-D0F4C161A8A5}">
      <dgm:prSet phldrT="[Text]"/>
      <dgm:spPr/>
      <dgm:t>
        <a:bodyPr/>
        <a:lstStyle/>
        <a:p>
          <a:r>
            <a:rPr lang="en-IN" b="0" i="0"/>
            <a:t>The company's EV/EBITDA ratio is 7.44x, which is in line with the industry average.</a:t>
          </a:r>
          <a:endParaRPr lang="en-IN"/>
        </a:p>
      </dgm:t>
    </dgm:pt>
    <dgm:pt modelId="{A469285B-80CB-4773-AF4D-E257E1CA588C}" type="parTrans" cxnId="{613361D9-B4F4-40A8-99A9-DD4BB22D5541}">
      <dgm:prSet/>
      <dgm:spPr/>
      <dgm:t>
        <a:bodyPr/>
        <a:lstStyle/>
        <a:p>
          <a:endParaRPr lang="en-IN"/>
        </a:p>
      </dgm:t>
    </dgm:pt>
    <dgm:pt modelId="{D62526C1-178C-4EF6-9953-740E133A7343}" type="sibTrans" cxnId="{613361D9-B4F4-40A8-99A9-DD4BB22D5541}">
      <dgm:prSet/>
      <dgm:spPr/>
      <dgm:t>
        <a:bodyPr/>
        <a:lstStyle/>
        <a:p>
          <a:endParaRPr lang="en-IN"/>
        </a:p>
      </dgm:t>
    </dgm:pt>
    <dgm:pt modelId="{F8EAFFC9-4868-44D6-9236-1DBE25BBB291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1" i="0"/>
            <a:t>Return on Equity (ROE)</a:t>
          </a:r>
          <a:endParaRPr lang="en-IN"/>
        </a:p>
      </dgm:t>
    </dgm:pt>
    <dgm:pt modelId="{68185E80-DD13-41B9-8211-856937813F54}" type="parTrans" cxnId="{BC347832-B04F-4100-8D5B-F575087A65E2}">
      <dgm:prSet/>
      <dgm:spPr/>
      <dgm:t>
        <a:bodyPr/>
        <a:lstStyle/>
        <a:p>
          <a:endParaRPr lang="en-IN"/>
        </a:p>
      </dgm:t>
    </dgm:pt>
    <dgm:pt modelId="{A8D5AFB5-50C8-4A27-85FA-67CB41E5CCBE}" type="sibTrans" cxnId="{BC347832-B04F-4100-8D5B-F575087A65E2}">
      <dgm:prSet/>
      <dgm:spPr/>
      <dgm:t>
        <a:bodyPr/>
        <a:lstStyle/>
        <a:p>
          <a:endParaRPr lang="en-IN"/>
        </a:p>
      </dgm:t>
    </dgm:pt>
    <dgm:pt modelId="{49E5E282-BADA-4C11-B716-67B086AA4B79}">
      <dgm:prSet phldrT="[Text]"/>
      <dgm:spPr/>
      <dgm:t>
        <a:bodyPr/>
        <a:lstStyle/>
        <a:p>
          <a:r>
            <a:rPr lang="en-IN" b="0" i="0"/>
            <a:t>The ROE is currently at 5.33%, which is still low </a:t>
          </a:r>
          <a:endParaRPr lang="en-IN"/>
        </a:p>
      </dgm:t>
    </dgm:pt>
    <dgm:pt modelId="{91DF60D2-BE31-40ED-B188-2F5C58275AF8}" type="parTrans" cxnId="{853F7DEB-3305-4623-AB8F-5358E0C3FB73}">
      <dgm:prSet/>
      <dgm:spPr/>
      <dgm:t>
        <a:bodyPr/>
        <a:lstStyle/>
        <a:p>
          <a:endParaRPr lang="en-IN"/>
        </a:p>
      </dgm:t>
    </dgm:pt>
    <dgm:pt modelId="{55BB6859-EF96-4A19-84F4-7C9037BD4CC8}" type="sibTrans" cxnId="{853F7DEB-3305-4623-AB8F-5358E0C3FB73}">
      <dgm:prSet/>
      <dgm:spPr/>
      <dgm:t>
        <a:bodyPr/>
        <a:lstStyle/>
        <a:p>
          <a:endParaRPr lang="en-IN"/>
        </a:p>
      </dgm:t>
    </dgm:pt>
    <dgm:pt modelId="{3E37AC1E-5CBC-4A88-A10D-E2FF9B325B5A}" type="pres">
      <dgm:prSet presAssocID="{F7259715-CA89-498F-A100-00763A1BA5BB}" presName="Name0" presStyleCnt="0">
        <dgm:presLayoutVars>
          <dgm:dir/>
          <dgm:animLvl val="lvl"/>
          <dgm:resizeHandles val="exact"/>
        </dgm:presLayoutVars>
      </dgm:prSet>
      <dgm:spPr/>
    </dgm:pt>
    <dgm:pt modelId="{A6A11583-9238-4FC5-9046-479B4428C390}" type="pres">
      <dgm:prSet presAssocID="{BE5FE193-93D9-463D-93DE-E4902264CE43}" presName="linNode" presStyleCnt="0"/>
      <dgm:spPr/>
    </dgm:pt>
    <dgm:pt modelId="{546E359C-BDDA-4B54-9627-4D386194B89E}" type="pres">
      <dgm:prSet presAssocID="{BE5FE193-93D9-463D-93DE-E4902264CE43}" presName="parentText" presStyleLbl="node1" presStyleIdx="0" presStyleCnt="3" custScaleX="76471" custLinFactNeighborX="368">
        <dgm:presLayoutVars>
          <dgm:chMax val="1"/>
          <dgm:bulletEnabled val="1"/>
        </dgm:presLayoutVars>
      </dgm:prSet>
      <dgm:spPr/>
    </dgm:pt>
    <dgm:pt modelId="{0DA51776-53C9-4B28-9E29-73F7F48CBA9D}" type="pres">
      <dgm:prSet presAssocID="{BE5FE193-93D9-463D-93DE-E4902264CE43}" presName="descendantText" presStyleLbl="alignAccFollowNode1" presStyleIdx="0" presStyleCnt="3" custLinFactNeighborX="-1052" custLinFactNeighborY="7346">
        <dgm:presLayoutVars>
          <dgm:bulletEnabled val="1"/>
        </dgm:presLayoutVars>
      </dgm:prSet>
      <dgm:spPr/>
    </dgm:pt>
    <dgm:pt modelId="{C6D146A9-E063-4186-B8CA-98C4E9136854}" type="pres">
      <dgm:prSet presAssocID="{C07942E1-9808-4EAE-A3C5-F9D63874D27B}" presName="sp" presStyleCnt="0"/>
      <dgm:spPr/>
    </dgm:pt>
    <dgm:pt modelId="{D51F1F9E-3D77-45FF-89BF-70CBA152E798}" type="pres">
      <dgm:prSet presAssocID="{D9E44F01-FBE3-4B7A-AB56-C7BBE2E51135}" presName="linNode" presStyleCnt="0"/>
      <dgm:spPr/>
    </dgm:pt>
    <dgm:pt modelId="{A57E3F30-7DE9-4B87-B471-19A87B5F2741}" type="pres">
      <dgm:prSet presAssocID="{D9E44F01-FBE3-4B7A-AB56-C7BBE2E51135}" presName="parentText" presStyleLbl="node1" presStyleIdx="1" presStyleCnt="3" custScaleX="79085">
        <dgm:presLayoutVars>
          <dgm:chMax val="1"/>
          <dgm:bulletEnabled val="1"/>
        </dgm:presLayoutVars>
      </dgm:prSet>
      <dgm:spPr/>
    </dgm:pt>
    <dgm:pt modelId="{CEACCDC2-64D8-47C7-84FE-A0BDEE10B168}" type="pres">
      <dgm:prSet presAssocID="{D9E44F01-FBE3-4B7A-AB56-C7BBE2E51135}" presName="descendantText" presStyleLbl="alignAccFollowNode1" presStyleIdx="1" presStyleCnt="3">
        <dgm:presLayoutVars>
          <dgm:bulletEnabled val="1"/>
        </dgm:presLayoutVars>
      </dgm:prSet>
      <dgm:spPr/>
    </dgm:pt>
    <dgm:pt modelId="{C74C2072-6E13-4CD3-A99E-DBCC16E37DCA}" type="pres">
      <dgm:prSet presAssocID="{DEB2FD03-C3D8-4E22-82DE-8D9E71D1DFDF}" presName="sp" presStyleCnt="0"/>
      <dgm:spPr/>
    </dgm:pt>
    <dgm:pt modelId="{68E85CC4-664E-4DCF-8587-8794071331FC}" type="pres">
      <dgm:prSet presAssocID="{F8EAFFC9-4868-44D6-9236-1DBE25BBB291}" presName="linNode" presStyleCnt="0"/>
      <dgm:spPr/>
    </dgm:pt>
    <dgm:pt modelId="{2C948FAF-F5D3-4CB3-A9C7-39D7F482897E}" type="pres">
      <dgm:prSet presAssocID="{F8EAFFC9-4868-44D6-9236-1DBE25BBB291}" presName="parentText" presStyleLbl="node1" presStyleIdx="2" presStyleCnt="3" custScaleX="75873">
        <dgm:presLayoutVars>
          <dgm:chMax val="1"/>
          <dgm:bulletEnabled val="1"/>
        </dgm:presLayoutVars>
      </dgm:prSet>
      <dgm:spPr/>
    </dgm:pt>
    <dgm:pt modelId="{9F7F4DC3-3146-45E4-8010-8301B00CB85F}" type="pres">
      <dgm:prSet presAssocID="{F8EAFFC9-4868-44D6-9236-1DBE25BBB291}" presName="descendantText" presStyleLbl="alignAccFollowNode1" presStyleIdx="2" presStyleCnt="3" custScaleX="91176">
        <dgm:presLayoutVars>
          <dgm:bulletEnabled val="1"/>
        </dgm:presLayoutVars>
      </dgm:prSet>
      <dgm:spPr/>
    </dgm:pt>
  </dgm:ptLst>
  <dgm:cxnLst>
    <dgm:cxn modelId="{F0A49C14-7E6C-41BB-9556-E55E7E7737E2}" type="presOf" srcId="{BE5FE193-93D9-463D-93DE-E4902264CE43}" destId="{546E359C-BDDA-4B54-9627-4D386194B89E}" srcOrd="0" destOrd="0" presId="urn:microsoft.com/office/officeart/2005/8/layout/vList5"/>
    <dgm:cxn modelId="{5072FA2D-3EF3-4164-BB4D-028BCD2F9C20}" type="presOf" srcId="{49E5E282-BADA-4C11-B716-67B086AA4B79}" destId="{9F7F4DC3-3146-45E4-8010-8301B00CB85F}" srcOrd="0" destOrd="0" presId="urn:microsoft.com/office/officeart/2005/8/layout/vList5"/>
    <dgm:cxn modelId="{BC347832-B04F-4100-8D5B-F575087A65E2}" srcId="{F7259715-CA89-498F-A100-00763A1BA5BB}" destId="{F8EAFFC9-4868-44D6-9236-1DBE25BBB291}" srcOrd="2" destOrd="0" parTransId="{68185E80-DD13-41B9-8211-856937813F54}" sibTransId="{A8D5AFB5-50C8-4A27-85FA-67CB41E5CCBE}"/>
    <dgm:cxn modelId="{31EFD93B-814F-4FF1-80AA-4E05B8CC11EC}" type="presOf" srcId="{D9E44F01-FBE3-4B7A-AB56-C7BBE2E51135}" destId="{A57E3F30-7DE9-4B87-B471-19A87B5F2741}" srcOrd="0" destOrd="0" presId="urn:microsoft.com/office/officeart/2005/8/layout/vList5"/>
    <dgm:cxn modelId="{F34AC651-15F0-470D-9191-DCBE4EE5ED2E}" srcId="{F7259715-CA89-498F-A100-00763A1BA5BB}" destId="{D9E44F01-FBE3-4B7A-AB56-C7BBE2E51135}" srcOrd="1" destOrd="0" parTransId="{B99FA0B7-B369-4756-A978-63015C82B63E}" sibTransId="{DEB2FD03-C3D8-4E22-82DE-8D9E71D1DFDF}"/>
    <dgm:cxn modelId="{444B137B-1B3E-4137-B58D-8C32FED809A5}" type="presOf" srcId="{84CA2221-6CA4-4261-9F83-D0F4C161A8A5}" destId="{CEACCDC2-64D8-47C7-84FE-A0BDEE10B168}" srcOrd="0" destOrd="0" presId="urn:microsoft.com/office/officeart/2005/8/layout/vList5"/>
    <dgm:cxn modelId="{5A227C7D-FD1F-497A-8411-890A5F88CCCB}" srcId="{BE5FE193-93D9-463D-93DE-E4902264CE43}" destId="{2E72C700-A41A-40AE-8535-6DBFEB0731FE}" srcOrd="0" destOrd="0" parTransId="{93C57734-5CD7-43C7-B534-BAB35259DF87}" sibTransId="{406C8524-E664-4DB1-B894-ED1DEAC15139}"/>
    <dgm:cxn modelId="{D97FAF8F-FEAB-4909-888D-639065AE7C66}" type="presOf" srcId="{2E72C700-A41A-40AE-8535-6DBFEB0731FE}" destId="{0DA51776-53C9-4B28-9E29-73F7F48CBA9D}" srcOrd="0" destOrd="0" presId="urn:microsoft.com/office/officeart/2005/8/layout/vList5"/>
    <dgm:cxn modelId="{C1191D9A-D690-4F78-806E-64C22315D608}" srcId="{F7259715-CA89-498F-A100-00763A1BA5BB}" destId="{BE5FE193-93D9-463D-93DE-E4902264CE43}" srcOrd="0" destOrd="0" parTransId="{29965C79-B3EE-4D14-BD30-76161C0992F8}" sibTransId="{C07942E1-9808-4EAE-A3C5-F9D63874D27B}"/>
    <dgm:cxn modelId="{2EDEC29B-2FD4-4559-9F50-06812524E67D}" type="presOf" srcId="{F7259715-CA89-498F-A100-00763A1BA5BB}" destId="{3E37AC1E-5CBC-4A88-A10D-E2FF9B325B5A}" srcOrd="0" destOrd="0" presId="urn:microsoft.com/office/officeart/2005/8/layout/vList5"/>
    <dgm:cxn modelId="{BE2B2EC3-E7D3-4309-851F-1CC95C513347}" type="presOf" srcId="{F8EAFFC9-4868-44D6-9236-1DBE25BBB291}" destId="{2C948FAF-F5D3-4CB3-A9C7-39D7F482897E}" srcOrd="0" destOrd="0" presId="urn:microsoft.com/office/officeart/2005/8/layout/vList5"/>
    <dgm:cxn modelId="{613361D9-B4F4-40A8-99A9-DD4BB22D5541}" srcId="{D9E44F01-FBE3-4B7A-AB56-C7BBE2E51135}" destId="{84CA2221-6CA4-4261-9F83-D0F4C161A8A5}" srcOrd="0" destOrd="0" parTransId="{A469285B-80CB-4773-AF4D-E257E1CA588C}" sibTransId="{D62526C1-178C-4EF6-9953-740E133A7343}"/>
    <dgm:cxn modelId="{853F7DEB-3305-4623-AB8F-5358E0C3FB73}" srcId="{F8EAFFC9-4868-44D6-9236-1DBE25BBB291}" destId="{49E5E282-BADA-4C11-B716-67B086AA4B79}" srcOrd="0" destOrd="0" parTransId="{91DF60D2-BE31-40ED-B188-2F5C58275AF8}" sibTransId="{55BB6859-EF96-4A19-84F4-7C9037BD4CC8}"/>
    <dgm:cxn modelId="{F0057704-5EE6-4B42-9526-93A46103FAEF}" type="presParOf" srcId="{3E37AC1E-5CBC-4A88-A10D-E2FF9B325B5A}" destId="{A6A11583-9238-4FC5-9046-479B4428C390}" srcOrd="0" destOrd="0" presId="urn:microsoft.com/office/officeart/2005/8/layout/vList5"/>
    <dgm:cxn modelId="{5C4426D3-A20C-4981-A890-89FD75F5193D}" type="presParOf" srcId="{A6A11583-9238-4FC5-9046-479B4428C390}" destId="{546E359C-BDDA-4B54-9627-4D386194B89E}" srcOrd="0" destOrd="0" presId="urn:microsoft.com/office/officeart/2005/8/layout/vList5"/>
    <dgm:cxn modelId="{58583A5C-0DAE-439F-A30C-A5E1494653C4}" type="presParOf" srcId="{A6A11583-9238-4FC5-9046-479B4428C390}" destId="{0DA51776-53C9-4B28-9E29-73F7F48CBA9D}" srcOrd="1" destOrd="0" presId="urn:microsoft.com/office/officeart/2005/8/layout/vList5"/>
    <dgm:cxn modelId="{F3647B02-082E-4060-A1B2-D8541C59550A}" type="presParOf" srcId="{3E37AC1E-5CBC-4A88-A10D-E2FF9B325B5A}" destId="{C6D146A9-E063-4186-B8CA-98C4E9136854}" srcOrd="1" destOrd="0" presId="urn:microsoft.com/office/officeart/2005/8/layout/vList5"/>
    <dgm:cxn modelId="{DD359E2C-DB7D-4E14-B386-C691A7E10F2F}" type="presParOf" srcId="{3E37AC1E-5CBC-4A88-A10D-E2FF9B325B5A}" destId="{D51F1F9E-3D77-45FF-89BF-70CBA152E798}" srcOrd="2" destOrd="0" presId="urn:microsoft.com/office/officeart/2005/8/layout/vList5"/>
    <dgm:cxn modelId="{D47BDD2B-F7FF-4E3F-BC4A-F58260E3C44E}" type="presParOf" srcId="{D51F1F9E-3D77-45FF-89BF-70CBA152E798}" destId="{A57E3F30-7DE9-4B87-B471-19A87B5F2741}" srcOrd="0" destOrd="0" presId="urn:microsoft.com/office/officeart/2005/8/layout/vList5"/>
    <dgm:cxn modelId="{BFE4272C-F04D-40E2-A0B8-75B2528F38C7}" type="presParOf" srcId="{D51F1F9E-3D77-45FF-89BF-70CBA152E798}" destId="{CEACCDC2-64D8-47C7-84FE-A0BDEE10B168}" srcOrd="1" destOrd="0" presId="urn:microsoft.com/office/officeart/2005/8/layout/vList5"/>
    <dgm:cxn modelId="{6034E416-2E65-47A9-89D6-BA9ECF2AD0DE}" type="presParOf" srcId="{3E37AC1E-5CBC-4A88-A10D-E2FF9B325B5A}" destId="{C74C2072-6E13-4CD3-A99E-DBCC16E37DCA}" srcOrd="3" destOrd="0" presId="urn:microsoft.com/office/officeart/2005/8/layout/vList5"/>
    <dgm:cxn modelId="{A4E52283-7487-417C-9172-7C2FCF38BD17}" type="presParOf" srcId="{3E37AC1E-5CBC-4A88-A10D-E2FF9B325B5A}" destId="{68E85CC4-664E-4DCF-8587-8794071331FC}" srcOrd="4" destOrd="0" presId="urn:microsoft.com/office/officeart/2005/8/layout/vList5"/>
    <dgm:cxn modelId="{708A8CBB-BF0F-479E-AE73-96D81421B95F}" type="presParOf" srcId="{68E85CC4-664E-4DCF-8587-8794071331FC}" destId="{2C948FAF-F5D3-4CB3-A9C7-39D7F482897E}" srcOrd="0" destOrd="0" presId="urn:microsoft.com/office/officeart/2005/8/layout/vList5"/>
    <dgm:cxn modelId="{B020CAA6-0C8C-4215-9884-F34802DF8385}" type="presParOf" srcId="{68E85CC4-664E-4DCF-8587-8794071331FC}" destId="{9F7F4DC3-3146-45E4-8010-8301B00CB85F}" srcOrd="1" destOrd="0" presId="urn:microsoft.com/office/officeart/2005/8/layout/vList5"/>
  </dgm:cxnLst>
  <dgm:bg/>
  <dgm:whole/>
  <dgm:extLst>
    <a:ext uri="http://schemas.microsoft.com/office/drawing/2008/diagram">
      <dsp:dataModelExt xmlns:dsp="http://schemas.microsoft.com/office/drawing/2008/diagram" relId="rId21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F7259715-CA89-498F-A100-00763A1BA5BB}" type="doc">
      <dgm:prSet loTypeId="urn:microsoft.com/office/officeart/2005/8/layout/vList5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BE5FE193-93D9-463D-93DE-E4902264CE43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1" i="0"/>
            <a:t>Debt</a:t>
          </a:r>
          <a:endParaRPr lang="en-IN"/>
        </a:p>
      </dgm:t>
    </dgm:pt>
    <dgm:pt modelId="{29965C79-B3EE-4D14-BD30-76161C0992F8}" type="parTrans" cxnId="{C1191D9A-D690-4F78-806E-64C22315D608}">
      <dgm:prSet/>
      <dgm:spPr/>
      <dgm:t>
        <a:bodyPr/>
        <a:lstStyle/>
        <a:p>
          <a:endParaRPr lang="en-IN"/>
        </a:p>
      </dgm:t>
    </dgm:pt>
    <dgm:pt modelId="{C07942E1-9808-4EAE-A3C5-F9D63874D27B}" type="sibTrans" cxnId="{C1191D9A-D690-4F78-806E-64C22315D608}">
      <dgm:prSet/>
      <dgm:spPr/>
      <dgm:t>
        <a:bodyPr/>
        <a:lstStyle/>
        <a:p>
          <a:endParaRPr lang="en-IN"/>
        </a:p>
      </dgm:t>
    </dgm:pt>
    <dgm:pt modelId="{2E72C700-A41A-40AE-8535-6DBFEB0731FE}">
      <dgm:prSet phldrT="[Text]"/>
      <dgm:spPr/>
      <dgm:t>
        <a:bodyPr/>
        <a:lstStyle/>
        <a:p>
          <a:r>
            <a:rPr lang="en-IN" b="0" i="0"/>
            <a:t>Total debt was ₹134,113 crore as of March 2023, compared to ₹37,016 crore in March 2019..</a:t>
          </a:r>
          <a:endParaRPr lang="en-IN"/>
        </a:p>
      </dgm:t>
    </dgm:pt>
    <dgm:pt modelId="{93C57734-5CD7-43C7-B534-BAB35259DF87}" type="parTrans" cxnId="{5A227C7D-FD1F-497A-8411-890A5F88CCCB}">
      <dgm:prSet/>
      <dgm:spPr/>
      <dgm:t>
        <a:bodyPr/>
        <a:lstStyle/>
        <a:p>
          <a:endParaRPr lang="en-IN"/>
        </a:p>
      </dgm:t>
    </dgm:pt>
    <dgm:pt modelId="{406C8524-E664-4DB1-B894-ED1DEAC15139}" type="sibTrans" cxnId="{5A227C7D-FD1F-497A-8411-890A5F88CCCB}">
      <dgm:prSet/>
      <dgm:spPr/>
      <dgm:t>
        <a:bodyPr/>
        <a:lstStyle/>
        <a:p>
          <a:endParaRPr lang="en-IN"/>
        </a:p>
      </dgm:t>
    </dgm:pt>
    <dgm:pt modelId="{D9E44F01-FBE3-4B7A-AB56-C7BBE2E51135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0" i="0"/>
            <a:t>EBIT margin</a:t>
          </a:r>
          <a:endParaRPr lang="en-IN"/>
        </a:p>
      </dgm:t>
    </dgm:pt>
    <dgm:pt modelId="{B99FA0B7-B369-4756-A978-63015C82B63E}" type="parTrans" cxnId="{F34AC651-15F0-470D-9191-DCBE4EE5ED2E}">
      <dgm:prSet/>
      <dgm:spPr/>
      <dgm:t>
        <a:bodyPr/>
        <a:lstStyle/>
        <a:p>
          <a:endParaRPr lang="en-IN"/>
        </a:p>
      </dgm:t>
    </dgm:pt>
    <dgm:pt modelId="{DEB2FD03-C3D8-4E22-82DE-8D9E71D1DFDF}" type="sibTrans" cxnId="{F34AC651-15F0-470D-9191-DCBE4EE5ED2E}">
      <dgm:prSet/>
      <dgm:spPr/>
      <dgm:t>
        <a:bodyPr/>
        <a:lstStyle/>
        <a:p>
          <a:endParaRPr lang="en-IN"/>
        </a:p>
      </dgm:t>
    </dgm:pt>
    <dgm:pt modelId="{84CA2221-6CA4-4261-9F83-D0F4C161A8A5}">
      <dgm:prSet phldrT="[Text]" custT="1"/>
      <dgm:spPr/>
      <dgm:t>
        <a:bodyPr/>
        <a:lstStyle/>
        <a:p>
          <a:r>
            <a:rPr lang="en-IN" sz="2000" b="0" i="0"/>
            <a:t>It is currently at 2.01% in March 2023..</a:t>
          </a:r>
          <a:endParaRPr lang="en-IN" sz="2000"/>
        </a:p>
      </dgm:t>
    </dgm:pt>
    <dgm:pt modelId="{A469285B-80CB-4773-AF4D-E257E1CA588C}" type="parTrans" cxnId="{613361D9-B4F4-40A8-99A9-DD4BB22D5541}">
      <dgm:prSet/>
      <dgm:spPr/>
      <dgm:t>
        <a:bodyPr/>
        <a:lstStyle/>
        <a:p>
          <a:endParaRPr lang="en-IN"/>
        </a:p>
      </dgm:t>
    </dgm:pt>
    <dgm:pt modelId="{D62526C1-178C-4EF6-9953-740E133A7343}" type="sibTrans" cxnId="{613361D9-B4F4-40A8-99A9-DD4BB22D5541}">
      <dgm:prSet/>
      <dgm:spPr/>
      <dgm:t>
        <a:bodyPr/>
        <a:lstStyle/>
        <a:p>
          <a:endParaRPr lang="en-IN"/>
        </a:p>
      </dgm:t>
    </dgm:pt>
    <dgm:pt modelId="{F8EAFFC9-4868-44D6-9236-1DBE25BBB291}">
      <dgm:prSet phldrT="[Text]"/>
      <dgm:spPr>
        <a:solidFill>
          <a:schemeClr val="accent4">
            <a:lumMod val="50000"/>
          </a:schemeClr>
        </a:solidFill>
      </dgm:spPr>
      <dgm:t>
        <a:bodyPr/>
        <a:lstStyle/>
        <a:p>
          <a:r>
            <a:rPr lang="en-IN" b="0" i="0"/>
            <a:t>EBITDA margin </a:t>
          </a:r>
          <a:endParaRPr lang="en-IN"/>
        </a:p>
      </dgm:t>
    </dgm:pt>
    <dgm:pt modelId="{68185E80-DD13-41B9-8211-856937813F54}" type="parTrans" cxnId="{BC347832-B04F-4100-8D5B-F575087A65E2}">
      <dgm:prSet/>
      <dgm:spPr/>
      <dgm:t>
        <a:bodyPr/>
        <a:lstStyle/>
        <a:p>
          <a:endParaRPr lang="en-IN"/>
        </a:p>
      </dgm:t>
    </dgm:pt>
    <dgm:pt modelId="{A8D5AFB5-50C8-4A27-85FA-67CB41E5CCBE}" type="sibTrans" cxnId="{BC347832-B04F-4100-8D5B-F575087A65E2}">
      <dgm:prSet/>
      <dgm:spPr/>
      <dgm:t>
        <a:bodyPr/>
        <a:lstStyle/>
        <a:p>
          <a:endParaRPr lang="en-IN"/>
        </a:p>
      </dgm:t>
    </dgm:pt>
    <dgm:pt modelId="{49E5E282-BADA-4C11-B716-67B086AA4B79}">
      <dgm:prSet phldrT="[Text]" custT="1"/>
      <dgm:spPr/>
      <dgm:t>
        <a:bodyPr/>
        <a:lstStyle/>
        <a:p>
          <a:r>
            <a:rPr lang="en-IN" sz="1800" b="0" i="0"/>
            <a:t>Fluctuated, ranging from 6.89% in March 2020 to 12.93% in March 2021.</a:t>
          </a:r>
          <a:endParaRPr lang="en-IN" sz="1800"/>
        </a:p>
      </dgm:t>
    </dgm:pt>
    <dgm:pt modelId="{91DF60D2-BE31-40ED-B188-2F5C58275AF8}" type="parTrans" cxnId="{853F7DEB-3305-4623-AB8F-5358E0C3FB73}">
      <dgm:prSet/>
      <dgm:spPr/>
      <dgm:t>
        <a:bodyPr/>
        <a:lstStyle/>
        <a:p>
          <a:endParaRPr lang="en-IN"/>
        </a:p>
      </dgm:t>
    </dgm:pt>
    <dgm:pt modelId="{55BB6859-EF96-4A19-84F4-7C9037BD4CC8}" type="sibTrans" cxnId="{853F7DEB-3305-4623-AB8F-5358E0C3FB73}">
      <dgm:prSet/>
      <dgm:spPr/>
      <dgm:t>
        <a:bodyPr/>
        <a:lstStyle/>
        <a:p>
          <a:endParaRPr lang="en-IN"/>
        </a:p>
      </dgm:t>
    </dgm:pt>
    <dgm:pt modelId="{CC28C88D-27A9-41EE-BA99-93DBD54AEDE8}">
      <dgm:prSet phldrT="[Text]" custT="1"/>
      <dgm:spPr/>
      <dgm:t>
        <a:bodyPr/>
        <a:lstStyle/>
        <a:p>
          <a:r>
            <a:rPr lang="en-IN" sz="1800" b="0" i="0"/>
            <a:t>It is currently at 9.20% in March 2023.</a:t>
          </a:r>
          <a:endParaRPr lang="en-IN" sz="1800"/>
        </a:p>
      </dgm:t>
    </dgm:pt>
    <dgm:pt modelId="{35495710-1E67-4163-AF07-31DAA629C7CC}" type="parTrans" cxnId="{32902E3E-7C0F-4DA8-B409-4CB017C56293}">
      <dgm:prSet/>
      <dgm:spPr/>
      <dgm:t>
        <a:bodyPr/>
        <a:lstStyle/>
        <a:p>
          <a:endParaRPr lang="en-IN"/>
        </a:p>
      </dgm:t>
    </dgm:pt>
    <dgm:pt modelId="{A2487273-CC3E-467B-BB89-CE50FF81047D}" type="sibTrans" cxnId="{32902E3E-7C0F-4DA8-B409-4CB017C56293}">
      <dgm:prSet/>
      <dgm:spPr/>
      <dgm:t>
        <a:bodyPr/>
        <a:lstStyle/>
        <a:p>
          <a:endParaRPr lang="en-IN"/>
        </a:p>
      </dgm:t>
    </dgm:pt>
    <dgm:pt modelId="{3E37AC1E-5CBC-4A88-A10D-E2FF9B325B5A}" type="pres">
      <dgm:prSet presAssocID="{F7259715-CA89-498F-A100-00763A1BA5BB}" presName="Name0" presStyleCnt="0">
        <dgm:presLayoutVars>
          <dgm:dir/>
          <dgm:animLvl val="lvl"/>
          <dgm:resizeHandles val="exact"/>
        </dgm:presLayoutVars>
      </dgm:prSet>
      <dgm:spPr/>
    </dgm:pt>
    <dgm:pt modelId="{A6A11583-9238-4FC5-9046-479B4428C390}" type="pres">
      <dgm:prSet presAssocID="{BE5FE193-93D9-463D-93DE-E4902264CE43}" presName="linNode" presStyleCnt="0"/>
      <dgm:spPr/>
    </dgm:pt>
    <dgm:pt modelId="{546E359C-BDDA-4B54-9627-4D386194B89E}" type="pres">
      <dgm:prSet presAssocID="{BE5FE193-93D9-463D-93DE-E4902264CE43}" presName="parentText" presStyleLbl="node1" presStyleIdx="0" presStyleCnt="3" custScaleX="71958">
        <dgm:presLayoutVars>
          <dgm:chMax val="1"/>
          <dgm:bulletEnabled val="1"/>
        </dgm:presLayoutVars>
      </dgm:prSet>
      <dgm:spPr/>
    </dgm:pt>
    <dgm:pt modelId="{0DA51776-53C9-4B28-9E29-73F7F48CBA9D}" type="pres">
      <dgm:prSet presAssocID="{BE5FE193-93D9-463D-93DE-E4902264CE43}" presName="descendantText" presStyleLbl="alignAccFollowNode1" presStyleIdx="0" presStyleCnt="3" custLinFactNeighborX="-1052" custLinFactNeighborY="7346">
        <dgm:presLayoutVars>
          <dgm:bulletEnabled val="1"/>
        </dgm:presLayoutVars>
      </dgm:prSet>
      <dgm:spPr/>
    </dgm:pt>
    <dgm:pt modelId="{C6D146A9-E063-4186-B8CA-98C4E9136854}" type="pres">
      <dgm:prSet presAssocID="{C07942E1-9808-4EAE-A3C5-F9D63874D27B}" presName="sp" presStyleCnt="0"/>
      <dgm:spPr/>
    </dgm:pt>
    <dgm:pt modelId="{D51F1F9E-3D77-45FF-89BF-70CBA152E798}" type="pres">
      <dgm:prSet presAssocID="{D9E44F01-FBE3-4B7A-AB56-C7BBE2E51135}" presName="linNode" presStyleCnt="0"/>
      <dgm:spPr/>
    </dgm:pt>
    <dgm:pt modelId="{A57E3F30-7DE9-4B87-B471-19A87B5F2741}" type="pres">
      <dgm:prSet presAssocID="{D9E44F01-FBE3-4B7A-AB56-C7BBE2E51135}" presName="parentText" presStyleLbl="node1" presStyleIdx="1" presStyleCnt="3" custScaleX="75908" custLinFactNeighborX="-257">
        <dgm:presLayoutVars>
          <dgm:chMax val="1"/>
          <dgm:bulletEnabled val="1"/>
        </dgm:presLayoutVars>
      </dgm:prSet>
      <dgm:spPr/>
    </dgm:pt>
    <dgm:pt modelId="{CEACCDC2-64D8-47C7-84FE-A0BDEE10B168}" type="pres">
      <dgm:prSet presAssocID="{D9E44F01-FBE3-4B7A-AB56-C7BBE2E51135}" presName="descendantText" presStyleLbl="alignAccFollowNode1" presStyleIdx="1" presStyleCnt="3">
        <dgm:presLayoutVars>
          <dgm:bulletEnabled val="1"/>
        </dgm:presLayoutVars>
      </dgm:prSet>
      <dgm:spPr/>
    </dgm:pt>
    <dgm:pt modelId="{C74C2072-6E13-4CD3-A99E-DBCC16E37DCA}" type="pres">
      <dgm:prSet presAssocID="{DEB2FD03-C3D8-4E22-82DE-8D9E71D1DFDF}" presName="sp" presStyleCnt="0"/>
      <dgm:spPr/>
    </dgm:pt>
    <dgm:pt modelId="{68E85CC4-664E-4DCF-8587-8794071331FC}" type="pres">
      <dgm:prSet presAssocID="{F8EAFFC9-4868-44D6-9236-1DBE25BBB291}" presName="linNode" presStyleCnt="0"/>
      <dgm:spPr/>
    </dgm:pt>
    <dgm:pt modelId="{2C948FAF-F5D3-4CB3-A9C7-39D7F482897E}" type="pres">
      <dgm:prSet presAssocID="{F8EAFFC9-4868-44D6-9236-1DBE25BBB291}" presName="parentText" presStyleLbl="node1" presStyleIdx="2" presStyleCnt="3" custScaleX="73280">
        <dgm:presLayoutVars>
          <dgm:chMax val="1"/>
          <dgm:bulletEnabled val="1"/>
        </dgm:presLayoutVars>
      </dgm:prSet>
      <dgm:spPr/>
    </dgm:pt>
    <dgm:pt modelId="{9F7F4DC3-3146-45E4-8010-8301B00CB85F}" type="pres">
      <dgm:prSet presAssocID="{F8EAFFC9-4868-44D6-9236-1DBE25BBB291}" presName="descendantText" presStyleLbl="alignAccFollowNode1" presStyleIdx="2" presStyleCnt="3">
        <dgm:presLayoutVars>
          <dgm:bulletEnabled val="1"/>
        </dgm:presLayoutVars>
      </dgm:prSet>
      <dgm:spPr/>
    </dgm:pt>
  </dgm:ptLst>
  <dgm:cxnLst>
    <dgm:cxn modelId="{F0A49C14-7E6C-41BB-9556-E55E7E7737E2}" type="presOf" srcId="{BE5FE193-93D9-463D-93DE-E4902264CE43}" destId="{546E359C-BDDA-4B54-9627-4D386194B89E}" srcOrd="0" destOrd="0" presId="urn:microsoft.com/office/officeart/2005/8/layout/vList5"/>
    <dgm:cxn modelId="{5072FA2D-3EF3-4164-BB4D-028BCD2F9C20}" type="presOf" srcId="{49E5E282-BADA-4C11-B716-67B086AA4B79}" destId="{9F7F4DC3-3146-45E4-8010-8301B00CB85F}" srcOrd="0" destOrd="0" presId="urn:microsoft.com/office/officeart/2005/8/layout/vList5"/>
    <dgm:cxn modelId="{BC347832-B04F-4100-8D5B-F575087A65E2}" srcId="{F7259715-CA89-498F-A100-00763A1BA5BB}" destId="{F8EAFFC9-4868-44D6-9236-1DBE25BBB291}" srcOrd="2" destOrd="0" parTransId="{68185E80-DD13-41B9-8211-856937813F54}" sibTransId="{A8D5AFB5-50C8-4A27-85FA-67CB41E5CCBE}"/>
    <dgm:cxn modelId="{D5B19633-1E64-43E1-B70E-B854CF15B07F}" type="presOf" srcId="{CC28C88D-27A9-41EE-BA99-93DBD54AEDE8}" destId="{9F7F4DC3-3146-45E4-8010-8301B00CB85F}" srcOrd="0" destOrd="1" presId="urn:microsoft.com/office/officeart/2005/8/layout/vList5"/>
    <dgm:cxn modelId="{31EFD93B-814F-4FF1-80AA-4E05B8CC11EC}" type="presOf" srcId="{D9E44F01-FBE3-4B7A-AB56-C7BBE2E51135}" destId="{A57E3F30-7DE9-4B87-B471-19A87B5F2741}" srcOrd="0" destOrd="0" presId="urn:microsoft.com/office/officeart/2005/8/layout/vList5"/>
    <dgm:cxn modelId="{32902E3E-7C0F-4DA8-B409-4CB017C56293}" srcId="{F8EAFFC9-4868-44D6-9236-1DBE25BBB291}" destId="{CC28C88D-27A9-41EE-BA99-93DBD54AEDE8}" srcOrd="1" destOrd="0" parTransId="{35495710-1E67-4163-AF07-31DAA629C7CC}" sibTransId="{A2487273-CC3E-467B-BB89-CE50FF81047D}"/>
    <dgm:cxn modelId="{F34AC651-15F0-470D-9191-DCBE4EE5ED2E}" srcId="{F7259715-CA89-498F-A100-00763A1BA5BB}" destId="{D9E44F01-FBE3-4B7A-AB56-C7BBE2E51135}" srcOrd="1" destOrd="0" parTransId="{B99FA0B7-B369-4756-A978-63015C82B63E}" sibTransId="{DEB2FD03-C3D8-4E22-82DE-8D9E71D1DFDF}"/>
    <dgm:cxn modelId="{444B137B-1B3E-4137-B58D-8C32FED809A5}" type="presOf" srcId="{84CA2221-6CA4-4261-9F83-D0F4C161A8A5}" destId="{CEACCDC2-64D8-47C7-84FE-A0BDEE10B168}" srcOrd="0" destOrd="0" presId="urn:microsoft.com/office/officeart/2005/8/layout/vList5"/>
    <dgm:cxn modelId="{5A227C7D-FD1F-497A-8411-890A5F88CCCB}" srcId="{BE5FE193-93D9-463D-93DE-E4902264CE43}" destId="{2E72C700-A41A-40AE-8535-6DBFEB0731FE}" srcOrd="0" destOrd="0" parTransId="{93C57734-5CD7-43C7-B534-BAB35259DF87}" sibTransId="{406C8524-E664-4DB1-B894-ED1DEAC15139}"/>
    <dgm:cxn modelId="{D97FAF8F-FEAB-4909-888D-639065AE7C66}" type="presOf" srcId="{2E72C700-A41A-40AE-8535-6DBFEB0731FE}" destId="{0DA51776-53C9-4B28-9E29-73F7F48CBA9D}" srcOrd="0" destOrd="0" presId="urn:microsoft.com/office/officeart/2005/8/layout/vList5"/>
    <dgm:cxn modelId="{C1191D9A-D690-4F78-806E-64C22315D608}" srcId="{F7259715-CA89-498F-A100-00763A1BA5BB}" destId="{BE5FE193-93D9-463D-93DE-E4902264CE43}" srcOrd="0" destOrd="0" parTransId="{29965C79-B3EE-4D14-BD30-76161C0992F8}" sibTransId="{C07942E1-9808-4EAE-A3C5-F9D63874D27B}"/>
    <dgm:cxn modelId="{2EDEC29B-2FD4-4559-9F50-06812524E67D}" type="presOf" srcId="{F7259715-CA89-498F-A100-00763A1BA5BB}" destId="{3E37AC1E-5CBC-4A88-A10D-E2FF9B325B5A}" srcOrd="0" destOrd="0" presId="urn:microsoft.com/office/officeart/2005/8/layout/vList5"/>
    <dgm:cxn modelId="{BE2B2EC3-E7D3-4309-851F-1CC95C513347}" type="presOf" srcId="{F8EAFFC9-4868-44D6-9236-1DBE25BBB291}" destId="{2C948FAF-F5D3-4CB3-A9C7-39D7F482897E}" srcOrd="0" destOrd="0" presId="urn:microsoft.com/office/officeart/2005/8/layout/vList5"/>
    <dgm:cxn modelId="{613361D9-B4F4-40A8-99A9-DD4BB22D5541}" srcId="{D9E44F01-FBE3-4B7A-AB56-C7BBE2E51135}" destId="{84CA2221-6CA4-4261-9F83-D0F4C161A8A5}" srcOrd="0" destOrd="0" parTransId="{A469285B-80CB-4773-AF4D-E257E1CA588C}" sibTransId="{D62526C1-178C-4EF6-9953-740E133A7343}"/>
    <dgm:cxn modelId="{853F7DEB-3305-4623-AB8F-5358E0C3FB73}" srcId="{F8EAFFC9-4868-44D6-9236-1DBE25BBB291}" destId="{49E5E282-BADA-4C11-B716-67B086AA4B79}" srcOrd="0" destOrd="0" parTransId="{91DF60D2-BE31-40ED-B188-2F5C58275AF8}" sibTransId="{55BB6859-EF96-4A19-84F4-7C9037BD4CC8}"/>
    <dgm:cxn modelId="{F0057704-5EE6-4B42-9526-93A46103FAEF}" type="presParOf" srcId="{3E37AC1E-5CBC-4A88-A10D-E2FF9B325B5A}" destId="{A6A11583-9238-4FC5-9046-479B4428C390}" srcOrd="0" destOrd="0" presId="urn:microsoft.com/office/officeart/2005/8/layout/vList5"/>
    <dgm:cxn modelId="{5C4426D3-A20C-4981-A890-89FD75F5193D}" type="presParOf" srcId="{A6A11583-9238-4FC5-9046-479B4428C390}" destId="{546E359C-BDDA-4B54-9627-4D386194B89E}" srcOrd="0" destOrd="0" presId="urn:microsoft.com/office/officeart/2005/8/layout/vList5"/>
    <dgm:cxn modelId="{58583A5C-0DAE-439F-A30C-A5E1494653C4}" type="presParOf" srcId="{A6A11583-9238-4FC5-9046-479B4428C390}" destId="{0DA51776-53C9-4B28-9E29-73F7F48CBA9D}" srcOrd="1" destOrd="0" presId="urn:microsoft.com/office/officeart/2005/8/layout/vList5"/>
    <dgm:cxn modelId="{F3647B02-082E-4060-A1B2-D8541C59550A}" type="presParOf" srcId="{3E37AC1E-5CBC-4A88-A10D-E2FF9B325B5A}" destId="{C6D146A9-E063-4186-B8CA-98C4E9136854}" srcOrd="1" destOrd="0" presId="urn:microsoft.com/office/officeart/2005/8/layout/vList5"/>
    <dgm:cxn modelId="{DD359E2C-DB7D-4E14-B386-C691A7E10F2F}" type="presParOf" srcId="{3E37AC1E-5CBC-4A88-A10D-E2FF9B325B5A}" destId="{D51F1F9E-3D77-45FF-89BF-70CBA152E798}" srcOrd="2" destOrd="0" presId="urn:microsoft.com/office/officeart/2005/8/layout/vList5"/>
    <dgm:cxn modelId="{D47BDD2B-F7FF-4E3F-BC4A-F58260E3C44E}" type="presParOf" srcId="{D51F1F9E-3D77-45FF-89BF-70CBA152E798}" destId="{A57E3F30-7DE9-4B87-B471-19A87B5F2741}" srcOrd="0" destOrd="0" presId="urn:microsoft.com/office/officeart/2005/8/layout/vList5"/>
    <dgm:cxn modelId="{BFE4272C-F04D-40E2-A0B8-75B2528F38C7}" type="presParOf" srcId="{D51F1F9E-3D77-45FF-89BF-70CBA152E798}" destId="{CEACCDC2-64D8-47C7-84FE-A0BDEE10B168}" srcOrd="1" destOrd="0" presId="urn:microsoft.com/office/officeart/2005/8/layout/vList5"/>
    <dgm:cxn modelId="{6034E416-2E65-47A9-89D6-BA9ECF2AD0DE}" type="presParOf" srcId="{3E37AC1E-5CBC-4A88-A10D-E2FF9B325B5A}" destId="{C74C2072-6E13-4CD3-A99E-DBCC16E37DCA}" srcOrd="3" destOrd="0" presId="urn:microsoft.com/office/officeart/2005/8/layout/vList5"/>
    <dgm:cxn modelId="{A4E52283-7487-417C-9172-7C2FCF38BD17}" type="presParOf" srcId="{3E37AC1E-5CBC-4A88-A10D-E2FF9B325B5A}" destId="{68E85CC4-664E-4DCF-8587-8794071331FC}" srcOrd="4" destOrd="0" presId="urn:microsoft.com/office/officeart/2005/8/layout/vList5"/>
    <dgm:cxn modelId="{708A8CBB-BF0F-479E-AE73-96D81421B95F}" type="presParOf" srcId="{68E85CC4-664E-4DCF-8587-8794071331FC}" destId="{2C948FAF-F5D3-4CB3-A9C7-39D7F482897E}" srcOrd="0" destOrd="0" presId="urn:microsoft.com/office/officeart/2005/8/layout/vList5"/>
    <dgm:cxn modelId="{B020CAA6-0C8C-4215-9884-F34802DF8385}" type="presParOf" srcId="{68E85CC4-664E-4DCF-8587-8794071331FC}" destId="{9F7F4DC3-3146-45E4-8010-8301B00CB85F}" srcOrd="1" destOrd="0" presId="urn:microsoft.com/office/officeart/2005/8/layout/vList5"/>
  </dgm:cxnLst>
  <dgm:bg/>
  <dgm:whole/>
  <dgm:extLst>
    <a:ext uri="http://schemas.microsoft.com/office/drawing/2008/diagram">
      <dsp:dataModelExt xmlns:dsp="http://schemas.microsoft.com/office/drawing/2008/diagram" relId="rId2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3461066-1C9F-4963-B8AC-9ACF309589AF}">
      <dsp:nvSpPr>
        <dsp:cNvPr id="0" name=""/>
        <dsp:cNvSpPr/>
      </dsp:nvSpPr>
      <dsp:spPr>
        <a:xfrm>
          <a:off x="0" y="0"/>
          <a:ext cx="3541940" cy="1832885"/>
        </a:xfrm>
        <a:prstGeom prst="snip1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0" tIns="50800" rIns="50800" bIns="508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000" b="1" u="sng" kern="1200">
              <a:solidFill>
                <a:schemeClr val="bg1"/>
              </a:solidFill>
            </a:rPr>
            <a:t>Downdloaded file contain</a:t>
          </a:r>
          <a:r>
            <a:rPr lang="en-IN" sz="2000" b="1" kern="1200">
              <a:solidFill>
                <a:schemeClr val="bg1"/>
              </a:solidFill>
            </a:rPr>
            <a:t>:  Balance sheet cash flow, Profit &amp; Loss, Quaters, Data Sheet </a:t>
          </a:r>
        </a:p>
      </dsp:txBody>
      <dsp:txXfrm>
        <a:off x="0" y="152743"/>
        <a:ext cx="3389197" cy="1680142"/>
      </dsp:txXfrm>
    </dsp:sp>
    <dsp:sp modelId="{C5B1C3C8-4598-4D96-A43B-76A2BD69DCEB}">
      <dsp:nvSpPr>
        <dsp:cNvPr id="0" name=""/>
        <dsp:cNvSpPr/>
      </dsp:nvSpPr>
      <dsp:spPr>
        <a:xfrm>
          <a:off x="0" y="1979573"/>
          <a:ext cx="3541940" cy="1652311"/>
        </a:xfrm>
        <a:prstGeom prst="snip1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0" tIns="50800" rIns="50800" bIns="508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000" b="1" kern="1200"/>
            <a:t>To paste data from Data Sheet to Model         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000" b="1" kern="1200"/>
            <a:t>Use =IFERROR('DATA SHEET',0)</a:t>
          </a:r>
        </a:p>
      </dsp:txBody>
      <dsp:txXfrm>
        <a:off x="0" y="2117268"/>
        <a:ext cx="3404245" cy="1514616"/>
      </dsp:txXfrm>
    </dsp:sp>
    <dsp:sp modelId="{1E98D98D-1E71-4A55-8E68-33F6C7434D79}">
      <dsp:nvSpPr>
        <dsp:cNvPr id="0" name=""/>
        <dsp:cNvSpPr/>
      </dsp:nvSpPr>
      <dsp:spPr>
        <a:xfrm>
          <a:off x="0" y="3754186"/>
          <a:ext cx="3541940" cy="1865369"/>
        </a:xfrm>
        <a:prstGeom prst="snip1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0" tIns="50800" rIns="50800" bIns="508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000" kern="1200"/>
            <a:t>For pasting name of the </a:t>
          </a:r>
          <a:r>
            <a:rPr lang="en-IN" sz="2000" b="1" kern="1200"/>
            <a:t>company</a:t>
          </a:r>
          <a:r>
            <a:rPr lang="en-IN" sz="2000" kern="1200"/>
            <a:t> in every sheet : USE 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000" b="1" kern="1200"/>
            <a:t>="Income Statement"&amp;" - "&amp;</a:t>
          </a:r>
          <a:r>
            <a:rPr lang="en-IN" sz="2000" b="1" u="sng" kern="1200"/>
            <a:t>click on cell where </a:t>
          </a:r>
          <a:r>
            <a:rPr lang="en-IN" sz="2000" b="1" u="sng" kern="1200">
              <a:solidFill>
                <a:schemeClr val="bg1"/>
              </a:solidFill>
            </a:rPr>
            <a:t>Company</a:t>
          </a:r>
          <a:r>
            <a:rPr lang="en-IN" sz="2000" b="1" u="sng" kern="1200"/>
            <a:t> name mentioned</a:t>
          </a:r>
        </a:p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2000" kern="1200"/>
        </a:p>
      </dsp:txBody>
      <dsp:txXfrm>
        <a:off x="0" y="3909637"/>
        <a:ext cx="3386489" cy="1709918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0201DE4-1845-4AF1-A59E-0AF852274E13}">
      <dsp:nvSpPr>
        <dsp:cNvPr id="0" name=""/>
        <dsp:cNvSpPr/>
      </dsp:nvSpPr>
      <dsp:spPr>
        <a:xfrm>
          <a:off x="643" y="883260"/>
          <a:ext cx="1504936" cy="752468"/>
        </a:xfrm>
        <a:prstGeom prst="roundRect">
          <a:avLst>
            <a:gd name="adj" fmla="val 10000"/>
          </a:avLst>
        </a:prstGeom>
        <a:solidFill>
          <a:schemeClr val="accent4">
            <a:lumMod val="50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27940" rIns="41910" bIns="2794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b="1" kern="1200"/>
            <a:t>Forecasting</a:t>
          </a:r>
        </a:p>
      </dsp:txBody>
      <dsp:txXfrm>
        <a:off x="22682" y="905299"/>
        <a:ext cx="1460858" cy="708390"/>
      </dsp:txXfrm>
    </dsp:sp>
    <dsp:sp modelId="{D08BD40B-66A5-45B6-AD88-1529E4FAA0C2}">
      <dsp:nvSpPr>
        <dsp:cNvPr id="0" name=""/>
        <dsp:cNvSpPr/>
      </dsp:nvSpPr>
      <dsp:spPr>
        <a:xfrm>
          <a:off x="151136" y="1635728"/>
          <a:ext cx="150493" cy="6639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63966"/>
              </a:lnTo>
              <a:lnTo>
                <a:pt x="150493" y="663966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DD551A-C72F-4612-8654-3602F0DA0403}">
      <dsp:nvSpPr>
        <dsp:cNvPr id="0" name=""/>
        <dsp:cNvSpPr/>
      </dsp:nvSpPr>
      <dsp:spPr>
        <a:xfrm>
          <a:off x="301630" y="1823845"/>
          <a:ext cx="1203949" cy="95169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Sales Growth, EBITDA Growth and EPS Growth </a:t>
          </a:r>
        </a:p>
      </dsp:txBody>
      <dsp:txXfrm>
        <a:off x="329504" y="1851719"/>
        <a:ext cx="1148201" cy="895951"/>
      </dsp:txXfrm>
    </dsp:sp>
    <dsp:sp modelId="{00BF0992-7168-4684-8F45-1E0C1D2B4A0E}">
      <dsp:nvSpPr>
        <dsp:cNvPr id="0" name=""/>
        <dsp:cNvSpPr/>
      </dsp:nvSpPr>
      <dsp:spPr>
        <a:xfrm>
          <a:off x="151136" y="1635728"/>
          <a:ext cx="150493" cy="20224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2405"/>
              </a:lnTo>
              <a:lnTo>
                <a:pt x="150493" y="202240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38DA2F4-A094-4F7F-84FA-E57E5EB31251}">
      <dsp:nvSpPr>
        <dsp:cNvPr id="0" name=""/>
        <dsp:cNvSpPr/>
      </dsp:nvSpPr>
      <dsp:spPr>
        <a:xfrm>
          <a:off x="301630" y="2963662"/>
          <a:ext cx="1203949" cy="138894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b="1" kern="1200"/>
            <a:t>From </a:t>
          </a:r>
          <a:r>
            <a:rPr lang="en-IN" sz="1400" b="1" u="sng" kern="1200"/>
            <a:t>2015 to 2023 </a:t>
          </a:r>
          <a:r>
            <a:rPr lang="en-IN" sz="1400" b="1" kern="1200"/>
            <a:t>data will be given.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400" b="1" kern="1200"/>
            <a:t>we have forecast for next </a:t>
          </a:r>
          <a:r>
            <a:rPr lang="en-IN" sz="1400" b="1" u="sng" kern="1200"/>
            <a:t>5 year</a:t>
          </a:r>
        </a:p>
      </dsp:txBody>
      <dsp:txXfrm>
        <a:off x="336892" y="2998924"/>
        <a:ext cx="1133425" cy="1318419"/>
      </dsp:txXfrm>
    </dsp:sp>
    <dsp:sp modelId="{8B2CABBF-5E73-46F7-ABA4-37F533018AFF}">
      <dsp:nvSpPr>
        <dsp:cNvPr id="0" name=""/>
        <dsp:cNvSpPr/>
      </dsp:nvSpPr>
      <dsp:spPr>
        <a:xfrm>
          <a:off x="151136" y="1635728"/>
          <a:ext cx="150493" cy="36015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01591"/>
              </a:lnTo>
              <a:lnTo>
                <a:pt x="150493" y="360159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0F952C-3625-443A-BBE4-D48CD02EFA74}">
      <dsp:nvSpPr>
        <dsp:cNvPr id="0" name=""/>
        <dsp:cNvSpPr/>
      </dsp:nvSpPr>
      <dsp:spPr>
        <a:xfrm>
          <a:off x="301630" y="4540722"/>
          <a:ext cx="1203949" cy="139319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By using function: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b="1" i="1" kern="1200"/>
            <a:t>=forecast(Sales weight,sales data, year(2015-2023)</a:t>
          </a:r>
        </a:p>
      </dsp:txBody>
      <dsp:txXfrm>
        <a:off x="336892" y="4575984"/>
        <a:ext cx="1133425" cy="1322670"/>
      </dsp:txXfrm>
    </dsp:sp>
    <dsp:sp modelId="{02F7A3EF-2C10-477F-92B9-70046D196AFF}">
      <dsp:nvSpPr>
        <dsp:cNvPr id="0" name=""/>
        <dsp:cNvSpPr/>
      </dsp:nvSpPr>
      <dsp:spPr>
        <a:xfrm>
          <a:off x="1814181" y="815628"/>
          <a:ext cx="1504936" cy="752468"/>
        </a:xfrm>
        <a:prstGeom prst="roundRect">
          <a:avLst>
            <a:gd name="adj" fmla="val 10000"/>
          </a:avLst>
        </a:prstGeom>
        <a:solidFill>
          <a:schemeClr val="accent4">
            <a:lumMod val="50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27940" rIns="41910" bIns="2794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b="0" kern="1200"/>
            <a:t>Intrinsic Growth</a:t>
          </a:r>
        </a:p>
      </dsp:txBody>
      <dsp:txXfrm>
        <a:off x="1836220" y="837667"/>
        <a:ext cx="1460858" cy="708390"/>
      </dsp:txXfrm>
    </dsp:sp>
    <dsp:sp modelId="{9339A13A-DF59-4E07-A6CB-CEEA9B53714D}">
      <dsp:nvSpPr>
        <dsp:cNvPr id="0" name=""/>
        <dsp:cNvSpPr/>
      </dsp:nvSpPr>
      <dsp:spPr>
        <a:xfrm>
          <a:off x="1964675" y="1568096"/>
          <a:ext cx="218125" cy="7809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80907"/>
              </a:lnTo>
              <a:lnTo>
                <a:pt x="218125" y="78090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721688-F8DC-46D2-9C54-FD60B74E865A}">
      <dsp:nvSpPr>
        <dsp:cNvPr id="0" name=""/>
        <dsp:cNvSpPr/>
      </dsp:nvSpPr>
      <dsp:spPr>
        <a:xfrm>
          <a:off x="2182801" y="1823845"/>
          <a:ext cx="1203949" cy="105031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Intrinsic</a:t>
          </a:r>
          <a:r>
            <a:rPr lang="en-IN" sz="1200" kern="1200" baseline="0"/>
            <a:t> Growth will be calculated from </a:t>
          </a:r>
          <a:r>
            <a:rPr lang="en-IN" sz="1200" b="1" kern="1200" baseline="0"/>
            <a:t>2019 to 2023 (5 year).</a:t>
          </a:r>
          <a:endParaRPr lang="en-IN" sz="1200" b="1" kern="1200"/>
        </a:p>
      </dsp:txBody>
      <dsp:txXfrm>
        <a:off x="2213564" y="1854608"/>
        <a:ext cx="1142423" cy="988791"/>
      </dsp:txXfrm>
    </dsp:sp>
    <dsp:sp modelId="{F5F4459D-9685-42F7-BA46-6D62FE3669B7}">
      <dsp:nvSpPr>
        <dsp:cNvPr id="0" name=""/>
        <dsp:cNvSpPr/>
      </dsp:nvSpPr>
      <dsp:spPr>
        <a:xfrm>
          <a:off x="1964675" y="1568096"/>
          <a:ext cx="218125" cy="24581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58118"/>
              </a:lnTo>
              <a:lnTo>
                <a:pt x="218125" y="245811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DF665B-2E1C-400B-B12B-6B4BE87B618C}">
      <dsp:nvSpPr>
        <dsp:cNvPr id="0" name=""/>
        <dsp:cNvSpPr/>
      </dsp:nvSpPr>
      <dsp:spPr>
        <a:xfrm>
          <a:off x="2182801" y="3062280"/>
          <a:ext cx="1319058" cy="192786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It Involves:      </a:t>
          </a:r>
          <a:r>
            <a:rPr lang="en-IN" sz="1200" b="1" kern="1200"/>
            <a:t>Calculation of ROIC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b="1" kern="1200"/>
            <a:t>Calculation of Reinvestment Rate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b="1" kern="1200"/>
            <a:t>and calculation of growth</a:t>
          </a:r>
        </a:p>
      </dsp:txBody>
      <dsp:txXfrm>
        <a:off x="2221435" y="3100914"/>
        <a:ext cx="1241790" cy="1850600"/>
      </dsp:txXfrm>
    </dsp:sp>
    <dsp:sp modelId="{D624832C-ACA6-4EA7-B7B7-C05F0CAF9A11}">
      <dsp:nvSpPr>
        <dsp:cNvPr id="0" name=""/>
        <dsp:cNvSpPr/>
      </dsp:nvSpPr>
      <dsp:spPr>
        <a:xfrm>
          <a:off x="3762984" y="787960"/>
          <a:ext cx="1504936" cy="752468"/>
        </a:xfrm>
        <a:prstGeom prst="roundRect">
          <a:avLst>
            <a:gd name="adj" fmla="val 10000"/>
          </a:avLst>
        </a:prstGeom>
        <a:solidFill>
          <a:schemeClr val="accent4">
            <a:lumMod val="5000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27940" rIns="41910" bIns="2794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200" b="1" kern="1200"/>
            <a:t>Relative Valuation</a:t>
          </a:r>
        </a:p>
      </dsp:txBody>
      <dsp:txXfrm>
        <a:off x="3785023" y="809999"/>
        <a:ext cx="1460858" cy="708390"/>
      </dsp:txXfrm>
    </dsp:sp>
    <dsp:sp modelId="{E6192205-9F94-4DEC-9B4A-42D4354BDDF8}">
      <dsp:nvSpPr>
        <dsp:cNvPr id="0" name=""/>
        <dsp:cNvSpPr/>
      </dsp:nvSpPr>
      <dsp:spPr>
        <a:xfrm>
          <a:off x="3913478" y="1540428"/>
          <a:ext cx="125343" cy="13877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7792"/>
              </a:lnTo>
              <a:lnTo>
                <a:pt x="125343" y="138779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CC8D8F-FBCB-4AB0-BED9-2E55BC02FC98}">
      <dsp:nvSpPr>
        <dsp:cNvPr id="0" name=""/>
        <dsp:cNvSpPr/>
      </dsp:nvSpPr>
      <dsp:spPr>
        <a:xfrm>
          <a:off x="4038821" y="2068894"/>
          <a:ext cx="1203949" cy="1718652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/>
            <a:t>In</a:t>
          </a:r>
          <a:r>
            <a:rPr lang="en-IN" sz="1200" kern="1200" baseline="0"/>
            <a:t> the Peer Comps section: Edit colums with market capitalization, Debt, No. of equity shares, Cash end term, EV, Sales</a:t>
          </a:r>
          <a:endParaRPr lang="en-IN" sz="1200" kern="1200"/>
        </a:p>
      </dsp:txBody>
      <dsp:txXfrm>
        <a:off x="4074083" y="2104156"/>
        <a:ext cx="1133425" cy="1648128"/>
      </dsp:txXfrm>
    </dsp:sp>
    <dsp:sp modelId="{76D2B87D-C67E-43ED-A586-53909E83E64E}">
      <dsp:nvSpPr>
        <dsp:cNvPr id="0" name=""/>
        <dsp:cNvSpPr/>
      </dsp:nvSpPr>
      <dsp:spPr>
        <a:xfrm>
          <a:off x="3913478" y="1540428"/>
          <a:ext cx="137599" cy="334445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44457"/>
              </a:lnTo>
              <a:lnTo>
                <a:pt x="137599" y="334445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880601-DF2D-485D-8B95-455798055486}">
      <dsp:nvSpPr>
        <dsp:cNvPr id="0" name=""/>
        <dsp:cNvSpPr/>
      </dsp:nvSpPr>
      <dsp:spPr>
        <a:xfrm>
          <a:off x="4051077" y="4143329"/>
          <a:ext cx="1203949" cy="148311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Calculate: 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75th Percentile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25th percentile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High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Low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Average 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100" kern="1200"/>
            <a:t>Median</a:t>
          </a:r>
        </a:p>
      </dsp:txBody>
      <dsp:txXfrm>
        <a:off x="4086339" y="4178591"/>
        <a:ext cx="1133425" cy="141259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3B7674D-DA03-41BD-806F-32FC92CBEFFE}">
      <dsp:nvSpPr>
        <dsp:cNvPr id="0" name=""/>
        <dsp:cNvSpPr/>
      </dsp:nvSpPr>
      <dsp:spPr>
        <a:xfrm rot="5400000">
          <a:off x="4049343" y="-1607014"/>
          <a:ext cx="1307529" cy="4806688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800" b="0" i="0" kern="1200"/>
            <a:t>The debt to equity ratio has increased from 0.84x in Mar-2019 to 3.08x in Mar-2023. </a:t>
          </a:r>
          <a:endParaRPr lang="en-IN" sz="1800" kern="1200"/>
        </a:p>
      </dsp:txBody>
      <dsp:txXfrm rot="-5400000">
        <a:off x="2299764" y="206393"/>
        <a:ext cx="4742860" cy="1179873"/>
      </dsp:txXfrm>
    </dsp:sp>
    <dsp:sp modelId="{1CB30121-0B95-48B1-A1B5-D4AF89927B5C}">
      <dsp:nvSpPr>
        <dsp:cNvPr id="0" name=""/>
        <dsp:cNvSpPr/>
      </dsp:nvSpPr>
      <dsp:spPr>
        <a:xfrm>
          <a:off x="0" y="2476"/>
          <a:ext cx="2304624" cy="1634411"/>
        </a:xfrm>
        <a:prstGeom prst="round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6680" tIns="53340" rIns="106680" bIns="5334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800" b="1" i="0" kern="1200"/>
            <a:t>Liquidity:</a:t>
          </a:r>
          <a:r>
            <a:rPr lang="en-IN" sz="2800" b="0" i="0" kern="1200"/>
            <a:t> </a:t>
          </a:r>
          <a:endParaRPr lang="en-IN" sz="2800" kern="1200"/>
        </a:p>
      </dsp:txBody>
      <dsp:txXfrm>
        <a:off x="79785" y="82261"/>
        <a:ext cx="2145054" cy="1474841"/>
      </dsp:txXfrm>
    </dsp:sp>
    <dsp:sp modelId="{45CB8141-5BDE-4E60-A6D0-24B1FB8D4A5C}">
      <dsp:nvSpPr>
        <dsp:cNvPr id="0" name=""/>
        <dsp:cNvSpPr/>
      </dsp:nvSpPr>
      <dsp:spPr>
        <a:xfrm rot="5400000">
          <a:off x="4005074" y="-77900"/>
          <a:ext cx="1563203" cy="5227429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800" b="0" i="0" kern="1200"/>
            <a:t>Tata Motors' revenue has grown steadily over the past 5 years, from ₹301,938 Cr in Mar-2019 to ₹345,967 Cr in Mar-2023</a:t>
          </a:r>
          <a:endParaRPr lang="en-IN" sz="1800" kern="1200"/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800" b="0" i="0" kern="1200"/>
            <a:t>Revenue declined in Mar-2020 and Mar-2021 </a:t>
          </a:r>
          <a:endParaRPr lang="en-IN" sz="1800" kern="1200"/>
        </a:p>
      </dsp:txBody>
      <dsp:txXfrm rot="-5400000">
        <a:off x="2172962" y="1830521"/>
        <a:ext cx="5151120" cy="1410585"/>
      </dsp:txXfrm>
    </dsp:sp>
    <dsp:sp modelId="{67F0C77A-002D-4F0A-A7D9-D53AD7C7AAE9}">
      <dsp:nvSpPr>
        <dsp:cNvPr id="0" name=""/>
        <dsp:cNvSpPr/>
      </dsp:nvSpPr>
      <dsp:spPr>
        <a:xfrm>
          <a:off x="1401" y="1718608"/>
          <a:ext cx="2171560" cy="1634411"/>
        </a:xfrm>
        <a:prstGeom prst="round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6680" tIns="53340" rIns="106680" bIns="5334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800" b="1" i="0" kern="1200"/>
            <a:t>Revenue</a:t>
          </a:r>
          <a:endParaRPr lang="en-IN" sz="2800" kern="1200"/>
        </a:p>
      </dsp:txBody>
      <dsp:txXfrm>
        <a:off x="81186" y="1798393"/>
        <a:ext cx="2011990" cy="1474841"/>
      </dsp:txXfrm>
    </dsp:sp>
    <dsp:sp modelId="{8A3896B7-DC5E-4D49-881C-6E1D174AC6CA}">
      <dsp:nvSpPr>
        <dsp:cNvPr id="0" name=""/>
        <dsp:cNvSpPr/>
      </dsp:nvSpPr>
      <dsp:spPr>
        <a:xfrm rot="5400000">
          <a:off x="4014569" y="1760349"/>
          <a:ext cx="1307529" cy="4983194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47650" tIns="123825" rIns="247650" bIns="123825" numCol="1" spcCol="1270" anchor="ctr" anchorCtr="0">
          <a:noAutofit/>
        </a:bodyPr>
        <a:lstStyle/>
        <a:p>
          <a:pPr marL="228600" lvl="1" indent="-228600" algn="l" defTabSz="8890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2000" b="0" i="0" kern="1200"/>
            <a:t>A net profit margin of -9.55% in Mar-2019 and 0.70% in Mar-2023</a:t>
          </a:r>
          <a:endParaRPr lang="en-IN" sz="2000" kern="1200"/>
        </a:p>
      </dsp:txBody>
      <dsp:txXfrm rot="-5400000">
        <a:off x="2176737" y="3662009"/>
        <a:ext cx="4919366" cy="1179873"/>
      </dsp:txXfrm>
    </dsp:sp>
    <dsp:sp modelId="{D05B1A00-DDC8-4DD2-A475-EE8B267C65E8}">
      <dsp:nvSpPr>
        <dsp:cNvPr id="0" name=""/>
        <dsp:cNvSpPr/>
      </dsp:nvSpPr>
      <dsp:spPr>
        <a:xfrm>
          <a:off x="1401" y="3434740"/>
          <a:ext cx="2175336" cy="1634411"/>
        </a:xfrm>
        <a:prstGeom prst="round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6680" tIns="53340" rIns="106680" bIns="5334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800" b="1" i="0" kern="1200"/>
            <a:t>Profitability</a:t>
          </a:r>
          <a:endParaRPr lang="en-IN" sz="2800" kern="1200"/>
        </a:p>
      </dsp:txBody>
      <dsp:txXfrm>
        <a:off x="81186" y="3514525"/>
        <a:ext cx="2015766" cy="1474841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DA51776-53C9-4B28-9E29-73F7F48CBA9D}">
      <dsp:nvSpPr>
        <dsp:cNvPr id="0" name=""/>
        <dsp:cNvSpPr/>
      </dsp:nvSpPr>
      <dsp:spPr>
        <a:xfrm rot="5400000">
          <a:off x="4597448" y="-2022890"/>
          <a:ext cx="707231" cy="5036404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36195" rIns="72390" bIns="36195" numCol="1" spcCol="1270" anchor="ctr" anchorCtr="0">
          <a:noAutofit/>
        </a:bodyPr>
        <a:lstStyle/>
        <a:p>
          <a:pPr marL="171450" lvl="1" indent="-171450" algn="l" defTabSz="8445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900" b="0" i="0" kern="1200"/>
            <a:t>Tata Motors' P/E ratio is currently 57.89x, which is significantly higher than the industry average.</a:t>
          </a:r>
          <a:endParaRPr lang="en-IN" sz="1900" kern="1200"/>
        </a:p>
      </dsp:txBody>
      <dsp:txXfrm rot="-5400000">
        <a:off x="2432862" y="176220"/>
        <a:ext cx="5001880" cy="638183"/>
      </dsp:txXfrm>
    </dsp:sp>
    <dsp:sp modelId="{546E359C-BDDA-4B54-9627-4D386194B89E}">
      <dsp:nvSpPr>
        <dsp:cNvPr id="0" name=""/>
        <dsp:cNvSpPr/>
      </dsp:nvSpPr>
      <dsp:spPr>
        <a:xfrm>
          <a:off x="314792" y="1339"/>
          <a:ext cx="2166406" cy="884039"/>
        </a:xfrm>
        <a:prstGeom prst="round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47625" rIns="95250" bIns="4762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500" b="1" i="0" kern="1200"/>
            <a:t>P/E Ratio:</a:t>
          </a:r>
          <a:endParaRPr lang="en-IN" sz="2500" kern="1200"/>
        </a:p>
      </dsp:txBody>
      <dsp:txXfrm>
        <a:off x="357947" y="44494"/>
        <a:ext cx="2080096" cy="797729"/>
      </dsp:txXfrm>
    </dsp:sp>
    <dsp:sp modelId="{CEACCDC2-64D8-47C7-84FE-A0BDEE10B168}">
      <dsp:nvSpPr>
        <dsp:cNvPr id="0" name=""/>
        <dsp:cNvSpPr/>
      </dsp:nvSpPr>
      <dsp:spPr>
        <a:xfrm rot="5400000">
          <a:off x="4701305" y="-1146602"/>
          <a:ext cx="707231" cy="5036404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36195" rIns="72390" bIns="36195" numCol="1" spcCol="1270" anchor="ctr" anchorCtr="0">
          <a:noAutofit/>
        </a:bodyPr>
        <a:lstStyle/>
        <a:p>
          <a:pPr marL="171450" lvl="1" indent="-171450" algn="l" defTabSz="8445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900" b="0" i="0" kern="1200"/>
            <a:t>The company's EV/EBITDA ratio is 7.44x, which is in line with the industry average.</a:t>
          </a:r>
          <a:endParaRPr lang="en-IN" sz="1900" kern="1200"/>
        </a:p>
      </dsp:txBody>
      <dsp:txXfrm rot="-5400000">
        <a:off x="2536719" y="1052508"/>
        <a:ext cx="5001880" cy="638183"/>
      </dsp:txXfrm>
    </dsp:sp>
    <dsp:sp modelId="{A57E3F30-7DE9-4B87-B471-19A87B5F2741}">
      <dsp:nvSpPr>
        <dsp:cNvPr id="0" name=""/>
        <dsp:cNvSpPr/>
      </dsp:nvSpPr>
      <dsp:spPr>
        <a:xfrm>
          <a:off x="296258" y="929580"/>
          <a:ext cx="2240460" cy="884039"/>
        </a:xfrm>
        <a:prstGeom prst="round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47625" rIns="95250" bIns="4762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500" b="1" i="0" kern="1200"/>
            <a:t>EV/EBITDA</a:t>
          </a:r>
          <a:endParaRPr lang="en-IN" sz="2500" kern="1200"/>
        </a:p>
      </dsp:txBody>
      <dsp:txXfrm>
        <a:off x="339413" y="972735"/>
        <a:ext cx="2154150" cy="797729"/>
      </dsp:txXfrm>
    </dsp:sp>
    <dsp:sp modelId="{9F7F4DC3-3146-45E4-8010-8301B00CB85F}">
      <dsp:nvSpPr>
        <dsp:cNvPr id="0" name=""/>
        <dsp:cNvSpPr/>
      </dsp:nvSpPr>
      <dsp:spPr>
        <a:xfrm rot="5400000">
          <a:off x="4388104" y="3844"/>
          <a:ext cx="707231" cy="4591992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36195" rIns="72390" bIns="36195" numCol="1" spcCol="1270" anchor="ctr" anchorCtr="0">
          <a:noAutofit/>
        </a:bodyPr>
        <a:lstStyle/>
        <a:p>
          <a:pPr marL="171450" lvl="1" indent="-171450" algn="l" defTabSz="8445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900" b="0" i="0" kern="1200"/>
            <a:t>The ROE is currently at 5.33%, which is still low </a:t>
          </a:r>
          <a:endParaRPr lang="en-IN" sz="1900" kern="1200"/>
        </a:p>
      </dsp:txBody>
      <dsp:txXfrm rot="-5400000">
        <a:off x="2445724" y="1980748"/>
        <a:ext cx="4557468" cy="638183"/>
      </dsp:txXfrm>
    </dsp:sp>
    <dsp:sp modelId="{2C948FAF-F5D3-4CB3-A9C7-39D7F482897E}">
      <dsp:nvSpPr>
        <dsp:cNvPr id="0" name=""/>
        <dsp:cNvSpPr/>
      </dsp:nvSpPr>
      <dsp:spPr>
        <a:xfrm>
          <a:off x="296258" y="1857821"/>
          <a:ext cx="2149465" cy="884039"/>
        </a:xfrm>
        <a:prstGeom prst="round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47625" rIns="95250" bIns="4762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2500" b="1" i="0" kern="1200"/>
            <a:t>Return on Equity (ROE)</a:t>
          </a:r>
          <a:endParaRPr lang="en-IN" sz="2500" kern="1200"/>
        </a:p>
      </dsp:txBody>
      <dsp:txXfrm>
        <a:off x="339413" y="1900976"/>
        <a:ext cx="2063155" cy="797729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DA51776-53C9-4B28-9E29-73F7F48CBA9D}">
      <dsp:nvSpPr>
        <dsp:cNvPr id="0" name=""/>
        <dsp:cNvSpPr/>
      </dsp:nvSpPr>
      <dsp:spPr>
        <a:xfrm rot="5400000">
          <a:off x="4572166" y="-1980486"/>
          <a:ext cx="870644" cy="5180491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36195" rIns="72390" bIns="36195" numCol="1" spcCol="1270" anchor="ctr" anchorCtr="0">
          <a:noAutofit/>
        </a:bodyPr>
        <a:lstStyle/>
        <a:p>
          <a:pPr marL="171450" lvl="1" indent="-171450" algn="l" defTabSz="8445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900" b="0" i="0" kern="1200"/>
            <a:t>Total debt was ₹134,113 crore as of March 2023, compared to ₹37,016 crore in March 2019..</a:t>
          </a:r>
          <a:endParaRPr lang="en-IN" sz="1900" kern="1200"/>
        </a:p>
      </dsp:txBody>
      <dsp:txXfrm rot="-5400000">
        <a:off x="2417243" y="216938"/>
        <a:ext cx="5137990" cy="785642"/>
      </dsp:txXfrm>
    </dsp:sp>
    <dsp:sp modelId="{546E359C-BDDA-4B54-9627-4D386194B89E}">
      <dsp:nvSpPr>
        <dsp:cNvPr id="0" name=""/>
        <dsp:cNvSpPr/>
      </dsp:nvSpPr>
      <dsp:spPr>
        <a:xfrm>
          <a:off x="351023" y="1648"/>
          <a:ext cx="2096875" cy="1088305"/>
        </a:xfrm>
        <a:prstGeom prst="round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0" tIns="57150" rIns="114300" bIns="57150" numCol="1" spcCol="1270" anchor="ctr" anchorCtr="0">
          <a:noAutofit/>
        </a:bodyPr>
        <a:lstStyle/>
        <a:p>
          <a:pPr marL="0" lvl="0" indent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3000" b="1" i="0" kern="1200"/>
            <a:t>Debt</a:t>
          </a:r>
          <a:endParaRPr lang="en-IN" sz="3000" kern="1200"/>
        </a:p>
      </dsp:txBody>
      <dsp:txXfrm>
        <a:off x="404150" y="54775"/>
        <a:ext cx="1990621" cy="982051"/>
      </dsp:txXfrm>
    </dsp:sp>
    <dsp:sp modelId="{CEACCDC2-64D8-47C7-84FE-A0BDEE10B168}">
      <dsp:nvSpPr>
        <dsp:cNvPr id="0" name=""/>
        <dsp:cNvSpPr/>
      </dsp:nvSpPr>
      <dsp:spPr>
        <a:xfrm rot="5400000">
          <a:off x="4717926" y="-901722"/>
          <a:ext cx="870644" cy="5180491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36195" rIns="72390" bIns="36195" numCol="1" spcCol="1270" anchor="ctr" anchorCtr="0">
          <a:noAutofit/>
        </a:bodyPr>
        <a:lstStyle/>
        <a:p>
          <a:pPr marL="228600" lvl="1" indent="-228600" algn="l" defTabSz="8890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2000" b="0" i="0" kern="1200"/>
            <a:t>It is currently at 2.01% in March 2023..</a:t>
          </a:r>
          <a:endParaRPr lang="en-IN" sz="2000" kern="1200"/>
        </a:p>
      </dsp:txBody>
      <dsp:txXfrm rot="-5400000">
        <a:off x="2563003" y="1295702"/>
        <a:ext cx="5137990" cy="785642"/>
      </dsp:txXfrm>
    </dsp:sp>
    <dsp:sp modelId="{A57E3F30-7DE9-4B87-B471-19A87B5F2741}">
      <dsp:nvSpPr>
        <dsp:cNvPr id="0" name=""/>
        <dsp:cNvSpPr/>
      </dsp:nvSpPr>
      <dsp:spPr>
        <a:xfrm>
          <a:off x="337709" y="1144370"/>
          <a:ext cx="2211979" cy="1088305"/>
        </a:xfrm>
        <a:prstGeom prst="round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0" tIns="57150" rIns="114300" bIns="57150" numCol="1" spcCol="1270" anchor="ctr" anchorCtr="0">
          <a:noAutofit/>
        </a:bodyPr>
        <a:lstStyle/>
        <a:p>
          <a:pPr marL="0" lvl="0" indent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3000" b="0" i="0" kern="1200"/>
            <a:t>EBIT margin</a:t>
          </a:r>
          <a:endParaRPr lang="en-IN" sz="3000" kern="1200"/>
        </a:p>
      </dsp:txBody>
      <dsp:txXfrm>
        <a:off x="390836" y="1197497"/>
        <a:ext cx="2105725" cy="982051"/>
      </dsp:txXfrm>
    </dsp:sp>
    <dsp:sp modelId="{9F7F4DC3-3146-45E4-8010-8301B00CB85F}">
      <dsp:nvSpPr>
        <dsp:cNvPr id="0" name=""/>
        <dsp:cNvSpPr/>
      </dsp:nvSpPr>
      <dsp:spPr>
        <a:xfrm rot="5400000">
          <a:off x="4641345" y="240998"/>
          <a:ext cx="870644" cy="5180491"/>
        </a:xfrm>
        <a:prstGeom prst="round2Same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36195" rIns="72390" bIns="36195" numCol="1" spcCol="1270" anchor="ctr" anchorCtr="0">
          <a:noAutofit/>
        </a:bodyPr>
        <a:lstStyle/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800" b="0" i="0" kern="1200"/>
            <a:t>Fluctuated, ranging from 6.89% in March 2020 to 12.93% in March 2021.</a:t>
          </a:r>
          <a:endParaRPr lang="en-IN" sz="1800" kern="1200"/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IN" sz="1800" b="0" i="0" kern="1200"/>
            <a:t>It is currently at 9.20% in March 2023.</a:t>
          </a:r>
          <a:endParaRPr lang="en-IN" sz="1800" kern="1200"/>
        </a:p>
      </dsp:txBody>
      <dsp:txXfrm rot="-5400000">
        <a:off x="2486422" y="2438423"/>
        <a:ext cx="5137990" cy="785642"/>
      </dsp:txXfrm>
    </dsp:sp>
    <dsp:sp modelId="{2C948FAF-F5D3-4CB3-A9C7-39D7F482897E}">
      <dsp:nvSpPr>
        <dsp:cNvPr id="0" name=""/>
        <dsp:cNvSpPr/>
      </dsp:nvSpPr>
      <dsp:spPr>
        <a:xfrm>
          <a:off x="351023" y="2287091"/>
          <a:ext cx="2135398" cy="1088305"/>
        </a:xfrm>
        <a:prstGeom prst="roundRect">
          <a:avLst/>
        </a:prstGeom>
        <a:solidFill>
          <a:schemeClr val="accent4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0" tIns="57150" rIns="114300" bIns="57150" numCol="1" spcCol="1270" anchor="ctr" anchorCtr="0">
          <a:noAutofit/>
        </a:bodyPr>
        <a:lstStyle/>
        <a:p>
          <a:pPr marL="0" lvl="0" indent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3000" b="0" i="0" kern="1200"/>
            <a:t>EBITDA margin </a:t>
          </a:r>
          <a:endParaRPr lang="en-IN" sz="3000" kern="1200"/>
        </a:p>
      </dsp:txBody>
      <dsp:txXfrm>
        <a:off x="404150" y="2340218"/>
        <a:ext cx="2029144" cy="98205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diagrams.loki3.com/VaryingWidthList">
  <dgm:title val="Varying Width List"/>
  <dgm:desc val="Use for emphasizing items of different weights.  Good for large amounts of Level 1 text.  The width of each shape is independently determined based on its text."/>
  <dgm:catLst>
    <dgm:cat type="list" pri="4160"/>
    <dgm:cat type="officeonline" pri="5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resizeHandles/>
    </dgm:varLst>
    <dgm:alg type="lin">
      <dgm:param type="linDir" val="fromT"/>
    </dgm:alg>
    <dgm:shape xmlns:r="http://schemas.openxmlformats.org/officeDocument/2006/relationships" r:blip="">
      <dgm:adjLst/>
    </dgm:shape>
    <dgm:presOf/>
    <dgm:constrLst>
      <dgm:constr type="w" for="ch" forName="text" val="20"/>
      <dgm:constr type="h" for="ch" forName="text" refType="h"/>
      <dgm:constr type="primFontSz" for="ch" forName="text" op="equ" val="65"/>
      <dgm:constr type="h" for="ch" forName="space" refType="h" fact="0.05"/>
    </dgm:constrLst>
    <dgm:forEach name="Name1" axis="ch" ptType="node">
      <dgm:layoutNode name="text" styleLbl="node1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tMarg" refType="primFontSz" fact="0.2"/>
          <dgm:constr type="bMarg" refType="primFontSz" fact="0.2"/>
          <dgm:constr type="lMarg" refType="primFontSz" fact="0.2"/>
          <dgm:constr type="rMarg" refType="primFontSz" fact="0.2"/>
        </dgm:constrLst>
        <dgm:ruleLst>
          <dgm:rule type="w" val="INF" fact="NaN" max="NaN"/>
          <dgm:rule type="primFontSz" val="5" fact="NaN" max="NaN"/>
        </dgm:ruleLst>
      </dgm:layoutNode>
      <dgm:choose name="Name2">
        <dgm:if name="Name3" axis="par ch" ptType="doc node" func="cnt" op="gte" val="2">
          <dgm:forEach name="Name4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</dgm:layoutNode>
          </dgm:forEach>
        </dgm:if>
        <dgm:else name="Name5"/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List5">
  <dgm:title val=""/>
  <dgm:desc val=""/>
  <dgm:catLst>
    <dgm:cat type="list" pri="15000"/>
    <dgm:cat type="convert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>
          <dgm:param type="linDir" val="fromT"/>
          <dgm:param type="nodeHorzAlign" val="l"/>
        </dgm:alg>
      </dgm:if>
      <dgm:else name="Name3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linNode" refType="h"/>
      <dgm:constr type="w" for="ch" forName="linNode" refType="w"/>
      <dgm:constr type="h" for="ch" forName="sp" refType="h" fact="0.05"/>
      <dgm:constr type="primFontSz" for="des" forName="parentText" op="equ" val="65"/>
      <dgm:constr type="secFontSz" for="des" forName="descendantText" op="equ"/>
    </dgm:constrLst>
    <dgm:ruleLst/>
    <dgm:forEach name="Name4" axis="ch" ptType="node">
      <dgm:layoutNode name="linNode">
        <dgm:choose name="Name5">
          <dgm:if name="Name6" func="var" arg="dir" op="equ" val="norm">
            <dgm:alg type="lin">
              <dgm:param type="linDir" val="fromL"/>
            </dgm:alg>
          </dgm:if>
          <dgm:else name="Name7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forName="parentText" refType="w" fact="0.36"/>
          <dgm:constr type="w" for="ch" forName="descendantText" refType="w" fact="0.64"/>
          <dgm:constr type="h" for="ch" forName="parentText" refType="h"/>
          <dgm:constr type="h" for="ch" forName="descendantText" refType="h" refFor="ch" refForName="parentText" fact="0.8"/>
        </dgm:constrLst>
        <dgm:ruleLst/>
        <dgm:layoutNode name="parentText">
          <dgm:varLst>
            <dgm:chMax val="1"/>
            <dgm:bulletEnabled val="1"/>
          </dgm:varLst>
          <dgm:alg type="tx"/>
          <dgm:shape xmlns:r="http://schemas.openxmlformats.org/officeDocument/2006/relationships" type="roundRect" r:blip="" zOrderOff="3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8">
          <dgm:if name="Name9" axis="ch" ptType="node" func="cnt" op="gte" val="1">
            <dgm:layoutNode name="descendantText" styleLbl="alignAccFollowNode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choose name="Name10">
                <dgm:if name="Name11" func="var" arg="dir" op="equ" val="norm">
                  <dgm:shape xmlns:r="http://schemas.openxmlformats.org/officeDocument/2006/relationships" rot="90" type="round2SameRect" r:blip="">
                    <dgm:adjLst/>
                  </dgm:shape>
                </dgm:if>
                <dgm:else name="Name12">
                  <dgm:shape xmlns:r="http://schemas.openxmlformats.org/officeDocument/2006/relationships" rot="-90" type="round2SameRect" r:blip="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lMarg" refType="secFontSz" fact="0.3"/>
                <dgm:constr type="rMarg" refType="secFontSz" fact="0.3"/>
                <dgm:constr type="tMarg" refType="secFontSz" fact="0.15"/>
                <dgm:constr type="bMarg" refType="secFontSz" fact="0.15"/>
              </dgm:constrLst>
              <dgm:ruleLst>
                <dgm:rule type="secFontSz" val="5" fact="NaN" max="NaN"/>
              </dgm:ruleLst>
            </dgm:layoutNode>
          </dgm:if>
          <dgm:else name="Name13"/>
        </dgm:choose>
      </dgm:layoutNode>
      <dgm:forEach name="Name14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vList5">
  <dgm:title val=""/>
  <dgm:desc val=""/>
  <dgm:catLst>
    <dgm:cat type="list" pri="15000"/>
    <dgm:cat type="convert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>
          <dgm:param type="linDir" val="fromT"/>
          <dgm:param type="nodeHorzAlign" val="l"/>
        </dgm:alg>
      </dgm:if>
      <dgm:else name="Name3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linNode" refType="h"/>
      <dgm:constr type="w" for="ch" forName="linNode" refType="w"/>
      <dgm:constr type="h" for="ch" forName="sp" refType="h" fact="0.05"/>
      <dgm:constr type="primFontSz" for="des" forName="parentText" op="equ" val="65"/>
      <dgm:constr type="secFontSz" for="des" forName="descendantText" op="equ"/>
    </dgm:constrLst>
    <dgm:ruleLst/>
    <dgm:forEach name="Name4" axis="ch" ptType="node">
      <dgm:layoutNode name="linNode">
        <dgm:choose name="Name5">
          <dgm:if name="Name6" func="var" arg="dir" op="equ" val="norm">
            <dgm:alg type="lin">
              <dgm:param type="linDir" val="fromL"/>
            </dgm:alg>
          </dgm:if>
          <dgm:else name="Name7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forName="parentText" refType="w" fact="0.36"/>
          <dgm:constr type="w" for="ch" forName="descendantText" refType="w" fact="0.64"/>
          <dgm:constr type="h" for="ch" forName="parentText" refType="h"/>
          <dgm:constr type="h" for="ch" forName="descendantText" refType="h" refFor="ch" refForName="parentText" fact="0.8"/>
        </dgm:constrLst>
        <dgm:ruleLst/>
        <dgm:layoutNode name="parentText">
          <dgm:varLst>
            <dgm:chMax val="1"/>
            <dgm:bulletEnabled val="1"/>
          </dgm:varLst>
          <dgm:alg type="tx"/>
          <dgm:shape xmlns:r="http://schemas.openxmlformats.org/officeDocument/2006/relationships" type="roundRect" r:blip="" zOrderOff="3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8">
          <dgm:if name="Name9" axis="ch" ptType="node" func="cnt" op="gte" val="1">
            <dgm:layoutNode name="descendantText" styleLbl="alignAccFollowNode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choose name="Name10">
                <dgm:if name="Name11" func="var" arg="dir" op="equ" val="norm">
                  <dgm:shape xmlns:r="http://schemas.openxmlformats.org/officeDocument/2006/relationships" rot="90" type="round2SameRect" r:blip="">
                    <dgm:adjLst/>
                  </dgm:shape>
                </dgm:if>
                <dgm:else name="Name12">
                  <dgm:shape xmlns:r="http://schemas.openxmlformats.org/officeDocument/2006/relationships" rot="-90" type="round2SameRect" r:blip="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lMarg" refType="secFontSz" fact="0.3"/>
                <dgm:constr type="rMarg" refType="secFontSz" fact="0.3"/>
                <dgm:constr type="tMarg" refType="secFontSz" fact="0.15"/>
                <dgm:constr type="bMarg" refType="secFontSz" fact="0.15"/>
              </dgm:constrLst>
              <dgm:ruleLst>
                <dgm:rule type="secFontSz" val="5" fact="NaN" max="NaN"/>
              </dgm:ruleLst>
            </dgm:layoutNode>
          </dgm:if>
          <dgm:else name="Name13"/>
        </dgm:choose>
      </dgm:layoutNode>
      <dgm:forEach name="Name14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vList5">
  <dgm:title val=""/>
  <dgm:desc val=""/>
  <dgm:catLst>
    <dgm:cat type="list" pri="15000"/>
    <dgm:cat type="convert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>
          <dgm:param type="linDir" val="fromT"/>
          <dgm:param type="nodeHorzAlign" val="l"/>
        </dgm:alg>
      </dgm:if>
      <dgm:else name="Name3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linNode" refType="h"/>
      <dgm:constr type="w" for="ch" forName="linNode" refType="w"/>
      <dgm:constr type="h" for="ch" forName="sp" refType="h" fact="0.05"/>
      <dgm:constr type="primFontSz" for="des" forName="parentText" op="equ" val="65"/>
      <dgm:constr type="secFontSz" for="des" forName="descendantText" op="equ"/>
    </dgm:constrLst>
    <dgm:ruleLst/>
    <dgm:forEach name="Name4" axis="ch" ptType="node">
      <dgm:layoutNode name="linNode">
        <dgm:choose name="Name5">
          <dgm:if name="Name6" func="var" arg="dir" op="equ" val="norm">
            <dgm:alg type="lin">
              <dgm:param type="linDir" val="fromL"/>
            </dgm:alg>
          </dgm:if>
          <dgm:else name="Name7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forName="parentText" refType="w" fact="0.36"/>
          <dgm:constr type="w" for="ch" forName="descendantText" refType="w" fact="0.64"/>
          <dgm:constr type="h" for="ch" forName="parentText" refType="h"/>
          <dgm:constr type="h" for="ch" forName="descendantText" refType="h" refFor="ch" refForName="parentText" fact="0.8"/>
        </dgm:constrLst>
        <dgm:ruleLst/>
        <dgm:layoutNode name="parentText">
          <dgm:varLst>
            <dgm:chMax val="1"/>
            <dgm:bulletEnabled val="1"/>
          </dgm:varLst>
          <dgm:alg type="tx"/>
          <dgm:shape xmlns:r="http://schemas.openxmlformats.org/officeDocument/2006/relationships" type="roundRect" r:blip="" zOrderOff="3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8">
          <dgm:if name="Name9" axis="ch" ptType="node" func="cnt" op="gte" val="1">
            <dgm:layoutNode name="descendantText" styleLbl="alignAccFollowNode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choose name="Name10">
                <dgm:if name="Name11" func="var" arg="dir" op="equ" val="norm">
                  <dgm:shape xmlns:r="http://schemas.openxmlformats.org/officeDocument/2006/relationships" rot="90" type="round2SameRect" r:blip="">
                    <dgm:adjLst/>
                  </dgm:shape>
                </dgm:if>
                <dgm:else name="Name12">
                  <dgm:shape xmlns:r="http://schemas.openxmlformats.org/officeDocument/2006/relationships" rot="-90" type="round2SameRect" r:blip="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lMarg" refType="secFontSz" fact="0.3"/>
                <dgm:constr type="rMarg" refType="secFontSz" fact="0.3"/>
                <dgm:constr type="tMarg" refType="secFontSz" fact="0.15"/>
                <dgm:constr type="bMarg" refType="secFontSz" fact="0.15"/>
              </dgm:constrLst>
              <dgm:ruleLst>
                <dgm:rule type="secFontSz" val="5" fact="NaN" max="NaN"/>
              </dgm:ruleLst>
            </dgm:layoutNode>
          </dgm:if>
          <dgm:else name="Name13"/>
        </dgm:choose>
      </dgm:layoutNode>
      <dgm:forEach name="Name14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Layout" Target="../diagrams/layout3.xml"/><Relationship Id="rId18" Type="http://schemas.openxmlformats.org/officeDocument/2006/relationships/diagramLayout" Target="../diagrams/layout4.xml"/><Relationship Id="rId26" Type="http://schemas.microsoft.com/office/2007/relationships/diagramDrawing" Target="../diagrams/drawing5.xml"/><Relationship Id="rId3" Type="http://schemas.openxmlformats.org/officeDocument/2006/relationships/diagramQuickStyle" Target="../diagrams/quickStyle1.xml"/><Relationship Id="rId21" Type="http://schemas.microsoft.com/office/2007/relationships/diagramDrawing" Target="../diagrams/drawing4.xml"/><Relationship Id="rId7" Type="http://schemas.openxmlformats.org/officeDocument/2006/relationships/diagramLayout" Target="../diagrams/layout2.xml"/><Relationship Id="rId12" Type="http://schemas.openxmlformats.org/officeDocument/2006/relationships/diagramData" Target="../diagrams/data3.xml"/><Relationship Id="rId17" Type="http://schemas.openxmlformats.org/officeDocument/2006/relationships/diagramData" Target="../diagrams/data4.xml"/><Relationship Id="rId25" Type="http://schemas.openxmlformats.org/officeDocument/2006/relationships/diagramColors" Target="../diagrams/colors5.xml"/><Relationship Id="rId2" Type="http://schemas.openxmlformats.org/officeDocument/2006/relationships/diagramLayout" Target="../diagrams/layout1.xml"/><Relationship Id="rId16" Type="http://schemas.microsoft.com/office/2007/relationships/diagramDrawing" Target="../diagrams/drawing3.xml"/><Relationship Id="rId20" Type="http://schemas.openxmlformats.org/officeDocument/2006/relationships/diagramColors" Target="../diagrams/colors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image" Target="../media/image3.png"/><Relationship Id="rId24" Type="http://schemas.openxmlformats.org/officeDocument/2006/relationships/diagramQuickStyle" Target="../diagrams/quickStyle5.xml"/><Relationship Id="rId5" Type="http://schemas.microsoft.com/office/2007/relationships/diagramDrawing" Target="../diagrams/drawing1.xml"/><Relationship Id="rId15" Type="http://schemas.openxmlformats.org/officeDocument/2006/relationships/diagramColors" Target="../diagrams/colors3.xml"/><Relationship Id="rId23" Type="http://schemas.openxmlformats.org/officeDocument/2006/relationships/diagramLayout" Target="../diagrams/layout5.xml"/><Relationship Id="rId10" Type="http://schemas.microsoft.com/office/2007/relationships/diagramDrawing" Target="../diagrams/drawing2.xml"/><Relationship Id="rId19" Type="http://schemas.openxmlformats.org/officeDocument/2006/relationships/diagramQuickStyle" Target="../diagrams/quickStyle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QuickStyle" Target="../diagrams/quickStyle3.xml"/><Relationship Id="rId22" Type="http://schemas.openxmlformats.org/officeDocument/2006/relationships/diagramData" Target="../diagrams/data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22</xdr:row>
      <xdr:rowOff>100012</xdr:rowOff>
    </xdr:from>
    <xdr:to>
      <xdr:col>5</xdr:col>
      <xdr:colOff>28575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30517-FF8E-658A-8F11-94ABE3FDE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1028699</xdr:colOff>
      <xdr:row>22</xdr:row>
      <xdr:rowOff>109537</xdr:rowOff>
    </xdr:from>
    <xdr:to>
      <xdr:col>9</xdr:col>
      <xdr:colOff>952500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45D04F-C157-DA86-96AB-741B43C0A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38099</xdr:colOff>
      <xdr:row>22</xdr:row>
      <xdr:rowOff>90488</xdr:rowOff>
    </xdr:from>
    <xdr:to>
      <xdr:col>15</xdr:col>
      <xdr:colOff>28574</xdr:colOff>
      <xdr:row>30</xdr:row>
      <xdr:rowOff>161926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04B3D9-D56B-A80E-D23D-62D4298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1</xdr:row>
      <xdr:rowOff>111493</xdr:rowOff>
    </xdr:from>
    <xdr:to>
      <xdr:col>27</xdr:col>
      <xdr:colOff>503464</xdr:colOff>
      <xdr:row>17</xdr:row>
      <xdr:rowOff>140154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D834F438-EF56-5351-AC21-37E1DD769DC3}"/>
            </a:ext>
          </a:extLst>
        </xdr:cNvPr>
        <xdr:cNvGrpSpPr/>
      </xdr:nvGrpSpPr>
      <xdr:grpSpPr>
        <a:xfrm>
          <a:off x="588819" y="301993"/>
          <a:ext cx="20540600" cy="4081116"/>
          <a:chOff x="201063" y="561889"/>
          <a:chExt cx="4566814" cy="1955845"/>
        </a:xfrm>
      </xdr:grpSpPr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CCECFFA3-3985-A47A-519E-D82F1F888F8D}"/>
              </a:ext>
            </a:extLst>
          </xdr:cNvPr>
          <xdr:cNvSpPr/>
        </xdr:nvSpPr>
        <xdr:spPr>
          <a:xfrm>
            <a:off x="201063" y="1110374"/>
            <a:ext cx="1083819" cy="893924"/>
          </a:xfrm>
          <a:custGeom>
            <a:avLst/>
            <a:gdLst>
              <a:gd name="connsiteX0" fmla="*/ 0 w 1083819"/>
              <a:gd name="connsiteY0" fmla="*/ 89392 h 893924"/>
              <a:gd name="connsiteX1" fmla="*/ 89392 w 1083819"/>
              <a:gd name="connsiteY1" fmla="*/ 0 h 893924"/>
              <a:gd name="connsiteX2" fmla="*/ 994427 w 1083819"/>
              <a:gd name="connsiteY2" fmla="*/ 0 h 893924"/>
              <a:gd name="connsiteX3" fmla="*/ 1083819 w 1083819"/>
              <a:gd name="connsiteY3" fmla="*/ 89392 h 893924"/>
              <a:gd name="connsiteX4" fmla="*/ 1083819 w 1083819"/>
              <a:gd name="connsiteY4" fmla="*/ 804532 h 893924"/>
              <a:gd name="connsiteX5" fmla="*/ 994427 w 1083819"/>
              <a:gd name="connsiteY5" fmla="*/ 893924 h 893924"/>
              <a:gd name="connsiteX6" fmla="*/ 89392 w 1083819"/>
              <a:gd name="connsiteY6" fmla="*/ 893924 h 893924"/>
              <a:gd name="connsiteX7" fmla="*/ 0 w 1083819"/>
              <a:gd name="connsiteY7" fmla="*/ 804532 h 893924"/>
              <a:gd name="connsiteX8" fmla="*/ 0 w 1083819"/>
              <a:gd name="connsiteY8" fmla="*/ 89392 h 8939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83819" h="893924">
                <a:moveTo>
                  <a:pt x="0" y="89392"/>
                </a:moveTo>
                <a:cubicBezTo>
                  <a:pt x="0" y="40022"/>
                  <a:pt x="40022" y="0"/>
                  <a:pt x="89392" y="0"/>
                </a:cubicBezTo>
                <a:lnTo>
                  <a:pt x="994427" y="0"/>
                </a:lnTo>
                <a:cubicBezTo>
                  <a:pt x="1043797" y="0"/>
                  <a:pt x="1083819" y="40022"/>
                  <a:pt x="1083819" y="89392"/>
                </a:cubicBezTo>
                <a:lnTo>
                  <a:pt x="1083819" y="804532"/>
                </a:lnTo>
                <a:cubicBezTo>
                  <a:pt x="1083819" y="853902"/>
                  <a:pt x="1043797" y="893924"/>
                  <a:pt x="994427" y="893924"/>
                </a:cubicBezTo>
                <a:lnTo>
                  <a:pt x="89392" y="893924"/>
                </a:lnTo>
                <a:cubicBezTo>
                  <a:pt x="40022" y="893924"/>
                  <a:pt x="0" y="853902"/>
                  <a:pt x="0" y="804532"/>
                </a:cubicBezTo>
                <a:lnTo>
                  <a:pt x="0" y="89392"/>
                </a:lnTo>
                <a:close/>
              </a:path>
            </a:pathLst>
          </a:custGeom>
          <a:ln w="38100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32002" tIns="32002" rIns="32002" bIns="223557" numCol="1" spcCol="1270" anchor="t" anchorCtr="0">
            <a:noAutofit/>
          </a:bodyPr>
          <a:lstStyle/>
          <a:p>
            <a:pPr marL="57150" lvl="1" indent="-57150" algn="l" defTabSz="2667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"/>
            </a:pPr>
            <a:endParaRPr lang="en-IN" sz="600" b="0" kern="1200"/>
          </a:p>
          <a:p>
            <a:pPr marL="57150" lvl="1" indent="-57150" algn="ctr" defTabSz="2667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"/>
            </a:pPr>
            <a:endParaRPr lang="en-IN" sz="600" b="0" kern="1200"/>
          </a:p>
          <a:p>
            <a:pPr marL="57150" lvl="1" indent="-57150" algn="l" defTabSz="2667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"/>
            </a:pPr>
            <a:endParaRPr lang="en-IN" sz="600" b="0" kern="1200"/>
          </a:p>
          <a:p>
            <a:pPr marL="57150" lvl="1" indent="-57150" algn="ctr" defTabSz="2667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"/>
            </a:pPr>
            <a:r>
              <a:rPr lang="en-IN" sz="1800" b="1" i="1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Downdload Excel file of any Company.</a:t>
            </a:r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7E1DA9EF-E0C3-E030-690B-098D67D71162}"/>
              </a:ext>
            </a:extLst>
          </xdr:cNvPr>
          <xdr:cNvSpPr/>
        </xdr:nvSpPr>
        <xdr:spPr>
          <a:xfrm>
            <a:off x="810606" y="1324949"/>
            <a:ext cx="1192785" cy="1192785"/>
          </a:xfrm>
          <a:prstGeom prst="leftCircularArrow">
            <a:avLst>
              <a:gd name="adj1" fmla="val 3134"/>
              <a:gd name="adj2" fmla="val 385472"/>
              <a:gd name="adj3" fmla="val 2160983"/>
              <a:gd name="adj4" fmla="val 9024489"/>
              <a:gd name="adj5" fmla="val 3656"/>
            </a:avLst>
          </a:prstGeom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1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0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9BF18039-94EB-E372-8C11-15D58FC9BCCB}"/>
              </a:ext>
            </a:extLst>
          </xdr:cNvPr>
          <xdr:cNvSpPr/>
        </xdr:nvSpPr>
        <xdr:spPr>
          <a:xfrm>
            <a:off x="441912" y="1812743"/>
            <a:ext cx="963394" cy="383110"/>
          </a:xfrm>
          <a:custGeom>
            <a:avLst/>
            <a:gdLst>
              <a:gd name="connsiteX0" fmla="*/ 0 w 963394"/>
              <a:gd name="connsiteY0" fmla="*/ 38311 h 383110"/>
              <a:gd name="connsiteX1" fmla="*/ 38311 w 963394"/>
              <a:gd name="connsiteY1" fmla="*/ 0 h 383110"/>
              <a:gd name="connsiteX2" fmla="*/ 925083 w 963394"/>
              <a:gd name="connsiteY2" fmla="*/ 0 h 383110"/>
              <a:gd name="connsiteX3" fmla="*/ 963394 w 963394"/>
              <a:gd name="connsiteY3" fmla="*/ 38311 h 383110"/>
              <a:gd name="connsiteX4" fmla="*/ 963394 w 963394"/>
              <a:gd name="connsiteY4" fmla="*/ 344799 h 383110"/>
              <a:gd name="connsiteX5" fmla="*/ 925083 w 963394"/>
              <a:gd name="connsiteY5" fmla="*/ 383110 h 383110"/>
              <a:gd name="connsiteX6" fmla="*/ 38311 w 963394"/>
              <a:gd name="connsiteY6" fmla="*/ 383110 h 383110"/>
              <a:gd name="connsiteX7" fmla="*/ 0 w 963394"/>
              <a:gd name="connsiteY7" fmla="*/ 344799 h 383110"/>
              <a:gd name="connsiteX8" fmla="*/ 0 w 963394"/>
              <a:gd name="connsiteY8" fmla="*/ 38311 h 3831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963394" h="383110">
                <a:moveTo>
                  <a:pt x="0" y="38311"/>
                </a:moveTo>
                <a:cubicBezTo>
                  <a:pt x="0" y="17152"/>
                  <a:pt x="17152" y="0"/>
                  <a:pt x="38311" y="0"/>
                </a:cubicBezTo>
                <a:lnTo>
                  <a:pt x="925083" y="0"/>
                </a:lnTo>
                <a:cubicBezTo>
                  <a:pt x="946242" y="0"/>
                  <a:pt x="963394" y="17152"/>
                  <a:pt x="963394" y="38311"/>
                </a:cubicBezTo>
                <a:lnTo>
                  <a:pt x="963394" y="344799"/>
                </a:lnTo>
                <a:cubicBezTo>
                  <a:pt x="963394" y="365958"/>
                  <a:pt x="946242" y="383110"/>
                  <a:pt x="925083" y="383110"/>
                </a:cubicBezTo>
                <a:lnTo>
                  <a:pt x="38311" y="383110"/>
                </a:lnTo>
                <a:cubicBezTo>
                  <a:pt x="17152" y="383110"/>
                  <a:pt x="0" y="365958"/>
                  <a:pt x="0" y="344799"/>
                </a:cubicBezTo>
                <a:lnTo>
                  <a:pt x="0" y="38311"/>
                </a:lnTo>
                <a:close/>
              </a:path>
            </a:pathLst>
          </a:cu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6461" tIns="21381" rIns="26461" bIns="21381" numCol="1" spcCol="1270" anchor="ctr" anchorCtr="0">
            <a:noAutofit/>
          </a:bodyPr>
          <a:lstStyle/>
          <a:p>
            <a:pPr marL="0" lvl="0" indent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800" b="1" u="sng" kern="1200"/>
              <a:t>Go to Screener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E0AB59C5-FAB7-CF83-24F8-E0145407B55B}"/>
              </a:ext>
            </a:extLst>
          </xdr:cNvPr>
          <xdr:cNvSpPr/>
        </xdr:nvSpPr>
        <xdr:spPr>
          <a:xfrm>
            <a:off x="1750031" y="1136324"/>
            <a:ext cx="1083819" cy="893924"/>
          </a:xfrm>
          <a:custGeom>
            <a:avLst/>
            <a:gdLst>
              <a:gd name="connsiteX0" fmla="*/ 0 w 1083819"/>
              <a:gd name="connsiteY0" fmla="*/ 89392 h 893924"/>
              <a:gd name="connsiteX1" fmla="*/ 89392 w 1083819"/>
              <a:gd name="connsiteY1" fmla="*/ 0 h 893924"/>
              <a:gd name="connsiteX2" fmla="*/ 994427 w 1083819"/>
              <a:gd name="connsiteY2" fmla="*/ 0 h 893924"/>
              <a:gd name="connsiteX3" fmla="*/ 1083819 w 1083819"/>
              <a:gd name="connsiteY3" fmla="*/ 89392 h 893924"/>
              <a:gd name="connsiteX4" fmla="*/ 1083819 w 1083819"/>
              <a:gd name="connsiteY4" fmla="*/ 804532 h 893924"/>
              <a:gd name="connsiteX5" fmla="*/ 994427 w 1083819"/>
              <a:gd name="connsiteY5" fmla="*/ 893924 h 893924"/>
              <a:gd name="connsiteX6" fmla="*/ 89392 w 1083819"/>
              <a:gd name="connsiteY6" fmla="*/ 893924 h 893924"/>
              <a:gd name="connsiteX7" fmla="*/ 0 w 1083819"/>
              <a:gd name="connsiteY7" fmla="*/ 804532 h 893924"/>
              <a:gd name="connsiteX8" fmla="*/ 0 w 1083819"/>
              <a:gd name="connsiteY8" fmla="*/ 89392 h 8939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83819" h="893924">
                <a:moveTo>
                  <a:pt x="0" y="89392"/>
                </a:moveTo>
                <a:cubicBezTo>
                  <a:pt x="0" y="40022"/>
                  <a:pt x="40022" y="0"/>
                  <a:pt x="89392" y="0"/>
                </a:cubicBezTo>
                <a:lnTo>
                  <a:pt x="994427" y="0"/>
                </a:lnTo>
                <a:cubicBezTo>
                  <a:pt x="1043797" y="0"/>
                  <a:pt x="1083819" y="40022"/>
                  <a:pt x="1083819" y="89392"/>
                </a:cubicBezTo>
                <a:lnTo>
                  <a:pt x="1083819" y="804532"/>
                </a:lnTo>
                <a:cubicBezTo>
                  <a:pt x="1083819" y="853902"/>
                  <a:pt x="1043797" y="893924"/>
                  <a:pt x="994427" y="893924"/>
                </a:cubicBezTo>
                <a:lnTo>
                  <a:pt x="89392" y="893924"/>
                </a:lnTo>
                <a:cubicBezTo>
                  <a:pt x="40022" y="893924"/>
                  <a:pt x="0" y="853902"/>
                  <a:pt x="0" y="804532"/>
                </a:cubicBezTo>
                <a:lnTo>
                  <a:pt x="0" y="89392"/>
                </a:lnTo>
                <a:close/>
              </a:path>
            </a:pathLst>
          </a:custGeom>
          <a:ln w="34925"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32002" tIns="223558" rIns="32002" bIns="32001" numCol="1" spcCol="1270" anchor="t" anchorCtr="0">
            <a:noAutofit/>
          </a:bodyPr>
          <a:lstStyle/>
          <a:p>
            <a:pPr marL="57150" lvl="1" indent="-57150" algn="l" defTabSz="2667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"/>
            </a:pPr>
            <a:endParaRPr lang="en-IN" sz="600" b="0" kern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57150" lvl="1" indent="-57150" algn="l" defTabSz="2667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"/>
            </a:pPr>
            <a:endParaRPr lang="en-IN" sz="600" b="0" kern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57150" lvl="1" indent="-57150" algn="l" defTabSz="2667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"/>
            </a:pPr>
            <a:endParaRPr lang="en-IN" sz="1400" b="1" kern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57150" lvl="1" indent="-57150" algn="ctr" defTabSz="2667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"/>
            </a:pPr>
            <a:r>
              <a:rPr lang="en-IN" sz="1400" b="1" i="1" kern="1200">
                <a:latin typeface="Times New Roman" panose="02020603050405020304" pitchFamily="18" charset="0"/>
                <a:cs typeface="Times New Roman" panose="02020603050405020304" pitchFamily="18" charset="0"/>
              </a:rPr>
              <a:t>Prepare Trend Analysis, Common Size Stattement, Forecasting , Ratio Analysis, Intrinsic Growth, Relative Valuation</a:t>
            </a:r>
          </a:p>
        </xdr:txBody>
      </xdr:sp>
      <xdr:sp macro="" textlink="">
        <xdr:nvSpPr>
          <xdr:cNvPr id="8" name="Arrow: Circular 7">
            <a:extLst>
              <a:ext uri="{FF2B5EF4-FFF2-40B4-BE49-F238E27FC236}">
                <a16:creationId xmlns:a16="http://schemas.microsoft.com/office/drawing/2014/main" id="{838D22EC-BD5D-3917-D1E7-88F62BCEB5D4}"/>
              </a:ext>
            </a:extLst>
          </xdr:cNvPr>
          <xdr:cNvSpPr/>
        </xdr:nvSpPr>
        <xdr:spPr>
          <a:xfrm>
            <a:off x="2183817" y="561889"/>
            <a:ext cx="1331273" cy="1331273"/>
          </a:xfrm>
          <a:prstGeom prst="circularArrow">
            <a:avLst>
              <a:gd name="adj1" fmla="val 2808"/>
              <a:gd name="adj2" fmla="val 342738"/>
              <a:gd name="adj3" fmla="val 19481752"/>
              <a:gd name="adj4" fmla="val 12575511"/>
              <a:gd name="adj5" fmla="val 3276"/>
            </a:avLst>
          </a:prstGeom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1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0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9" name="Freeform: Shape 8">
            <a:extLst>
              <a:ext uri="{FF2B5EF4-FFF2-40B4-BE49-F238E27FC236}">
                <a16:creationId xmlns:a16="http://schemas.microsoft.com/office/drawing/2014/main" id="{72D0DD69-F4F6-D4DA-28C1-1D20E009B4BE}"/>
              </a:ext>
            </a:extLst>
          </xdr:cNvPr>
          <xdr:cNvSpPr/>
        </xdr:nvSpPr>
        <xdr:spPr>
          <a:xfrm>
            <a:off x="2059744" y="892869"/>
            <a:ext cx="963394" cy="383110"/>
          </a:xfrm>
          <a:custGeom>
            <a:avLst/>
            <a:gdLst>
              <a:gd name="connsiteX0" fmla="*/ 0 w 963394"/>
              <a:gd name="connsiteY0" fmla="*/ 38311 h 383110"/>
              <a:gd name="connsiteX1" fmla="*/ 38311 w 963394"/>
              <a:gd name="connsiteY1" fmla="*/ 0 h 383110"/>
              <a:gd name="connsiteX2" fmla="*/ 925083 w 963394"/>
              <a:gd name="connsiteY2" fmla="*/ 0 h 383110"/>
              <a:gd name="connsiteX3" fmla="*/ 963394 w 963394"/>
              <a:gd name="connsiteY3" fmla="*/ 38311 h 383110"/>
              <a:gd name="connsiteX4" fmla="*/ 963394 w 963394"/>
              <a:gd name="connsiteY4" fmla="*/ 344799 h 383110"/>
              <a:gd name="connsiteX5" fmla="*/ 925083 w 963394"/>
              <a:gd name="connsiteY5" fmla="*/ 383110 h 383110"/>
              <a:gd name="connsiteX6" fmla="*/ 38311 w 963394"/>
              <a:gd name="connsiteY6" fmla="*/ 383110 h 383110"/>
              <a:gd name="connsiteX7" fmla="*/ 0 w 963394"/>
              <a:gd name="connsiteY7" fmla="*/ 344799 h 383110"/>
              <a:gd name="connsiteX8" fmla="*/ 0 w 963394"/>
              <a:gd name="connsiteY8" fmla="*/ 38311 h 3831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963394" h="383110">
                <a:moveTo>
                  <a:pt x="0" y="38311"/>
                </a:moveTo>
                <a:cubicBezTo>
                  <a:pt x="0" y="17152"/>
                  <a:pt x="17152" y="0"/>
                  <a:pt x="38311" y="0"/>
                </a:cubicBezTo>
                <a:lnTo>
                  <a:pt x="925083" y="0"/>
                </a:lnTo>
                <a:cubicBezTo>
                  <a:pt x="946242" y="0"/>
                  <a:pt x="963394" y="17152"/>
                  <a:pt x="963394" y="38311"/>
                </a:cubicBezTo>
                <a:lnTo>
                  <a:pt x="963394" y="344799"/>
                </a:lnTo>
                <a:cubicBezTo>
                  <a:pt x="963394" y="365958"/>
                  <a:pt x="946242" y="383110"/>
                  <a:pt x="925083" y="383110"/>
                </a:cubicBezTo>
                <a:lnTo>
                  <a:pt x="38311" y="383110"/>
                </a:lnTo>
                <a:cubicBezTo>
                  <a:pt x="17152" y="383110"/>
                  <a:pt x="0" y="365958"/>
                  <a:pt x="0" y="344799"/>
                </a:cubicBezTo>
                <a:lnTo>
                  <a:pt x="0" y="38311"/>
                </a:lnTo>
                <a:close/>
              </a:path>
            </a:pathLst>
          </a:cu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6461" tIns="21381" rIns="26461" bIns="21381" numCol="1" spcCol="1270" anchor="ctr" anchorCtr="0">
            <a:noAutofit/>
          </a:bodyPr>
          <a:lstStyle/>
          <a:p>
            <a:pPr marL="0" lvl="0" indent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600" b="1" u="sng" kern="1200"/>
              <a:t>Modelling Start with the uinique sheet</a:t>
            </a:r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FCACA907-FA87-3805-CCE4-9E5E972B7416}"/>
              </a:ext>
            </a:extLst>
          </xdr:cNvPr>
          <xdr:cNvSpPr/>
        </xdr:nvSpPr>
        <xdr:spPr>
          <a:xfrm>
            <a:off x="3575092" y="1324949"/>
            <a:ext cx="1192785" cy="1192785"/>
          </a:xfrm>
          <a:prstGeom prst="leftCircularArrow">
            <a:avLst>
              <a:gd name="adj1" fmla="val 3134"/>
              <a:gd name="adj2" fmla="val 385472"/>
              <a:gd name="adj3" fmla="val 2160983"/>
              <a:gd name="adj4" fmla="val 9024489"/>
              <a:gd name="adj5" fmla="val 3656"/>
            </a:avLst>
          </a:prstGeom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1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0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35096E0D-656E-66EB-9B37-E8C2971E5F97}"/>
              </a:ext>
            </a:extLst>
          </xdr:cNvPr>
          <xdr:cNvSpPr/>
        </xdr:nvSpPr>
        <xdr:spPr>
          <a:xfrm>
            <a:off x="3145420" y="1013493"/>
            <a:ext cx="1083819" cy="775037"/>
          </a:xfrm>
          <a:prstGeom prst="roundRect">
            <a:avLst>
              <a:gd name="adj" fmla="val 10000"/>
            </a:avLst>
          </a:prstGeom>
          <a:ln w="3810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anchor="t"/>
          <a:lstStyle/>
          <a:p>
            <a:pPr algn="ctr"/>
            <a:r>
              <a:rPr lang="en-I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Analysis</a:t>
            </a:r>
            <a:r>
              <a:rPr lang="en-IN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Findinds</a:t>
            </a:r>
            <a:endParaRPr lang="en-IN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Freeform: Shape 13">
            <a:extLst>
              <a:ext uri="{FF2B5EF4-FFF2-40B4-BE49-F238E27FC236}">
                <a16:creationId xmlns:a16="http://schemas.microsoft.com/office/drawing/2014/main" id="{854A799E-87B6-C3F5-26AD-B1AFCA00ED63}"/>
              </a:ext>
            </a:extLst>
          </xdr:cNvPr>
          <xdr:cNvSpPr/>
        </xdr:nvSpPr>
        <xdr:spPr>
          <a:xfrm>
            <a:off x="3700525" y="1681759"/>
            <a:ext cx="963394" cy="383110"/>
          </a:xfrm>
          <a:custGeom>
            <a:avLst/>
            <a:gdLst>
              <a:gd name="connsiteX0" fmla="*/ 0 w 963394"/>
              <a:gd name="connsiteY0" fmla="*/ 38311 h 383110"/>
              <a:gd name="connsiteX1" fmla="*/ 38311 w 963394"/>
              <a:gd name="connsiteY1" fmla="*/ 0 h 383110"/>
              <a:gd name="connsiteX2" fmla="*/ 925083 w 963394"/>
              <a:gd name="connsiteY2" fmla="*/ 0 h 383110"/>
              <a:gd name="connsiteX3" fmla="*/ 963394 w 963394"/>
              <a:gd name="connsiteY3" fmla="*/ 38311 h 383110"/>
              <a:gd name="connsiteX4" fmla="*/ 963394 w 963394"/>
              <a:gd name="connsiteY4" fmla="*/ 344799 h 383110"/>
              <a:gd name="connsiteX5" fmla="*/ 925083 w 963394"/>
              <a:gd name="connsiteY5" fmla="*/ 383110 h 383110"/>
              <a:gd name="connsiteX6" fmla="*/ 38311 w 963394"/>
              <a:gd name="connsiteY6" fmla="*/ 383110 h 383110"/>
              <a:gd name="connsiteX7" fmla="*/ 0 w 963394"/>
              <a:gd name="connsiteY7" fmla="*/ 344799 h 383110"/>
              <a:gd name="connsiteX8" fmla="*/ 0 w 963394"/>
              <a:gd name="connsiteY8" fmla="*/ 38311 h 3831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963394" h="383110">
                <a:moveTo>
                  <a:pt x="0" y="38311"/>
                </a:moveTo>
                <a:cubicBezTo>
                  <a:pt x="0" y="17152"/>
                  <a:pt x="17152" y="0"/>
                  <a:pt x="38311" y="0"/>
                </a:cubicBezTo>
                <a:lnTo>
                  <a:pt x="925083" y="0"/>
                </a:lnTo>
                <a:cubicBezTo>
                  <a:pt x="946242" y="0"/>
                  <a:pt x="963394" y="17152"/>
                  <a:pt x="963394" y="38311"/>
                </a:cubicBezTo>
                <a:lnTo>
                  <a:pt x="963394" y="344799"/>
                </a:lnTo>
                <a:cubicBezTo>
                  <a:pt x="963394" y="365958"/>
                  <a:pt x="946242" y="383110"/>
                  <a:pt x="925083" y="383110"/>
                </a:cubicBezTo>
                <a:lnTo>
                  <a:pt x="38311" y="383110"/>
                </a:lnTo>
                <a:cubicBezTo>
                  <a:pt x="17152" y="383110"/>
                  <a:pt x="0" y="365958"/>
                  <a:pt x="0" y="344799"/>
                </a:cubicBezTo>
                <a:lnTo>
                  <a:pt x="0" y="38311"/>
                </a:lnTo>
                <a:close/>
              </a:path>
            </a:pathLst>
          </a:custGeom>
          <a:solidFill>
            <a:schemeClr val="accent4">
              <a:lumMod val="50000"/>
            </a:schemeClr>
          </a:solidFill>
          <a:ln>
            <a:noFill/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6461" tIns="21381" rIns="26461" bIns="21381" numCol="1" spcCol="1270" anchor="ctr" anchorCtr="0">
            <a:noAutofit/>
          </a:bodyPr>
          <a:lstStyle/>
          <a:p>
            <a:pPr marL="0" lvl="0" indent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600" b="1" kern="1200"/>
              <a:t>     </a:t>
            </a:r>
            <a:r>
              <a:rPr lang="en-IN" sz="1600" b="1" u="sng" kern="1200"/>
              <a:t>Paste Saved file in this link </a:t>
            </a:r>
          </a:p>
        </xdr:txBody>
      </xdr:sp>
    </xdr:grpSp>
    <xdr:clientData/>
  </xdr:twoCellAnchor>
  <xdr:twoCellAnchor>
    <xdr:from>
      <xdr:col>1</xdr:col>
      <xdr:colOff>503464</xdr:colOff>
      <xdr:row>17</xdr:row>
      <xdr:rowOff>13606</xdr:rowOff>
    </xdr:from>
    <xdr:to>
      <xdr:col>5</xdr:col>
      <xdr:colOff>340179</xdr:colOff>
      <xdr:row>48</xdr:row>
      <xdr:rowOff>-1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14B48F-0D64-A84C-9E13-9A0386A6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195473</xdr:colOff>
      <xdr:row>17</xdr:row>
      <xdr:rowOff>125008</xdr:rowOff>
    </xdr:from>
    <xdr:to>
      <xdr:col>18</xdr:col>
      <xdr:colOff>1042791</xdr:colOff>
      <xdr:row>36</xdr:row>
      <xdr:rowOff>153273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394C6860-BF9C-5F84-4893-63B88E821C40}"/>
            </a:ext>
          </a:extLst>
        </xdr:cNvPr>
        <xdr:cNvGrpSpPr/>
      </xdr:nvGrpSpPr>
      <xdr:grpSpPr>
        <a:xfrm>
          <a:off x="6862973" y="4367963"/>
          <a:ext cx="5263454" cy="3682401"/>
          <a:chOff x="6130662" y="4124269"/>
          <a:chExt cx="5312934" cy="3705493"/>
        </a:xfrm>
      </xdr:grpSpPr>
      <xdr:sp macro="" textlink="">
        <xdr:nvSpPr>
          <xdr:cNvPr id="17" name="Freeform: Shape 16">
            <a:extLst>
              <a:ext uri="{FF2B5EF4-FFF2-40B4-BE49-F238E27FC236}">
                <a16:creationId xmlns:a16="http://schemas.microsoft.com/office/drawing/2014/main" id="{6A35242F-3474-9B7B-A7F9-02E1A67149AE}"/>
              </a:ext>
            </a:extLst>
          </xdr:cNvPr>
          <xdr:cNvSpPr/>
        </xdr:nvSpPr>
        <xdr:spPr>
          <a:xfrm>
            <a:off x="6130662" y="4124269"/>
            <a:ext cx="1513911" cy="756955"/>
          </a:xfrm>
          <a:custGeom>
            <a:avLst/>
            <a:gdLst>
              <a:gd name="connsiteX0" fmla="*/ 0 w 1513911"/>
              <a:gd name="connsiteY0" fmla="*/ 75696 h 756955"/>
              <a:gd name="connsiteX1" fmla="*/ 75696 w 1513911"/>
              <a:gd name="connsiteY1" fmla="*/ 0 h 756955"/>
              <a:gd name="connsiteX2" fmla="*/ 1438216 w 1513911"/>
              <a:gd name="connsiteY2" fmla="*/ 0 h 756955"/>
              <a:gd name="connsiteX3" fmla="*/ 1513912 w 1513911"/>
              <a:gd name="connsiteY3" fmla="*/ 75696 h 756955"/>
              <a:gd name="connsiteX4" fmla="*/ 1513911 w 1513911"/>
              <a:gd name="connsiteY4" fmla="*/ 681260 h 756955"/>
              <a:gd name="connsiteX5" fmla="*/ 1438215 w 1513911"/>
              <a:gd name="connsiteY5" fmla="*/ 756956 h 756955"/>
              <a:gd name="connsiteX6" fmla="*/ 75696 w 1513911"/>
              <a:gd name="connsiteY6" fmla="*/ 756955 h 756955"/>
              <a:gd name="connsiteX7" fmla="*/ 0 w 1513911"/>
              <a:gd name="connsiteY7" fmla="*/ 681259 h 756955"/>
              <a:gd name="connsiteX8" fmla="*/ 0 w 1513911"/>
              <a:gd name="connsiteY8" fmla="*/ 75696 h 7569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513911" h="756955">
                <a:moveTo>
                  <a:pt x="0" y="75696"/>
                </a:moveTo>
                <a:cubicBezTo>
                  <a:pt x="0" y="33890"/>
                  <a:pt x="33890" y="0"/>
                  <a:pt x="75696" y="0"/>
                </a:cubicBezTo>
                <a:lnTo>
                  <a:pt x="1438216" y="0"/>
                </a:lnTo>
                <a:cubicBezTo>
                  <a:pt x="1480022" y="0"/>
                  <a:pt x="1513912" y="33890"/>
                  <a:pt x="1513912" y="75696"/>
                </a:cubicBezTo>
                <a:cubicBezTo>
                  <a:pt x="1513912" y="277551"/>
                  <a:pt x="1513911" y="479405"/>
                  <a:pt x="1513911" y="681260"/>
                </a:cubicBezTo>
                <a:cubicBezTo>
                  <a:pt x="1513911" y="723066"/>
                  <a:pt x="1480021" y="756956"/>
                  <a:pt x="1438215" y="756956"/>
                </a:cubicBezTo>
                <a:lnTo>
                  <a:pt x="75696" y="756955"/>
                </a:lnTo>
                <a:cubicBezTo>
                  <a:pt x="33890" y="756955"/>
                  <a:pt x="0" y="723065"/>
                  <a:pt x="0" y="681259"/>
                </a:cubicBezTo>
                <a:lnTo>
                  <a:pt x="0" y="75696"/>
                </a:lnTo>
                <a:close/>
              </a:path>
            </a:pathLst>
          </a:custGeom>
          <a:solidFill>
            <a:schemeClr val="accent4">
              <a:lumMod val="50000"/>
            </a:schemeClr>
          </a:solidFill>
        </xdr:spPr>
        <xdr:style>
          <a:lnRef idx="3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1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52650" tIns="42490" rIns="52650" bIns="42490" numCol="1" spcCol="1270" anchor="ctr" anchorCtr="0">
            <a:noAutofit/>
          </a:bodyPr>
          <a:lstStyle/>
          <a:p>
            <a:pPr marL="0" lvl="0" indent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600" b="1" i="0" kern="1200"/>
              <a:t>Historical Trend Analysis:</a:t>
            </a:r>
            <a:endParaRPr lang="en-IN" sz="1600" b="1" kern="1200"/>
          </a:p>
        </xdr:txBody>
      </xdr:sp>
      <xdr:sp macro="" textlink="">
        <xdr:nvSpPr>
          <xdr:cNvPr id="18" name="Freeform: Shape 17">
            <a:extLst>
              <a:ext uri="{FF2B5EF4-FFF2-40B4-BE49-F238E27FC236}">
                <a16:creationId xmlns:a16="http://schemas.microsoft.com/office/drawing/2014/main" id="{155574B5-524E-9566-8980-475662F36A2A}"/>
              </a:ext>
            </a:extLst>
          </xdr:cNvPr>
          <xdr:cNvSpPr/>
        </xdr:nvSpPr>
        <xdr:spPr>
          <a:xfrm>
            <a:off x="6282054" y="4881225"/>
            <a:ext cx="151391" cy="1038588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0"/>
                </a:moveTo>
                <a:lnTo>
                  <a:pt x="0" y="1038588"/>
                </a:lnTo>
                <a:lnTo>
                  <a:pt x="151391" y="1038588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9" name="Freeform: Shape 18">
            <a:extLst>
              <a:ext uri="{FF2B5EF4-FFF2-40B4-BE49-F238E27FC236}">
                <a16:creationId xmlns:a16="http://schemas.microsoft.com/office/drawing/2014/main" id="{BF7D54C7-0E29-A0B6-B2A9-7D0E53FD5614}"/>
              </a:ext>
            </a:extLst>
          </xdr:cNvPr>
          <xdr:cNvSpPr/>
        </xdr:nvSpPr>
        <xdr:spPr>
          <a:xfrm>
            <a:off x="6433445" y="5070464"/>
            <a:ext cx="1392774" cy="1698699"/>
          </a:xfrm>
          <a:custGeom>
            <a:avLst/>
            <a:gdLst>
              <a:gd name="connsiteX0" fmla="*/ 0 w 1392774"/>
              <a:gd name="connsiteY0" fmla="*/ 139277 h 1698699"/>
              <a:gd name="connsiteX1" fmla="*/ 139277 w 1392774"/>
              <a:gd name="connsiteY1" fmla="*/ 0 h 1698699"/>
              <a:gd name="connsiteX2" fmla="*/ 1253497 w 1392774"/>
              <a:gd name="connsiteY2" fmla="*/ 0 h 1698699"/>
              <a:gd name="connsiteX3" fmla="*/ 1392774 w 1392774"/>
              <a:gd name="connsiteY3" fmla="*/ 139277 h 1698699"/>
              <a:gd name="connsiteX4" fmla="*/ 1392774 w 1392774"/>
              <a:gd name="connsiteY4" fmla="*/ 1559422 h 1698699"/>
              <a:gd name="connsiteX5" fmla="*/ 1253497 w 1392774"/>
              <a:gd name="connsiteY5" fmla="*/ 1698699 h 1698699"/>
              <a:gd name="connsiteX6" fmla="*/ 139277 w 1392774"/>
              <a:gd name="connsiteY6" fmla="*/ 1698699 h 1698699"/>
              <a:gd name="connsiteX7" fmla="*/ 0 w 1392774"/>
              <a:gd name="connsiteY7" fmla="*/ 1559422 h 1698699"/>
              <a:gd name="connsiteX8" fmla="*/ 0 w 1392774"/>
              <a:gd name="connsiteY8" fmla="*/ 139277 h 169869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392774" h="1698699">
                <a:moveTo>
                  <a:pt x="0" y="139277"/>
                </a:moveTo>
                <a:cubicBezTo>
                  <a:pt x="0" y="62356"/>
                  <a:pt x="62356" y="0"/>
                  <a:pt x="139277" y="0"/>
                </a:cubicBezTo>
                <a:lnTo>
                  <a:pt x="1253497" y="0"/>
                </a:lnTo>
                <a:cubicBezTo>
                  <a:pt x="1330418" y="0"/>
                  <a:pt x="1392774" y="62356"/>
                  <a:pt x="1392774" y="139277"/>
                </a:cubicBezTo>
                <a:lnTo>
                  <a:pt x="1392774" y="1559422"/>
                </a:lnTo>
                <a:cubicBezTo>
                  <a:pt x="1392774" y="1636343"/>
                  <a:pt x="1330418" y="1698699"/>
                  <a:pt x="1253497" y="1698699"/>
                </a:cubicBezTo>
                <a:lnTo>
                  <a:pt x="139277" y="1698699"/>
                </a:lnTo>
                <a:cubicBezTo>
                  <a:pt x="62356" y="1698699"/>
                  <a:pt x="0" y="1636343"/>
                  <a:pt x="0" y="1559422"/>
                </a:cubicBezTo>
                <a:lnTo>
                  <a:pt x="0" y="139277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3653" tIns="56033" rIns="63653" bIns="56033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200" b="0" i="0" kern="1200"/>
              <a:t>Examined Tata Motors' historical financial performance to identify patterns and trends from </a:t>
            </a:r>
            <a:r>
              <a:rPr lang="en-IN" sz="1200" b="1" i="0" kern="1200"/>
              <a:t>2015 to 2023.</a:t>
            </a:r>
            <a:endParaRPr lang="en-IN" sz="1200" b="1" kern="1200"/>
          </a:p>
        </xdr:txBody>
      </xdr:sp>
      <xdr:sp macro="" textlink="">
        <xdr:nvSpPr>
          <xdr:cNvPr id="20" name="Freeform: Shape 19">
            <a:extLst>
              <a:ext uri="{FF2B5EF4-FFF2-40B4-BE49-F238E27FC236}">
                <a16:creationId xmlns:a16="http://schemas.microsoft.com/office/drawing/2014/main" id="{9239E020-67C1-BCF7-1FDC-5B0E5D20CC13}"/>
              </a:ext>
            </a:extLst>
          </xdr:cNvPr>
          <xdr:cNvSpPr/>
        </xdr:nvSpPr>
        <xdr:spPr>
          <a:xfrm>
            <a:off x="8023052" y="4124269"/>
            <a:ext cx="1513911" cy="756955"/>
          </a:xfrm>
          <a:custGeom>
            <a:avLst/>
            <a:gdLst>
              <a:gd name="connsiteX0" fmla="*/ 0 w 1513911"/>
              <a:gd name="connsiteY0" fmla="*/ 75696 h 756955"/>
              <a:gd name="connsiteX1" fmla="*/ 75696 w 1513911"/>
              <a:gd name="connsiteY1" fmla="*/ 0 h 756955"/>
              <a:gd name="connsiteX2" fmla="*/ 1438216 w 1513911"/>
              <a:gd name="connsiteY2" fmla="*/ 0 h 756955"/>
              <a:gd name="connsiteX3" fmla="*/ 1513912 w 1513911"/>
              <a:gd name="connsiteY3" fmla="*/ 75696 h 756955"/>
              <a:gd name="connsiteX4" fmla="*/ 1513911 w 1513911"/>
              <a:gd name="connsiteY4" fmla="*/ 681260 h 756955"/>
              <a:gd name="connsiteX5" fmla="*/ 1438215 w 1513911"/>
              <a:gd name="connsiteY5" fmla="*/ 756956 h 756955"/>
              <a:gd name="connsiteX6" fmla="*/ 75696 w 1513911"/>
              <a:gd name="connsiteY6" fmla="*/ 756955 h 756955"/>
              <a:gd name="connsiteX7" fmla="*/ 0 w 1513911"/>
              <a:gd name="connsiteY7" fmla="*/ 681259 h 756955"/>
              <a:gd name="connsiteX8" fmla="*/ 0 w 1513911"/>
              <a:gd name="connsiteY8" fmla="*/ 75696 h 7569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513911" h="756955">
                <a:moveTo>
                  <a:pt x="0" y="75696"/>
                </a:moveTo>
                <a:cubicBezTo>
                  <a:pt x="0" y="33890"/>
                  <a:pt x="33890" y="0"/>
                  <a:pt x="75696" y="0"/>
                </a:cubicBezTo>
                <a:lnTo>
                  <a:pt x="1438216" y="0"/>
                </a:lnTo>
                <a:cubicBezTo>
                  <a:pt x="1480022" y="0"/>
                  <a:pt x="1513912" y="33890"/>
                  <a:pt x="1513912" y="75696"/>
                </a:cubicBezTo>
                <a:cubicBezTo>
                  <a:pt x="1513912" y="277551"/>
                  <a:pt x="1513911" y="479405"/>
                  <a:pt x="1513911" y="681260"/>
                </a:cubicBezTo>
                <a:cubicBezTo>
                  <a:pt x="1513911" y="723066"/>
                  <a:pt x="1480021" y="756956"/>
                  <a:pt x="1438215" y="756956"/>
                </a:cubicBezTo>
                <a:lnTo>
                  <a:pt x="75696" y="756955"/>
                </a:lnTo>
                <a:cubicBezTo>
                  <a:pt x="33890" y="756955"/>
                  <a:pt x="0" y="723065"/>
                  <a:pt x="0" y="681259"/>
                </a:cubicBezTo>
                <a:lnTo>
                  <a:pt x="0" y="75696"/>
                </a:lnTo>
                <a:close/>
              </a:path>
            </a:pathLst>
          </a:custGeom>
          <a:solidFill>
            <a:schemeClr val="accent4">
              <a:lumMod val="50000"/>
            </a:schemeClr>
          </a:solidFill>
        </xdr:spPr>
        <xdr:style>
          <a:lnRef idx="3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1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52650" tIns="42490" rIns="52650" bIns="42490" numCol="1" spcCol="1270" anchor="ctr" anchorCtr="0">
            <a:noAutofit/>
          </a:bodyPr>
          <a:lstStyle/>
          <a:p>
            <a:pPr marL="0" lvl="0" indent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600" b="1" i="0" kern="1200"/>
              <a:t>Common Size Statement</a:t>
            </a:r>
            <a:endParaRPr lang="en-IN" sz="1600" b="1" kern="1200"/>
          </a:p>
        </xdr:txBody>
      </xdr:sp>
      <xdr:sp macro="" textlink="">
        <xdr:nvSpPr>
          <xdr:cNvPr id="21" name="Freeform: Shape 20">
            <a:extLst>
              <a:ext uri="{FF2B5EF4-FFF2-40B4-BE49-F238E27FC236}">
                <a16:creationId xmlns:a16="http://schemas.microsoft.com/office/drawing/2014/main" id="{77901719-A99F-2705-A4EA-AB01D4824B9A}"/>
              </a:ext>
            </a:extLst>
          </xdr:cNvPr>
          <xdr:cNvSpPr/>
        </xdr:nvSpPr>
        <xdr:spPr>
          <a:xfrm>
            <a:off x="8174443" y="4881225"/>
            <a:ext cx="151391" cy="1025614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0"/>
                </a:moveTo>
                <a:lnTo>
                  <a:pt x="0" y="1025614"/>
                </a:lnTo>
                <a:lnTo>
                  <a:pt x="151391" y="1025614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2" name="Freeform: Shape 21">
            <a:extLst>
              <a:ext uri="{FF2B5EF4-FFF2-40B4-BE49-F238E27FC236}">
                <a16:creationId xmlns:a16="http://schemas.microsoft.com/office/drawing/2014/main" id="{C13904D2-AFD8-A53E-5626-34AF49AA0168}"/>
              </a:ext>
            </a:extLst>
          </xdr:cNvPr>
          <xdr:cNvSpPr/>
        </xdr:nvSpPr>
        <xdr:spPr>
          <a:xfrm>
            <a:off x="8325834" y="5070464"/>
            <a:ext cx="1211129" cy="1838286"/>
          </a:xfrm>
          <a:custGeom>
            <a:avLst/>
            <a:gdLst>
              <a:gd name="connsiteX0" fmla="*/ 0 w 1211129"/>
              <a:gd name="connsiteY0" fmla="*/ 121113 h 1672751"/>
              <a:gd name="connsiteX1" fmla="*/ 121113 w 1211129"/>
              <a:gd name="connsiteY1" fmla="*/ 0 h 1672751"/>
              <a:gd name="connsiteX2" fmla="*/ 1090016 w 1211129"/>
              <a:gd name="connsiteY2" fmla="*/ 0 h 1672751"/>
              <a:gd name="connsiteX3" fmla="*/ 1211129 w 1211129"/>
              <a:gd name="connsiteY3" fmla="*/ 121113 h 1672751"/>
              <a:gd name="connsiteX4" fmla="*/ 1211129 w 1211129"/>
              <a:gd name="connsiteY4" fmla="*/ 1551638 h 1672751"/>
              <a:gd name="connsiteX5" fmla="*/ 1090016 w 1211129"/>
              <a:gd name="connsiteY5" fmla="*/ 1672751 h 1672751"/>
              <a:gd name="connsiteX6" fmla="*/ 121113 w 1211129"/>
              <a:gd name="connsiteY6" fmla="*/ 1672751 h 1672751"/>
              <a:gd name="connsiteX7" fmla="*/ 0 w 1211129"/>
              <a:gd name="connsiteY7" fmla="*/ 1551638 h 1672751"/>
              <a:gd name="connsiteX8" fmla="*/ 0 w 1211129"/>
              <a:gd name="connsiteY8" fmla="*/ 121113 h 1672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211129" h="1672751">
                <a:moveTo>
                  <a:pt x="0" y="121113"/>
                </a:moveTo>
                <a:cubicBezTo>
                  <a:pt x="0" y="54224"/>
                  <a:pt x="54224" y="0"/>
                  <a:pt x="121113" y="0"/>
                </a:cubicBezTo>
                <a:lnTo>
                  <a:pt x="1090016" y="0"/>
                </a:lnTo>
                <a:cubicBezTo>
                  <a:pt x="1156905" y="0"/>
                  <a:pt x="1211129" y="54224"/>
                  <a:pt x="1211129" y="121113"/>
                </a:cubicBezTo>
                <a:lnTo>
                  <a:pt x="1211129" y="1551638"/>
                </a:lnTo>
                <a:cubicBezTo>
                  <a:pt x="1211129" y="1618527"/>
                  <a:pt x="1156905" y="1672751"/>
                  <a:pt x="1090016" y="1672751"/>
                </a:cubicBezTo>
                <a:lnTo>
                  <a:pt x="121113" y="1672751"/>
                </a:lnTo>
                <a:cubicBezTo>
                  <a:pt x="54224" y="1672751"/>
                  <a:pt x="0" y="1618527"/>
                  <a:pt x="0" y="1551638"/>
                </a:cubicBezTo>
                <a:lnTo>
                  <a:pt x="0" y="121113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8333" tIns="50713" rIns="58333" bIns="50713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200" b="0" i="0" kern="1200"/>
              <a:t>Created a common size income statement and balance sheet to analyze the company's financial structure and performance.</a:t>
            </a:r>
            <a:endParaRPr lang="en-IN" sz="1200" kern="1200"/>
          </a:p>
        </xdr:txBody>
      </xdr:sp>
      <xdr:sp macro="" textlink="">
        <xdr:nvSpPr>
          <xdr:cNvPr id="23" name="Freeform: Shape 22">
            <a:extLst>
              <a:ext uri="{FF2B5EF4-FFF2-40B4-BE49-F238E27FC236}">
                <a16:creationId xmlns:a16="http://schemas.microsoft.com/office/drawing/2014/main" id="{7C46D318-2F89-44B3-380A-C65C836C6F61}"/>
              </a:ext>
            </a:extLst>
          </xdr:cNvPr>
          <xdr:cNvSpPr/>
        </xdr:nvSpPr>
        <xdr:spPr>
          <a:xfrm>
            <a:off x="9915441" y="4124269"/>
            <a:ext cx="1513911" cy="756955"/>
          </a:xfrm>
          <a:custGeom>
            <a:avLst/>
            <a:gdLst>
              <a:gd name="connsiteX0" fmla="*/ 0 w 1513911"/>
              <a:gd name="connsiteY0" fmla="*/ 75696 h 756955"/>
              <a:gd name="connsiteX1" fmla="*/ 75696 w 1513911"/>
              <a:gd name="connsiteY1" fmla="*/ 0 h 756955"/>
              <a:gd name="connsiteX2" fmla="*/ 1438216 w 1513911"/>
              <a:gd name="connsiteY2" fmla="*/ 0 h 756955"/>
              <a:gd name="connsiteX3" fmla="*/ 1513912 w 1513911"/>
              <a:gd name="connsiteY3" fmla="*/ 75696 h 756955"/>
              <a:gd name="connsiteX4" fmla="*/ 1513911 w 1513911"/>
              <a:gd name="connsiteY4" fmla="*/ 681260 h 756955"/>
              <a:gd name="connsiteX5" fmla="*/ 1438215 w 1513911"/>
              <a:gd name="connsiteY5" fmla="*/ 756956 h 756955"/>
              <a:gd name="connsiteX6" fmla="*/ 75696 w 1513911"/>
              <a:gd name="connsiteY6" fmla="*/ 756955 h 756955"/>
              <a:gd name="connsiteX7" fmla="*/ 0 w 1513911"/>
              <a:gd name="connsiteY7" fmla="*/ 681259 h 756955"/>
              <a:gd name="connsiteX8" fmla="*/ 0 w 1513911"/>
              <a:gd name="connsiteY8" fmla="*/ 75696 h 75695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513911" h="756955">
                <a:moveTo>
                  <a:pt x="0" y="75696"/>
                </a:moveTo>
                <a:cubicBezTo>
                  <a:pt x="0" y="33890"/>
                  <a:pt x="33890" y="0"/>
                  <a:pt x="75696" y="0"/>
                </a:cubicBezTo>
                <a:lnTo>
                  <a:pt x="1438216" y="0"/>
                </a:lnTo>
                <a:cubicBezTo>
                  <a:pt x="1480022" y="0"/>
                  <a:pt x="1513912" y="33890"/>
                  <a:pt x="1513912" y="75696"/>
                </a:cubicBezTo>
                <a:cubicBezTo>
                  <a:pt x="1513912" y="277551"/>
                  <a:pt x="1513911" y="479405"/>
                  <a:pt x="1513911" y="681260"/>
                </a:cubicBezTo>
                <a:cubicBezTo>
                  <a:pt x="1513911" y="723066"/>
                  <a:pt x="1480021" y="756956"/>
                  <a:pt x="1438215" y="756956"/>
                </a:cubicBezTo>
                <a:lnTo>
                  <a:pt x="75696" y="756955"/>
                </a:lnTo>
                <a:cubicBezTo>
                  <a:pt x="33890" y="756955"/>
                  <a:pt x="0" y="723065"/>
                  <a:pt x="0" y="681259"/>
                </a:cubicBezTo>
                <a:lnTo>
                  <a:pt x="0" y="75696"/>
                </a:lnTo>
                <a:close/>
              </a:path>
            </a:pathLst>
          </a:custGeom>
          <a:solidFill>
            <a:schemeClr val="accent4">
              <a:lumMod val="50000"/>
            </a:schemeClr>
          </a:solidFill>
        </xdr:spPr>
        <xdr:style>
          <a:lnRef idx="3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1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52650" tIns="42490" rIns="52650" bIns="42490" numCol="1" spcCol="1270" anchor="ctr" anchorCtr="0">
            <a:noAutofit/>
          </a:bodyPr>
          <a:lstStyle/>
          <a:p>
            <a:pPr marL="0" lvl="0" indent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600" b="1" kern="1200"/>
              <a:t>Ratio Analysis</a:t>
            </a:r>
          </a:p>
        </xdr:txBody>
      </xdr:sp>
      <xdr:sp macro="" textlink="">
        <xdr:nvSpPr>
          <xdr:cNvPr id="24" name="Freeform: Shape 23">
            <a:extLst>
              <a:ext uri="{FF2B5EF4-FFF2-40B4-BE49-F238E27FC236}">
                <a16:creationId xmlns:a16="http://schemas.microsoft.com/office/drawing/2014/main" id="{58EA93A2-B5EB-C701-40F2-7641BC29F58D}"/>
              </a:ext>
            </a:extLst>
          </xdr:cNvPr>
          <xdr:cNvSpPr/>
        </xdr:nvSpPr>
        <xdr:spPr>
          <a:xfrm>
            <a:off x="10066832" y="4881225"/>
            <a:ext cx="100136" cy="832855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0"/>
                </a:moveTo>
                <a:lnTo>
                  <a:pt x="0" y="832855"/>
                </a:lnTo>
                <a:lnTo>
                  <a:pt x="100136" y="832855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6" name="Freeform: Shape 25">
            <a:extLst>
              <a:ext uri="{FF2B5EF4-FFF2-40B4-BE49-F238E27FC236}">
                <a16:creationId xmlns:a16="http://schemas.microsoft.com/office/drawing/2014/main" id="{F9256A44-F91B-0A7A-5452-00EFF0DCE247}"/>
              </a:ext>
            </a:extLst>
          </xdr:cNvPr>
          <xdr:cNvSpPr/>
        </xdr:nvSpPr>
        <xdr:spPr>
          <a:xfrm>
            <a:off x="10066832" y="4881225"/>
            <a:ext cx="126090" cy="2322026"/>
          </a:xfrm>
          <a:custGeom>
            <a:avLst/>
            <a:gdLst/>
            <a:ahLst/>
            <a:cxnLst/>
            <a:rect l="0" t="0" r="0" b="0"/>
            <a:pathLst>
              <a:path>
                <a:moveTo>
                  <a:pt x="0" y="0"/>
                </a:moveTo>
                <a:lnTo>
                  <a:pt x="0" y="2322026"/>
                </a:lnTo>
                <a:lnTo>
                  <a:pt x="126090" y="2322026"/>
                </a:lnTo>
              </a:path>
            </a:pathLst>
          </a:custGeom>
          <a:noFill/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7" name="Freeform: Shape 26">
            <a:extLst>
              <a:ext uri="{FF2B5EF4-FFF2-40B4-BE49-F238E27FC236}">
                <a16:creationId xmlns:a16="http://schemas.microsoft.com/office/drawing/2014/main" id="{90D94CE6-2304-8F4D-D0DF-D56E88870D21}"/>
              </a:ext>
            </a:extLst>
          </xdr:cNvPr>
          <xdr:cNvSpPr/>
        </xdr:nvSpPr>
        <xdr:spPr>
          <a:xfrm>
            <a:off x="10192923" y="5170717"/>
            <a:ext cx="1211129" cy="1234784"/>
          </a:xfrm>
          <a:custGeom>
            <a:avLst/>
            <a:gdLst>
              <a:gd name="connsiteX0" fmla="*/ 0 w 1211129"/>
              <a:gd name="connsiteY0" fmla="*/ 121113 h 1234784"/>
              <a:gd name="connsiteX1" fmla="*/ 121113 w 1211129"/>
              <a:gd name="connsiteY1" fmla="*/ 0 h 1234784"/>
              <a:gd name="connsiteX2" fmla="*/ 1090016 w 1211129"/>
              <a:gd name="connsiteY2" fmla="*/ 0 h 1234784"/>
              <a:gd name="connsiteX3" fmla="*/ 1211129 w 1211129"/>
              <a:gd name="connsiteY3" fmla="*/ 121113 h 1234784"/>
              <a:gd name="connsiteX4" fmla="*/ 1211129 w 1211129"/>
              <a:gd name="connsiteY4" fmla="*/ 1113671 h 1234784"/>
              <a:gd name="connsiteX5" fmla="*/ 1090016 w 1211129"/>
              <a:gd name="connsiteY5" fmla="*/ 1234784 h 1234784"/>
              <a:gd name="connsiteX6" fmla="*/ 121113 w 1211129"/>
              <a:gd name="connsiteY6" fmla="*/ 1234784 h 1234784"/>
              <a:gd name="connsiteX7" fmla="*/ 0 w 1211129"/>
              <a:gd name="connsiteY7" fmla="*/ 1113671 h 1234784"/>
              <a:gd name="connsiteX8" fmla="*/ 0 w 1211129"/>
              <a:gd name="connsiteY8" fmla="*/ 121113 h 12347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211129" h="1234784">
                <a:moveTo>
                  <a:pt x="0" y="121113"/>
                </a:moveTo>
                <a:cubicBezTo>
                  <a:pt x="0" y="54224"/>
                  <a:pt x="54224" y="0"/>
                  <a:pt x="121113" y="0"/>
                </a:cubicBezTo>
                <a:lnTo>
                  <a:pt x="1090016" y="0"/>
                </a:lnTo>
                <a:cubicBezTo>
                  <a:pt x="1156905" y="0"/>
                  <a:pt x="1211129" y="54224"/>
                  <a:pt x="1211129" y="121113"/>
                </a:cubicBezTo>
                <a:lnTo>
                  <a:pt x="1211129" y="1113671"/>
                </a:lnTo>
                <a:cubicBezTo>
                  <a:pt x="1211129" y="1180560"/>
                  <a:pt x="1156905" y="1234784"/>
                  <a:pt x="1090016" y="1234784"/>
                </a:cubicBezTo>
                <a:lnTo>
                  <a:pt x="121113" y="1234784"/>
                </a:lnTo>
                <a:cubicBezTo>
                  <a:pt x="54224" y="1234784"/>
                  <a:pt x="0" y="1180560"/>
                  <a:pt x="0" y="1113671"/>
                </a:cubicBezTo>
                <a:lnTo>
                  <a:pt x="0" y="121113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8333" tIns="50713" rIns="58333" bIns="50713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200" b="1" i="0" u="none" kern="1200"/>
              <a:t>Debtor Turnover Ratio, Creditor Turnover Ratio, Inventory Turnover, Debtor Days, Inventory Days, CFO/Total </a:t>
            </a:r>
            <a:endParaRPr lang="en-IN" sz="1200" kern="1200"/>
          </a:p>
        </xdr:txBody>
      </xdr:sp>
      <xdr:sp macro="" textlink="">
        <xdr:nvSpPr>
          <xdr:cNvPr id="29" name="Freeform: Shape 28">
            <a:extLst>
              <a:ext uri="{FF2B5EF4-FFF2-40B4-BE49-F238E27FC236}">
                <a16:creationId xmlns:a16="http://schemas.microsoft.com/office/drawing/2014/main" id="{3A145058-20AE-E464-CDD2-F609746EB828}"/>
              </a:ext>
            </a:extLst>
          </xdr:cNvPr>
          <xdr:cNvSpPr/>
        </xdr:nvSpPr>
        <xdr:spPr>
          <a:xfrm>
            <a:off x="10232467" y="6600118"/>
            <a:ext cx="1211129" cy="1229644"/>
          </a:xfrm>
          <a:custGeom>
            <a:avLst/>
            <a:gdLst>
              <a:gd name="connsiteX0" fmla="*/ 0 w 1211129"/>
              <a:gd name="connsiteY0" fmla="*/ 121113 h 1229644"/>
              <a:gd name="connsiteX1" fmla="*/ 121113 w 1211129"/>
              <a:gd name="connsiteY1" fmla="*/ 0 h 1229644"/>
              <a:gd name="connsiteX2" fmla="*/ 1090016 w 1211129"/>
              <a:gd name="connsiteY2" fmla="*/ 0 h 1229644"/>
              <a:gd name="connsiteX3" fmla="*/ 1211129 w 1211129"/>
              <a:gd name="connsiteY3" fmla="*/ 121113 h 1229644"/>
              <a:gd name="connsiteX4" fmla="*/ 1211129 w 1211129"/>
              <a:gd name="connsiteY4" fmla="*/ 1108531 h 1229644"/>
              <a:gd name="connsiteX5" fmla="*/ 1090016 w 1211129"/>
              <a:gd name="connsiteY5" fmla="*/ 1229644 h 1229644"/>
              <a:gd name="connsiteX6" fmla="*/ 121113 w 1211129"/>
              <a:gd name="connsiteY6" fmla="*/ 1229644 h 1229644"/>
              <a:gd name="connsiteX7" fmla="*/ 0 w 1211129"/>
              <a:gd name="connsiteY7" fmla="*/ 1108531 h 1229644"/>
              <a:gd name="connsiteX8" fmla="*/ 0 w 1211129"/>
              <a:gd name="connsiteY8" fmla="*/ 121113 h 1229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211129" h="1229644">
                <a:moveTo>
                  <a:pt x="0" y="121113"/>
                </a:moveTo>
                <a:cubicBezTo>
                  <a:pt x="0" y="54224"/>
                  <a:pt x="54224" y="0"/>
                  <a:pt x="121113" y="0"/>
                </a:cubicBezTo>
                <a:lnTo>
                  <a:pt x="1090016" y="0"/>
                </a:lnTo>
                <a:cubicBezTo>
                  <a:pt x="1156905" y="0"/>
                  <a:pt x="1211129" y="54224"/>
                  <a:pt x="1211129" y="121113"/>
                </a:cubicBezTo>
                <a:lnTo>
                  <a:pt x="1211129" y="1108531"/>
                </a:lnTo>
                <a:cubicBezTo>
                  <a:pt x="1211129" y="1175420"/>
                  <a:pt x="1156905" y="1229644"/>
                  <a:pt x="1090016" y="1229644"/>
                </a:cubicBezTo>
                <a:lnTo>
                  <a:pt x="121113" y="1229644"/>
                </a:lnTo>
                <a:cubicBezTo>
                  <a:pt x="54224" y="1229644"/>
                  <a:pt x="0" y="1175420"/>
                  <a:pt x="0" y="1108531"/>
                </a:cubicBezTo>
                <a:lnTo>
                  <a:pt x="0" y="121113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8333" tIns="50713" rIns="58333" bIns="50713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IN" sz="1200" b="1" i="0" u="none" kern="1200"/>
              <a:t>Assets, Return on Capital Employed, Self Sustained Growth Rate, Dividend Growth etc</a:t>
            </a:r>
            <a:endParaRPr lang="en-IN" sz="1200" kern="1200"/>
          </a:p>
        </xdr:txBody>
      </xdr:sp>
    </xdr:grpSp>
    <xdr:clientData/>
  </xdr:twoCellAnchor>
  <xdr:twoCellAnchor>
    <xdr:from>
      <xdr:col>12</xdr:col>
      <xdr:colOff>82879</xdr:colOff>
      <xdr:row>36</xdr:row>
      <xdr:rowOff>22266</xdr:rowOff>
    </xdr:from>
    <xdr:to>
      <xdr:col>18</xdr:col>
      <xdr:colOff>1274743</xdr:colOff>
      <xdr:row>71</xdr:row>
      <xdr:rowOff>171944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75975F91-29B6-4DC8-9C12-D4028CA0D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 editAs="oneCell">
    <xdr:from>
      <xdr:col>17</xdr:col>
      <xdr:colOff>411925</xdr:colOff>
      <xdr:row>67</xdr:row>
      <xdr:rowOff>64326</xdr:rowOff>
    </xdr:from>
    <xdr:to>
      <xdr:col>18</xdr:col>
      <xdr:colOff>1589562</xdr:colOff>
      <xdr:row>74</xdr:row>
      <xdr:rowOff>173182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8DF95CA-BBCB-C7A6-9151-ACCE7537D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73789" y="13866917"/>
          <a:ext cx="2199409" cy="1442356"/>
        </a:xfrm>
        <a:prstGeom prst="rect">
          <a:avLst/>
        </a:prstGeom>
      </xdr:spPr>
    </xdr:pic>
    <xdr:clientData/>
  </xdr:twoCellAnchor>
  <xdr:twoCellAnchor>
    <xdr:from>
      <xdr:col>18</xdr:col>
      <xdr:colOff>2944090</xdr:colOff>
      <xdr:row>17</xdr:row>
      <xdr:rowOff>135082</xdr:rowOff>
    </xdr:from>
    <xdr:to>
      <xdr:col>28</xdr:col>
      <xdr:colOff>173182</xdr:colOff>
      <xdr:row>44</xdr:row>
      <xdr:rowOff>34636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3BA0D78D-923E-98FE-51EA-FBB2D3B3E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" r:lo="rId13" r:qs="rId14" r:cs="rId15"/>
        </a:graphicData>
      </a:graphic>
    </xdr:graphicFrame>
    <xdr:clientData/>
  </xdr:twoCellAnchor>
  <xdr:twoCellAnchor>
    <xdr:from>
      <xdr:col>18</xdr:col>
      <xdr:colOff>2667000</xdr:colOff>
      <xdr:row>44</xdr:row>
      <xdr:rowOff>169718</xdr:rowOff>
    </xdr:from>
    <xdr:to>
      <xdr:col>28</xdr:col>
      <xdr:colOff>363682</xdr:colOff>
      <xdr:row>59</xdr:row>
      <xdr:rowOff>55418</xdr:rowOff>
    </xdr:to>
    <xdr:graphicFrame macro="">
      <xdr:nvGraphicFramePr>
        <xdr:cNvPr id="30" name="Diagram 29">
          <a:extLst>
            <a:ext uri="{FF2B5EF4-FFF2-40B4-BE49-F238E27FC236}">
              <a16:creationId xmlns:a16="http://schemas.microsoft.com/office/drawing/2014/main" id="{3F451B07-30C1-BF70-CB15-242EF6CC3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" r:lo="rId18" r:qs="rId19" r:cs="rId20"/>
        </a:graphicData>
      </a:graphic>
    </xdr:graphicFrame>
    <xdr:clientData/>
  </xdr:twoCellAnchor>
  <xdr:twoCellAnchor>
    <xdr:from>
      <xdr:col>18</xdr:col>
      <xdr:colOff>2597727</xdr:colOff>
      <xdr:row>60</xdr:row>
      <xdr:rowOff>86591</xdr:rowOff>
    </xdr:from>
    <xdr:to>
      <xdr:col>28</xdr:col>
      <xdr:colOff>519545</xdr:colOff>
      <xdr:row>78</xdr:row>
      <xdr:rowOff>34637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2FBD406D-59E6-492E-AE0C-9AB6F7BA0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" r:lo="rId23" r:qs="rId24" r:cs="rId25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D7" sqref="D7"/>
    </sheetView>
  </sheetViews>
  <sheetFormatPr defaultColWidth="8.85546875" defaultRowHeight="15" x14ac:dyDescent="0.2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2" customFormat="1" x14ac:dyDescent="0.25">
      <c r="A1" s="2" t="str">
        <f>'Data Sheet'!B1</f>
        <v>TATA MOTORS LTD</v>
      </c>
      <c r="H1" t="str">
        <f>UPDATE</f>
        <v/>
      </c>
      <c r="J1" s="3"/>
      <c r="K1" s="3"/>
      <c r="M1" s="2" t="s">
        <v>1</v>
      </c>
    </row>
    <row r="3" spans="1:14" s="2" customFormat="1" x14ac:dyDescent="0.25">
      <c r="A3" s="11" t="s">
        <v>2</v>
      </c>
      <c r="B3" s="12">
        <f>'Data Sheet'!B16</f>
        <v>41729</v>
      </c>
      <c r="C3" s="12">
        <f>'Data Sheet'!C16</f>
        <v>42094</v>
      </c>
      <c r="D3" s="12">
        <f>'Data Sheet'!D16</f>
        <v>42460</v>
      </c>
      <c r="E3" s="12">
        <f>'Data Sheet'!E16</f>
        <v>42825</v>
      </c>
      <c r="F3" s="12">
        <f>'Data Sheet'!F16</f>
        <v>43190</v>
      </c>
      <c r="G3" s="12">
        <f>'Data Sheet'!G16</f>
        <v>43555</v>
      </c>
      <c r="H3" s="12">
        <f>'Data Sheet'!H16</f>
        <v>43921</v>
      </c>
      <c r="I3" s="12">
        <f>'Data Sheet'!I16</f>
        <v>44286</v>
      </c>
      <c r="J3" s="12">
        <f>'Data Sheet'!J16</f>
        <v>44651</v>
      </c>
      <c r="K3" s="12">
        <f>'Data Sheet'!K16</f>
        <v>45016</v>
      </c>
      <c r="L3" s="13" t="s">
        <v>3</v>
      </c>
      <c r="M3" s="13" t="s">
        <v>4</v>
      </c>
      <c r="N3" s="13" t="s">
        <v>5</v>
      </c>
    </row>
    <row r="4" spans="1:14" s="2" customFormat="1" x14ac:dyDescent="0.25">
      <c r="A4" s="2" t="s">
        <v>6</v>
      </c>
      <c r="B4" s="1">
        <f>'Data Sheet'!B17</f>
        <v>232833.66</v>
      </c>
      <c r="C4" s="1">
        <f>'Data Sheet'!C17</f>
        <v>263158.98</v>
      </c>
      <c r="D4" s="1">
        <f>'Data Sheet'!D17</f>
        <v>273045.59999999998</v>
      </c>
      <c r="E4" s="1">
        <f>'Data Sheet'!E17</f>
        <v>269692.51</v>
      </c>
      <c r="F4" s="1">
        <f>'Data Sheet'!F17</f>
        <v>291550.48</v>
      </c>
      <c r="G4" s="1">
        <f>'Data Sheet'!G17</f>
        <v>301938.40000000002</v>
      </c>
      <c r="H4" s="1">
        <f>'Data Sheet'!H17</f>
        <v>261067.97</v>
      </c>
      <c r="I4" s="1">
        <f>'Data Sheet'!I17</f>
        <v>249794.75</v>
      </c>
      <c r="J4" s="1">
        <f>'Data Sheet'!J17</f>
        <v>278453.62</v>
      </c>
      <c r="K4" s="1">
        <f>'Data Sheet'!K17</f>
        <v>345966.97</v>
      </c>
      <c r="L4" s="1">
        <f>SUM(Quarters!H4:K4)</f>
        <v>401785.26</v>
      </c>
      <c r="M4" s="1">
        <f>$K4+M23*K4</f>
        <v>429849.48204652854</v>
      </c>
      <c r="N4" s="1">
        <f>$K4+N23*L4</f>
        <v>359785.6313128224</v>
      </c>
    </row>
    <row r="5" spans="1:14" x14ac:dyDescent="0.25">
      <c r="A5" t="s">
        <v>7</v>
      </c>
      <c r="B5" s="6">
        <f>SUM('Data Sheet'!B18,'Data Sheet'!B20:B24, -1*'Data Sheet'!B19)</f>
        <v>197980.30000000005</v>
      </c>
      <c r="C5" s="6">
        <f>SUM('Data Sheet'!C18,'Data Sheet'!C20:C24, -1*'Data Sheet'!C19)</f>
        <v>223920.33000000002</v>
      </c>
      <c r="D5" s="6">
        <f>SUM('Data Sheet'!D18,'Data Sheet'!D20:D24, -1*'Data Sheet'!D19)</f>
        <v>234650.35</v>
      </c>
      <c r="E5" s="6">
        <f>SUM('Data Sheet'!E18,'Data Sheet'!E20:E24, -1*'Data Sheet'!E19)</f>
        <v>240103.81999999998</v>
      </c>
      <c r="F5" s="6">
        <f>SUM('Data Sheet'!F18,'Data Sheet'!F20:F24, -1*'Data Sheet'!F19)</f>
        <v>260092.80000000002</v>
      </c>
      <c r="G5" s="6">
        <f>SUM('Data Sheet'!G18,'Data Sheet'!G20:G24, -1*'Data Sheet'!G19)</f>
        <v>277274.07</v>
      </c>
      <c r="H5" s="6">
        <f>SUM('Data Sheet'!H18,'Data Sheet'!H20:H24, -1*'Data Sheet'!H19)</f>
        <v>243080.90000000005</v>
      </c>
      <c r="I5" s="6">
        <f>SUM('Data Sheet'!I18,'Data Sheet'!I20:I24, -1*'Data Sheet'!I19)</f>
        <v>217507.32</v>
      </c>
      <c r="J5" s="6">
        <f>SUM('Data Sheet'!J18,'Data Sheet'!J20:J24, -1*'Data Sheet'!J19)</f>
        <v>253733.52999999997</v>
      </c>
      <c r="K5" s="6">
        <f>SUM('Data Sheet'!K18,'Data Sheet'!K20:K24, -1*'Data Sheet'!K19)</f>
        <v>314151.17000000004</v>
      </c>
      <c r="L5" s="6">
        <f>SUM(Quarters!H5:K5)</f>
        <v>350865.95999999996</v>
      </c>
      <c r="M5" s="6">
        <f t="shared" ref="M5:N5" si="0">M4-M6</f>
        <v>375373.5295659129</v>
      </c>
      <c r="N5" s="6">
        <f t="shared" si="0"/>
        <v>326873.02304386121</v>
      </c>
    </row>
    <row r="6" spans="1:14" s="2" customFormat="1" x14ac:dyDescent="0.25">
      <c r="A6" s="2" t="s">
        <v>8</v>
      </c>
      <c r="B6" s="1">
        <f>B4-B5</f>
        <v>34853.359999999957</v>
      </c>
      <c r="C6" s="1">
        <f t="shared" ref="C6:K6" si="1">C4-C5</f>
        <v>39238.649999999965</v>
      </c>
      <c r="D6" s="1">
        <f t="shared" si="1"/>
        <v>38395.249999999971</v>
      </c>
      <c r="E6" s="1">
        <f t="shared" si="1"/>
        <v>29588.690000000031</v>
      </c>
      <c r="F6" s="1">
        <f t="shared" si="1"/>
        <v>31457.679999999964</v>
      </c>
      <c r="G6" s="1">
        <f t="shared" si="1"/>
        <v>24664.330000000016</v>
      </c>
      <c r="H6" s="1">
        <f t="shared" si="1"/>
        <v>17987.069999999949</v>
      </c>
      <c r="I6" s="1">
        <f t="shared" si="1"/>
        <v>32287.429999999993</v>
      </c>
      <c r="J6" s="1">
        <f t="shared" si="1"/>
        <v>24720.090000000026</v>
      </c>
      <c r="K6" s="1">
        <f t="shared" si="1"/>
        <v>31815.79999999993</v>
      </c>
      <c r="L6" s="1">
        <f>SUM(Quarters!H6:K6)</f>
        <v>50919.3</v>
      </c>
      <c r="M6" s="1">
        <f>M4*M24</f>
        <v>54475.952480615648</v>
      </c>
      <c r="N6" s="1">
        <f>N4*N24</f>
        <v>32912.608268961179</v>
      </c>
    </row>
    <row r="7" spans="1:14" x14ac:dyDescent="0.25">
      <c r="A7" t="s">
        <v>9</v>
      </c>
      <c r="B7" s="6">
        <f>'Data Sheet'!B25</f>
        <v>-156.79</v>
      </c>
      <c r="C7" s="6">
        <f>'Data Sheet'!C25</f>
        <v>714.03</v>
      </c>
      <c r="D7" s="6">
        <f>'Data Sheet'!D25</f>
        <v>-2669.62</v>
      </c>
      <c r="E7" s="6">
        <f>'Data Sheet'!E25</f>
        <v>1869.1</v>
      </c>
      <c r="F7" s="6">
        <f>'Data Sheet'!F25</f>
        <v>5932.73</v>
      </c>
      <c r="G7" s="6">
        <f>'Data Sheet'!G25</f>
        <v>-26686.25</v>
      </c>
      <c r="H7" s="6">
        <f>'Data Sheet'!H25</f>
        <v>101.71</v>
      </c>
      <c r="I7" s="6">
        <f>'Data Sheet'!I25</f>
        <v>-11117.83</v>
      </c>
      <c r="J7" s="6">
        <f>'Data Sheet'!J25</f>
        <v>2424.0500000000002</v>
      </c>
      <c r="K7" s="6">
        <f>'Data Sheet'!K25</f>
        <v>6327.59</v>
      </c>
      <c r="L7" s="6">
        <f>SUM(Quarters!H7:K7)</f>
        <v>4682.2</v>
      </c>
      <c r="M7" s="6">
        <v>0</v>
      </c>
      <c r="N7" s="6">
        <v>0</v>
      </c>
    </row>
    <row r="8" spans="1:14" x14ac:dyDescent="0.25">
      <c r="A8" t="s">
        <v>10</v>
      </c>
      <c r="B8" s="6">
        <f>'Data Sheet'!B26</f>
        <v>11078.16</v>
      </c>
      <c r="C8" s="6">
        <f>'Data Sheet'!C26</f>
        <v>13388.63</v>
      </c>
      <c r="D8" s="6">
        <f>'Data Sheet'!D26</f>
        <v>16710.78</v>
      </c>
      <c r="E8" s="6">
        <f>'Data Sheet'!E26</f>
        <v>17904.990000000002</v>
      </c>
      <c r="F8" s="6">
        <f>'Data Sheet'!F26</f>
        <v>21553.59</v>
      </c>
      <c r="G8" s="6">
        <f>'Data Sheet'!G26</f>
        <v>23590.63</v>
      </c>
      <c r="H8" s="6">
        <f>'Data Sheet'!H26</f>
        <v>21425.43</v>
      </c>
      <c r="I8" s="6">
        <f>'Data Sheet'!I26</f>
        <v>23546.71</v>
      </c>
      <c r="J8" s="6">
        <f>'Data Sheet'!J26</f>
        <v>24835.69</v>
      </c>
      <c r="K8" s="6">
        <f>'Data Sheet'!K26</f>
        <v>24860.36</v>
      </c>
      <c r="L8" s="6">
        <f>SUM(Quarters!H8:K8)</f>
        <v>26391.58</v>
      </c>
      <c r="M8" s="6">
        <f>+$L8</f>
        <v>26391.58</v>
      </c>
      <c r="N8" s="6">
        <f>+$L8</f>
        <v>26391.58</v>
      </c>
    </row>
    <row r="9" spans="1:14" x14ac:dyDescent="0.25">
      <c r="A9" t="s">
        <v>11</v>
      </c>
      <c r="B9" s="6">
        <f>'Data Sheet'!B27</f>
        <v>4749.4399999999996</v>
      </c>
      <c r="C9" s="6">
        <f>'Data Sheet'!C27</f>
        <v>4861.49</v>
      </c>
      <c r="D9" s="6">
        <f>'Data Sheet'!D27</f>
        <v>4889.08</v>
      </c>
      <c r="E9" s="6">
        <f>'Data Sheet'!E27</f>
        <v>4238.01</v>
      </c>
      <c r="F9" s="6">
        <f>'Data Sheet'!F27</f>
        <v>4681.79</v>
      </c>
      <c r="G9" s="6">
        <f>'Data Sheet'!G27</f>
        <v>5758.6</v>
      </c>
      <c r="H9" s="6">
        <f>'Data Sheet'!H27</f>
        <v>7243.33</v>
      </c>
      <c r="I9" s="6">
        <f>'Data Sheet'!I27</f>
        <v>8097.17</v>
      </c>
      <c r="J9" s="6">
        <f>'Data Sheet'!J27</f>
        <v>9311.86</v>
      </c>
      <c r="K9" s="6">
        <f>'Data Sheet'!K27</f>
        <v>10225.48</v>
      </c>
      <c r="L9" s="6">
        <f>SUM(Quarters!H9:K9)</f>
        <v>10584.58</v>
      </c>
      <c r="M9" s="6">
        <f>+$L9</f>
        <v>10584.58</v>
      </c>
      <c r="N9" s="6">
        <f>+$L9</f>
        <v>10584.58</v>
      </c>
    </row>
    <row r="10" spans="1:14" x14ac:dyDescent="0.25">
      <c r="A10" t="s">
        <v>12</v>
      </c>
      <c r="B10" s="6">
        <f>'Data Sheet'!B28</f>
        <v>18868.97</v>
      </c>
      <c r="C10" s="6">
        <f>'Data Sheet'!C28</f>
        <v>21702.560000000001</v>
      </c>
      <c r="D10" s="6">
        <f>'Data Sheet'!D28</f>
        <v>14125.77</v>
      </c>
      <c r="E10" s="6">
        <f>'Data Sheet'!E28</f>
        <v>9314.7900000000009</v>
      </c>
      <c r="F10" s="6">
        <f>'Data Sheet'!F28</f>
        <v>11155.03</v>
      </c>
      <c r="G10" s="6">
        <f>'Data Sheet'!G28</f>
        <v>-31371.15</v>
      </c>
      <c r="H10" s="6">
        <f>'Data Sheet'!H28</f>
        <v>-10579.98</v>
      </c>
      <c r="I10" s="6">
        <f>'Data Sheet'!I28</f>
        <v>-10474.280000000001</v>
      </c>
      <c r="J10" s="6">
        <f>'Data Sheet'!J28</f>
        <v>-7003.41</v>
      </c>
      <c r="K10" s="6">
        <f>'Data Sheet'!K28</f>
        <v>3057.55</v>
      </c>
      <c r="L10" s="6">
        <f>SUM(Quarters!H10:K10)</f>
        <v>18625.34</v>
      </c>
      <c r="M10" s="6">
        <f>M6+M7-SUM(M8:M9)</f>
        <v>17499.792480615644</v>
      </c>
      <c r="N10" s="6">
        <f>N6+N7-SUM(N8:N9)</f>
        <v>-4063.5517310388241</v>
      </c>
    </row>
    <row r="11" spans="1:14" x14ac:dyDescent="0.25">
      <c r="A11" t="s">
        <v>13</v>
      </c>
      <c r="B11" s="6">
        <f>'Data Sheet'!B29</f>
        <v>4764.79</v>
      </c>
      <c r="C11" s="6">
        <f>'Data Sheet'!C29</f>
        <v>7642.91</v>
      </c>
      <c r="D11" s="6">
        <f>'Data Sheet'!D29</f>
        <v>3025.05</v>
      </c>
      <c r="E11" s="6">
        <f>'Data Sheet'!E29</f>
        <v>3251.23</v>
      </c>
      <c r="F11" s="6">
        <f>'Data Sheet'!F29</f>
        <v>4341.93</v>
      </c>
      <c r="G11" s="6">
        <f>'Data Sheet'!G29</f>
        <v>-2437.4499999999998</v>
      </c>
      <c r="H11" s="6">
        <f>'Data Sheet'!H29</f>
        <v>395.25</v>
      </c>
      <c r="I11" s="6">
        <f>'Data Sheet'!I29</f>
        <v>2541.86</v>
      </c>
      <c r="J11" s="6">
        <f>'Data Sheet'!J29</f>
        <v>4231.29</v>
      </c>
      <c r="K11" s="6">
        <f>'Data Sheet'!K29</f>
        <v>704.06</v>
      </c>
      <c r="L11" s="6">
        <f>SUM(Quarters!H11:K11)</f>
        <v>3408.03</v>
      </c>
      <c r="M11" s="7">
        <f>IF($L10&gt;0,$L11/$L10,0)</f>
        <v>0.1829781362380499</v>
      </c>
      <c r="N11" s="7">
        <f>IF($L10&gt;0,$L11/$L10,0)</f>
        <v>0.1829781362380499</v>
      </c>
    </row>
    <row r="12" spans="1:14" s="2" customFormat="1" x14ac:dyDescent="0.25">
      <c r="A12" s="2" t="s">
        <v>14</v>
      </c>
      <c r="B12" s="1">
        <f>'Data Sheet'!B30</f>
        <v>13991.02</v>
      </c>
      <c r="C12" s="1">
        <f>'Data Sheet'!C30</f>
        <v>13986.29</v>
      </c>
      <c r="D12" s="1">
        <f>'Data Sheet'!D30</f>
        <v>11579.31</v>
      </c>
      <c r="E12" s="1">
        <f>'Data Sheet'!E30</f>
        <v>7454.36</v>
      </c>
      <c r="F12" s="1">
        <f>'Data Sheet'!F30</f>
        <v>8988.91</v>
      </c>
      <c r="G12" s="1">
        <f>'Data Sheet'!G30</f>
        <v>-28826.23</v>
      </c>
      <c r="H12" s="1">
        <f>'Data Sheet'!H30</f>
        <v>-12070.85</v>
      </c>
      <c r="I12" s="1">
        <f>'Data Sheet'!I30</f>
        <v>-13451.39</v>
      </c>
      <c r="J12" s="1">
        <f>'Data Sheet'!J30</f>
        <v>-11441.47</v>
      </c>
      <c r="K12" s="1">
        <f>'Data Sheet'!K30</f>
        <v>2414.29</v>
      </c>
      <c r="L12" s="1">
        <f>SUM(Quarters!H12:K12)</f>
        <v>15332.3</v>
      </c>
      <c r="M12" s="1">
        <f>M10-M11*M10</f>
        <v>14297.713067959954</v>
      </c>
      <c r="N12" s="1">
        <f>N10-N11*N10</f>
        <v>-3320.0106087864388</v>
      </c>
    </row>
    <row r="13" spans="1:14" x14ac:dyDescent="0.25">
      <c r="A13" t="s">
        <v>48</v>
      </c>
      <c r="B13" s="6">
        <f>IF('Data Sheet'!B93&gt;0,B12/'Data Sheet'!B93,0)</f>
        <v>48.455427027775855</v>
      </c>
      <c r="C13" s="6">
        <f>IF('Data Sheet'!C93&gt;0,C12/'Data Sheet'!C93,0)</f>
        <v>48.439045508069547</v>
      </c>
      <c r="D13" s="6">
        <f>IF('Data Sheet'!D93&gt;0,D12/'Data Sheet'!D93,0)</f>
        <v>40.105673316708227</v>
      </c>
      <c r="E13" s="6">
        <f>IF('Data Sheet'!E93&gt;0,E12/'Data Sheet'!E93,0)</f>
        <v>25.817753610639695</v>
      </c>
      <c r="F13" s="6">
        <f>IF('Data Sheet'!F93&gt;0,F12/'Data Sheet'!F93,0)</f>
        <v>31.132580611644094</v>
      </c>
      <c r="G13" s="6">
        <f>IF('Data Sheet'!G93&gt;0,G12/'Data Sheet'!G93,0)</f>
        <v>-99.838014754268684</v>
      </c>
      <c r="H13" s="6">
        <f>IF('Data Sheet'!H93&gt;0,H12/'Data Sheet'!H93,0)</f>
        <v>-39.076885723535128</v>
      </c>
      <c r="I13" s="6">
        <f>IF('Data Sheet'!I93&gt;0,I12/'Data Sheet'!I93,0)</f>
        <v>-40.512574164985097</v>
      </c>
      <c r="J13" s="6">
        <f>IF('Data Sheet'!J93&gt;0,J12/'Data Sheet'!J93,0)</f>
        <v>-34.454994428885477</v>
      </c>
      <c r="K13" s="6">
        <f>IF('Data Sheet'!K93&gt;0,K12/'Data Sheet'!K93,0)</f>
        <v>7.2691114924878812</v>
      </c>
      <c r="L13" s="6">
        <f>IF('Data Sheet'!$B6&gt;0,'Profit &amp; Loss'!L12/'Data Sheet'!$B6,0)</f>
        <v>41.87322650055534</v>
      </c>
      <c r="M13" s="6">
        <f>IF('Data Sheet'!$B6&gt;0,'Profit &amp; Loss'!M12/'Data Sheet'!$B6,0)</f>
        <v>39.047721329131122</v>
      </c>
      <c r="N13" s="6">
        <f>IF('Data Sheet'!$B6&gt;0,'Profit &amp; Loss'!N12/'Data Sheet'!$B6,0)</f>
        <v>-9.0671038399953812</v>
      </c>
    </row>
    <row r="14" spans="1:14" x14ac:dyDescent="0.25">
      <c r="A14" t="s">
        <v>16</v>
      </c>
      <c r="B14" s="6">
        <f>IF(B15&gt;0,B15/B13,"")</f>
        <v>8.1398519050076406</v>
      </c>
      <c r="C14" s="6">
        <f t="shared" ref="C14:K14" si="2">IF(C15&gt;0,C15/C13,"")</f>
        <v>11.238247869878288</v>
      </c>
      <c r="D14" s="6">
        <f t="shared" si="2"/>
        <v>9.6395339618681959</v>
      </c>
      <c r="E14" s="6">
        <f t="shared" si="2"/>
        <v>18.043785180753279</v>
      </c>
      <c r="F14" s="6">
        <f t="shared" si="2"/>
        <v>10.4986478338308</v>
      </c>
      <c r="G14" s="6">
        <f t="shared" si="2"/>
        <v>-1.7453271725092045</v>
      </c>
      <c r="H14" s="6">
        <f t="shared" si="2"/>
        <v>-1.8182103994333454</v>
      </c>
      <c r="I14" s="6">
        <f t="shared" si="2"/>
        <v>-7.4495389695786081</v>
      </c>
      <c r="J14" s="6">
        <f t="shared" si="2"/>
        <v>-12.588886087189845</v>
      </c>
      <c r="K14" s="6">
        <f t="shared" si="2"/>
        <v>57.88878055246056</v>
      </c>
      <c r="L14" s="6">
        <f t="shared" ref="L14" si="3">IF(L13&gt;0,L15/L13,0)</f>
        <v>19.498139222425859</v>
      </c>
      <c r="M14" s="6">
        <f>M25</f>
        <v>38.693459887443211</v>
      </c>
      <c r="N14" s="6">
        <f>N25</f>
        <v>19.278140932317804</v>
      </c>
    </row>
    <row r="15" spans="1:14" s="2" customFormat="1" x14ac:dyDescent="0.25">
      <c r="A15" s="2" t="s">
        <v>49</v>
      </c>
      <c r="B15" s="1">
        <f>'Data Sheet'!B90</f>
        <v>394.42</v>
      </c>
      <c r="C15" s="1">
        <f>'Data Sheet'!C90</f>
        <v>544.37</v>
      </c>
      <c r="D15" s="1">
        <f>'Data Sheet'!D90</f>
        <v>386.6</v>
      </c>
      <c r="E15" s="1">
        <f>'Data Sheet'!E90</f>
        <v>465.85</v>
      </c>
      <c r="F15" s="1">
        <f>'Data Sheet'!F90</f>
        <v>326.85000000000002</v>
      </c>
      <c r="G15" s="1">
        <f>'Data Sheet'!G90</f>
        <v>174.25</v>
      </c>
      <c r="H15" s="1">
        <f>'Data Sheet'!H90</f>
        <v>71.05</v>
      </c>
      <c r="I15" s="1">
        <f>'Data Sheet'!I90</f>
        <v>301.8</v>
      </c>
      <c r="J15" s="1">
        <f>'Data Sheet'!J90</f>
        <v>433.75</v>
      </c>
      <c r="K15" s="1">
        <f>'Data Sheet'!K90</f>
        <v>420.8</v>
      </c>
      <c r="L15" s="1">
        <f>'Data Sheet'!B8</f>
        <v>816.45</v>
      </c>
      <c r="M15" s="8">
        <f>M13*M14</f>
        <v>1510.8914389447957</v>
      </c>
      <c r="N15" s="9">
        <f>N13*N14</f>
        <v>-174.79690567539089</v>
      </c>
    </row>
    <row r="17" spans="1:14" s="2" customFormat="1" x14ac:dyDescent="0.25">
      <c r="A17" s="2" t="s">
        <v>15</v>
      </c>
    </row>
    <row r="18" spans="1:14" x14ac:dyDescent="0.25">
      <c r="A18" t="s">
        <v>17</v>
      </c>
      <c r="B18" s="5">
        <f>IF('Data Sheet'!B30&gt;0, 'Data Sheet'!B31/'Data Sheet'!B30, 0)</f>
        <v>4.601380028046561E-2</v>
      </c>
      <c r="C18" s="5">
        <f>IF('Data Sheet'!C30&gt;0, 'Data Sheet'!C31/'Data Sheet'!C30, 0)</f>
        <v>0</v>
      </c>
      <c r="D18" s="5">
        <f>IF('Data Sheet'!D30&gt;0, 'Data Sheet'!D31/'Data Sheet'!D30, 0)</f>
        <v>5.8656344808110331E-3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0.31728582730326516</v>
      </c>
    </row>
    <row r="19" spans="1:14" x14ac:dyDescent="0.25">
      <c r="A19" t="s">
        <v>18</v>
      </c>
      <c r="B19" s="5">
        <f t="shared" ref="B19:L19" si="4">IF(B6&gt;0,B6/B4,0)</f>
        <v>0.14969210207836769</v>
      </c>
      <c r="C19" s="5">
        <f t="shared" ref="C19:K19" si="5">IF(C6&gt;0,C6/C4,0)</f>
        <v>0.14910625508580391</v>
      </c>
      <c r="D19" s="5">
        <f t="shared" si="5"/>
        <v>0.14061845347443788</v>
      </c>
      <c r="E19" s="5">
        <f t="shared" si="5"/>
        <v>0.10971268723777323</v>
      </c>
      <c r="F19" s="5">
        <f t="shared" si="5"/>
        <v>0.10789788444182964</v>
      </c>
      <c r="G19" s="5">
        <f t="shared" si="5"/>
        <v>8.1686628795807403E-2</v>
      </c>
      <c r="H19" s="5">
        <f t="shared" si="5"/>
        <v>6.8898034485042142E-2</v>
      </c>
      <c r="I19" s="5">
        <f t="shared" si="5"/>
        <v>0.12925583904385499</v>
      </c>
      <c r="J19" s="5">
        <f t="shared" si="5"/>
        <v>8.8776328352276501E-2</v>
      </c>
      <c r="K19" s="5">
        <f t="shared" si="5"/>
        <v>9.1961958102531965E-2</v>
      </c>
      <c r="L19" s="5">
        <f t="shared" si="4"/>
        <v>0.12673262329235274</v>
      </c>
    </row>
    <row r="20" spans="1:14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25">
      <c r="A22" s="11"/>
      <c r="B22" s="12"/>
      <c r="C22" s="12"/>
      <c r="D22" s="12"/>
      <c r="E22" s="12"/>
      <c r="F22" s="12"/>
      <c r="G22" s="12" t="s">
        <v>19</v>
      </c>
      <c r="H22" s="12" t="s">
        <v>56</v>
      </c>
      <c r="I22" s="12" t="s">
        <v>57</v>
      </c>
      <c r="J22" s="12" t="s">
        <v>58</v>
      </c>
      <c r="K22" s="12" t="s">
        <v>59</v>
      </c>
      <c r="L22" s="13" t="s">
        <v>60</v>
      </c>
      <c r="M22" s="13" t="s">
        <v>20</v>
      </c>
      <c r="N22" s="13" t="s">
        <v>21</v>
      </c>
    </row>
    <row r="23" spans="1:14" s="2" customFormat="1" x14ac:dyDescent="0.25">
      <c r="A23"/>
      <c r="B23"/>
      <c r="C23"/>
      <c r="D23"/>
      <c r="E23"/>
      <c r="F23"/>
      <c r="G23" t="s">
        <v>22</v>
      </c>
      <c r="H23" s="5">
        <f>IF(B4=0,"",POWER($K4/B4,1/9)-1)</f>
        <v>4.4984562710776999E-2</v>
      </c>
      <c r="I23" s="5">
        <f>IF(D4=0,"",POWER($K4/D4,1/7)-1)</f>
        <v>3.439315148799249E-2</v>
      </c>
      <c r="J23" s="5">
        <f>IF(F4=0,"",POWER($K4/F4,1/5)-1)</f>
        <v>3.4818479082157072E-2</v>
      </c>
      <c r="K23" s="5">
        <f>IF(H4=0,"",POWER($K4/H4, 1/3)-1)</f>
        <v>9.8399555801061966E-2</v>
      </c>
      <c r="L23" s="5">
        <f>IF(ISERROR(MAX(IF(J4=0,"",(K4-J4)/J4),IF(K4=0,"",(L4-K4)/K4))),"",MAX(IF(J4=0,"",(K4-J4)/J4),IF(K4=0,"",(L4-K4)/K4)))</f>
        <v>0.24245815155859701</v>
      </c>
      <c r="M23" s="16">
        <f>MAX(K23:L23)</f>
        <v>0.24245815155859701</v>
      </c>
      <c r="N23" s="16">
        <f>MIN(H23:L23)</f>
        <v>3.439315148799249E-2</v>
      </c>
    </row>
    <row r="24" spans="1:14" x14ac:dyDescent="0.25">
      <c r="G24" t="s">
        <v>18</v>
      </c>
      <c r="H24" s="5">
        <f>IF(SUM(B4:$K$4)=0,"",SUMPRODUCT(B19:$K$19,B4:$K$4)/SUM(B4:$K$4))</f>
        <v>0.11021066882769051</v>
      </c>
      <c r="I24" s="5">
        <f>IF(SUM(E4:$K$4)=0,"",SUMPRODUCT(E19:$K$19,E4:$K$4)/SUM(E4:$K$4))</f>
        <v>9.6334496175989451E-2</v>
      </c>
      <c r="J24" s="5">
        <f>IF(SUM(G4:$K$4)=0,"",SUMPRODUCT(G19:$K$19,G4:$K$4)/SUM(G4:$K$4))</f>
        <v>9.1478384361449644E-2</v>
      </c>
      <c r="K24" s="5">
        <f>IF(SUM(I4:$K$4)=0, "", SUMPRODUCT(I19:$K$19,I4:$K$4)/SUM(I4:$K$4))</f>
        <v>0.10160347906958479</v>
      </c>
      <c r="L24" s="5">
        <f>L19</f>
        <v>0.12673262329235274</v>
      </c>
      <c r="M24" s="16">
        <f>MAX(K24:L24)</f>
        <v>0.12673262329235274</v>
      </c>
      <c r="N24" s="16">
        <f>MIN(H24:L24)</f>
        <v>9.1478384361449644E-2</v>
      </c>
    </row>
    <row r="25" spans="1:14" x14ac:dyDescent="0.25">
      <c r="G25" t="s">
        <v>23</v>
      </c>
      <c r="H25" s="6">
        <f>IF(ISERROR(AVERAGEIF(B14:$L14,"&gt;0")),"",AVERAGEIF(B14:$L14,"&gt;0"))</f>
        <v>19.278140932317804</v>
      </c>
      <c r="I25" s="6">
        <f>IF(ISERROR(AVERAGEIF(E14:$L14,"&gt;0")),"",AVERAGEIF(E14:$L14,"&gt;0"))</f>
        <v>26.482338197367625</v>
      </c>
      <c r="J25" s="6">
        <f>IF(ISERROR(AVERAGEIF(G14:$L14,"&gt;0")),"",AVERAGEIF(G14:$L14,"&gt;0"))</f>
        <v>38.693459887443211</v>
      </c>
      <c r="K25" s="6">
        <f>IF(ISERROR(AVERAGEIF(I14:$L14,"&gt;0")),"",AVERAGEIF(I14:$L14,"&gt;0"))</f>
        <v>38.693459887443211</v>
      </c>
      <c r="L25" s="6">
        <f>L14</f>
        <v>19.498139222425859</v>
      </c>
      <c r="M25" s="1">
        <f>MAX(K25:L25)</f>
        <v>38.693459887443211</v>
      </c>
      <c r="N25" s="1">
        <f>MIN(H25:L25)</f>
        <v>19.278140932317804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69EC-6B8D-425D-BA46-5E7FA781854C}">
  <sheetPr>
    <tabColor theme="7" tint="-0.499984740745262"/>
  </sheetPr>
  <dimension ref="B1:O35"/>
  <sheetViews>
    <sheetView showGridLines="0" topLeftCell="A18" zoomScale="85" zoomScaleNormal="85" workbookViewId="0">
      <selection activeCell="D18" sqref="D18"/>
    </sheetView>
  </sheetViews>
  <sheetFormatPr defaultRowHeight="15" x14ac:dyDescent="0.25"/>
  <cols>
    <col min="1" max="1" width="2.28515625" customWidth="1"/>
    <col min="2" max="2" width="21.28515625" style="36" bestFit="1" customWidth="1"/>
    <col min="3" max="3" width="9.5703125" bestFit="1" customWidth="1"/>
    <col min="4" max="4" width="15.5703125" customWidth="1"/>
    <col min="5" max="5" width="16.140625" customWidth="1"/>
    <col min="6" max="6" width="15.85546875" customWidth="1"/>
    <col min="7" max="7" width="23.7109375" customWidth="1"/>
    <col min="8" max="8" width="11.28515625" customWidth="1"/>
    <col min="9" max="9" width="12" customWidth="1"/>
    <col min="10" max="10" width="14.42578125" bestFit="1" customWidth="1"/>
    <col min="11" max="11" width="15.42578125" customWidth="1"/>
    <col min="12" max="12" width="13.85546875" customWidth="1"/>
    <col min="13" max="13" width="6.42578125" bestFit="1" customWidth="1"/>
    <col min="14" max="14" width="12.42578125" customWidth="1"/>
    <col min="15" max="15" width="13.7109375" customWidth="1"/>
  </cols>
  <sheetData>
    <row r="1" spans="2:15" x14ac:dyDescent="0.25">
      <c r="C1" s="75"/>
      <c r="D1" s="36"/>
      <c r="E1" s="75"/>
      <c r="F1" s="75"/>
      <c r="G1" s="75"/>
      <c r="H1" s="75"/>
      <c r="I1" s="75"/>
      <c r="J1" s="75"/>
      <c r="K1" s="36"/>
      <c r="L1" s="36"/>
      <c r="M1" s="36"/>
      <c r="N1" s="36"/>
    </row>
    <row r="2" spans="2:15" ht="26.25" x14ac:dyDescent="0.4">
      <c r="B2" s="198" t="s">
        <v>156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</row>
    <row r="3" spans="2:15" x14ac:dyDescent="0.25">
      <c r="C3" s="75"/>
      <c r="D3" s="36"/>
      <c r="E3" s="75"/>
      <c r="F3" s="75"/>
      <c r="G3" s="75"/>
      <c r="H3" s="75"/>
      <c r="I3" s="75"/>
      <c r="J3" s="75"/>
      <c r="K3" s="36"/>
      <c r="L3" s="36"/>
      <c r="M3" s="36"/>
      <c r="N3" s="36"/>
    </row>
    <row r="4" spans="2:15" x14ac:dyDescent="0.25">
      <c r="C4" s="75"/>
      <c r="D4" s="75"/>
      <c r="E4" s="75"/>
      <c r="F4" s="75"/>
      <c r="G4" s="75"/>
      <c r="H4" s="75"/>
      <c r="I4" s="75"/>
      <c r="J4" s="75"/>
      <c r="K4" s="75"/>
      <c r="L4" s="36"/>
      <c r="M4" s="36"/>
      <c r="N4" s="36"/>
    </row>
    <row r="5" spans="2:15" x14ac:dyDescent="0.25">
      <c r="C5" s="75"/>
      <c r="D5" s="36"/>
      <c r="E5" s="75"/>
      <c r="F5" s="75"/>
      <c r="G5" s="75"/>
      <c r="H5" s="75"/>
      <c r="I5" s="75"/>
      <c r="J5" s="75"/>
      <c r="K5" s="36"/>
      <c r="L5" s="36"/>
      <c r="M5" s="36"/>
      <c r="N5" s="36"/>
    </row>
    <row r="7" spans="2:15" x14ac:dyDescent="0.25">
      <c r="B7" s="197" t="s">
        <v>143</v>
      </c>
      <c r="C7" s="197"/>
      <c r="D7" s="197"/>
      <c r="E7" s="197"/>
      <c r="G7" s="197" t="s">
        <v>143</v>
      </c>
      <c r="H7" s="197"/>
      <c r="I7" s="197"/>
      <c r="J7" s="197"/>
      <c r="L7" s="197" t="s">
        <v>143</v>
      </c>
      <c r="M7" s="197"/>
      <c r="N7" s="197"/>
      <c r="O7" s="197"/>
    </row>
    <row r="8" spans="2:15" x14ac:dyDescent="0.25">
      <c r="B8" s="74" t="s">
        <v>142</v>
      </c>
      <c r="C8" s="38" t="s">
        <v>147</v>
      </c>
      <c r="D8" s="38" t="s">
        <v>154</v>
      </c>
      <c r="E8" s="38" t="s">
        <v>22</v>
      </c>
      <c r="G8" s="74" t="s">
        <v>157</v>
      </c>
      <c r="H8" s="38" t="s">
        <v>147</v>
      </c>
      <c r="I8" s="38" t="s">
        <v>89</v>
      </c>
      <c r="J8" s="38" t="s">
        <v>141</v>
      </c>
      <c r="L8" s="74" t="s">
        <v>158</v>
      </c>
      <c r="M8" s="38" t="s">
        <v>147</v>
      </c>
      <c r="N8" s="38" t="s">
        <v>48</v>
      </c>
      <c r="O8" s="38" t="s">
        <v>155</v>
      </c>
    </row>
    <row r="9" spans="2:15" x14ac:dyDescent="0.25">
      <c r="B9" s="36">
        <v>1</v>
      </c>
      <c r="C9" s="92">
        <v>2015</v>
      </c>
      <c r="D9" s="91">
        <f>'Historical Financial Statement'!C8</f>
        <v>263158.98</v>
      </c>
      <c r="G9" s="36">
        <v>1</v>
      </c>
      <c r="H9" s="92">
        <v>2015</v>
      </c>
      <c r="I9" s="91">
        <f>'Historical Financial Statement'!C20</f>
        <v>39238.64999999998</v>
      </c>
      <c r="L9" s="36">
        <v>1</v>
      </c>
      <c r="M9" s="92">
        <v>2015</v>
      </c>
      <c r="N9" s="91">
        <f>'Historical Financial Statement'!C40</f>
        <v>46.220198102098706</v>
      </c>
    </row>
    <row r="10" spans="2:15" x14ac:dyDescent="0.25">
      <c r="B10" s="36">
        <v>2</v>
      </c>
      <c r="C10" s="92">
        <v>2016</v>
      </c>
      <c r="D10" s="91">
        <f>'Historical Financial Statement'!D8</f>
        <v>273045.59999999998</v>
      </c>
      <c r="E10" s="35">
        <f>D10/D9-1</f>
        <v>3.75690010654397E-2</v>
      </c>
      <c r="G10" s="36">
        <v>2</v>
      </c>
      <c r="H10" s="92">
        <v>2016</v>
      </c>
      <c r="I10" s="91">
        <f>'Historical Financial Statement'!D20</f>
        <v>38395.249999999971</v>
      </c>
      <c r="J10" s="35">
        <f>I10/I9-1</f>
        <v>-2.1494113584437979E-2</v>
      </c>
      <c r="L10" s="36">
        <v>2</v>
      </c>
      <c r="M10" s="92">
        <v>2016</v>
      </c>
      <c r="N10" s="91">
        <f>'Historical Financial Statement'!D40</f>
        <v>47.694444444444336</v>
      </c>
      <c r="O10" s="76">
        <f>N10/N9-1</f>
        <v>3.189614936502605E-2</v>
      </c>
    </row>
    <row r="11" spans="2:15" x14ac:dyDescent="0.25">
      <c r="B11" s="36">
        <v>3</v>
      </c>
      <c r="C11" s="92">
        <v>2017</v>
      </c>
      <c r="D11" s="91">
        <f>'Historical Financial Statement'!E8</f>
        <v>269692.51</v>
      </c>
      <c r="E11" s="35">
        <f t="shared" ref="E11:E22" si="0">D11/D10-1</f>
        <v>-1.2280329732469508E-2</v>
      </c>
      <c r="G11" s="36">
        <v>3</v>
      </c>
      <c r="H11" s="92">
        <v>2017</v>
      </c>
      <c r="I11" s="91">
        <f>'Historical Financial Statement'!E20</f>
        <v>29588.690000000046</v>
      </c>
      <c r="J11" s="35">
        <f t="shared" ref="J11:J22" si="1">I11/I10-1</f>
        <v>-0.22936587208052905</v>
      </c>
      <c r="L11" s="36">
        <v>3</v>
      </c>
      <c r="M11" s="92">
        <v>2017</v>
      </c>
      <c r="N11" s="91">
        <f>'Historical Financial Statement'!E40</f>
        <v>14.527274616423808</v>
      </c>
      <c r="O11" s="76">
        <f t="shared" ref="O11:O22" si="2">N11/N10-1</f>
        <v>-0.69540950134463697</v>
      </c>
    </row>
    <row r="12" spans="2:15" x14ac:dyDescent="0.25">
      <c r="B12" s="36">
        <v>4</v>
      </c>
      <c r="C12" s="92">
        <v>2018</v>
      </c>
      <c r="D12" s="91">
        <f>'Historical Financial Statement'!F8</f>
        <v>291550.48</v>
      </c>
      <c r="E12" s="35">
        <f t="shared" si="0"/>
        <v>8.104774581985974E-2</v>
      </c>
      <c r="G12" s="36">
        <v>4</v>
      </c>
      <c r="H12" s="92">
        <v>2018</v>
      </c>
      <c r="I12" s="91">
        <f>'Historical Financial Statement'!F20</f>
        <v>31457.679999999993</v>
      </c>
      <c r="J12" s="35">
        <f t="shared" si="1"/>
        <v>6.3165689322506102E-2</v>
      </c>
      <c r="L12" s="36">
        <v>4</v>
      </c>
      <c r="M12" s="92">
        <v>2018</v>
      </c>
      <c r="N12" s="91">
        <f>'Historical Financial Statement'!F40</f>
        <v>3.049111626779315</v>
      </c>
      <c r="O12" s="76">
        <f t="shared" si="2"/>
        <v>-0.79011124197155724</v>
      </c>
    </row>
    <row r="13" spans="2:15" x14ac:dyDescent="0.25">
      <c r="B13" s="36">
        <v>5</v>
      </c>
      <c r="C13" s="92">
        <v>2019</v>
      </c>
      <c r="D13" s="91">
        <f>'Historical Financial Statement'!G8</f>
        <v>301938.40000000002</v>
      </c>
      <c r="E13" s="35">
        <f t="shared" si="0"/>
        <v>3.5629919045237157E-2</v>
      </c>
      <c r="G13" s="36">
        <v>5</v>
      </c>
      <c r="H13" s="92">
        <v>2019</v>
      </c>
      <c r="I13" s="91">
        <f>'Historical Financial Statement'!G20</f>
        <v>24664.330000000024</v>
      </c>
      <c r="J13" s="35">
        <f t="shared" si="1"/>
        <v>-0.21595203460649259</v>
      </c>
      <c r="L13" s="36">
        <v>5</v>
      </c>
      <c r="M13" s="92">
        <v>2019</v>
      </c>
      <c r="N13" s="91">
        <f>'Historical Financial Statement'!G40</f>
        <v>-7.7839157690575265</v>
      </c>
      <c r="O13" s="76">
        <f t="shared" si="2"/>
        <v>-3.5528470983790919</v>
      </c>
    </row>
    <row r="14" spans="2:15" x14ac:dyDescent="0.25">
      <c r="B14" s="36">
        <v>6</v>
      </c>
      <c r="C14" s="92">
        <v>2020</v>
      </c>
      <c r="D14" s="91">
        <f>'Historical Financial Statement'!H8</f>
        <v>261067.97</v>
      </c>
      <c r="E14" s="35">
        <f t="shared" si="0"/>
        <v>-0.135360159555724</v>
      </c>
      <c r="G14" s="36">
        <v>6</v>
      </c>
      <c r="H14" s="92">
        <v>2020</v>
      </c>
      <c r="I14" s="91">
        <f>'Historical Financial Statement'!H20</f>
        <v>17987.069999999963</v>
      </c>
      <c r="J14" s="35">
        <f t="shared" si="1"/>
        <v>-0.27072537547138131</v>
      </c>
      <c r="L14" s="36">
        <v>6</v>
      </c>
      <c r="M14" s="92">
        <v>2020</v>
      </c>
      <c r="N14" s="91">
        <f>'Historical Financial Statement'!H40</f>
        <v>-35.859307219164904</v>
      </c>
      <c r="O14" s="76">
        <f t="shared" si="2"/>
        <v>3.6068467700681115</v>
      </c>
    </row>
    <row r="15" spans="2:15" x14ac:dyDescent="0.25">
      <c r="B15" s="36">
        <v>7</v>
      </c>
      <c r="C15" s="92">
        <v>2021</v>
      </c>
      <c r="D15" s="91">
        <f>'Historical Financial Statement'!I8</f>
        <v>249794.75</v>
      </c>
      <c r="E15" s="35">
        <f t="shared" si="0"/>
        <v>-4.3181168490336042E-2</v>
      </c>
      <c r="G15" s="36">
        <v>7</v>
      </c>
      <c r="H15" s="92">
        <v>2021</v>
      </c>
      <c r="I15" s="91">
        <f>'Historical Financial Statement'!I20</f>
        <v>32287.429999999989</v>
      </c>
      <c r="J15" s="35">
        <f t="shared" si="1"/>
        <v>0.79503554497758966</v>
      </c>
      <c r="L15" s="36">
        <v>7</v>
      </c>
      <c r="M15" s="92">
        <v>2021</v>
      </c>
      <c r="N15" s="91">
        <f>'Historical Financial Statement'!I40</f>
        <v>-5.7172845827184542</v>
      </c>
      <c r="O15" s="76">
        <f t="shared" si="2"/>
        <v>-0.84056344011958861</v>
      </c>
    </row>
    <row r="16" spans="2:15" x14ac:dyDescent="0.25">
      <c r="B16" s="36">
        <v>8</v>
      </c>
      <c r="C16" s="92">
        <v>2022</v>
      </c>
      <c r="D16" s="91">
        <f>'Historical Financial Statement'!J8</f>
        <v>278453.62</v>
      </c>
      <c r="E16" s="35">
        <f t="shared" si="0"/>
        <v>0.11472967306158344</v>
      </c>
      <c r="G16" s="36">
        <v>8</v>
      </c>
      <c r="H16" s="92">
        <v>2022</v>
      </c>
      <c r="I16" s="91">
        <f>'Historical Financial Statement'!J20</f>
        <v>24720.090000000015</v>
      </c>
      <c r="J16" s="35">
        <f t="shared" si="1"/>
        <v>-0.234374182150762</v>
      </c>
      <c r="L16" s="36">
        <v>8</v>
      </c>
      <c r="M16" s="92">
        <v>2022</v>
      </c>
      <c r="N16" s="91">
        <f>'Historical Financial Statement'!J40</f>
        <v>-41.132140813683833</v>
      </c>
      <c r="O16" s="76">
        <f t="shared" si="2"/>
        <v>6.194349033807641</v>
      </c>
    </row>
    <row r="17" spans="2:15" x14ac:dyDescent="0.25">
      <c r="B17" s="36">
        <v>9</v>
      </c>
      <c r="C17" s="92">
        <v>2023</v>
      </c>
      <c r="D17" s="91">
        <f>'Historical Financial Statement'!K8</f>
        <v>345966.97</v>
      </c>
      <c r="E17" s="35">
        <f t="shared" si="0"/>
        <v>0.24245815155859707</v>
      </c>
      <c r="G17" s="36">
        <v>9</v>
      </c>
      <c r="H17" s="92">
        <v>2023</v>
      </c>
      <c r="I17" s="91">
        <f>'Historical Financial Statement'!K20</f>
        <v>31815.799999999959</v>
      </c>
      <c r="J17" s="35">
        <f t="shared" si="1"/>
        <v>0.28704223973294352</v>
      </c>
      <c r="L17" s="36">
        <v>9</v>
      </c>
      <c r="M17" s="92">
        <v>2023</v>
      </c>
      <c r="N17" s="91">
        <f>'Historical Financial Statement'!K40</f>
        <v>-11.965495438533218</v>
      </c>
      <c r="O17" s="76">
        <f t="shared" si="2"/>
        <v>-0.70909621522659627</v>
      </c>
    </row>
    <row r="18" spans="2:15" x14ac:dyDescent="0.25">
      <c r="B18" s="77">
        <v>10</v>
      </c>
      <c r="C18" s="93">
        <v>2024</v>
      </c>
      <c r="D18" s="90">
        <f>FORECAST(B18,$D$9:$D$17,$B$9:$B$17)</f>
        <v>304728.08583333326</v>
      </c>
      <c r="E18" s="79">
        <f>D18/D17-1</f>
        <v>-0.11919890551016099</v>
      </c>
      <c r="G18" s="77">
        <v>10</v>
      </c>
      <c r="H18" s="93">
        <v>2024</v>
      </c>
      <c r="I18" s="90">
        <f>FORECAST(G18,$I$9:$I$17,$G$9:$G$17)</f>
        <v>23451.386944444435</v>
      </c>
      <c r="J18" s="79">
        <f>I18/I17-1</f>
        <v>-0.26290123320977421</v>
      </c>
      <c r="L18" s="77">
        <v>10</v>
      </c>
      <c r="M18" s="93">
        <v>2024</v>
      </c>
      <c r="N18" s="90">
        <f>FORECAST(L18,$N$9:$N$17,$L$9:$L$17)</f>
        <v>-47.214685046585281</v>
      </c>
      <c r="O18" s="78">
        <f t="shared" si="2"/>
        <v>2.945903058433915</v>
      </c>
    </row>
    <row r="19" spans="2:15" x14ac:dyDescent="0.25">
      <c r="B19" s="77">
        <v>11</v>
      </c>
      <c r="C19" s="93">
        <v>2025</v>
      </c>
      <c r="D19" s="90">
        <f t="shared" ref="D19:D22" si="3">FORECAST(B19,$D$9:$D$17,$B$9:$B$17)</f>
        <v>309347.71899999992</v>
      </c>
      <c r="E19" s="79">
        <f t="shared" si="0"/>
        <v>1.5159853592206396E-2</v>
      </c>
      <c r="G19" s="77">
        <v>11</v>
      </c>
      <c r="H19" s="93">
        <v>2025</v>
      </c>
      <c r="I19" s="90">
        <f t="shared" ref="I19:I22" si="4">FORECAST(G19,$I$9:$I$17,$G$9:$G$17)</f>
        <v>22138.220111111099</v>
      </c>
      <c r="J19" s="79">
        <f t="shared" si="1"/>
        <v>-5.5995273816605629E-2</v>
      </c>
      <c r="L19" s="77">
        <v>11</v>
      </c>
      <c r="M19" s="93">
        <v>2025</v>
      </c>
      <c r="N19" s="90">
        <f t="shared" ref="N19:N22" si="5">FORECAST(L19,$N$9:$N$17,$L$9:$L$17)</f>
        <v>-56.858352832937619</v>
      </c>
      <c r="O19" s="78">
        <f t="shared" si="2"/>
        <v>0.20425144797296069</v>
      </c>
    </row>
    <row r="20" spans="2:15" x14ac:dyDescent="0.25">
      <c r="B20" s="77">
        <v>12</v>
      </c>
      <c r="C20" s="93">
        <v>2026</v>
      </c>
      <c r="D20" s="90">
        <f t="shared" si="3"/>
        <v>313967.35216666659</v>
      </c>
      <c r="E20" s="79">
        <f t="shared" si="0"/>
        <v>1.493346445740773E-2</v>
      </c>
      <c r="G20" s="77">
        <v>12</v>
      </c>
      <c r="H20" s="93">
        <v>2026</v>
      </c>
      <c r="I20" s="90">
        <f t="shared" si="4"/>
        <v>20825.053277777763</v>
      </c>
      <c r="J20" s="79">
        <f t="shared" si="1"/>
        <v>-5.9316730375910454E-2</v>
      </c>
      <c r="L20" s="77">
        <v>12</v>
      </c>
      <c r="M20" s="93">
        <v>2026</v>
      </c>
      <c r="N20" s="90">
        <f t="shared" si="5"/>
        <v>-66.502020619289965</v>
      </c>
      <c r="O20" s="78">
        <f t="shared" si="2"/>
        <v>0.16960863806040183</v>
      </c>
    </row>
    <row r="21" spans="2:15" x14ac:dyDescent="0.25">
      <c r="B21" s="77">
        <v>13</v>
      </c>
      <c r="C21" s="93">
        <v>2027</v>
      </c>
      <c r="D21" s="90">
        <f t="shared" si="3"/>
        <v>318586.98533333326</v>
      </c>
      <c r="E21" s="79">
        <f t="shared" si="0"/>
        <v>1.471373738316073E-2</v>
      </c>
      <c r="G21" s="77">
        <v>13</v>
      </c>
      <c r="H21" s="93">
        <v>2027</v>
      </c>
      <c r="I21" s="90">
        <f t="shared" si="4"/>
        <v>19511.88644444443</v>
      </c>
      <c r="J21" s="79">
        <f t="shared" si="1"/>
        <v>-6.3057069569882107E-2</v>
      </c>
      <c r="L21" s="77">
        <v>13</v>
      </c>
      <c r="M21" s="93">
        <v>2027</v>
      </c>
      <c r="N21" s="90">
        <f t="shared" si="5"/>
        <v>-76.145688405642318</v>
      </c>
      <c r="O21" s="78">
        <f t="shared" si="2"/>
        <v>0.14501315443571738</v>
      </c>
    </row>
    <row r="22" spans="2:15" x14ac:dyDescent="0.25">
      <c r="B22" s="77">
        <v>14</v>
      </c>
      <c r="C22" s="93">
        <v>2028</v>
      </c>
      <c r="D22" s="90">
        <f t="shared" si="3"/>
        <v>323206.61849999992</v>
      </c>
      <c r="E22" s="79">
        <f t="shared" si="0"/>
        <v>1.4500382562185443E-2</v>
      </c>
      <c r="G22" s="77">
        <v>14</v>
      </c>
      <c r="H22" s="93">
        <v>2028</v>
      </c>
      <c r="I22" s="90">
        <f t="shared" si="4"/>
        <v>18198.719611111093</v>
      </c>
      <c r="J22" s="79">
        <f t="shared" si="1"/>
        <v>-6.730086488932141E-2</v>
      </c>
      <c r="L22" s="77">
        <v>14</v>
      </c>
      <c r="M22" s="93">
        <v>2028</v>
      </c>
      <c r="N22" s="90">
        <f t="shared" si="5"/>
        <v>-85.789356191994671</v>
      </c>
      <c r="O22" s="78">
        <f t="shared" si="2"/>
        <v>0.12664758817306554</v>
      </c>
    </row>
    <row r="33" spans="2:15" ht="15.75" x14ac:dyDescent="0.25">
      <c r="B33" s="81" t="s">
        <v>144</v>
      </c>
      <c r="C33" s="82">
        <f>AVERAGE(E10:E22)</f>
        <v>2.0055489635152836E-2</v>
      </c>
      <c r="G33" s="81" t="s">
        <v>159</v>
      </c>
      <c r="H33" s="83">
        <f>AVERAGE(J10:J22)</f>
        <v>-2.5787636594004421E-2</v>
      </c>
      <c r="L33" s="81" t="s">
        <v>160</v>
      </c>
      <c r="M33" s="80"/>
      <c r="N33" s="80"/>
      <c r="O33" s="86">
        <f>AVERAGE(O10:O22)</f>
        <v>0.52588371871348982</v>
      </c>
    </row>
    <row r="34" spans="2:15" ht="15.75" x14ac:dyDescent="0.25">
      <c r="B34" s="81" t="s">
        <v>145</v>
      </c>
      <c r="C34" s="82">
        <f>_xlfn.RRI(B22,D9,D22)</f>
        <v>1.4789256646620341E-2</v>
      </c>
      <c r="E34" s="5"/>
      <c r="G34" s="81" t="s">
        <v>145</v>
      </c>
      <c r="H34" s="83">
        <f>_xlfn.RRI(G22,I9,I22)</f>
        <v>-5.3400657800604989E-2</v>
      </c>
      <c r="L34" s="81" t="s">
        <v>146</v>
      </c>
      <c r="M34" s="80"/>
      <c r="N34" s="80"/>
      <c r="O34" s="86">
        <f>_xlfn.STDEV.S(O10:O22)</f>
        <v>2.4411571542370791</v>
      </c>
    </row>
    <row r="35" spans="2:15" ht="15.75" x14ac:dyDescent="0.25">
      <c r="B35" s="81" t="s">
        <v>146</v>
      </c>
      <c r="C35" s="82">
        <f>_xlfn.STDEV.S(E10:E22)</f>
        <v>9.6348055220958004E-2</v>
      </c>
      <c r="G35" s="81" t="s">
        <v>146</v>
      </c>
      <c r="H35" s="83">
        <f>_xlfn.STDEV.S(J10:J22)</f>
        <v>0.29183695684159122</v>
      </c>
      <c r="L35" s="84"/>
      <c r="M35" s="85"/>
      <c r="N35" s="85"/>
      <c r="O35" s="85"/>
    </row>
  </sheetData>
  <mergeCells count="4">
    <mergeCell ref="B7:E7"/>
    <mergeCell ref="G7:J7"/>
    <mergeCell ref="L7:O7"/>
    <mergeCell ref="B2:O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495F-F7F9-4362-BF8B-F78211ECBB21}">
  <sheetPr>
    <tabColor theme="5" tint="0.39997558519241921"/>
  </sheetPr>
  <dimension ref="B3:O43"/>
  <sheetViews>
    <sheetView showGridLines="0" workbookViewId="0">
      <pane ySplit="3" topLeftCell="A4" activePane="bottomLeft" state="frozen"/>
      <selection pane="bottomLeft" activeCell="Q15" sqref="Q15"/>
    </sheetView>
  </sheetViews>
  <sheetFormatPr defaultRowHeight="15" x14ac:dyDescent="0.25"/>
  <cols>
    <col min="1" max="1" width="2.28515625" customWidth="1"/>
    <col min="2" max="2" width="24.85546875" bestFit="1" customWidth="1"/>
    <col min="3" max="14" width="10.28515625" customWidth="1"/>
  </cols>
  <sheetData>
    <row r="3" spans="2:15" ht="15.75" x14ac:dyDescent="0.25">
      <c r="B3" s="95" t="s">
        <v>148</v>
      </c>
      <c r="C3" s="95">
        <v>40969</v>
      </c>
      <c r="D3" s="95">
        <v>41334</v>
      </c>
      <c r="E3" s="95">
        <v>41699</v>
      </c>
      <c r="F3" s="95">
        <v>42064</v>
      </c>
      <c r="G3" s="95">
        <v>42430</v>
      </c>
      <c r="H3" s="95">
        <v>42795</v>
      </c>
      <c r="I3" s="95">
        <v>43160</v>
      </c>
      <c r="J3" s="95">
        <v>43525</v>
      </c>
      <c r="K3" s="95">
        <v>43891</v>
      </c>
      <c r="L3" s="95">
        <v>44256</v>
      </c>
      <c r="M3" s="95">
        <v>44621</v>
      </c>
      <c r="N3" s="95">
        <v>44986</v>
      </c>
      <c r="O3" s="30"/>
    </row>
    <row r="4" spans="2:15" x14ac:dyDescent="0.25"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30"/>
    </row>
    <row r="5" spans="2:15" x14ac:dyDescent="0.25">
      <c r="B5" s="2" t="s">
        <v>161</v>
      </c>
      <c r="C5" s="97">
        <v>635</v>
      </c>
      <c r="D5" s="97">
        <v>638</v>
      </c>
      <c r="E5" s="97">
        <v>644</v>
      </c>
      <c r="F5" s="97">
        <v>644</v>
      </c>
      <c r="G5" s="97">
        <v>679</v>
      </c>
      <c r="H5" s="97">
        <v>679</v>
      </c>
      <c r="I5" s="97">
        <v>679</v>
      </c>
      <c r="J5" s="97">
        <v>679</v>
      </c>
      <c r="K5" s="97">
        <v>720</v>
      </c>
      <c r="L5" s="97">
        <v>766</v>
      </c>
      <c r="M5" s="97">
        <v>766</v>
      </c>
      <c r="N5" s="97">
        <v>766</v>
      </c>
    </row>
    <row r="6" spans="2:15" x14ac:dyDescent="0.25">
      <c r="B6" s="2" t="s">
        <v>25</v>
      </c>
      <c r="C6" s="97">
        <v>32064</v>
      </c>
      <c r="D6" s="97">
        <v>36999</v>
      </c>
      <c r="E6" s="97">
        <v>64960</v>
      </c>
      <c r="F6" s="97">
        <v>55618</v>
      </c>
      <c r="G6" s="97">
        <v>78273</v>
      </c>
      <c r="H6" s="97">
        <v>57383</v>
      </c>
      <c r="I6" s="97">
        <v>94749</v>
      </c>
      <c r="J6" s="97">
        <v>59500</v>
      </c>
      <c r="K6" s="97">
        <v>61491</v>
      </c>
      <c r="L6" s="97">
        <v>54481</v>
      </c>
      <c r="M6" s="97">
        <v>43795</v>
      </c>
      <c r="N6" s="97">
        <v>44556</v>
      </c>
      <c r="O6" s="31"/>
    </row>
    <row r="7" spans="2:15" x14ac:dyDescent="0.25">
      <c r="B7" s="2" t="s">
        <v>162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31"/>
    </row>
    <row r="8" spans="2:15" x14ac:dyDescent="0.25">
      <c r="B8" t="s">
        <v>163</v>
      </c>
      <c r="C8" s="97">
        <v>27962</v>
      </c>
      <c r="D8" s="97">
        <v>32155</v>
      </c>
      <c r="E8" s="97">
        <v>45259</v>
      </c>
      <c r="F8" s="97">
        <v>56071</v>
      </c>
      <c r="G8" s="97">
        <v>50510</v>
      </c>
      <c r="H8" s="97">
        <v>60629</v>
      </c>
      <c r="I8" s="97">
        <v>61200</v>
      </c>
      <c r="J8" s="97">
        <v>70818</v>
      </c>
      <c r="K8" s="97">
        <v>83316</v>
      </c>
      <c r="L8" s="97">
        <v>0</v>
      </c>
      <c r="M8" s="97">
        <v>97759</v>
      </c>
      <c r="N8" s="97">
        <v>88696</v>
      </c>
      <c r="O8" s="31"/>
    </row>
    <row r="9" spans="2:15" x14ac:dyDescent="0.25">
      <c r="B9" t="s">
        <v>164</v>
      </c>
      <c r="C9" s="97">
        <v>10742</v>
      </c>
      <c r="D9" s="97">
        <v>11620</v>
      </c>
      <c r="E9" s="97">
        <v>9696</v>
      </c>
      <c r="F9" s="97">
        <v>13140</v>
      </c>
      <c r="G9" s="97">
        <v>11451</v>
      </c>
      <c r="H9" s="97">
        <v>13860</v>
      </c>
      <c r="I9" s="97">
        <v>16795</v>
      </c>
      <c r="J9" s="97">
        <v>20150</v>
      </c>
      <c r="K9" s="97">
        <v>16363</v>
      </c>
      <c r="L9" s="97">
        <v>0</v>
      </c>
      <c r="M9" s="97">
        <v>41918</v>
      </c>
      <c r="N9" s="97">
        <v>36965</v>
      </c>
      <c r="O9" s="31"/>
    </row>
    <row r="10" spans="2:15" x14ac:dyDescent="0.25">
      <c r="B10" t="s">
        <v>165</v>
      </c>
      <c r="C10" s="97">
        <v>0</v>
      </c>
      <c r="D10" s="97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173</v>
      </c>
      <c r="K10" s="97">
        <v>5977</v>
      </c>
      <c r="L10" s="97">
        <v>0</v>
      </c>
      <c r="M10" s="97">
        <v>6772</v>
      </c>
      <c r="N10" s="97">
        <v>8453</v>
      </c>
      <c r="O10" s="31"/>
    </row>
    <row r="11" spans="2:15" x14ac:dyDescent="0.25">
      <c r="B11" t="s">
        <v>166</v>
      </c>
      <c r="C11" s="97">
        <v>8445</v>
      </c>
      <c r="D11" s="97">
        <v>9940</v>
      </c>
      <c r="E11" s="97">
        <v>5688</v>
      </c>
      <c r="F11" s="97">
        <v>4399</v>
      </c>
      <c r="G11" s="97">
        <v>7399</v>
      </c>
      <c r="H11" s="97">
        <v>4115</v>
      </c>
      <c r="I11" s="97">
        <v>10956</v>
      </c>
      <c r="J11" s="97">
        <v>15034</v>
      </c>
      <c r="K11" s="97">
        <v>19132</v>
      </c>
      <c r="L11" s="97">
        <v>142131</v>
      </c>
      <c r="M11" s="97">
        <v>0</v>
      </c>
      <c r="N11" s="97">
        <v>0</v>
      </c>
    </row>
    <row r="12" spans="2:15" x14ac:dyDescent="0.25">
      <c r="B12" s="2" t="s">
        <v>167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31"/>
    </row>
    <row r="13" spans="2:15" x14ac:dyDescent="0.25">
      <c r="B13" t="s">
        <v>168</v>
      </c>
      <c r="C13" s="97">
        <v>307</v>
      </c>
      <c r="D13" s="97">
        <v>370</v>
      </c>
      <c r="E13" s="97">
        <v>421</v>
      </c>
      <c r="F13" s="97">
        <v>433</v>
      </c>
      <c r="G13" s="97">
        <v>433</v>
      </c>
      <c r="H13" s="97">
        <v>453</v>
      </c>
      <c r="I13" s="97">
        <v>525</v>
      </c>
      <c r="J13" s="97">
        <v>523</v>
      </c>
      <c r="K13" s="97">
        <v>814</v>
      </c>
      <c r="L13" s="97">
        <v>1573</v>
      </c>
      <c r="M13" s="97">
        <v>4271</v>
      </c>
      <c r="N13" s="97">
        <v>7278</v>
      </c>
      <c r="O13" s="31"/>
    </row>
    <row r="14" spans="2:15" x14ac:dyDescent="0.25">
      <c r="B14" t="s">
        <v>169</v>
      </c>
      <c r="C14" s="97">
        <v>36686</v>
      </c>
      <c r="D14" s="97">
        <v>44912</v>
      </c>
      <c r="E14" s="97">
        <v>57316</v>
      </c>
      <c r="F14" s="97">
        <v>57407</v>
      </c>
      <c r="G14" s="97">
        <v>61562</v>
      </c>
      <c r="H14" s="97">
        <v>62533</v>
      </c>
      <c r="I14" s="97">
        <v>76940</v>
      </c>
      <c r="J14" s="97">
        <v>71691</v>
      </c>
      <c r="K14" s="97">
        <v>66398</v>
      </c>
      <c r="L14" s="97">
        <v>76040</v>
      </c>
      <c r="M14" s="97">
        <v>69750</v>
      </c>
      <c r="N14" s="97">
        <v>79252</v>
      </c>
      <c r="O14" s="31"/>
    </row>
    <row r="15" spans="2:15" x14ac:dyDescent="0.25">
      <c r="B15" t="s">
        <v>170</v>
      </c>
      <c r="C15" s="97">
        <v>2369</v>
      </c>
      <c r="D15" s="97">
        <v>2067</v>
      </c>
      <c r="E15" s="97">
        <v>3119</v>
      </c>
      <c r="F15" s="97">
        <v>2289</v>
      </c>
      <c r="G15" s="97">
        <v>2165</v>
      </c>
      <c r="H15" s="97">
        <v>1711</v>
      </c>
      <c r="I15" s="97">
        <v>0</v>
      </c>
      <c r="J15" s="97">
        <v>0</v>
      </c>
      <c r="K15" s="97">
        <v>0</v>
      </c>
      <c r="L15" s="97">
        <v>0</v>
      </c>
      <c r="M15" s="97">
        <v>0</v>
      </c>
      <c r="N15" s="97">
        <v>0</v>
      </c>
    </row>
    <row r="16" spans="2:15" x14ac:dyDescent="0.25">
      <c r="B16" t="s">
        <v>171</v>
      </c>
      <c r="C16" s="98">
        <v>23556</v>
      </c>
      <c r="D16" s="98">
        <v>29627</v>
      </c>
      <c r="E16" s="98">
        <v>31325</v>
      </c>
      <c r="F16" s="98">
        <v>47313</v>
      </c>
      <c r="G16" s="98">
        <v>50712</v>
      </c>
      <c r="H16" s="98">
        <v>71218</v>
      </c>
      <c r="I16" s="98">
        <v>65349</v>
      </c>
      <c r="J16" s="98">
        <v>67135</v>
      </c>
      <c r="K16" s="98">
        <v>65969</v>
      </c>
      <c r="L16" s="98">
        <v>66579</v>
      </c>
      <c r="M16" s="98">
        <v>64030</v>
      </c>
      <c r="N16" s="98">
        <v>68710</v>
      </c>
      <c r="O16" s="31"/>
    </row>
    <row r="17" spans="2:15" x14ac:dyDescent="0.25">
      <c r="B17" s="96" t="s">
        <v>172</v>
      </c>
      <c r="C17" s="99">
        <v>142766</v>
      </c>
      <c r="D17" s="99">
        <v>168330</v>
      </c>
      <c r="E17" s="99">
        <v>218426</v>
      </c>
      <c r="F17" s="99">
        <v>237315</v>
      </c>
      <c r="G17" s="99">
        <v>263184</v>
      </c>
      <c r="H17" s="99">
        <v>272580</v>
      </c>
      <c r="I17" s="99">
        <v>327192</v>
      </c>
      <c r="J17" s="99">
        <v>305703</v>
      </c>
      <c r="K17" s="99">
        <v>320179</v>
      </c>
      <c r="L17" s="99">
        <v>341570</v>
      </c>
      <c r="M17" s="99">
        <v>329061</v>
      </c>
      <c r="N17" s="99">
        <v>334674</v>
      </c>
      <c r="O17" s="31"/>
    </row>
    <row r="18" spans="2:15" x14ac:dyDescent="0.25"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2:15" x14ac:dyDescent="0.25">
      <c r="B19" s="2" t="s">
        <v>173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2:15" x14ac:dyDescent="0.25">
      <c r="B20" t="s">
        <v>174</v>
      </c>
      <c r="C20" s="97">
        <v>1963</v>
      </c>
      <c r="D20" s="97">
        <v>1959</v>
      </c>
      <c r="E20" s="97">
        <v>2296</v>
      </c>
      <c r="F20" s="97">
        <v>2513</v>
      </c>
      <c r="G20" s="97">
        <v>7185</v>
      </c>
      <c r="H20" s="97">
        <v>6762</v>
      </c>
      <c r="I20" s="97">
        <v>7339</v>
      </c>
      <c r="J20" s="97">
        <v>7286</v>
      </c>
      <c r="K20" s="97">
        <v>7675</v>
      </c>
      <c r="L20" s="97">
        <v>7819</v>
      </c>
      <c r="M20" s="97">
        <v>7760</v>
      </c>
      <c r="N20" s="97">
        <v>8045</v>
      </c>
    </row>
    <row r="21" spans="2:15" x14ac:dyDescent="0.25">
      <c r="B21" t="s">
        <v>175</v>
      </c>
      <c r="C21" s="97">
        <v>9014</v>
      </c>
      <c r="D21" s="97">
        <v>8323</v>
      </c>
      <c r="E21" s="97">
        <v>11010</v>
      </c>
      <c r="F21" s="97">
        <v>13396</v>
      </c>
      <c r="G21" s="97">
        <v>12343</v>
      </c>
      <c r="H21" s="97">
        <v>12164</v>
      </c>
      <c r="I21" s="97">
        <v>16552</v>
      </c>
      <c r="J21" s="97">
        <v>22938</v>
      </c>
      <c r="K21" s="97">
        <v>32665</v>
      </c>
      <c r="L21" s="97">
        <v>35537</v>
      </c>
      <c r="M21" s="97">
        <v>36466</v>
      </c>
      <c r="N21" s="97">
        <v>38781</v>
      </c>
    </row>
    <row r="22" spans="2:15" x14ac:dyDescent="0.25">
      <c r="B22" t="s">
        <v>176</v>
      </c>
      <c r="C22" s="97">
        <v>57315</v>
      </c>
      <c r="D22" s="97">
        <v>63478</v>
      </c>
      <c r="E22" s="97">
        <v>79505</v>
      </c>
      <c r="F22" s="97">
        <v>88943</v>
      </c>
      <c r="G22" s="97">
        <v>80063</v>
      </c>
      <c r="H22" s="97">
        <v>79976</v>
      </c>
      <c r="I22" s="97">
        <v>100226</v>
      </c>
      <c r="J22" s="97">
        <v>109415</v>
      </c>
      <c r="K22" s="97">
        <v>124158</v>
      </c>
      <c r="L22" s="97">
        <v>138868</v>
      </c>
      <c r="M22" s="97">
        <v>148585</v>
      </c>
      <c r="N22" s="97">
        <v>153672</v>
      </c>
    </row>
    <row r="23" spans="2:15" x14ac:dyDescent="0.25">
      <c r="B23" t="s">
        <v>177</v>
      </c>
      <c r="C23" s="97">
        <v>0</v>
      </c>
      <c r="D23" s="97">
        <v>0</v>
      </c>
      <c r="E23" s="97">
        <v>0</v>
      </c>
      <c r="F23" s="97">
        <v>482</v>
      </c>
      <c r="G23" s="97">
        <v>498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</row>
    <row r="24" spans="2:15" x14ac:dyDescent="0.25">
      <c r="B24" t="s">
        <v>178</v>
      </c>
      <c r="C24" s="97">
        <v>1431</v>
      </c>
      <c r="D24" s="97">
        <v>928</v>
      </c>
      <c r="E24" s="97">
        <v>1126</v>
      </c>
      <c r="F24" s="97">
        <v>1364</v>
      </c>
      <c r="G24" s="97">
        <v>1634</v>
      </c>
      <c r="H24" s="97">
        <v>1767</v>
      </c>
      <c r="I24" s="97">
        <v>1943</v>
      </c>
      <c r="J24" s="97">
        <v>2335</v>
      </c>
      <c r="K24" s="97">
        <v>3054</v>
      </c>
      <c r="L24" s="97">
        <v>3172</v>
      </c>
      <c r="M24" s="97">
        <v>3383</v>
      </c>
      <c r="N24" s="97">
        <v>3499</v>
      </c>
    </row>
    <row r="25" spans="2:15" x14ac:dyDescent="0.25">
      <c r="B25" t="s">
        <v>179</v>
      </c>
      <c r="C25" s="97">
        <v>604</v>
      </c>
      <c r="D25" s="97">
        <v>710</v>
      </c>
      <c r="E25" s="97">
        <v>1011</v>
      </c>
      <c r="F25" s="97">
        <v>1149</v>
      </c>
      <c r="G25" s="97">
        <v>1241</v>
      </c>
      <c r="H25" s="97">
        <v>1401</v>
      </c>
      <c r="I25" s="97">
        <v>1430</v>
      </c>
      <c r="J25" s="97">
        <v>1626</v>
      </c>
      <c r="K25" s="97">
        <v>1890</v>
      </c>
      <c r="L25" s="97">
        <v>1956</v>
      </c>
      <c r="M25" s="97">
        <v>1984</v>
      </c>
      <c r="N25" s="97">
        <v>2084</v>
      </c>
    </row>
    <row r="26" spans="2:15" x14ac:dyDescent="0.25">
      <c r="B26" t="s">
        <v>180</v>
      </c>
      <c r="C26" s="97">
        <v>358</v>
      </c>
      <c r="D26" s="97">
        <v>251</v>
      </c>
      <c r="E26" s="97">
        <v>270</v>
      </c>
      <c r="F26" s="97">
        <v>280</v>
      </c>
      <c r="G26" s="97">
        <v>280</v>
      </c>
      <c r="H26" s="97">
        <v>291</v>
      </c>
      <c r="I26" s="97">
        <v>353</v>
      </c>
      <c r="J26" s="97">
        <v>387</v>
      </c>
      <c r="K26" s="97">
        <v>601</v>
      </c>
      <c r="L26" s="97">
        <v>845</v>
      </c>
      <c r="M26" s="97">
        <v>725</v>
      </c>
      <c r="N26" s="97">
        <v>788</v>
      </c>
    </row>
    <row r="27" spans="2:15" x14ac:dyDescent="0.25">
      <c r="B27" t="s">
        <v>181</v>
      </c>
      <c r="C27" s="97">
        <v>7373</v>
      </c>
      <c r="D27" s="97">
        <v>7423</v>
      </c>
      <c r="E27" s="97">
        <v>8994</v>
      </c>
      <c r="F27" s="97">
        <v>9580</v>
      </c>
      <c r="G27" s="97">
        <v>58951</v>
      </c>
      <c r="H27" s="97">
        <v>54932</v>
      </c>
      <c r="I27" s="97">
        <v>77870</v>
      </c>
      <c r="J27" s="97">
        <v>80480</v>
      </c>
      <c r="K27" s="97">
        <v>91157</v>
      </c>
      <c r="L27" s="97">
        <v>114809</v>
      </c>
      <c r="M27" s="97">
        <v>114323</v>
      </c>
      <c r="N27" s="97">
        <v>112538</v>
      </c>
      <c r="O27" s="31"/>
    </row>
    <row r="28" spans="2:15" x14ac:dyDescent="0.25">
      <c r="B28" t="s">
        <v>182</v>
      </c>
      <c r="C28" s="97">
        <v>15816</v>
      </c>
      <c r="D28" s="97">
        <v>24161</v>
      </c>
      <c r="E28" s="97">
        <v>33694</v>
      </c>
      <c r="F28" s="97">
        <v>45196</v>
      </c>
      <c r="G28" s="97">
        <v>6746</v>
      </c>
      <c r="H28" s="97">
        <v>6219</v>
      </c>
      <c r="I28" s="97">
        <v>7497</v>
      </c>
      <c r="J28" s="97">
        <v>8049</v>
      </c>
      <c r="K28" s="97">
        <v>9380</v>
      </c>
      <c r="L28" s="97">
        <v>10686</v>
      </c>
      <c r="M28" s="97">
        <v>10870</v>
      </c>
      <c r="N28" s="97">
        <v>11735</v>
      </c>
    </row>
    <row r="29" spans="2:15" x14ac:dyDescent="0.25">
      <c r="B29" s="2" t="s">
        <v>183</v>
      </c>
      <c r="C29" s="100">
        <v>93873</v>
      </c>
      <c r="D29" s="100">
        <v>107234</v>
      </c>
      <c r="E29" s="100">
        <v>137907</v>
      </c>
      <c r="F29" s="100">
        <v>162904</v>
      </c>
      <c r="G29" s="100">
        <v>168941</v>
      </c>
      <c r="H29" s="100">
        <v>163512</v>
      </c>
      <c r="I29" s="100">
        <v>213209</v>
      </c>
      <c r="J29" s="100">
        <v>232517</v>
      </c>
      <c r="K29" s="100">
        <v>270579</v>
      </c>
      <c r="L29" s="100">
        <v>313692</v>
      </c>
      <c r="M29" s="100">
        <v>324096</v>
      </c>
      <c r="N29" s="100">
        <v>331141</v>
      </c>
    </row>
    <row r="30" spans="2:15" x14ac:dyDescent="0.25">
      <c r="B30" s="2" t="s">
        <v>184</v>
      </c>
      <c r="C30" s="98">
        <v>49512</v>
      </c>
      <c r="D30" s="98">
        <v>51723</v>
      </c>
      <c r="E30" s="98">
        <v>68815</v>
      </c>
      <c r="F30" s="98">
        <v>74424</v>
      </c>
      <c r="G30" s="98">
        <v>61709</v>
      </c>
      <c r="H30" s="98">
        <v>67568</v>
      </c>
      <c r="I30" s="98">
        <v>91795</v>
      </c>
      <c r="J30" s="98">
        <v>121283</v>
      </c>
      <c r="K30" s="98">
        <v>143471</v>
      </c>
      <c r="L30" s="98">
        <v>174985</v>
      </c>
      <c r="M30" s="98">
        <v>185241</v>
      </c>
      <c r="N30" s="98">
        <v>199062</v>
      </c>
    </row>
    <row r="31" spans="2:15" x14ac:dyDescent="0.25">
      <c r="B31" s="42" t="s">
        <v>27</v>
      </c>
      <c r="C31" s="101">
        <f>C29-C30</f>
        <v>44361</v>
      </c>
      <c r="D31" s="101">
        <f t="shared" ref="D31:N31" si="0">D29-D30</f>
        <v>55511</v>
      </c>
      <c r="E31" s="101">
        <f t="shared" si="0"/>
        <v>69092</v>
      </c>
      <c r="F31" s="101">
        <f t="shared" si="0"/>
        <v>88480</v>
      </c>
      <c r="G31" s="101">
        <f t="shared" si="0"/>
        <v>107232</v>
      </c>
      <c r="H31" s="101">
        <f t="shared" si="0"/>
        <v>95944</v>
      </c>
      <c r="I31" s="101">
        <f t="shared" si="0"/>
        <v>121414</v>
      </c>
      <c r="J31" s="101">
        <f t="shared" si="0"/>
        <v>111234</v>
      </c>
      <c r="K31" s="101">
        <f t="shared" si="0"/>
        <v>127108</v>
      </c>
      <c r="L31" s="101">
        <f t="shared" si="0"/>
        <v>138707</v>
      </c>
      <c r="M31" s="101">
        <f t="shared" si="0"/>
        <v>138855</v>
      </c>
      <c r="N31" s="101">
        <f t="shared" si="0"/>
        <v>132079</v>
      </c>
    </row>
    <row r="32" spans="2:15" x14ac:dyDescent="0.25">
      <c r="B32" s="2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</row>
    <row r="33" spans="2:15" x14ac:dyDescent="0.25">
      <c r="B33" s="2" t="s">
        <v>185</v>
      </c>
      <c r="C33" s="97">
        <v>15946</v>
      </c>
      <c r="D33" s="97">
        <v>18454</v>
      </c>
      <c r="E33" s="97">
        <v>33263</v>
      </c>
      <c r="F33" s="97">
        <v>28640</v>
      </c>
      <c r="G33" s="97">
        <v>25919</v>
      </c>
      <c r="H33" s="97">
        <v>33699</v>
      </c>
      <c r="I33" s="97">
        <v>40034</v>
      </c>
      <c r="J33" s="97">
        <v>31884</v>
      </c>
      <c r="K33" s="97">
        <v>35622</v>
      </c>
      <c r="L33" s="97">
        <v>20964</v>
      </c>
      <c r="M33" s="97">
        <v>10251</v>
      </c>
      <c r="N33" s="97">
        <v>14274</v>
      </c>
      <c r="O33" s="31"/>
    </row>
    <row r="34" spans="2:15" x14ac:dyDescent="0.25">
      <c r="B34" s="2" t="s">
        <v>29</v>
      </c>
      <c r="C34" s="97">
        <v>8918</v>
      </c>
      <c r="D34" s="97">
        <v>8765</v>
      </c>
      <c r="E34" s="97">
        <v>10687</v>
      </c>
      <c r="F34" s="97">
        <v>15337</v>
      </c>
      <c r="G34" s="97">
        <v>23767</v>
      </c>
      <c r="H34" s="97">
        <v>20338</v>
      </c>
      <c r="I34" s="97">
        <v>20813</v>
      </c>
      <c r="J34" s="97">
        <v>15771</v>
      </c>
      <c r="K34" s="97">
        <v>16308</v>
      </c>
      <c r="L34" s="97">
        <v>24620</v>
      </c>
      <c r="M34" s="97">
        <v>29380</v>
      </c>
      <c r="N34" s="97">
        <v>26379</v>
      </c>
      <c r="O34" s="31"/>
    </row>
    <row r="35" spans="2:15" x14ac:dyDescent="0.25">
      <c r="B35" s="2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31"/>
    </row>
    <row r="36" spans="2:15" x14ac:dyDescent="0.25">
      <c r="B36" s="2" t="s">
        <v>186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31"/>
    </row>
    <row r="37" spans="2:15" x14ac:dyDescent="0.25">
      <c r="B37" t="s">
        <v>187</v>
      </c>
      <c r="C37" s="97">
        <v>18216</v>
      </c>
      <c r="D37" s="97">
        <v>21037</v>
      </c>
      <c r="E37" s="97">
        <v>27271</v>
      </c>
      <c r="F37" s="97">
        <v>29272</v>
      </c>
      <c r="G37" s="97">
        <v>32656</v>
      </c>
      <c r="H37" s="97">
        <v>35085</v>
      </c>
      <c r="I37" s="97">
        <v>42138</v>
      </c>
      <c r="J37" s="97">
        <v>39014</v>
      </c>
      <c r="K37" s="97">
        <v>37457</v>
      </c>
      <c r="L37" s="97">
        <v>36089</v>
      </c>
      <c r="M37" s="97">
        <v>35240</v>
      </c>
      <c r="N37" s="97">
        <v>40755</v>
      </c>
      <c r="O37" s="31"/>
    </row>
    <row r="38" spans="2:15" x14ac:dyDescent="0.25">
      <c r="B38" t="s">
        <v>188</v>
      </c>
      <c r="C38" s="97">
        <v>8237</v>
      </c>
      <c r="D38" s="97">
        <v>10960</v>
      </c>
      <c r="E38" s="97">
        <v>10574</v>
      </c>
      <c r="F38" s="97">
        <v>12579</v>
      </c>
      <c r="G38" s="97">
        <v>13571</v>
      </c>
      <c r="H38" s="97">
        <v>14076</v>
      </c>
      <c r="I38" s="97">
        <v>19893</v>
      </c>
      <c r="J38" s="97">
        <v>18996</v>
      </c>
      <c r="K38" s="97">
        <v>11173</v>
      </c>
      <c r="L38" s="97">
        <v>12679</v>
      </c>
      <c r="M38" s="97">
        <v>12442</v>
      </c>
      <c r="N38" s="97">
        <v>15738</v>
      </c>
      <c r="O38" s="31"/>
    </row>
    <row r="39" spans="2:15" x14ac:dyDescent="0.25">
      <c r="B39" t="s">
        <v>189</v>
      </c>
      <c r="C39" s="97">
        <v>18238</v>
      </c>
      <c r="D39" s="97">
        <v>21115</v>
      </c>
      <c r="E39" s="97">
        <v>29712</v>
      </c>
      <c r="F39" s="97">
        <v>32116</v>
      </c>
      <c r="G39" s="97">
        <v>30460</v>
      </c>
      <c r="H39" s="97">
        <v>36078</v>
      </c>
      <c r="I39" s="97">
        <v>34614</v>
      </c>
      <c r="J39" s="97">
        <v>32649</v>
      </c>
      <c r="K39" s="97">
        <v>33727</v>
      </c>
      <c r="L39" s="97">
        <v>46792</v>
      </c>
      <c r="M39" s="97">
        <v>40669</v>
      </c>
      <c r="N39" s="97">
        <v>37016</v>
      </c>
      <c r="O39" s="31"/>
    </row>
    <row r="40" spans="2:15" x14ac:dyDescent="0.25">
      <c r="B40" t="s">
        <v>190</v>
      </c>
      <c r="C40" s="97">
        <v>5408</v>
      </c>
      <c r="D40" s="97">
        <v>7041</v>
      </c>
      <c r="E40" s="97">
        <v>9344</v>
      </c>
      <c r="F40" s="97">
        <v>6190</v>
      </c>
      <c r="G40" s="97">
        <v>0</v>
      </c>
      <c r="H40" s="97">
        <v>0</v>
      </c>
      <c r="I40" s="97">
        <v>966</v>
      </c>
      <c r="J40" s="97">
        <v>974</v>
      </c>
      <c r="K40" s="97">
        <v>39</v>
      </c>
      <c r="L40" s="97">
        <v>142</v>
      </c>
      <c r="M40" s="97">
        <v>47</v>
      </c>
      <c r="N40" s="97">
        <v>50</v>
      </c>
      <c r="O40" s="31"/>
    </row>
    <row r="41" spans="2:15" x14ac:dyDescent="0.25">
      <c r="B41" t="s">
        <v>191</v>
      </c>
      <c r="C41" s="101">
        <v>23443</v>
      </c>
      <c r="D41" s="101">
        <v>25448</v>
      </c>
      <c r="E41" s="101">
        <v>28484</v>
      </c>
      <c r="F41" s="101">
        <v>24701</v>
      </c>
      <c r="G41" s="101">
        <v>29579</v>
      </c>
      <c r="H41" s="101">
        <v>37361</v>
      </c>
      <c r="I41" s="101">
        <v>47321</v>
      </c>
      <c r="J41" s="101">
        <v>55182</v>
      </c>
      <c r="K41" s="101">
        <v>58746</v>
      </c>
      <c r="L41" s="101">
        <v>61576</v>
      </c>
      <c r="M41" s="101">
        <v>62177</v>
      </c>
      <c r="N41" s="101">
        <v>68382</v>
      </c>
      <c r="O41" s="31"/>
    </row>
    <row r="42" spans="2:15" x14ac:dyDescent="0.25">
      <c r="B42" s="54" t="s">
        <v>110</v>
      </c>
      <c r="C42" s="102">
        <v>142766</v>
      </c>
      <c r="D42" s="102">
        <v>168330</v>
      </c>
      <c r="E42" s="102">
        <v>218426</v>
      </c>
      <c r="F42" s="102">
        <v>237315</v>
      </c>
      <c r="G42" s="102">
        <v>263184</v>
      </c>
      <c r="H42" s="102">
        <v>272580</v>
      </c>
      <c r="I42" s="102">
        <v>327192</v>
      </c>
      <c r="J42" s="102">
        <v>305703</v>
      </c>
      <c r="K42" s="102">
        <v>320179</v>
      </c>
      <c r="L42" s="102">
        <v>341570</v>
      </c>
      <c r="M42" s="102">
        <v>329061</v>
      </c>
      <c r="N42" s="102">
        <v>334674</v>
      </c>
      <c r="O42" s="31"/>
    </row>
    <row r="43" spans="2:15" x14ac:dyDescent="0.25"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F403-A35C-4B79-99D7-8E0004BAEC97}">
  <sheetPr>
    <tabColor rgb="FF002060"/>
  </sheetPr>
  <dimension ref="A2:J64"/>
  <sheetViews>
    <sheetView showGridLines="0" topLeftCell="A45" workbookViewId="0">
      <selection activeCell="L61" sqref="L61"/>
    </sheetView>
  </sheetViews>
  <sheetFormatPr defaultRowHeight="15" x14ac:dyDescent="0.25"/>
  <cols>
    <col min="1" max="1" width="2.28515625" customWidth="1"/>
    <col min="2" max="2" width="23.5703125" bestFit="1" customWidth="1"/>
    <col min="5" max="5" width="9.7109375" bestFit="1" customWidth="1"/>
    <col min="6" max="6" width="11" customWidth="1"/>
    <col min="7" max="7" width="12.28515625" customWidth="1"/>
    <col min="8" max="8" width="14.5703125" customWidth="1"/>
    <col min="9" max="9" width="11.140625" customWidth="1"/>
  </cols>
  <sheetData>
    <row r="2" spans="2:9" ht="18.75" x14ac:dyDescent="0.3">
      <c r="B2" s="199" t="s">
        <v>212</v>
      </c>
      <c r="C2" s="199"/>
      <c r="D2" s="199"/>
      <c r="E2" s="199"/>
      <c r="F2" s="199"/>
      <c r="G2" s="199"/>
      <c r="H2" s="199"/>
      <c r="I2" s="199"/>
    </row>
    <row r="3" spans="2:9" x14ac:dyDescent="0.25">
      <c r="B3" s="109" t="s">
        <v>192</v>
      </c>
      <c r="C3" s="109"/>
      <c r="D3" s="109"/>
      <c r="E3" s="110">
        <f>'DATA ROOM'!J3</f>
        <v>43525</v>
      </c>
      <c r="F3" s="110">
        <f>'DATA ROOM'!K3</f>
        <v>43891</v>
      </c>
      <c r="G3" s="110">
        <f>'DATA ROOM'!L3</f>
        <v>44256</v>
      </c>
      <c r="H3" s="110">
        <f>'DATA ROOM'!M3</f>
        <v>44621</v>
      </c>
      <c r="I3" s="110">
        <f>'DATA ROOM'!N3</f>
        <v>44986</v>
      </c>
    </row>
    <row r="5" spans="2:9" x14ac:dyDescent="0.25">
      <c r="B5" s="2" t="s">
        <v>193</v>
      </c>
    </row>
    <row r="6" spans="2:9" x14ac:dyDescent="0.25">
      <c r="B6" t="str">
        <f>'DATA ROOM'!B37</f>
        <v>Inventories</v>
      </c>
      <c r="E6" s="98">
        <f>'DATA ROOM'!J37</f>
        <v>39014</v>
      </c>
      <c r="F6" s="98">
        <f>'DATA ROOM'!K37</f>
        <v>37457</v>
      </c>
      <c r="G6" s="98">
        <f>'DATA ROOM'!L37</f>
        <v>36089</v>
      </c>
      <c r="H6" s="98">
        <f>'DATA ROOM'!M37</f>
        <v>35240</v>
      </c>
      <c r="I6" s="98">
        <f>'DATA ROOM'!N37</f>
        <v>40755</v>
      </c>
    </row>
    <row r="7" spans="2:9" x14ac:dyDescent="0.25">
      <c r="B7" t="str">
        <f>'DATA ROOM'!B38</f>
        <v>Trade receivables</v>
      </c>
      <c r="E7" s="98">
        <f>'DATA ROOM'!J38</f>
        <v>18996</v>
      </c>
      <c r="F7" s="98">
        <f>'DATA ROOM'!K38</f>
        <v>11173</v>
      </c>
      <c r="G7" s="98">
        <f>'DATA ROOM'!L38</f>
        <v>12679</v>
      </c>
      <c r="H7" s="98">
        <f>'DATA ROOM'!M38</f>
        <v>12442</v>
      </c>
      <c r="I7" s="98">
        <f>'DATA ROOM'!N38</f>
        <v>15738</v>
      </c>
    </row>
    <row r="8" spans="2:9" x14ac:dyDescent="0.25">
      <c r="B8" t="str">
        <f>'DATA ROOM'!B40</f>
        <v>Short term loans</v>
      </c>
      <c r="E8" s="98">
        <f>'DATA ROOM'!J40</f>
        <v>974</v>
      </c>
      <c r="F8" s="98">
        <f>'DATA ROOM'!K40</f>
        <v>39</v>
      </c>
      <c r="G8" s="98">
        <f>'DATA ROOM'!L40</f>
        <v>142</v>
      </c>
      <c r="H8" s="98">
        <f>'DATA ROOM'!M40</f>
        <v>47</v>
      </c>
      <c r="I8" s="98">
        <f>'DATA ROOM'!N40</f>
        <v>50</v>
      </c>
    </row>
    <row r="9" spans="2:9" x14ac:dyDescent="0.25">
      <c r="B9" t="str">
        <f>'DATA ROOM'!B41</f>
        <v>Other asset items</v>
      </c>
      <c r="E9" s="98">
        <f>'DATA ROOM'!J41</f>
        <v>55182</v>
      </c>
      <c r="F9" s="98">
        <f>'DATA ROOM'!K41</f>
        <v>58746</v>
      </c>
      <c r="G9" s="98">
        <f>'DATA ROOM'!L41</f>
        <v>61576</v>
      </c>
      <c r="H9" s="98">
        <f>'DATA ROOM'!M41</f>
        <v>62177</v>
      </c>
      <c r="I9" s="98">
        <f>'DATA ROOM'!N41</f>
        <v>68382</v>
      </c>
    </row>
    <row r="10" spans="2:9" x14ac:dyDescent="0.25">
      <c r="B10" s="42" t="s">
        <v>109</v>
      </c>
      <c r="C10" s="47"/>
      <c r="D10" s="47"/>
      <c r="E10" s="103">
        <f>SUM(E6:E9)</f>
        <v>114166</v>
      </c>
      <c r="F10" s="103">
        <f t="shared" ref="F10:I10" si="0">SUM(F6:F9)</f>
        <v>107415</v>
      </c>
      <c r="G10" s="103">
        <f t="shared" si="0"/>
        <v>110486</v>
      </c>
      <c r="H10" s="103">
        <f t="shared" si="0"/>
        <v>109906</v>
      </c>
      <c r="I10" s="103">
        <f t="shared" si="0"/>
        <v>124925</v>
      </c>
    </row>
    <row r="12" spans="2:9" x14ac:dyDescent="0.25">
      <c r="B12" s="2" t="s">
        <v>194</v>
      </c>
    </row>
    <row r="13" spans="2:9" x14ac:dyDescent="0.25">
      <c r="B13" t="str">
        <f>'DATA ROOM'!B14</f>
        <v>Trade Payables</v>
      </c>
      <c r="E13" s="98">
        <f>'DATA ROOM'!J14</f>
        <v>71691</v>
      </c>
      <c r="F13" s="98">
        <f>'DATA ROOM'!K14</f>
        <v>66398</v>
      </c>
      <c r="G13" s="98">
        <f>'DATA ROOM'!L14</f>
        <v>76040</v>
      </c>
      <c r="H13" s="98">
        <f>'DATA ROOM'!M14</f>
        <v>69750</v>
      </c>
      <c r="I13" s="98">
        <f>'DATA ROOM'!N14</f>
        <v>79252</v>
      </c>
    </row>
    <row r="14" spans="2:9" x14ac:dyDescent="0.25">
      <c r="B14" t="str">
        <f>'DATA ROOM'!B15</f>
        <v>Advance from Customers</v>
      </c>
      <c r="E14" s="98">
        <f>'DATA ROOM'!J15</f>
        <v>0</v>
      </c>
      <c r="F14" s="98">
        <f>'DATA ROOM'!K15</f>
        <v>0</v>
      </c>
      <c r="G14" s="98">
        <f>'DATA ROOM'!L15</f>
        <v>0</v>
      </c>
      <c r="H14" s="98">
        <f>'DATA ROOM'!M15</f>
        <v>0</v>
      </c>
      <c r="I14" s="98">
        <f>'DATA ROOM'!N15</f>
        <v>0</v>
      </c>
    </row>
    <row r="15" spans="2:9" x14ac:dyDescent="0.25">
      <c r="B15" t="str">
        <f>'DATA ROOM'!B16</f>
        <v>Other liability items</v>
      </c>
      <c r="E15" s="98">
        <f>'DATA ROOM'!J16</f>
        <v>67135</v>
      </c>
      <c r="F15" s="98">
        <f>'DATA ROOM'!K16</f>
        <v>65969</v>
      </c>
      <c r="G15" s="98">
        <f>'DATA ROOM'!L16</f>
        <v>66579</v>
      </c>
      <c r="H15" s="98">
        <f>'DATA ROOM'!M16</f>
        <v>64030</v>
      </c>
      <c r="I15" s="98">
        <f>'DATA ROOM'!N16</f>
        <v>68710</v>
      </c>
    </row>
    <row r="16" spans="2:9" x14ac:dyDescent="0.25">
      <c r="B16" s="42" t="s">
        <v>195</v>
      </c>
      <c r="C16" s="42"/>
      <c r="D16" s="42"/>
      <c r="E16" s="103">
        <f>SUM(E13:E15)</f>
        <v>138826</v>
      </c>
      <c r="F16" s="103">
        <f t="shared" ref="F16:I16" si="1">SUM(F13:F15)</f>
        <v>132367</v>
      </c>
      <c r="G16" s="103">
        <f t="shared" si="1"/>
        <v>142619</v>
      </c>
      <c r="H16" s="103">
        <f t="shared" si="1"/>
        <v>133780</v>
      </c>
      <c r="I16" s="103">
        <f t="shared" si="1"/>
        <v>147962</v>
      </c>
    </row>
    <row r="17" spans="1:9" x14ac:dyDescent="0.25">
      <c r="B17" s="2"/>
      <c r="C17" s="2"/>
      <c r="D17" s="2"/>
      <c r="E17" s="100"/>
      <c r="F17" s="100"/>
      <c r="G17" s="100"/>
      <c r="H17" s="100"/>
      <c r="I17" s="100"/>
    </row>
    <row r="18" spans="1:9" x14ac:dyDescent="0.25">
      <c r="E18" s="104"/>
    </row>
    <row r="19" spans="1:9" ht="15.75" thickBot="1" x14ac:dyDescent="0.3">
      <c r="A19" s="2" t="s">
        <v>83</v>
      </c>
      <c r="B19" s="105" t="s">
        <v>196</v>
      </c>
      <c r="C19" s="106"/>
      <c r="D19" s="106"/>
      <c r="E19" s="107">
        <f>E10-E16</f>
        <v>-24660</v>
      </c>
      <c r="F19" s="107">
        <f>F10-F16</f>
        <v>-24952</v>
      </c>
      <c r="G19" s="107">
        <f>G10-G16</f>
        <v>-32133</v>
      </c>
      <c r="H19" s="107">
        <f>H10-H16</f>
        <v>-23874</v>
      </c>
      <c r="I19" s="107">
        <f>I10-I16</f>
        <v>-23037</v>
      </c>
    </row>
    <row r="21" spans="1:9" x14ac:dyDescent="0.25">
      <c r="B21" s="2" t="s">
        <v>197</v>
      </c>
    </row>
    <row r="22" spans="1:9" x14ac:dyDescent="0.25">
      <c r="B22" t="str">
        <f>'DATA ROOM'!B20</f>
        <v>Land</v>
      </c>
      <c r="E22" s="113">
        <f>'DATA ROOM'!J20</f>
        <v>7286</v>
      </c>
      <c r="F22" s="113">
        <f>'DATA ROOM'!K20</f>
        <v>7675</v>
      </c>
      <c r="G22" s="113">
        <f>'DATA ROOM'!L20</f>
        <v>7819</v>
      </c>
      <c r="H22" s="113">
        <f>'DATA ROOM'!M20</f>
        <v>7760</v>
      </c>
      <c r="I22" s="113">
        <f>'DATA ROOM'!N20</f>
        <v>8045</v>
      </c>
    </row>
    <row r="23" spans="1:9" x14ac:dyDescent="0.25">
      <c r="B23" t="str">
        <f>'DATA ROOM'!B21</f>
        <v>Building</v>
      </c>
      <c r="E23" s="113">
        <f>'DATA ROOM'!J21</f>
        <v>22938</v>
      </c>
      <c r="F23" s="113">
        <f>'DATA ROOM'!K21</f>
        <v>32665</v>
      </c>
      <c r="G23" s="113">
        <f>'DATA ROOM'!L21</f>
        <v>35537</v>
      </c>
      <c r="H23" s="113">
        <f>'DATA ROOM'!M21</f>
        <v>36466</v>
      </c>
      <c r="I23" s="113">
        <f>'DATA ROOM'!N21</f>
        <v>38781</v>
      </c>
    </row>
    <row r="24" spans="1:9" x14ac:dyDescent="0.25">
      <c r="B24" t="str">
        <f>'DATA ROOM'!B22</f>
        <v>Plant Machinery</v>
      </c>
      <c r="E24" s="113">
        <f>'DATA ROOM'!J22</f>
        <v>109415</v>
      </c>
      <c r="F24" s="113">
        <f>'DATA ROOM'!K22</f>
        <v>124158</v>
      </c>
      <c r="G24" s="113">
        <f>'DATA ROOM'!L22</f>
        <v>138868</v>
      </c>
      <c r="H24" s="113">
        <f>'DATA ROOM'!M22</f>
        <v>148585</v>
      </c>
      <c r="I24" s="113">
        <f>'DATA ROOM'!N22</f>
        <v>153672</v>
      </c>
    </row>
    <row r="25" spans="1:9" x14ac:dyDescent="0.25">
      <c r="B25" t="str">
        <f>'DATA ROOM'!B23</f>
        <v>Equipments</v>
      </c>
      <c r="E25" s="113">
        <f>'DATA ROOM'!J23</f>
        <v>0</v>
      </c>
      <c r="F25" s="113">
        <f>'DATA ROOM'!K23</f>
        <v>0</v>
      </c>
      <c r="G25" s="113">
        <f>'DATA ROOM'!L23</f>
        <v>0</v>
      </c>
      <c r="H25" s="113">
        <f>'DATA ROOM'!M23</f>
        <v>0</v>
      </c>
      <c r="I25" s="113">
        <f>'DATA ROOM'!N23</f>
        <v>0</v>
      </c>
    </row>
    <row r="26" spans="1:9" x14ac:dyDescent="0.25">
      <c r="B26" t="str">
        <f>'DATA ROOM'!B24</f>
        <v>Computers</v>
      </c>
      <c r="E26" s="113">
        <f>'DATA ROOM'!J24</f>
        <v>2335</v>
      </c>
      <c r="F26" s="113">
        <f>'DATA ROOM'!K24</f>
        <v>3054</v>
      </c>
      <c r="G26" s="113">
        <f>'DATA ROOM'!L24</f>
        <v>3172</v>
      </c>
      <c r="H26" s="113">
        <f>'DATA ROOM'!M24</f>
        <v>3383</v>
      </c>
      <c r="I26" s="113">
        <f>'DATA ROOM'!N24</f>
        <v>3499</v>
      </c>
    </row>
    <row r="27" spans="1:9" x14ac:dyDescent="0.25">
      <c r="B27" t="str">
        <f>'DATA ROOM'!B25</f>
        <v>Furniture n fittings</v>
      </c>
      <c r="E27" s="113">
        <f>'DATA ROOM'!J25</f>
        <v>1626</v>
      </c>
      <c r="F27" s="113">
        <f>'DATA ROOM'!K25</f>
        <v>1890</v>
      </c>
      <c r="G27" s="113">
        <f>'DATA ROOM'!L25</f>
        <v>1956</v>
      </c>
      <c r="H27" s="113">
        <f>'DATA ROOM'!M25</f>
        <v>1984</v>
      </c>
      <c r="I27" s="113">
        <f>'DATA ROOM'!N25</f>
        <v>2084</v>
      </c>
    </row>
    <row r="28" spans="1:9" x14ac:dyDescent="0.25">
      <c r="B28" t="str">
        <f>'DATA ROOM'!B26</f>
        <v>Vehicles</v>
      </c>
      <c r="E28" s="113">
        <f>'DATA ROOM'!J26</f>
        <v>387</v>
      </c>
      <c r="F28" s="113">
        <f>'DATA ROOM'!K26</f>
        <v>601</v>
      </c>
      <c r="G28" s="113">
        <f>'DATA ROOM'!L26</f>
        <v>845</v>
      </c>
      <c r="H28" s="113">
        <f>'DATA ROOM'!M26</f>
        <v>725</v>
      </c>
      <c r="I28" s="113">
        <f>'DATA ROOM'!N26</f>
        <v>788</v>
      </c>
    </row>
    <row r="29" spans="1:9" x14ac:dyDescent="0.25">
      <c r="B29" t="str">
        <f>'DATA ROOM'!B27</f>
        <v>Intangible Assets</v>
      </c>
      <c r="E29" s="113">
        <f>'DATA ROOM'!J27</f>
        <v>80480</v>
      </c>
      <c r="F29" s="113">
        <f>'DATA ROOM'!K27</f>
        <v>91157</v>
      </c>
      <c r="G29" s="113">
        <f>'DATA ROOM'!L27</f>
        <v>114809</v>
      </c>
      <c r="H29" s="113">
        <f>'DATA ROOM'!M27</f>
        <v>114323</v>
      </c>
      <c r="I29" s="113">
        <f>'DATA ROOM'!N27</f>
        <v>112538</v>
      </c>
    </row>
    <row r="30" spans="1:9" x14ac:dyDescent="0.25">
      <c r="B30" t="str">
        <f>'DATA ROOM'!B28</f>
        <v>Other fixed assets</v>
      </c>
      <c r="E30" s="113">
        <f>'DATA ROOM'!J28</f>
        <v>8049</v>
      </c>
      <c r="F30" s="113">
        <f>'DATA ROOM'!K28</f>
        <v>9380</v>
      </c>
      <c r="G30" s="113">
        <f>'DATA ROOM'!L28</f>
        <v>10686</v>
      </c>
      <c r="H30" s="113">
        <f>'DATA ROOM'!M28</f>
        <v>10870</v>
      </c>
      <c r="I30" s="113">
        <f>'DATA ROOM'!N28</f>
        <v>11735</v>
      </c>
    </row>
    <row r="31" spans="1:9" x14ac:dyDescent="0.25">
      <c r="B31" s="42" t="s">
        <v>183</v>
      </c>
      <c r="C31" s="42"/>
      <c r="D31" s="42"/>
      <c r="E31" s="114">
        <f>SUM(E22:E30)</f>
        <v>232516</v>
      </c>
      <c r="F31" s="114">
        <f t="shared" ref="F31:I31" si="2">SUM(F22:F30)</f>
        <v>270580</v>
      </c>
      <c r="G31" s="114">
        <f t="shared" si="2"/>
        <v>313692</v>
      </c>
      <c r="H31" s="114">
        <f t="shared" si="2"/>
        <v>324096</v>
      </c>
      <c r="I31" s="114">
        <f t="shared" si="2"/>
        <v>331142</v>
      </c>
    </row>
    <row r="32" spans="1:9" x14ac:dyDescent="0.25">
      <c r="B32" t="str">
        <f>'DATA ROOM'!B30</f>
        <v>Accumulated Depreciation</v>
      </c>
      <c r="E32" s="113">
        <f>'DATA ROOM'!J30</f>
        <v>121283</v>
      </c>
      <c r="F32" s="113">
        <f>'DATA ROOM'!K30</f>
        <v>143471</v>
      </c>
      <c r="G32" s="113">
        <f>'DATA ROOM'!L30</f>
        <v>174985</v>
      </c>
      <c r="H32" s="113">
        <f>'DATA ROOM'!M30</f>
        <v>185241</v>
      </c>
      <c r="I32" s="113">
        <f>'DATA ROOM'!N30</f>
        <v>199062</v>
      </c>
    </row>
    <row r="33" spans="1:10" ht="15.75" thickBot="1" x14ac:dyDescent="0.3">
      <c r="A33" s="108" t="s">
        <v>83</v>
      </c>
      <c r="B33" s="105" t="s">
        <v>198</v>
      </c>
      <c r="C33" s="106"/>
      <c r="D33" s="106"/>
      <c r="E33" s="115">
        <f>E31-E32</f>
        <v>111233</v>
      </c>
      <c r="F33" s="115">
        <f t="shared" ref="F33:I33" si="3">F31-F32</f>
        <v>127109</v>
      </c>
      <c r="G33" s="115">
        <f t="shared" si="3"/>
        <v>138707</v>
      </c>
      <c r="H33" s="115">
        <f t="shared" si="3"/>
        <v>138855</v>
      </c>
      <c r="I33" s="115">
        <f t="shared" si="3"/>
        <v>132080</v>
      </c>
    </row>
    <row r="36" spans="1:10" x14ac:dyDescent="0.25">
      <c r="A36" t="s">
        <v>83</v>
      </c>
      <c r="B36" s="2" t="s">
        <v>199</v>
      </c>
      <c r="C36" s="2"/>
      <c r="D36" s="2"/>
      <c r="E36" s="116">
        <f>E33+E19</f>
        <v>86573</v>
      </c>
      <c r="F36" s="116">
        <f t="shared" ref="F36:I36" si="4">F33+F19</f>
        <v>102157</v>
      </c>
      <c r="G36" s="116">
        <f t="shared" si="4"/>
        <v>106574</v>
      </c>
      <c r="H36" s="116">
        <f t="shared" si="4"/>
        <v>114981</v>
      </c>
      <c r="I36" s="116">
        <f t="shared" si="4"/>
        <v>109043</v>
      </c>
    </row>
    <row r="37" spans="1:10" x14ac:dyDescent="0.25">
      <c r="B37" s="2" t="s">
        <v>200</v>
      </c>
      <c r="C37" s="2"/>
      <c r="D37" s="2"/>
      <c r="E37" s="116">
        <f>('Historical Financial Statement'!G29+'Historical Financial Statement'!G23)</f>
        <v>1073.7000000000207</v>
      </c>
      <c r="F37" s="116">
        <f>('Historical Financial Statement'!H29+'Historical Financial Statement'!H23)</f>
        <v>-3438.3600000000388</v>
      </c>
      <c r="G37" s="116">
        <f>('Historical Financial Statement'!I29+'Historical Financial Statement'!I23)</f>
        <v>8740.7199999999921</v>
      </c>
      <c r="H37" s="116">
        <f>('Historical Financial Statement'!J29+'Historical Financial Statement'!J23)</f>
        <v>-115.59999999998763</v>
      </c>
      <c r="I37" s="116">
        <f>('Historical Financial Statement'!K29+'Historical Financial Statement'!K23)</f>
        <v>6955.4399999999623</v>
      </c>
    </row>
    <row r="38" spans="1:10" x14ac:dyDescent="0.25">
      <c r="E38" s="113"/>
      <c r="F38" s="113"/>
      <c r="G38" s="113"/>
      <c r="H38" s="113"/>
      <c r="I38" s="113"/>
    </row>
    <row r="39" spans="1:10" ht="15.75" thickBot="1" x14ac:dyDescent="0.3">
      <c r="A39" t="s">
        <v>83</v>
      </c>
      <c r="B39" s="105" t="s">
        <v>201</v>
      </c>
      <c r="C39" s="105"/>
      <c r="D39" s="105"/>
      <c r="E39" s="184">
        <f>E37/E36</f>
        <v>1.2402250124172903E-2</v>
      </c>
      <c r="F39" s="184">
        <f>F37/F36</f>
        <v>-3.3657605450434516E-2</v>
      </c>
      <c r="G39" s="184">
        <f>G37/G36</f>
        <v>8.2015500966464538E-2</v>
      </c>
      <c r="H39" s="184">
        <f>H37/H36</f>
        <v>-1.005383498143064E-3</v>
      </c>
      <c r="I39" s="184">
        <f>I37/I36</f>
        <v>6.3786212778444859E-2</v>
      </c>
      <c r="J39" s="125"/>
    </row>
    <row r="42" spans="1:10" x14ac:dyDescent="0.25">
      <c r="A42" t="s">
        <v>83</v>
      </c>
      <c r="B42" s="109" t="s">
        <v>202</v>
      </c>
      <c r="C42" s="109"/>
      <c r="D42" s="109"/>
      <c r="E42" s="110">
        <f>E3</f>
        <v>43525</v>
      </c>
      <c r="F42" s="110">
        <f t="shared" ref="F42:I42" si="5">F3</f>
        <v>43891</v>
      </c>
      <c r="G42" s="110">
        <f t="shared" si="5"/>
        <v>44256</v>
      </c>
      <c r="H42" s="110">
        <f t="shared" si="5"/>
        <v>44621</v>
      </c>
      <c r="I42" s="110">
        <f t="shared" si="5"/>
        <v>44986</v>
      </c>
    </row>
    <row r="44" spans="1:10" x14ac:dyDescent="0.25">
      <c r="B44" t="s">
        <v>203</v>
      </c>
      <c r="E44" s="113">
        <f>-SUM('Cash Flow Statement'!J15:J16)</f>
        <v>35237</v>
      </c>
      <c r="F44" s="113">
        <f>-SUM('Cash Flow Statement'!K15:K16)</f>
        <v>29531</v>
      </c>
      <c r="G44" s="113">
        <f>-SUM('Cash Flow Statement'!L15:L16)</f>
        <v>19854</v>
      </c>
      <c r="H44" s="113">
        <f>-SUM('Cash Flow Statement'!M15:M16)</f>
        <v>14938</v>
      </c>
      <c r="I44" s="113">
        <f>-SUM('Cash Flow Statement'!N15:N16)</f>
        <v>18945</v>
      </c>
    </row>
    <row r="45" spans="1:10" x14ac:dyDescent="0.25">
      <c r="B45" t="s">
        <v>204</v>
      </c>
      <c r="E45" s="113"/>
      <c r="F45" s="113">
        <f>F19-E19</f>
        <v>-292</v>
      </c>
      <c r="G45" s="113">
        <f t="shared" ref="G45:I45" si="6">G19-F19</f>
        <v>-7181</v>
      </c>
      <c r="H45" s="113">
        <f t="shared" si="6"/>
        <v>8259</v>
      </c>
      <c r="I45" s="113">
        <f t="shared" si="6"/>
        <v>837</v>
      </c>
    </row>
    <row r="46" spans="1:10" x14ac:dyDescent="0.25">
      <c r="E46" s="113"/>
      <c r="F46" s="113"/>
      <c r="G46" s="113"/>
      <c r="H46" s="113"/>
      <c r="I46" s="113"/>
    </row>
    <row r="47" spans="1:10" x14ac:dyDescent="0.25">
      <c r="B47" t="s">
        <v>200</v>
      </c>
      <c r="E47" s="113">
        <f>E37</f>
        <v>1073.7000000000207</v>
      </c>
      <c r="F47" s="113">
        <f t="shared" ref="F47:I47" si="7">F37</f>
        <v>-3438.3600000000388</v>
      </c>
      <c r="G47" s="113">
        <f t="shared" si="7"/>
        <v>8740.7199999999921</v>
      </c>
      <c r="H47" s="113">
        <f t="shared" si="7"/>
        <v>-115.59999999998763</v>
      </c>
      <c r="I47" s="113">
        <f t="shared" si="7"/>
        <v>6955.4399999999623</v>
      </c>
    </row>
    <row r="48" spans="1:10" x14ac:dyDescent="0.25">
      <c r="B48" t="s">
        <v>205</v>
      </c>
      <c r="E48" s="119">
        <v>0.25</v>
      </c>
      <c r="F48" s="119">
        <v>0.25</v>
      </c>
      <c r="G48" s="119">
        <v>0.25</v>
      </c>
      <c r="H48" s="119">
        <v>0.25</v>
      </c>
      <c r="I48" s="119">
        <v>0.25</v>
      </c>
    </row>
    <row r="49" spans="1:10" x14ac:dyDescent="0.25">
      <c r="B49" t="s">
        <v>208</v>
      </c>
      <c r="E49" s="117">
        <f>E47*(1-E48)</f>
        <v>805.27500000001555</v>
      </c>
      <c r="F49" s="117">
        <f t="shared" ref="F49:I49" si="8">F47*(1-F48)</f>
        <v>-2578.7700000000291</v>
      </c>
      <c r="G49" s="117">
        <f t="shared" si="8"/>
        <v>6555.5399999999936</v>
      </c>
      <c r="H49" s="117">
        <f t="shared" si="8"/>
        <v>-86.699999999990723</v>
      </c>
      <c r="I49" s="117">
        <f t="shared" si="8"/>
        <v>5216.5799999999717</v>
      </c>
    </row>
    <row r="50" spans="1:10" x14ac:dyDescent="0.25">
      <c r="E50" s="113"/>
      <c r="F50" s="113"/>
      <c r="G50" s="113"/>
      <c r="H50" s="113"/>
      <c r="I50" s="113"/>
    </row>
    <row r="51" spans="1:10" x14ac:dyDescent="0.25">
      <c r="B51" t="s">
        <v>206</v>
      </c>
      <c r="E51" s="113"/>
      <c r="F51" s="113">
        <f>SUM(F44:F45)</f>
        <v>29239</v>
      </c>
      <c r="G51" s="113">
        <f t="shared" ref="G51:I51" si="9">SUM(G44:G45)</f>
        <v>12673</v>
      </c>
      <c r="H51" s="113">
        <f t="shared" si="9"/>
        <v>23197</v>
      </c>
      <c r="I51" s="113">
        <f t="shared" si="9"/>
        <v>19782</v>
      </c>
    </row>
    <row r="52" spans="1:10" ht="15.75" thickBot="1" x14ac:dyDescent="0.3">
      <c r="B52" s="105" t="s">
        <v>207</v>
      </c>
      <c r="C52" s="105"/>
      <c r="D52" s="105"/>
      <c r="E52" s="120"/>
      <c r="F52" s="184">
        <f>F51/F49</f>
        <v>-11.338351229461979</v>
      </c>
      <c r="G52" s="184">
        <f>G51/G49</f>
        <v>1.9331740787181548</v>
      </c>
      <c r="H52" s="184">
        <f>H51/H49</f>
        <v>-267.55478662055918</v>
      </c>
      <c r="I52" s="184">
        <f>I51/I49</f>
        <v>3.7921396777199061</v>
      </c>
    </row>
    <row r="53" spans="1:10" x14ac:dyDescent="0.25">
      <c r="E53" s="113"/>
      <c r="F53" s="118"/>
      <c r="G53" s="118"/>
      <c r="H53" s="118"/>
      <c r="I53" s="118"/>
    </row>
    <row r="54" spans="1:10" x14ac:dyDescent="0.25">
      <c r="H54" s="121" t="s">
        <v>209</v>
      </c>
      <c r="I54" s="185">
        <f>AVERAGE(F52:I52)</f>
        <v>-68.291956023395784</v>
      </c>
    </row>
    <row r="55" spans="1:10" x14ac:dyDescent="0.25">
      <c r="H55" s="122" t="s">
        <v>210</v>
      </c>
      <c r="I55" s="186">
        <f>MEDIAN(F52:I52)</f>
        <v>-4.7025885753719123</v>
      </c>
    </row>
    <row r="57" spans="1:10" x14ac:dyDescent="0.25">
      <c r="A57" s="108" t="s">
        <v>83</v>
      </c>
      <c r="B57" s="109" t="s">
        <v>211</v>
      </c>
      <c r="C57" s="109"/>
      <c r="D57" s="109"/>
      <c r="E57" s="110">
        <f>E42</f>
        <v>43525</v>
      </c>
      <c r="F57" s="110">
        <f>F42</f>
        <v>43891</v>
      </c>
      <c r="G57" s="110">
        <f>G42</f>
        <v>44256</v>
      </c>
      <c r="H57" s="110">
        <f>H42</f>
        <v>44621</v>
      </c>
      <c r="I57" s="110">
        <f>I42</f>
        <v>44986</v>
      </c>
    </row>
    <row r="59" spans="1:10" x14ac:dyDescent="0.25">
      <c r="B59" t="s">
        <v>207</v>
      </c>
      <c r="F59" s="113">
        <f>F52</f>
        <v>-11.338351229461979</v>
      </c>
      <c r="G59" s="113">
        <f t="shared" ref="G59:I59" si="10">G52</f>
        <v>1.9331740787181548</v>
      </c>
      <c r="H59" s="113">
        <f t="shared" si="10"/>
        <v>-267.55478662055918</v>
      </c>
      <c r="I59" s="113">
        <f t="shared" si="10"/>
        <v>3.7921396777199061</v>
      </c>
      <c r="J59" s="113"/>
    </row>
    <row r="60" spans="1:10" x14ac:dyDescent="0.25">
      <c r="B60" t="s">
        <v>201</v>
      </c>
      <c r="F60" s="113">
        <f>F39</f>
        <v>-3.3657605450434516E-2</v>
      </c>
      <c r="G60" s="113">
        <f>G39</f>
        <v>8.2015500966464538E-2</v>
      </c>
      <c r="H60" s="113">
        <f>H39</f>
        <v>-1.005383498143064E-3</v>
      </c>
      <c r="I60" s="113">
        <f>I39</f>
        <v>6.3786212778444859E-2</v>
      </c>
    </row>
    <row r="61" spans="1:10" x14ac:dyDescent="0.25">
      <c r="B61" s="123" t="s">
        <v>212</v>
      </c>
      <c r="C61" s="123"/>
      <c r="D61" s="123"/>
      <c r="E61" s="123"/>
      <c r="F61" s="124">
        <f>F59*F60</f>
        <v>0.38162175213968041</v>
      </c>
      <c r="G61" s="124">
        <f t="shared" ref="G61:I61" si="11">G59*G60</f>
        <v>0.15855024052145303</v>
      </c>
      <c r="H61" s="124">
        <f t="shared" si="11"/>
        <v>0.26899516731749884</v>
      </c>
      <c r="I61" s="124">
        <f t="shared" si="11"/>
        <v>0.24188622836862525</v>
      </c>
    </row>
    <row r="63" spans="1:10" x14ac:dyDescent="0.25">
      <c r="H63" s="121" t="s">
        <v>209</v>
      </c>
      <c r="I63" s="185">
        <f>AVERAGE(F61:I61)</f>
        <v>0.26276334708681437</v>
      </c>
    </row>
    <row r="64" spans="1:10" x14ac:dyDescent="0.25">
      <c r="H64" s="122" t="s">
        <v>210</v>
      </c>
      <c r="I64" s="186">
        <f>MEDIAN(F61:I61)</f>
        <v>0.25544069784306206</v>
      </c>
    </row>
  </sheetData>
  <mergeCells count="1">
    <mergeCell ref="B2:I2"/>
  </mergeCells>
  <conditionalFormatting sqref="F61:I61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ignoredErrors>
    <ignoredError sqref="E44:I44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0891-013F-400E-B8E5-859B00D7CAF0}">
  <sheetPr>
    <tabColor theme="5" tint="0.39997558519241921"/>
  </sheetPr>
  <dimension ref="C4:O10"/>
  <sheetViews>
    <sheetView workbookViewId="0">
      <selection activeCell="K17" sqref="K17"/>
    </sheetView>
  </sheetViews>
  <sheetFormatPr defaultRowHeight="15" x14ac:dyDescent="0.25"/>
  <cols>
    <col min="4" max="4" width="16.140625" bestFit="1" customWidth="1"/>
    <col min="5" max="5" width="8" bestFit="1" customWidth="1"/>
    <col min="6" max="6" width="6" bestFit="1" customWidth="1"/>
    <col min="9" max="9" width="16.5703125" bestFit="1" customWidth="1"/>
    <col min="10" max="10" width="10.7109375" bestFit="1" customWidth="1"/>
    <col min="11" max="11" width="14.42578125" bestFit="1" customWidth="1"/>
    <col min="12" max="12" width="10" bestFit="1" customWidth="1"/>
    <col min="13" max="13" width="11" bestFit="1" customWidth="1"/>
    <col min="14" max="14" width="13.28515625" bestFit="1" customWidth="1"/>
    <col min="15" max="15" width="11.28515625" bestFit="1" customWidth="1"/>
  </cols>
  <sheetData>
    <row r="4" spans="3:15" x14ac:dyDescent="0.25">
      <c r="C4" s="36" t="s">
        <v>213</v>
      </c>
      <c r="D4" t="s">
        <v>214</v>
      </c>
      <c r="E4" t="s">
        <v>215</v>
      </c>
      <c r="F4" t="s">
        <v>216</v>
      </c>
      <c r="G4" t="s">
        <v>217</v>
      </c>
      <c r="H4" s="80" t="s">
        <v>218</v>
      </c>
      <c r="I4" t="s">
        <v>219</v>
      </c>
      <c r="J4" t="s">
        <v>220</v>
      </c>
      <c r="K4" t="s">
        <v>221</v>
      </c>
      <c r="L4" t="s">
        <v>222</v>
      </c>
      <c r="M4" t="s">
        <v>223</v>
      </c>
      <c r="N4" t="s">
        <v>224</v>
      </c>
      <c r="O4" t="s">
        <v>225</v>
      </c>
    </row>
    <row r="5" spans="3:15" x14ac:dyDescent="0.25">
      <c r="C5" s="36">
        <v>1</v>
      </c>
      <c r="D5" t="s">
        <v>226</v>
      </c>
      <c r="E5">
        <v>938.6</v>
      </c>
      <c r="F5">
        <v>17.05</v>
      </c>
      <c r="G5">
        <v>343480.63</v>
      </c>
      <c r="H5" s="80">
        <f>J5-K5</f>
        <v>90848.74</v>
      </c>
      <c r="I5">
        <v>332.33</v>
      </c>
      <c r="J5">
        <v>127864.3</v>
      </c>
      <c r="K5">
        <v>37015.56</v>
      </c>
      <c r="L5">
        <v>430790.76</v>
      </c>
      <c r="M5">
        <v>423873.81</v>
      </c>
      <c r="N5">
        <v>19774.2</v>
      </c>
      <c r="O5">
        <v>7</v>
      </c>
    </row>
    <row r="6" spans="3:15" x14ac:dyDescent="0.25">
      <c r="C6" s="36">
        <v>2</v>
      </c>
      <c r="D6" t="s">
        <v>227</v>
      </c>
      <c r="E6">
        <v>174.2</v>
      </c>
      <c r="F6">
        <v>21.69</v>
      </c>
      <c r="G6">
        <v>51147.34</v>
      </c>
      <c r="H6" s="80">
        <f t="shared" ref="H6:H10" si="0">J6-K6</f>
        <v>32204.9</v>
      </c>
      <c r="I6">
        <v>293.61</v>
      </c>
      <c r="J6">
        <v>34391.620000000003</v>
      </c>
      <c r="K6">
        <v>2186.7199999999998</v>
      </c>
      <c r="L6">
        <v>83135.17</v>
      </c>
      <c r="M6">
        <v>45415.61</v>
      </c>
      <c r="N6">
        <v>2565.36</v>
      </c>
      <c r="O6">
        <v>11.16</v>
      </c>
    </row>
    <row r="7" spans="3:15" x14ac:dyDescent="0.25">
      <c r="C7" s="36">
        <v>3</v>
      </c>
      <c r="D7" t="s">
        <v>228</v>
      </c>
      <c r="E7">
        <v>620.65</v>
      </c>
      <c r="G7">
        <v>31560.23</v>
      </c>
      <c r="H7" s="80">
        <f t="shared" si="0"/>
        <v>74209.16</v>
      </c>
      <c r="I7">
        <v>50.85</v>
      </c>
      <c r="J7">
        <v>121001.62</v>
      </c>
      <c r="K7">
        <v>46792.46</v>
      </c>
      <c r="L7">
        <v>105769.39</v>
      </c>
      <c r="M7">
        <v>249794.75</v>
      </c>
      <c r="N7">
        <v>-13395.1</v>
      </c>
      <c r="O7">
        <v>3.03</v>
      </c>
    </row>
    <row r="8" spans="3:15" x14ac:dyDescent="0.25">
      <c r="C8" s="36">
        <v>4</v>
      </c>
      <c r="D8" t="s">
        <v>229</v>
      </c>
      <c r="E8">
        <v>2006.4</v>
      </c>
      <c r="F8">
        <v>182.7</v>
      </c>
      <c r="G8">
        <v>16468.68</v>
      </c>
      <c r="H8" s="80">
        <f t="shared" si="0"/>
        <v>-36.28</v>
      </c>
      <c r="I8">
        <v>8.2100000000000009</v>
      </c>
      <c r="J8">
        <v>130.94</v>
      </c>
      <c r="K8">
        <v>167.22</v>
      </c>
      <c r="L8">
        <v>16422.75</v>
      </c>
      <c r="M8">
        <v>1241.23</v>
      </c>
      <c r="N8">
        <v>91.28</v>
      </c>
      <c r="O8">
        <v>84.4</v>
      </c>
    </row>
    <row r="9" spans="3:15" x14ac:dyDescent="0.25">
      <c r="C9" s="36">
        <v>5</v>
      </c>
      <c r="D9" t="s">
        <v>230</v>
      </c>
      <c r="E9">
        <v>5228.75</v>
      </c>
      <c r="F9">
        <v>24.03</v>
      </c>
      <c r="G9">
        <v>6891.49</v>
      </c>
      <c r="H9" s="80">
        <f t="shared" si="0"/>
        <v>586.49</v>
      </c>
      <c r="I9">
        <v>1.32</v>
      </c>
      <c r="J9">
        <v>727.83</v>
      </c>
      <c r="K9">
        <v>141.34</v>
      </c>
      <c r="L9">
        <v>7156.52</v>
      </c>
      <c r="M9">
        <v>6471.17</v>
      </c>
      <c r="N9">
        <v>394.54</v>
      </c>
      <c r="O9">
        <v>9.02</v>
      </c>
    </row>
    <row r="10" spans="3:15" x14ac:dyDescent="0.25">
      <c r="C10" s="36">
        <v>6</v>
      </c>
      <c r="D10" t="s">
        <v>231</v>
      </c>
      <c r="E10">
        <v>1661.3</v>
      </c>
      <c r="F10">
        <v>29.19</v>
      </c>
      <c r="G10">
        <v>2403.9</v>
      </c>
      <c r="H10" s="80">
        <f t="shared" si="0"/>
        <v>249.23</v>
      </c>
      <c r="I10">
        <v>1.45</v>
      </c>
      <c r="J10">
        <v>255.07</v>
      </c>
      <c r="K10">
        <v>5.84</v>
      </c>
      <c r="L10">
        <v>2652.28</v>
      </c>
      <c r="M10">
        <v>2099.5500000000002</v>
      </c>
      <c r="N10">
        <v>82.35</v>
      </c>
      <c r="O10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2A58-666D-4BE8-924F-AB46BF43870E}">
  <sheetPr>
    <tabColor theme="7" tint="-0.499984740745262"/>
  </sheetPr>
  <dimension ref="B2:Q32"/>
  <sheetViews>
    <sheetView showGridLines="0" zoomScale="85" zoomScaleNormal="85" workbookViewId="0">
      <selection activeCell="O31" sqref="O31:P31"/>
    </sheetView>
  </sheetViews>
  <sheetFormatPr defaultRowHeight="15" x14ac:dyDescent="0.25"/>
  <cols>
    <col min="1" max="1" width="2.28515625" customWidth="1"/>
    <col min="6" max="7" width="11.85546875" bestFit="1" customWidth="1"/>
    <col min="15" max="15" width="12.140625" bestFit="1" customWidth="1"/>
    <col min="16" max="17" width="11.7109375" bestFit="1" customWidth="1"/>
  </cols>
  <sheetData>
    <row r="2" spans="2:17" ht="18.75" x14ac:dyDescent="0.3">
      <c r="B2" s="126" t="s">
        <v>232</v>
      </c>
      <c r="C2" s="126"/>
      <c r="D2" s="126"/>
      <c r="E2" s="126"/>
    </row>
    <row r="4" spans="2:17" x14ac:dyDescent="0.25">
      <c r="B4" s="127"/>
      <c r="C4" s="127"/>
      <c r="D4" s="127"/>
      <c r="E4" s="207" t="s">
        <v>233</v>
      </c>
      <c r="F4" s="207"/>
      <c r="G4" s="207"/>
      <c r="H4" s="207"/>
      <c r="I4" s="207"/>
      <c r="J4" s="128"/>
      <c r="K4" s="127"/>
      <c r="L4" s="200" t="s">
        <v>234</v>
      </c>
      <c r="M4" s="200"/>
      <c r="N4" s="129"/>
      <c r="O4" s="201" t="s">
        <v>235</v>
      </c>
      <c r="P4" s="201"/>
      <c r="Q4" s="201"/>
    </row>
    <row r="5" spans="2:17" x14ac:dyDescent="0.25">
      <c r="B5" s="127"/>
      <c r="C5" s="127"/>
      <c r="D5" s="127"/>
      <c r="E5" s="127" t="s">
        <v>236</v>
      </c>
      <c r="F5" s="127" t="s">
        <v>236</v>
      </c>
      <c r="G5" s="127"/>
      <c r="H5" s="127"/>
      <c r="I5" s="127"/>
      <c r="J5" s="127"/>
      <c r="K5" s="127"/>
      <c r="L5" s="129"/>
      <c r="M5" s="129"/>
      <c r="N5" s="129"/>
      <c r="O5" s="130"/>
      <c r="P5" s="130"/>
      <c r="Q5" s="130"/>
    </row>
    <row r="6" spans="2:17" x14ac:dyDescent="0.25">
      <c r="B6" s="127" t="s">
        <v>237</v>
      </c>
      <c r="C6" s="127"/>
      <c r="D6" s="127" t="s">
        <v>238</v>
      </c>
      <c r="E6" s="127" t="s">
        <v>239</v>
      </c>
      <c r="F6" s="127" t="s">
        <v>240</v>
      </c>
      <c r="G6" s="127" t="s">
        <v>241</v>
      </c>
      <c r="H6" s="127" t="s">
        <v>218</v>
      </c>
      <c r="I6" s="202" t="s">
        <v>242</v>
      </c>
      <c r="J6" s="202"/>
      <c r="K6" s="127"/>
      <c r="L6" s="129" t="s">
        <v>243</v>
      </c>
      <c r="M6" s="129" t="s">
        <v>244</v>
      </c>
      <c r="N6" s="129"/>
      <c r="O6" s="131" t="s">
        <v>245</v>
      </c>
      <c r="P6" s="131" t="s">
        <v>246</v>
      </c>
      <c r="Q6" s="131" t="s">
        <v>216</v>
      </c>
    </row>
    <row r="7" spans="2:17" x14ac:dyDescent="0.25">
      <c r="B7" s="132"/>
      <c r="C7" s="132"/>
      <c r="D7" s="132"/>
      <c r="E7" s="133"/>
      <c r="F7" s="133"/>
      <c r="G7" s="133"/>
      <c r="H7" s="133"/>
      <c r="I7" s="203"/>
      <c r="J7" s="203"/>
      <c r="K7" s="133"/>
      <c r="L7" s="133"/>
      <c r="M7" s="133"/>
      <c r="N7" s="134"/>
      <c r="O7" s="134"/>
      <c r="P7" s="134"/>
      <c r="Q7" s="134"/>
    </row>
    <row r="8" spans="2:17" x14ac:dyDescent="0.25">
      <c r="B8" s="135" t="str">
        <f>'DATA ROOM 2'!D5</f>
        <v>Tata Motors</v>
      </c>
      <c r="C8" s="135"/>
      <c r="D8" s="135"/>
      <c r="E8" s="136">
        <f>'DATA ROOM 2'!E5</f>
        <v>938.6</v>
      </c>
      <c r="F8" s="136">
        <f>'DATA ROOM 2'!I5</f>
        <v>332.33</v>
      </c>
      <c r="G8" s="136">
        <f>F8*E8</f>
        <v>311924.93799999997</v>
      </c>
      <c r="H8" s="136">
        <f>'DATA ROOM 2'!H5</f>
        <v>90848.74</v>
      </c>
      <c r="I8" s="204">
        <f>G8+H8</f>
        <v>402773.67799999996</v>
      </c>
      <c r="J8" s="204"/>
      <c r="K8" s="136"/>
      <c r="L8" s="136">
        <f>'DATA ROOM 2'!M5</f>
        <v>423873.81</v>
      </c>
      <c r="M8" s="136">
        <f>'DATA ROOM 2'!N5</f>
        <v>19774.2</v>
      </c>
      <c r="N8" s="137"/>
      <c r="O8" s="138">
        <f>I8/L8</f>
        <v>0.95022072253060397</v>
      </c>
      <c r="P8" s="138">
        <f>'DATA ROOM 2'!O5</f>
        <v>7</v>
      </c>
      <c r="Q8" s="138">
        <f>G8/M8</f>
        <v>15.774339189448876</v>
      </c>
    </row>
    <row r="9" spans="2:17" x14ac:dyDescent="0.25">
      <c r="B9" s="156" t="str">
        <f>'DATA ROOM 2'!D6</f>
        <v>Ashok Leyland</v>
      </c>
      <c r="C9" s="156"/>
      <c r="D9" s="132"/>
      <c r="E9" s="157">
        <f>'DATA ROOM 2'!E6</f>
        <v>174.2</v>
      </c>
      <c r="F9" s="157">
        <f>'DATA ROOM 2'!I6</f>
        <v>293.61</v>
      </c>
      <c r="G9" s="157">
        <f t="shared" ref="G9:G13" si="0">F9*E9</f>
        <v>51146.862000000001</v>
      </c>
      <c r="H9" s="157">
        <f>'DATA ROOM 2'!H6</f>
        <v>32204.9</v>
      </c>
      <c r="I9" s="205">
        <f t="shared" ref="I9:I13" si="1">G9+H9</f>
        <v>83351.762000000002</v>
      </c>
      <c r="J9" s="205"/>
      <c r="K9" s="133"/>
      <c r="L9" s="157">
        <f>'DATA ROOM 2'!M6</f>
        <v>45415.61</v>
      </c>
      <c r="M9" s="157">
        <f>'DATA ROOM 2'!N6</f>
        <v>2565.36</v>
      </c>
      <c r="N9" s="134"/>
      <c r="O9" s="158">
        <f t="shared" ref="O9:O13" si="2">I9/L9</f>
        <v>1.8353108545718091</v>
      </c>
      <c r="P9" s="158">
        <f>'DATA ROOM 2'!O6</f>
        <v>11.16</v>
      </c>
      <c r="Q9" s="158">
        <f t="shared" ref="Q9:Q13" si="3">G9/M9</f>
        <v>19.937498830573485</v>
      </c>
    </row>
    <row r="10" spans="2:17" x14ac:dyDescent="0.25">
      <c r="B10" s="156" t="str">
        <f>'DATA ROOM 2'!D7</f>
        <v>Tata Motors-DVR</v>
      </c>
      <c r="C10" s="156"/>
      <c r="D10" s="132"/>
      <c r="E10" s="157">
        <f>'DATA ROOM 2'!E7</f>
        <v>620.65</v>
      </c>
      <c r="F10" s="157">
        <f>'DATA ROOM 2'!I7</f>
        <v>50.85</v>
      </c>
      <c r="G10" s="157">
        <f t="shared" si="0"/>
        <v>31560.052499999998</v>
      </c>
      <c r="H10" s="157">
        <f>'DATA ROOM 2'!H7</f>
        <v>74209.16</v>
      </c>
      <c r="I10" s="205">
        <f t="shared" si="1"/>
        <v>105769.21249999999</v>
      </c>
      <c r="J10" s="205"/>
      <c r="K10" s="133"/>
      <c r="L10" s="157">
        <f>'DATA ROOM 2'!M7</f>
        <v>249794.75</v>
      </c>
      <c r="M10" s="157">
        <f>'DATA ROOM 2'!N7</f>
        <v>-13395.1</v>
      </c>
      <c r="N10" s="134"/>
      <c r="O10" s="158">
        <f t="shared" si="2"/>
        <v>0.42342448149931089</v>
      </c>
      <c r="P10" s="158">
        <f>'DATA ROOM 2'!O7</f>
        <v>3.03</v>
      </c>
      <c r="Q10" s="158">
        <f t="shared" si="3"/>
        <v>-2.3560893535695886</v>
      </c>
    </row>
    <row r="11" spans="2:17" x14ac:dyDescent="0.25">
      <c r="B11" s="156" t="str">
        <f>'DATA ROOM 2'!D8</f>
        <v>Olectra Greentec</v>
      </c>
      <c r="C11" s="156"/>
      <c r="D11" s="132"/>
      <c r="E11" s="157">
        <f>'DATA ROOM 2'!E8</f>
        <v>2006.4</v>
      </c>
      <c r="F11" s="157">
        <f>'DATA ROOM 2'!I8</f>
        <v>8.2100000000000009</v>
      </c>
      <c r="G11" s="157">
        <f t="shared" si="0"/>
        <v>16472.544000000002</v>
      </c>
      <c r="H11" s="157">
        <f>'DATA ROOM 2'!H8</f>
        <v>-36.28</v>
      </c>
      <c r="I11" s="205">
        <f t="shared" si="1"/>
        <v>16436.264000000003</v>
      </c>
      <c r="J11" s="205"/>
      <c r="K11" s="133"/>
      <c r="L11" s="157">
        <f>'DATA ROOM 2'!M8</f>
        <v>1241.23</v>
      </c>
      <c r="M11" s="157">
        <f>'DATA ROOM 2'!N8</f>
        <v>91.28</v>
      </c>
      <c r="N11" s="134"/>
      <c r="O11" s="158">
        <f t="shared" si="2"/>
        <v>13.241916486066243</v>
      </c>
      <c r="P11" s="158">
        <f>'DATA ROOM 2'!O8</f>
        <v>84.4</v>
      </c>
      <c r="Q11" s="158">
        <f t="shared" si="3"/>
        <v>180.46170026292728</v>
      </c>
    </row>
    <row r="12" spans="2:17" x14ac:dyDescent="0.25">
      <c r="B12" s="156" t="str">
        <f>'DATA ROOM 2'!D9</f>
        <v>Force Motors</v>
      </c>
      <c r="C12" s="156"/>
      <c r="D12" s="132"/>
      <c r="E12" s="157">
        <f>'DATA ROOM 2'!E9</f>
        <v>5228.75</v>
      </c>
      <c r="F12" s="157">
        <f>'DATA ROOM 2'!I9</f>
        <v>1.32</v>
      </c>
      <c r="G12" s="157">
        <f t="shared" si="0"/>
        <v>6901.9500000000007</v>
      </c>
      <c r="H12" s="157">
        <f>'DATA ROOM 2'!H9</f>
        <v>586.49</v>
      </c>
      <c r="I12" s="205">
        <f t="shared" si="1"/>
        <v>7488.4400000000005</v>
      </c>
      <c r="J12" s="205"/>
      <c r="K12" s="133"/>
      <c r="L12" s="157">
        <f>'DATA ROOM 2'!M9</f>
        <v>6471.17</v>
      </c>
      <c r="M12" s="157">
        <f>'DATA ROOM 2'!N9</f>
        <v>394.54</v>
      </c>
      <c r="N12" s="134"/>
      <c r="O12" s="158">
        <f t="shared" si="2"/>
        <v>1.1572003208075201</v>
      </c>
      <c r="P12" s="158">
        <f>'DATA ROOM 2'!O9</f>
        <v>9.02</v>
      </c>
      <c r="Q12" s="158">
        <f t="shared" si="3"/>
        <v>17.49366350686876</v>
      </c>
    </row>
    <row r="13" spans="2:17" x14ac:dyDescent="0.25">
      <c r="B13" s="156" t="str">
        <f>'DATA ROOM 2'!D10</f>
        <v>SML ISUZU</v>
      </c>
      <c r="C13" s="156"/>
      <c r="D13" s="132"/>
      <c r="E13" s="157">
        <f>'DATA ROOM 2'!E10</f>
        <v>1661.3</v>
      </c>
      <c r="F13" s="157">
        <f>'DATA ROOM 2'!I10</f>
        <v>1.45</v>
      </c>
      <c r="G13" s="157">
        <f t="shared" si="0"/>
        <v>2408.8849999999998</v>
      </c>
      <c r="H13" s="157">
        <f>'DATA ROOM 2'!H10</f>
        <v>249.23</v>
      </c>
      <c r="I13" s="205">
        <f t="shared" si="1"/>
        <v>2658.1149999999998</v>
      </c>
      <c r="J13" s="205"/>
      <c r="K13" s="133"/>
      <c r="L13" s="157">
        <f>'DATA ROOM 2'!M10</f>
        <v>2099.5500000000002</v>
      </c>
      <c r="M13" s="157">
        <f>'DATA ROOM 2'!N10</f>
        <v>82.35</v>
      </c>
      <c r="N13" s="134"/>
      <c r="O13" s="158">
        <f t="shared" si="2"/>
        <v>1.2660403419780426</v>
      </c>
      <c r="P13" s="158">
        <f>'DATA ROOM 2'!O10</f>
        <v>17</v>
      </c>
      <c r="Q13" s="158">
        <f t="shared" si="3"/>
        <v>29.251791135397692</v>
      </c>
    </row>
    <row r="14" spans="2:17" x14ac:dyDescent="0.25">
      <c r="B14" s="139"/>
      <c r="C14" s="139"/>
      <c r="D14" s="132"/>
      <c r="E14" s="141"/>
      <c r="F14" s="133"/>
      <c r="G14" s="133"/>
      <c r="H14" s="133"/>
      <c r="I14" s="203"/>
      <c r="J14" s="203"/>
      <c r="K14" s="133"/>
      <c r="L14" s="133"/>
      <c r="M14" s="133"/>
      <c r="N14" s="134"/>
      <c r="O14" s="134"/>
      <c r="P14" s="134"/>
      <c r="Q14" s="134"/>
    </row>
    <row r="15" spans="2:17" x14ac:dyDescent="0.25">
      <c r="B15" s="142" t="s">
        <v>247</v>
      </c>
      <c r="C15" s="142"/>
      <c r="D15" s="142"/>
      <c r="E15" s="143"/>
      <c r="F15" s="143"/>
      <c r="G15" s="143"/>
      <c r="H15" s="143"/>
      <c r="I15" s="206"/>
      <c r="J15" s="206"/>
      <c r="K15" s="143"/>
      <c r="L15" s="143"/>
      <c r="M15" s="143"/>
      <c r="N15" s="144"/>
      <c r="O15" s="145">
        <f>MAX(O8:O13)</f>
        <v>13.241916486066243</v>
      </c>
      <c r="P15" s="145">
        <f t="shared" ref="P15:Q15" si="4">MAX(P8:P13)</f>
        <v>84.4</v>
      </c>
      <c r="Q15" s="145">
        <f t="shared" si="4"/>
        <v>180.46170026292728</v>
      </c>
    </row>
    <row r="16" spans="2:17" x14ac:dyDescent="0.25">
      <c r="B16" s="142" t="s">
        <v>248</v>
      </c>
      <c r="C16" s="142"/>
      <c r="D16" s="142"/>
      <c r="E16" s="143"/>
      <c r="F16" s="143"/>
      <c r="G16" s="143"/>
      <c r="H16" s="143"/>
      <c r="I16" s="206"/>
      <c r="J16" s="206"/>
      <c r="K16" s="143"/>
      <c r="L16" s="143"/>
      <c r="M16" s="143"/>
      <c r="N16" s="144"/>
      <c r="O16" s="145">
        <f>QUARTILE(O8:O13,)</f>
        <v>0.42342448149931089</v>
      </c>
      <c r="P16" s="145">
        <f t="shared" ref="P16:Q16" si="5">QUARTILE(P8:P13,)</f>
        <v>3.03</v>
      </c>
      <c r="Q16" s="145">
        <f t="shared" si="5"/>
        <v>-2.3560893535695886</v>
      </c>
    </row>
    <row r="17" spans="2:17" x14ac:dyDescent="0.25">
      <c r="B17" s="146" t="s">
        <v>249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7">
        <f>AVERAGE(O8:O13)</f>
        <v>3.1456855345755876</v>
      </c>
      <c r="P17" s="147">
        <f t="shared" ref="P17:Q17" si="6">AVERAGE(P8:P13)</f>
        <v>21.935000000000002</v>
      </c>
      <c r="Q17" s="147">
        <f t="shared" si="6"/>
        <v>43.427150595274412</v>
      </c>
    </row>
    <row r="18" spans="2:17" x14ac:dyDescent="0.25">
      <c r="B18" s="146" t="s">
        <v>250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7">
        <f>MEDIAN(O8:O13)</f>
        <v>1.2116203313927814</v>
      </c>
      <c r="P18" s="147">
        <f t="shared" ref="P18:Q18" si="7">MEDIAN(P8:P13)</f>
        <v>10.09</v>
      </c>
      <c r="Q18" s="147">
        <f t="shared" si="7"/>
        <v>18.715581168721123</v>
      </c>
    </row>
    <row r="19" spans="2:17" x14ac:dyDescent="0.25">
      <c r="B19" s="148" t="s">
        <v>251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5">
        <f>QUARTILE(O8:O13,1)</f>
        <v>1.001965622099833</v>
      </c>
      <c r="P19" s="145">
        <f t="shared" ref="P19:Q19" si="8">QUARTILE(P8:P13,1)</f>
        <v>7.5049999999999999</v>
      </c>
      <c r="Q19" s="145">
        <f t="shared" si="8"/>
        <v>16.204170268803846</v>
      </c>
    </row>
    <row r="20" spans="2:17" x14ac:dyDescent="0.25">
      <c r="B20" s="148" t="s">
        <v>252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5">
        <f>MIN(O8:O13)</f>
        <v>0.42342448149931089</v>
      </c>
      <c r="P20" s="145">
        <f t="shared" ref="P20:Q20" si="9">MIN(P8:P13)</f>
        <v>3.03</v>
      </c>
      <c r="Q20" s="145">
        <f t="shared" si="9"/>
        <v>-2.3560893535695886</v>
      </c>
    </row>
    <row r="23" spans="2:17" x14ac:dyDescent="0.25">
      <c r="B23" s="149" t="s">
        <v>253</v>
      </c>
      <c r="C23" s="149"/>
      <c r="D23" s="149"/>
      <c r="E23" s="149"/>
      <c r="F23" s="150"/>
      <c r="G23" s="150"/>
      <c r="H23" s="150"/>
      <c r="I23" s="150"/>
      <c r="J23" s="150"/>
      <c r="K23" s="150"/>
      <c r="L23" s="150"/>
      <c r="M23" s="150"/>
      <c r="N23" s="150"/>
      <c r="O23" s="131" t="s">
        <v>245</v>
      </c>
      <c r="P23" s="131" t="s">
        <v>216</v>
      </c>
      <c r="Q23" s="131"/>
    </row>
    <row r="24" spans="2:17" ht="5.25" customHeight="1" x14ac:dyDescent="0.25"/>
    <row r="25" spans="2:17" x14ac:dyDescent="0.25">
      <c r="B25" t="s">
        <v>254</v>
      </c>
      <c r="O25" s="151">
        <f>O18*L8</f>
        <v>513574.12614092085</v>
      </c>
      <c r="P25" s="151">
        <f>P27+P26</f>
        <v>460934.38514652522</v>
      </c>
      <c r="Q25" s="151"/>
    </row>
    <row r="26" spans="2:17" x14ac:dyDescent="0.25">
      <c r="B26" t="s">
        <v>218</v>
      </c>
      <c r="O26" s="151">
        <f>$H$8</f>
        <v>90848.74</v>
      </c>
      <c r="P26" s="151">
        <f t="shared" ref="P26" si="10">$H$8</f>
        <v>90848.74</v>
      </c>
      <c r="Q26" s="151"/>
    </row>
    <row r="27" spans="2:17" x14ac:dyDescent="0.25">
      <c r="B27" t="s">
        <v>255</v>
      </c>
      <c r="O27" s="151">
        <f>O25-O26</f>
        <v>422725.38614092086</v>
      </c>
      <c r="P27" s="151">
        <f>Q18*M8</f>
        <v>370085.64514652523</v>
      </c>
      <c r="Q27" s="151"/>
    </row>
    <row r="28" spans="2:17" x14ac:dyDescent="0.25">
      <c r="B28" t="s">
        <v>256</v>
      </c>
      <c r="O28" s="151">
        <f>$F$8</f>
        <v>332.33</v>
      </c>
      <c r="P28" s="151">
        <f>$F$8</f>
        <v>332.33</v>
      </c>
      <c r="Q28" s="151"/>
    </row>
    <row r="29" spans="2:17" x14ac:dyDescent="0.25">
      <c r="B29" s="152" t="s">
        <v>257</v>
      </c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3">
        <f>O27/O28</f>
        <v>1272.0048931511476</v>
      </c>
      <c r="P29" s="153">
        <f t="shared" ref="P29" si="11">P27/P28</f>
        <v>1113.6088982232277</v>
      </c>
      <c r="Q29" s="153"/>
    </row>
    <row r="31" spans="2:17" x14ac:dyDescent="0.25">
      <c r="O31" s="154" t="str">
        <f>IF(O29&gt;$E$8,"Undervalued","Overvalued")</f>
        <v>Undervalued</v>
      </c>
      <c r="P31" s="154" t="str">
        <f>IF(P29&gt;$E$8,"Undervalued","Overvalued")</f>
        <v>Undervalued</v>
      </c>
      <c r="Q31" s="154"/>
    </row>
    <row r="32" spans="2:17" x14ac:dyDescent="0.25">
      <c r="B32" s="155" t="s">
        <v>258</v>
      </c>
      <c r="C32" s="155"/>
    </row>
  </sheetData>
  <mergeCells count="14">
    <mergeCell ref="I13:J13"/>
    <mergeCell ref="I14:J14"/>
    <mergeCell ref="I15:J15"/>
    <mergeCell ref="I16:J16"/>
    <mergeCell ref="E4:I4"/>
    <mergeCell ref="I9:J9"/>
    <mergeCell ref="I10:J10"/>
    <mergeCell ref="I11:J11"/>
    <mergeCell ref="I12:J12"/>
    <mergeCell ref="L4:M4"/>
    <mergeCell ref="O4:Q4"/>
    <mergeCell ref="I6:J6"/>
    <mergeCell ref="I7:J7"/>
    <mergeCell ref="I8:J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E3BA-6B6E-4BBC-B7F3-A088B32892DF}">
  <sheetPr>
    <tabColor theme="5" tint="0.39997558519241921"/>
  </sheetPr>
  <dimension ref="B2:AC29"/>
  <sheetViews>
    <sheetView showGridLines="0" topLeftCell="A22" zoomScale="55" zoomScaleNormal="55" workbookViewId="0">
      <selection activeCell="AD23" sqref="AD23"/>
    </sheetView>
  </sheetViews>
  <sheetFormatPr defaultRowHeight="15" x14ac:dyDescent="0.25"/>
  <cols>
    <col min="1" max="1" width="3.140625" customWidth="1"/>
    <col min="2" max="2" width="28.140625" customWidth="1"/>
    <col min="8" max="8" width="4.85546875" customWidth="1"/>
    <col min="11" max="11" width="0.140625" customWidth="1"/>
    <col min="12" max="12" width="5.42578125" customWidth="1"/>
    <col min="18" max="18" width="15.42578125" customWidth="1"/>
    <col min="19" max="19" width="47.28515625" customWidth="1"/>
    <col min="20" max="20" width="21" customWidth="1"/>
    <col min="21" max="21" width="20.28515625" customWidth="1"/>
    <col min="29" max="29" width="9.140625" style="85"/>
  </cols>
  <sheetData>
    <row r="2" spans="2:21" x14ac:dyDescent="0.25"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2:21" x14ac:dyDescent="0.25"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</row>
    <row r="4" spans="2:21" x14ac:dyDescent="0.25"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2:21" x14ac:dyDescent="0.25"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2:21" x14ac:dyDescent="0.2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2:21" x14ac:dyDescent="0.2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</row>
    <row r="8" spans="2:21" x14ac:dyDescent="0.2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2:21" x14ac:dyDescent="0.2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</row>
    <row r="10" spans="2:21" x14ac:dyDescent="0.2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</row>
    <row r="11" spans="2:21" x14ac:dyDescent="0.2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</row>
    <row r="12" spans="2:21" x14ac:dyDescent="0.2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</row>
    <row r="13" spans="2:21" x14ac:dyDescent="0.2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</row>
    <row r="14" spans="2:21" x14ac:dyDescent="0.2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</row>
    <row r="15" spans="2:21" ht="5.25" customHeight="1" x14ac:dyDescent="0.2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</row>
    <row r="16" spans="2:21" ht="60.75" customHeight="1" x14ac:dyDescent="0.2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</row>
    <row r="17" spans="2:21" ht="57" customHeight="1" x14ac:dyDescent="0.2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</row>
    <row r="18" spans="2:21" x14ac:dyDescent="0.2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</row>
    <row r="29" spans="2:21" ht="17.25" x14ac:dyDescent="0.3">
      <c r="U29" s="1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15" zoomScaleNormal="115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 x14ac:dyDescent="0.25"/>
  <cols>
    <col min="1" max="1" width="20.7109375" customWidth="1"/>
    <col min="2" max="11" width="13.42578125" bestFit="1" customWidth="1"/>
  </cols>
  <sheetData>
    <row r="1" spans="1:11" s="2" customFormat="1" x14ac:dyDescent="0.25">
      <c r="A1" s="2" t="str">
        <f>'Profit &amp; Loss'!A1</f>
        <v>TATA MOTORS LTD</v>
      </c>
      <c r="E1" t="str">
        <f>UPDATE</f>
        <v/>
      </c>
      <c r="J1" s="2" t="s">
        <v>1</v>
      </c>
    </row>
    <row r="3" spans="1:11" s="2" customFormat="1" x14ac:dyDescent="0.25">
      <c r="A3" s="11" t="s">
        <v>2</v>
      </c>
      <c r="B3" s="12">
        <f>'Data Sheet'!B41</f>
        <v>44377</v>
      </c>
      <c r="C3" s="12">
        <f>'Data Sheet'!C41</f>
        <v>44469</v>
      </c>
      <c r="D3" s="12">
        <f>'Data Sheet'!D41</f>
        <v>44561</v>
      </c>
      <c r="E3" s="12">
        <f>'Data Sheet'!E41</f>
        <v>44651</v>
      </c>
      <c r="F3" s="12">
        <f>'Data Sheet'!F41</f>
        <v>44742</v>
      </c>
      <c r="G3" s="12">
        <f>'Data Sheet'!G41</f>
        <v>44834</v>
      </c>
      <c r="H3" s="12">
        <f>'Data Sheet'!H41</f>
        <v>44926</v>
      </c>
      <c r="I3" s="12">
        <f>'Data Sheet'!I41</f>
        <v>45016</v>
      </c>
      <c r="J3" s="12">
        <f>'Data Sheet'!J41</f>
        <v>45107</v>
      </c>
      <c r="K3" s="12">
        <f>'Data Sheet'!K41</f>
        <v>45199</v>
      </c>
    </row>
    <row r="4" spans="1:11" s="2" customFormat="1" x14ac:dyDescent="0.25">
      <c r="A4" s="2" t="s">
        <v>6</v>
      </c>
      <c r="B4" s="1">
        <f>'Data Sheet'!B42</f>
        <v>66406.45</v>
      </c>
      <c r="C4" s="1">
        <f>'Data Sheet'!C42</f>
        <v>61378.82</v>
      </c>
      <c r="D4" s="1">
        <f>'Data Sheet'!D42</f>
        <v>72229.289999999994</v>
      </c>
      <c r="E4" s="1">
        <f>'Data Sheet'!E42</f>
        <v>78439.06</v>
      </c>
      <c r="F4" s="1">
        <f>'Data Sheet'!F42</f>
        <v>71934.66</v>
      </c>
      <c r="G4" s="1">
        <f>'Data Sheet'!G42</f>
        <v>79611.37</v>
      </c>
      <c r="H4" s="1">
        <f>'Data Sheet'!H42</f>
        <v>88488.59</v>
      </c>
      <c r="I4" s="1">
        <f>'Data Sheet'!I42</f>
        <v>105932.35</v>
      </c>
      <c r="J4" s="1">
        <f>'Data Sheet'!J42</f>
        <v>102236.08</v>
      </c>
      <c r="K4" s="1">
        <f>'Data Sheet'!K42</f>
        <v>105128.24</v>
      </c>
    </row>
    <row r="5" spans="1:11" x14ac:dyDescent="0.25">
      <c r="A5" t="s">
        <v>7</v>
      </c>
      <c r="B5" s="6">
        <f>'Data Sheet'!B43</f>
        <v>61163.78</v>
      </c>
      <c r="C5" s="6">
        <f>'Data Sheet'!C43</f>
        <v>57262.21</v>
      </c>
      <c r="D5" s="6">
        <f>'Data Sheet'!D43</f>
        <v>65151.27</v>
      </c>
      <c r="E5" s="6">
        <f>'Data Sheet'!E43</f>
        <v>70156.27</v>
      </c>
      <c r="F5" s="6">
        <f>'Data Sheet'!F43</f>
        <v>69521.929999999993</v>
      </c>
      <c r="G5" s="6">
        <f>'Data Sheet'!G43</f>
        <v>74039.06</v>
      </c>
      <c r="H5" s="6">
        <f>'Data Sheet'!H43</f>
        <v>77668.350000000006</v>
      </c>
      <c r="I5" s="6">
        <f>'Data Sheet'!I43</f>
        <v>92817.95</v>
      </c>
      <c r="J5" s="6">
        <f>'Data Sheet'!J43</f>
        <v>89018.36</v>
      </c>
      <c r="K5" s="6">
        <f>'Data Sheet'!K43</f>
        <v>91361.3</v>
      </c>
    </row>
    <row r="6" spans="1:11" s="2" customFormat="1" x14ac:dyDescent="0.25">
      <c r="A6" s="2" t="s">
        <v>8</v>
      </c>
      <c r="B6" s="1">
        <f>'Data Sheet'!B50</f>
        <v>5242.67</v>
      </c>
      <c r="C6" s="1">
        <f>'Data Sheet'!C50</f>
        <v>4116.6099999999997</v>
      </c>
      <c r="D6" s="1">
        <f>'Data Sheet'!D50</f>
        <v>7078.02</v>
      </c>
      <c r="E6" s="1">
        <f>'Data Sheet'!E50</f>
        <v>8282.7900000000009</v>
      </c>
      <c r="F6" s="1">
        <f>'Data Sheet'!F50</f>
        <v>2412.73</v>
      </c>
      <c r="G6" s="1">
        <f>'Data Sheet'!G50</f>
        <v>5572.31</v>
      </c>
      <c r="H6" s="1">
        <f>'Data Sheet'!H50</f>
        <v>10820.24</v>
      </c>
      <c r="I6" s="1">
        <f>'Data Sheet'!I50</f>
        <v>13114.4</v>
      </c>
      <c r="J6" s="1">
        <f>'Data Sheet'!J50</f>
        <v>13217.72</v>
      </c>
      <c r="K6" s="1">
        <f>'Data Sheet'!K50</f>
        <v>13766.94</v>
      </c>
    </row>
    <row r="7" spans="1:11" x14ac:dyDescent="0.25">
      <c r="A7" t="s">
        <v>9</v>
      </c>
      <c r="B7" s="6">
        <f>'Data Sheet'!B44</f>
        <v>584.12</v>
      </c>
      <c r="C7" s="6">
        <f>'Data Sheet'!C44</f>
        <v>862.46</v>
      </c>
      <c r="D7" s="6">
        <f>'Data Sheet'!D44</f>
        <v>788.73</v>
      </c>
      <c r="E7" s="6">
        <f>'Data Sheet'!E44</f>
        <v>188.74</v>
      </c>
      <c r="F7" s="6">
        <f>'Data Sheet'!F44</f>
        <v>2380.98</v>
      </c>
      <c r="G7" s="6">
        <f>'Data Sheet'!G44</f>
        <v>1351.14</v>
      </c>
      <c r="H7" s="6">
        <f>'Data Sheet'!H44</f>
        <v>1129.98</v>
      </c>
      <c r="I7" s="6">
        <f>'Data Sheet'!I44</f>
        <v>1361.61</v>
      </c>
      <c r="J7" s="6">
        <f>'Data Sheet'!J44</f>
        <v>683.56</v>
      </c>
      <c r="K7" s="6">
        <f>'Data Sheet'!K44</f>
        <v>1507.05</v>
      </c>
    </row>
    <row r="8" spans="1:11" x14ac:dyDescent="0.25">
      <c r="A8" t="s">
        <v>10</v>
      </c>
      <c r="B8" s="6">
        <f>'Data Sheet'!B45</f>
        <v>6202.13</v>
      </c>
      <c r="C8" s="6">
        <f>'Data Sheet'!C45</f>
        <v>6123.32</v>
      </c>
      <c r="D8" s="6">
        <f>'Data Sheet'!D45</f>
        <v>6078.13</v>
      </c>
      <c r="E8" s="6">
        <f>'Data Sheet'!E45</f>
        <v>6432.11</v>
      </c>
      <c r="F8" s="6">
        <f>'Data Sheet'!F45</f>
        <v>5841.04</v>
      </c>
      <c r="G8" s="6">
        <f>'Data Sheet'!G45</f>
        <v>5897.34</v>
      </c>
      <c r="H8" s="6">
        <f>'Data Sheet'!H45</f>
        <v>6071.78</v>
      </c>
      <c r="I8" s="6">
        <f>'Data Sheet'!I45</f>
        <v>7050.2</v>
      </c>
      <c r="J8" s="6">
        <f>'Data Sheet'!J45</f>
        <v>6633.18</v>
      </c>
      <c r="K8" s="6">
        <f>'Data Sheet'!K45</f>
        <v>6636.42</v>
      </c>
    </row>
    <row r="9" spans="1:11" x14ac:dyDescent="0.25">
      <c r="A9" t="s">
        <v>11</v>
      </c>
      <c r="B9" s="6">
        <f>'Data Sheet'!B46</f>
        <v>2203.3000000000002</v>
      </c>
      <c r="C9" s="6">
        <f>'Data Sheet'!C46</f>
        <v>2327.3000000000002</v>
      </c>
      <c r="D9" s="6">
        <f>'Data Sheet'!D46</f>
        <v>2400.7399999999998</v>
      </c>
      <c r="E9" s="6">
        <f>'Data Sheet'!E46</f>
        <v>2380.52</v>
      </c>
      <c r="F9" s="6">
        <f>'Data Sheet'!F46</f>
        <v>2420.7199999999998</v>
      </c>
      <c r="G9" s="6">
        <f>'Data Sheet'!G46</f>
        <v>2487.2600000000002</v>
      </c>
      <c r="H9" s="6">
        <f>'Data Sheet'!H46</f>
        <v>2675.83</v>
      </c>
      <c r="I9" s="6">
        <f>'Data Sheet'!I46</f>
        <v>2641.67</v>
      </c>
      <c r="J9" s="6">
        <f>'Data Sheet'!J46</f>
        <v>2615.39</v>
      </c>
      <c r="K9" s="6">
        <f>'Data Sheet'!K46</f>
        <v>2651.69</v>
      </c>
    </row>
    <row r="10" spans="1:11" x14ac:dyDescent="0.25">
      <c r="A10" t="s">
        <v>12</v>
      </c>
      <c r="B10" s="6">
        <f>'Data Sheet'!B47</f>
        <v>-2578.64</v>
      </c>
      <c r="C10" s="6">
        <f>'Data Sheet'!C47</f>
        <v>-3471.55</v>
      </c>
      <c r="D10" s="6">
        <f>'Data Sheet'!D47</f>
        <v>-612.12</v>
      </c>
      <c r="E10" s="6">
        <f>'Data Sheet'!E47</f>
        <v>-341.1</v>
      </c>
      <c r="F10" s="6">
        <f>'Data Sheet'!F47</f>
        <v>-3468.05</v>
      </c>
      <c r="G10" s="6">
        <f>'Data Sheet'!G47</f>
        <v>-1461.15</v>
      </c>
      <c r="H10" s="6">
        <f>'Data Sheet'!H47</f>
        <v>3202.61</v>
      </c>
      <c r="I10" s="6">
        <f>'Data Sheet'!I47</f>
        <v>4784.1400000000003</v>
      </c>
      <c r="J10" s="6">
        <f>'Data Sheet'!J47</f>
        <v>4652.71</v>
      </c>
      <c r="K10" s="6">
        <f>'Data Sheet'!K47</f>
        <v>5985.88</v>
      </c>
    </row>
    <row r="11" spans="1:11" x14ac:dyDescent="0.25">
      <c r="A11" t="s">
        <v>13</v>
      </c>
      <c r="B11" s="6">
        <f>'Data Sheet'!B48</f>
        <v>1741.96</v>
      </c>
      <c r="C11" s="6">
        <f>'Data Sheet'!C48</f>
        <v>1005.06</v>
      </c>
      <c r="D11" s="6">
        <f>'Data Sheet'!D48</f>
        <v>726.05</v>
      </c>
      <c r="E11" s="6">
        <f>'Data Sheet'!E48</f>
        <v>758.22</v>
      </c>
      <c r="F11" s="6">
        <f>'Data Sheet'!F48</f>
        <v>1518.96</v>
      </c>
      <c r="G11" s="6">
        <f>'Data Sheet'!G48</f>
        <v>-457.08</v>
      </c>
      <c r="H11" s="6">
        <f>'Data Sheet'!H48</f>
        <v>262.83</v>
      </c>
      <c r="I11" s="6">
        <f>'Data Sheet'!I48</f>
        <v>-620.65</v>
      </c>
      <c r="J11" s="6">
        <f>'Data Sheet'!J48</f>
        <v>1563.01</v>
      </c>
      <c r="K11" s="6">
        <f>'Data Sheet'!K48</f>
        <v>2202.84</v>
      </c>
    </row>
    <row r="12" spans="1:11" s="2" customFormat="1" x14ac:dyDescent="0.25">
      <c r="A12" s="2" t="s">
        <v>14</v>
      </c>
      <c r="B12" s="1">
        <f>'Data Sheet'!B49</f>
        <v>-4450.92</v>
      </c>
      <c r="C12" s="1">
        <f>'Data Sheet'!C49</f>
        <v>-4441.57</v>
      </c>
      <c r="D12" s="1">
        <f>'Data Sheet'!D49</f>
        <v>-1516.14</v>
      </c>
      <c r="E12" s="1">
        <f>'Data Sheet'!E49</f>
        <v>-1032.8399999999999</v>
      </c>
      <c r="F12" s="1">
        <f>'Data Sheet'!F49</f>
        <v>-5006.6000000000004</v>
      </c>
      <c r="G12" s="1">
        <f>'Data Sheet'!G49</f>
        <v>-944.61</v>
      </c>
      <c r="H12" s="1">
        <f>'Data Sheet'!H49</f>
        <v>2957.71</v>
      </c>
      <c r="I12" s="1">
        <f>'Data Sheet'!I49</f>
        <v>5407.79</v>
      </c>
      <c r="J12" s="1">
        <f>'Data Sheet'!J49</f>
        <v>3202.8</v>
      </c>
      <c r="K12" s="1">
        <f>'Data Sheet'!K49</f>
        <v>3764</v>
      </c>
    </row>
    <row r="14" spans="1:11" s="2" customFormat="1" x14ac:dyDescent="0.25">
      <c r="A14" s="2" t="s">
        <v>18</v>
      </c>
      <c r="B14" s="10">
        <f>IF(B4&gt;0,B6/B4,"")</f>
        <v>7.8948204579525033E-2</v>
      </c>
      <c r="C14" s="10">
        <f t="shared" ref="C14:K14" si="0">IF(C4&gt;0,C6/C4,"")</f>
        <v>6.70689009661639E-2</v>
      </c>
      <c r="D14" s="10">
        <f t="shared" si="0"/>
        <v>9.7993764025646676E-2</v>
      </c>
      <c r="E14" s="10">
        <f t="shared" si="0"/>
        <v>0.10559522258425842</v>
      </c>
      <c r="F14" s="10">
        <f t="shared" si="0"/>
        <v>3.3540576962482339E-2</v>
      </c>
      <c r="G14" s="10">
        <f t="shared" si="0"/>
        <v>6.9993896600447914E-2</v>
      </c>
      <c r="H14" s="10">
        <f t="shared" si="0"/>
        <v>0.12227836379808968</v>
      </c>
      <c r="I14" s="10">
        <f t="shared" si="0"/>
        <v>0.1237997646611257</v>
      </c>
      <c r="J14" s="10">
        <f t="shared" si="0"/>
        <v>0.12928625588931031</v>
      </c>
      <c r="K14" s="10">
        <f t="shared" si="0"/>
        <v>0.1309537760738694</v>
      </c>
    </row>
    <row r="22" s="19" customFormat="1" x14ac:dyDescent="0.2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13" activePane="bottomRight" state="frozen"/>
      <selection activeCell="C4" sqref="C4"/>
      <selection pane="topRight" activeCell="C4" sqref="C4"/>
      <selection pane="bottomLeft" activeCell="C4" sqref="C4"/>
      <selection pane="bottomRight" activeCell="A18" sqref="A18:XFD18"/>
    </sheetView>
  </sheetViews>
  <sheetFormatPr defaultColWidth="8.85546875" defaultRowHeight="15" x14ac:dyDescent="0.25"/>
  <cols>
    <col min="1" max="1" width="22.85546875" bestFit="1" customWidth="1"/>
    <col min="2" max="2" width="13.42578125" customWidth="1"/>
    <col min="3" max="11" width="15.42578125" customWidth="1"/>
  </cols>
  <sheetData>
    <row r="1" spans="1:11" s="2" customFormat="1" x14ac:dyDescent="0.25">
      <c r="A1" s="2" t="str">
        <f>'Profit &amp; Loss'!A1</f>
        <v>TATA MOTORS LTD</v>
      </c>
      <c r="E1" t="str">
        <f>UPDATE</f>
        <v/>
      </c>
      <c r="G1"/>
      <c r="J1" s="2" t="s">
        <v>1</v>
      </c>
    </row>
    <row r="2" spans="1:11" x14ac:dyDescent="0.25">
      <c r="G2" s="2"/>
      <c r="H2" s="2"/>
    </row>
    <row r="3" spans="1:11" x14ac:dyDescent="0.25">
      <c r="A3" s="11" t="s">
        <v>2</v>
      </c>
      <c r="B3" s="12">
        <f>'Data Sheet'!B56</f>
        <v>41729</v>
      </c>
      <c r="C3" s="12">
        <f>'Data Sheet'!C56</f>
        <v>42094</v>
      </c>
      <c r="D3" s="12">
        <f>'Data Sheet'!D56</f>
        <v>42460</v>
      </c>
      <c r="E3" s="12">
        <f>'Data Sheet'!E56</f>
        <v>42825</v>
      </c>
      <c r="F3" s="12">
        <f>'Data Sheet'!F56</f>
        <v>43190</v>
      </c>
      <c r="G3" s="12">
        <f>'Data Sheet'!G56</f>
        <v>43555</v>
      </c>
      <c r="H3" s="12">
        <f>'Data Sheet'!H56</f>
        <v>43921</v>
      </c>
      <c r="I3" s="12">
        <f>'Data Sheet'!I56</f>
        <v>44286</v>
      </c>
      <c r="J3" s="12">
        <f>'Data Sheet'!J56</f>
        <v>44651</v>
      </c>
      <c r="K3" s="12">
        <f>'Data Sheet'!K56</f>
        <v>45016</v>
      </c>
    </row>
    <row r="4" spans="1:11" x14ac:dyDescent="0.25">
      <c r="A4" t="s">
        <v>24</v>
      </c>
      <c r="B4" s="14">
        <f>'Data Sheet'!B57</f>
        <v>643.78</v>
      </c>
      <c r="C4" s="14">
        <f>'Data Sheet'!C57</f>
        <v>643.78</v>
      </c>
      <c r="D4" s="14">
        <f>'Data Sheet'!D57</f>
        <v>679.18</v>
      </c>
      <c r="E4" s="14">
        <f>'Data Sheet'!E57</f>
        <v>679.22</v>
      </c>
      <c r="F4" s="14">
        <f>'Data Sheet'!F57</f>
        <v>679.22</v>
      </c>
      <c r="G4" s="14">
        <f>'Data Sheet'!G57</f>
        <v>679.22</v>
      </c>
      <c r="H4" s="14">
        <f>'Data Sheet'!H57</f>
        <v>719.54</v>
      </c>
      <c r="I4" s="14">
        <f>'Data Sheet'!I57</f>
        <v>765.81</v>
      </c>
      <c r="J4" s="14">
        <f>'Data Sheet'!J57</f>
        <v>765.88</v>
      </c>
      <c r="K4" s="14">
        <f>'Data Sheet'!K57</f>
        <v>766.02</v>
      </c>
    </row>
    <row r="5" spans="1:11" x14ac:dyDescent="0.25">
      <c r="A5" t="s">
        <v>25</v>
      </c>
      <c r="B5" s="14">
        <f>'Data Sheet'!B58</f>
        <v>64959.67</v>
      </c>
      <c r="C5" s="14">
        <f>'Data Sheet'!C58</f>
        <v>55618.14</v>
      </c>
      <c r="D5" s="14">
        <f>'Data Sheet'!D58</f>
        <v>78273.23</v>
      </c>
      <c r="E5" s="14">
        <f>'Data Sheet'!E58</f>
        <v>57382.67</v>
      </c>
      <c r="F5" s="14">
        <f>'Data Sheet'!F58</f>
        <v>94748.69</v>
      </c>
      <c r="G5" s="14">
        <f>'Data Sheet'!G58</f>
        <v>59500.34</v>
      </c>
      <c r="H5" s="14">
        <f>'Data Sheet'!H58</f>
        <v>61491.49</v>
      </c>
      <c r="I5" s="14">
        <f>'Data Sheet'!I58</f>
        <v>54480.91</v>
      </c>
      <c r="J5" s="14">
        <f>'Data Sheet'!J58</f>
        <v>43795.360000000001</v>
      </c>
      <c r="K5" s="14">
        <f>'Data Sheet'!K58</f>
        <v>44555.77</v>
      </c>
    </row>
    <row r="6" spans="1:11" x14ac:dyDescent="0.25">
      <c r="A6" t="s">
        <v>62</v>
      </c>
      <c r="B6" s="14">
        <f>'Data Sheet'!B59</f>
        <v>60642.28</v>
      </c>
      <c r="C6" s="14">
        <f>'Data Sheet'!C59</f>
        <v>73610.39</v>
      </c>
      <c r="D6" s="14">
        <f>'Data Sheet'!D59</f>
        <v>69359.960000000006</v>
      </c>
      <c r="E6" s="14">
        <f>'Data Sheet'!E59</f>
        <v>78603.98</v>
      </c>
      <c r="F6" s="14">
        <f>'Data Sheet'!F59</f>
        <v>88950.47</v>
      </c>
      <c r="G6" s="14">
        <f>'Data Sheet'!G59</f>
        <v>106175.34</v>
      </c>
      <c r="H6" s="14">
        <f>'Data Sheet'!H59</f>
        <v>124787.64</v>
      </c>
      <c r="I6" s="14">
        <f>'Data Sheet'!I59</f>
        <v>142130.57</v>
      </c>
      <c r="J6" s="14">
        <f>'Data Sheet'!J59</f>
        <v>146449.03</v>
      </c>
      <c r="K6" s="14">
        <f>'Data Sheet'!K59</f>
        <v>134113.44</v>
      </c>
    </row>
    <row r="7" spans="1:11" x14ac:dyDescent="0.25">
      <c r="A7" t="s">
        <v>63</v>
      </c>
      <c r="B7" s="14">
        <f>'Data Sheet'!B60</f>
        <v>92180.26</v>
      </c>
      <c r="C7" s="14">
        <f>'Data Sheet'!C60</f>
        <v>107442.48</v>
      </c>
      <c r="D7" s="14">
        <f>'Data Sheet'!D60</f>
        <v>114871.75</v>
      </c>
      <c r="E7" s="14">
        <f>'Data Sheet'!E60</f>
        <v>135914.49</v>
      </c>
      <c r="F7" s="14">
        <f>'Data Sheet'!F60</f>
        <v>142813.43</v>
      </c>
      <c r="G7" s="14">
        <f>'Data Sheet'!G60</f>
        <v>139348.59</v>
      </c>
      <c r="H7" s="14">
        <f>'Data Sheet'!H60</f>
        <v>133180.72</v>
      </c>
      <c r="I7" s="14">
        <f>'Data Sheet'!I60</f>
        <v>144192.62</v>
      </c>
      <c r="J7" s="14">
        <f>'Data Sheet'!J60</f>
        <v>138051.22</v>
      </c>
      <c r="K7" s="14">
        <f>'Data Sheet'!K60</f>
        <v>155239.20000000001</v>
      </c>
    </row>
    <row r="8" spans="1:11" s="2" customFormat="1" x14ac:dyDescent="0.25">
      <c r="A8" s="2" t="s">
        <v>26</v>
      </c>
      <c r="B8" s="15">
        <f>'Data Sheet'!B61</f>
        <v>218425.99</v>
      </c>
      <c r="C8" s="15">
        <f>'Data Sheet'!C61</f>
        <v>237314.79</v>
      </c>
      <c r="D8" s="15">
        <f>'Data Sheet'!D61</f>
        <v>263184.12</v>
      </c>
      <c r="E8" s="15">
        <f>'Data Sheet'!E61</f>
        <v>272580.36</v>
      </c>
      <c r="F8" s="15">
        <f>'Data Sheet'!F61</f>
        <v>327191.81</v>
      </c>
      <c r="G8" s="15">
        <f>'Data Sheet'!G61</f>
        <v>305703.49</v>
      </c>
      <c r="H8" s="15">
        <f>'Data Sheet'!H61</f>
        <v>320179.39</v>
      </c>
      <c r="I8" s="15">
        <f>'Data Sheet'!I61</f>
        <v>341569.91</v>
      </c>
      <c r="J8" s="15">
        <f>'Data Sheet'!J61</f>
        <v>329061.49</v>
      </c>
      <c r="K8" s="15">
        <f>'Data Sheet'!K61</f>
        <v>334674.43</v>
      </c>
    </row>
    <row r="9" spans="1:11" s="2" customForma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t="s">
        <v>27</v>
      </c>
      <c r="B10" s="14">
        <f>'Data Sheet'!B62</f>
        <v>69091.67</v>
      </c>
      <c r="C10" s="14">
        <f>'Data Sheet'!C62</f>
        <v>88479.49</v>
      </c>
      <c r="D10" s="14">
        <f>'Data Sheet'!D62</f>
        <v>107231.76</v>
      </c>
      <c r="E10" s="14">
        <f>'Data Sheet'!E62</f>
        <v>95944.08</v>
      </c>
      <c r="F10" s="14">
        <f>'Data Sheet'!F62</f>
        <v>121413.86</v>
      </c>
      <c r="G10" s="14">
        <f>'Data Sheet'!G62</f>
        <v>111234.47</v>
      </c>
      <c r="H10" s="14">
        <f>'Data Sheet'!H62</f>
        <v>127107.14</v>
      </c>
      <c r="I10" s="14">
        <f>'Data Sheet'!I62</f>
        <v>138707.60999999999</v>
      </c>
      <c r="J10" s="14">
        <f>'Data Sheet'!J62</f>
        <v>138855.45000000001</v>
      </c>
      <c r="K10" s="14">
        <f>'Data Sheet'!K62</f>
        <v>132079.76</v>
      </c>
    </row>
    <row r="11" spans="1:11" x14ac:dyDescent="0.25">
      <c r="A11" t="s">
        <v>28</v>
      </c>
      <c r="B11" s="14">
        <f>'Data Sheet'!B63</f>
        <v>33262.559999999998</v>
      </c>
      <c r="C11" s="14">
        <f>'Data Sheet'!C63</f>
        <v>28640.09</v>
      </c>
      <c r="D11" s="14">
        <f>'Data Sheet'!D63</f>
        <v>25918.94</v>
      </c>
      <c r="E11" s="14">
        <f>'Data Sheet'!E63</f>
        <v>33698.839999999997</v>
      </c>
      <c r="F11" s="14">
        <f>'Data Sheet'!F63</f>
        <v>40033.5</v>
      </c>
      <c r="G11" s="14">
        <f>'Data Sheet'!G63</f>
        <v>31883.84</v>
      </c>
      <c r="H11" s="14">
        <f>'Data Sheet'!H63</f>
        <v>35622.29</v>
      </c>
      <c r="I11" s="14">
        <f>'Data Sheet'!I63</f>
        <v>20963.93</v>
      </c>
      <c r="J11" s="14">
        <f>'Data Sheet'!J63</f>
        <v>10251.09</v>
      </c>
      <c r="K11" s="14">
        <f>'Data Sheet'!K63</f>
        <v>14274.5</v>
      </c>
    </row>
    <row r="12" spans="1:11" x14ac:dyDescent="0.25">
      <c r="A12" t="s">
        <v>29</v>
      </c>
      <c r="B12" s="14">
        <f>'Data Sheet'!B64</f>
        <v>10686.67</v>
      </c>
      <c r="C12" s="14">
        <f>'Data Sheet'!C64</f>
        <v>15336.74</v>
      </c>
      <c r="D12" s="14">
        <f>'Data Sheet'!D64</f>
        <v>23767.02</v>
      </c>
      <c r="E12" s="14">
        <f>'Data Sheet'!E64</f>
        <v>20337.919999999998</v>
      </c>
      <c r="F12" s="14">
        <f>'Data Sheet'!F64</f>
        <v>20812.75</v>
      </c>
      <c r="G12" s="14">
        <f>'Data Sheet'!G64</f>
        <v>15770.72</v>
      </c>
      <c r="H12" s="14">
        <f>'Data Sheet'!H64</f>
        <v>16308.48</v>
      </c>
      <c r="I12" s="14">
        <f>'Data Sheet'!I64</f>
        <v>24620.28</v>
      </c>
      <c r="J12" s="14">
        <f>'Data Sheet'!J64</f>
        <v>29379.53</v>
      </c>
      <c r="K12" s="14">
        <f>'Data Sheet'!K64</f>
        <v>26379.16</v>
      </c>
    </row>
    <row r="13" spans="1:11" x14ac:dyDescent="0.25">
      <c r="A13" t="s">
        <v>64</v>
      </c>
      <c r="B13" s="14">
        <f>'Data Sheet'!B65</f>
        <v>105385.09</v>
      </c>
      <c r="C13" s="14">
        <f>'Data Sheet'!C65</f>
        <v>104858.47</v>
      </c>
      <c r="D13" s="14">
        <f>'Data Sheet'!D65</f>
        <v>106266.4</v>
      </c>
      <c r="E13" s="14">
        <f>'Data Sheet'!E65</f>
        <v>122599.52</v>
      </c>
      <c r="F13" s="14">
        <f>'Data Sheet'!F65</f>
        <v>144931.70000000001</v>
      </c>
      <c r="G13" s="14">
        <f>'Data Sheet'!G65</f>
        <v>146814.46</v>
      </c>
      <c r="H13" s="14">
        <f>'Data Sheet'!H65</f>
        <v>141141.48000000001</v>
      </c>
      <c r="I13" s="14">
        <f>'Data Sheet'!I65</f>
        <v>157278.09</v>
      </c>
      <c r="J13" s="14">
        <f>'Data Sheet'!J65</f>
        <v>150575.42000000001</v>
      </c>
      <c r="K13" s="14">
        <f>'Data Sheet'!K65</f>
        <v>161941.01</v>
      </c>
    </row>
    <row r="14" spans="1:11" s="2" customFormat="1" x14ac:dyDescent="0.25">
      <c r="A14" s="2" t="s">
        <v>26</v>
      </c>
      <c r="B14" s="14">
        <f>'Data Sheet'!B66</f>
        <v>218425.99</v>
      </c>
      <c r="C14" s="14">
        <f>'Data Sheet'!C66</f>
        <v>237314.79</v>
      </c>
      <c r="D14" s="14">
        <f>'Data Sheet'!D66</f>
        <v>263184.12</v>
      </c>
      <c r="E14" s="14">
        <f>'Data Sheet'!E66</f>
        <v>272580.36</v>
      </c>
      <c r="F14" s="14">
        <f>'Data Sheet'!F66</f>
        <v>327191.81</v>
      </c>
      <c r="G14" s="14">
        <f>'Data Sheet'!G66</f>
        <v>305703.49</v>
      </c>
      <c r="H14" s="14">
        <f>'Data Sheet'!H66</f>
        <v>320179.39</v>
      </c>
      <c r="I14" s="14">
        <f>'Data Sheet'!I66</f>
        <v>341569.91</v>
      </c>
      <c r="J14" s="14">
        <f>'Data Sheet'!J66</f>
        <v>329061.49</v>
      </c>
      <c r="K14" s="14">
        <f>'Data Sheet'!K66</f>
        <v>334674.43</v>
      </c>
    </row>
    <row r="15" spans="1:1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t="s">
        <v>30</v>
      </c>
      <c r="B16" s="4">
        <f>B13-B7</f>
        <v>13204.830000000002</v>
      </c>
      <c r="C16" s="4">
        <f t="shared" ref="C16:K16" si="0">C13-C7</f>
        <v>-2584.0099999999948</v>
      </c>
      <c r="D16" s="4">
        <f t="shared" si="0"/>
        <v>-8605.3500000000058</v>
      </c>
      <c r="E16" s="4">
        <f t="shared" si="0"/>
        <v>-13314.969999999987</v>
      </c>
      <c r="F16" s="4">
        <f t="shared" si="0"/>
        <v>2118.2700000000186</v>
      </c>
      <c r="G16" s="4">
        <f t="shared" si="0"/>
        <v>7465.8699999999953</v>
      </c>
      <c r="H16" s="4">
        <f t="shared" si="0"/>
        <v>7960.7600000000093</v>
      </c>
      <c r="I16" s="4">
        <f t="shared" si="0"/>
        <v>13085.470000000001</v>
      </c>
      <c r="J16" s="4">
        <f t="shared" si="0"/>
        <v>12524.200000000012</v>
      </c>
      <c r="K16" s="4">
        <f t="shared" si="0"/>
        <v>6701.8099999999977</v>
      </c>
    </row>
    <row r="17" spans="1:11" x14ac:dyDescent="0.25">
      <c r="A17" t="s">
        <v>44</v>
      </c>
      <c r="B17" s="4">
        <f>'Data Sheet'!B67</f>
        <v>10574.23</v>
      </c>
      <c r="C17" s="4">
        <f>'Data Sheet'!C67</f>
        <v>12579.2</v>
      </c>
      <c r="D17" s="4">
        <f>'Data Sheet'!D67</f>
        <v>13570.91</v>
      </c>
      <c r="E17" s="4">
        <f>'Data Sheet'!E67</f>
        <v>14075.55</v>
      </c>
      <c r="F17" s="4">
        <f>'Data Sheet'!F67</f>
        <v>19893.3</v>
      </c>
      <c r="G17" s="4">
        <f>'Data Sheet'!G67</f>
        <v>18996.169999999998</v>
      </c>
      <c r="H17" s="4">
        <f>'Data Sheet'!H67</f>
        <v>11172.69</v>
      </c>
      <c r="I17" s="4">
        <f>'Data Sheet'!I67</f>
        <v>12679.08</v>
      </c>
      <c r="J17" s="4">
        <f>'Data Sheet'!J67</f>
        <v>12442.12</v>
      </c>
      <c r="K17" s="4">
        <f>'Data Sheet'!K67</f>
        <v>15737.97</v>
      </c>
    </row>
    <row r="18" spans="1:11" x14ac:dyDescent="0.25">
      <c r="A18" t="s">
        <v>45</v>
      </c>
      <c r="B18" s="4">
        <f>'Data Sheet'!B68</f>
        <v>27270.89</v>
      </c>
      <c r="C18" s="4">
        <f>'Data Sheet'!C68</f>
        <v>29272.34</v>
      </c>
      <c r="D18" s="4">
        <f>'Data Sheet'!D68</f>
        <v>32655.73</v>
      </c>
      <c r="E18" s="4">
        <f>'Data Sheet'!E68</f>
        <v>35085.31</v>
      </c>
      <c r="F18" s="4">
        <f>'Data Sheet'!F68</f>
        <v>42137.63</v>
      </c>
      <c r="G18" s="4">
        <f>'Data Sheet'!G68</f>
        <v>39013.730000000003</v>
      </c>
      <c r="H18" s="4">
        <f>'Data Sheet'!H68</f>
        <v>37456.879999999997</v>
      </c>
      <c r="I18" s="4">
        <f>'Data Sheet'!I68</f>
        <v>36088.589999999997</v>
      </c>
      <c r="J18" s="4">
        <f>'Data Sheet'!J68</f>
        <v>35240.339999999997</v>
      </c>
      <c r="K18" s="4">
        <f>'Data Sheet'!K68</f>
        <v>40755.39</v>
      </c>
    </row>
    <row r="20" spans="1:11" x14ac:dyDescent="0.25">
      <c r="A20" t="s">
        <v>46</v>
      </c>
      <c r="B20" s="4">
        <f>IF('Profit &amp; Loss'!B4&gt;0,'Balance Sheet'!B17/('Profit &amp; Loss'!B4/365),0)</f>
        <v>16.576615039251628</v>
      </c>
      <c r="C20" s="4">
        <f>IF('Profit &amp; Loss'!C4&gt;0,'Balance Sheet'!C17/('Profit &amp; Loss'!C4/365),0)</f>
        <v>17.447278447423685</v>
      </c>
      <c r="D20" s="4">
        <f>IF('Profit &amp; Loss'!D4&gt;0,'Balance Sheet'!D17/('Profit &amp; Loss'!D4/365),0)</f>
        <v>18.141226776772818</v>
      </c>
      <c r="E20" s="4">
        <f>IF('Profit &amp; Loss'!E4&gt;0,'Balance Sheet'!E17/('Profit &amp; Loss'!E4/365),0)</f>
        <v>19.049753180019717</v>
      </c>
      <c r="F20" s="4">
        <f>IF('Profit &amp; Loss'!F4&gt;0,'Balance Sheet'!F17/('Profit &amp; Loss'!F4/365),0)</f>
        <v>24.904964999543132</v>
      </c>
      <c r="G20" s="4">
        <f>IF('Profit &amp; Loss'!G4&gt;0,'Balance Sheet'!G17/('Profit &amp; Loss'!G4/365),0)</f>
        <v>22.963631157878556</v>
      </c>
      <c r="H20" s="4">
        <f>IF('Profit &amp; Loss'!H4&gt;0,'Balance Sheet'!H17/('Profit &amp; Loss'!H4/365),0)</f>
        <v>15.62057517051977</v>
      </c>
      <c r="I20" s="4">
        <f>IF('Profit &amp; Loss'!I4&gt;0,'Balance Sheet'!I17/('Profit &amp; Loss'!I4/365),0)</f>
        <v>18.526667193766084</v>
      </c>
      <c r="J20" s="4">
        <f>IF('Profit &amp; Loss'!J4&gt;0,'Balance Sheet'!J17/('Profit &amp; Loss'!J4/365),0)</f>
        <v>16.309264717046958</v>
      </c>
      <c r="K20" s="4">
        <f>IF('Profit &amp; Loss'!K4&gt;0,'Balance Sheet'!K17/('Profit &amp; Loss'!K4/365),0)</f>
        <v>16.603778823163381</v>
      </c>
    </row>
    <row r="21" spans="1:11" x14ac:dyDescent="0.25">
      <c r="A21" t="s">
        <v>47</v>
      </c>
      <c r="B21" s="4">
        <f>IF('Balance Sheet'!B18&gt;0,'Profit &amp; Loss'!B4/'Balance Sheet'!B18,0)</f>
        <v>8.5378093637574715</v>
      </c>
      <c r="C21" s="4">
        <f>IF('Balance Sheet'!C18&gt;0,'Profit &amp; Loss'!C4/'Balance Sheet'!C18,0)</f>
        <v>8.9900219797938927</v>
      </c>
      <c r="D21" s="4">
        <f>IF('Balance Sheet'!D18&gt;0,'Profit &amp; Loss'!D4/'Balance Sheet'!D18,0)</f>
        <v>8.3613381173839922</v>
      </c>
      <c r="E21" s="4">
        <f>IF('Balance Sheet'!E18&gt;0,'Profit &amp; Loss'!E4/'Balance Sheet'!E18,0)</f>
        <v>7.6867643466738649</v>
      </c>
      <c r="F21" s="4">
        <f>IF('Balance Sheet'!F18&gt;0,'Profit &amp; Loss'!F4/'Balance Sheet'!F18,0)</f>
        <v>6.9190051742350009</v>
      </c>
      <c r="G21" s="4">
        <f>IF('Balance Sheet'!G18&gt;0,'Profit &amp; Loss'!G4/'Balance Sheet'!G18,0)</f>
        <v>7.7392856309817084</v>
      </c>
      <c r="H21" s="4">
        <f>IF('Balance Sheet'!H18&gt;0,'Profit &amp; Loss'!H4/'Balance Sheet'!H18,0)</f>
        <v>6.9698269049637886</v>
      </c>
      <c r="I21" s="4">
        <f>IF('Balance Sheet'!I18&gt;0,'Profit &amp; Loss'!I4/'Balance Sheet'!I18,0)</f>
        <v>6.9217098811563442</v>
      </c>
      <c r="J21" s="4">
        <f>IF('Balance Sheet'!J18&gt;0,'Profit &amp; Loss'!J4/'Balance Sheet'!J18,0)</f>
        <v>7.9015588385356104</v>
      </c>
      <c r="K21" s="4">
        <f>IF('Balance Sheet'!K18&gt;0,'Profit &amp; Loss'!K4/'Balance Sheet'!K18,0)</f>
        <v>8.4888641723217457</v>
      </c>
    </row>
    <row r="23" spans="1:11" s="2" customFormat="1" x14ac:dyDescent="0.25">
      <c r="A23" s="2" t="s">
        <v>50</v>
      </c>
      <c r="B23" s="10">
        <f>IF(SUM('Balance Sheet'!B4:B5)&gt;0,'Profit &amp; Loss'!B12/SUM('Balance Sheet'!B4:B5),"")</f>
        <v>0.21326652790363923</v>
      </c>
      <c r="C23" s="10">
        <f>IF(SUM('Balance Sheet'!C4:C5)&gt;0,'Profit &amp; Loss'!C12/SUM('Balance Sheet'!C4:C5),"")</f>
        <v>0.24859247604774243</v>
      </c>
      <c r="D23" s="10">
        <f>IF(SUM('Balance Sheet'!D4:D5)&gt;0,'Profit &amp; Loss'!D12/SUM('Balance Sheet'!D4:D5),"")</f>
        <v>0.14666189417143824</v>
      </c>
      <c r="E23" s="10">
        <f>IF(SUM('Balance Sheet'!E4:E5)&gt;0,'Profit &amp; Loss'!E12/SUM('Balance Sheet'!E4:E5),"")</f>
        <v>0.1283864510783235</v>
      </c>
      <c r="F23" s="10">
        <f>IF(SUM('Balance Sheet'!F4:F5)&gt;0,'Profit &amp; Loss'!F12/SUM('Balance Sheet'!F4:F5),"")</f>
        <v>9.4195817554843228E-2</v>
      </c>
      <c r="G23" s="10">
        <f>IF(SUM('Balance Sheet'!G4:G5)&gt;0,'Profit &amp; Loss'!G12/SUM('Balance Sheet'!G4:G5),"")</f>
        <v>-0.47900366835516911</v>
      </c>
      <c r="H23" s="10">
        <f>IF(SUM('Balance Sheet'!H4:H5)&gt;0,'Profit &amp; Loss'!H12/SUM('Balance Sheet'!H4:H5),"")</f>
        <v>-0.19403070484446247</v>
      </c>
      <c r="I23" s="10">
        <f>IF(SUM('Balance Sheet'!I4:I5)&gt;0,'Profit &amp; Loss'!I12/SUM('Balance Sheet'!I4:I5),"")</f>
        <v>-0.24347852687001145</v>
      </c>
      <c r="J23" s="10">
        <f>IF(SUM('Balance Sheet'!J4:J5)&gt;0,'Profit &amp; Loss'!J12/SUM('Balance Sheet'!J4:J5),"")</f>
        <v>-0.25675833975894746</v>
      </c>
      <c r="K23" s="10">
        <f>IF(SUM('Balance Sheet'!K4:K5)&gt;0,'Profit &amp; Loss'!K12/SUM('Balance Sheet'!K4:K5),"")</f>
        <v>5.326996131441411E-2</v>
      </c>
    </row>
    <row r="24" spans="1:11" s="2" customFormat="1" x14ac:dyDescent="0.25">
      <c r="A24" s="2" t="s">
        <v>51</v>
      </c>
      <c r="B24" s="10"/>
      <c r="C24" s="10">
        <f>IF((B4+B5+B6+C4+C5+C6)&gt;0,('Profit &amp; Loss'!C10+'Profit &amp; Loss'!C9)*2/(B4+B5+B6+C4+C5+C6),"")</f>
        <v>0.20743599318501738</v>
      </c>
      <c r="D24" s="10">
        <f>IF((C4+C5+C6+D4+D5+D6)&gt;0,('Profit &amp; Loss'!D10+'Profit &amp; Loss'!D9)*2/(C4+C5+C6+D4+D5+D6),"")</f>
        <v>0.1367066655144345</v>
      </c>
      <c r="E24" s="10">
        <f>IF((D4+D5+D6+E4+E5+E6)&gt;0,('Profit &amp; Loss'!E10+'Profit &amp; Loss'!E9)*2/(D4+D5+D6+E4+E5+E6),"")</f>
        <v>9.5114630506525702E-2</v>
      </c>
      <c r="F24" s="10">
        <f>IF((E4+E5+E6+F4+F5+F6)&gt;0,('Profit &amp; Loss'!F10+'Profit &amp; Loss'!F9)*2/(E4+E5+E6+F4+F5+F6),"")</f>
        <v>9.8658175625322669E-2</v>
      </c>
      <c r="G24" s="10">
        <f>IF((F4+F5+F6+G4+G5+G6)&gt;0,('Profit &amp; Loss'!G10+'Profit &amp; Loss'!G9)*2/(F4+F5+F6+G4+G5+G6),"")</f>
        <v>-0.14605143828951733</v>
      </c>
      <c r="H24" s="10">
        <f>IF((G4+G5+G6+H4+H5+H6)&gt;0,('Profit &amp; Loss'!H10+'Profit &amp; Loss'!H9)*2/(G4+G5+G6+H4+H5+H6),"")</f>
        <v>-1.888561646624937E-2</v>
      </c>
      <c r="I24" s="10">
        <f>IF((H4+H5+H6+I4+I5+I6)&gt;0,('Profit &amp; Loss'!I10+'Profit &amp; Loss'!I9)*2/(H4+H5+H6+I4+I5+I6),"")</f>
        <v>-1.2368671547513017E-2</v>
      </c>
      <c r="J24" s="10">
        <f>IF((I4+I5+I6+J4+J5+J6)&gt;0,('Profit &amp; Loss'!J10+'Profit &amp; Loss'!J9)*2/(I4+I5+I6+J4+J5+J6),"")</f>
        <v>1.1887352931695343E-2</v>
      </c>
      <c r="K24" s="10">
        <f>IF((J4+J5+J6+K4+K5+K6)&gt;0,('Profit &amp; Loss'!K10+'Profit &amp; Loss'!K9)*2/(J4+J5+J6+K4+K5+K6),"")</f>
        <v>7.1713814852657126E-2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8"/>
  <sheetViews>
    <sheetView zoomScaleNormal="100" zoomScalePageLayoutView="15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S15" sqref="S15"/>
    </sheetView>
  </sheetViews>
  <sheetFormatPr defaultColWidth="8.85546875" defaultRowHeight="15" x14ac:dyDescent="0.25"/>
  <cols>
    <col min="1" max="1" width="26.85546875" bestFit="1" customWidth="1"/>
    <col min="2" max="6" width="13.42578125" customWidth="1"/>
    <col min="7" max="11" width="13.42578125" bestFit="1" customWidth="1"/>
  </cols>
  <sheetData>
    <row r="1" spans="1:11" s="2" customFormat="1" x14ac:dyDescent="0.25">
      <c r="A1" s="2" t="str">
        <f>'Balance Sheet'!A1</f>
        <v>TATA MOTORS LTD</v>
      </c>
      <c r="E1" t="str">
        <f>UPDATE</f>
        <v/>
      </c>
      <c r="F1"/>
      <c r="J1" s="2" t="s">
        <v>1</v>
      </c>
    </row>
    <row r="3" spans="1:11" s="2" customFormat="1" x14ac:dyDescent="0.25">
      <c r="A3" s="11" t="s">
        <v>2</v>
      </c>
      <c r="B3" s="12">
        <f>'Data Sheet'!B81</f>
        <v>41729</v>
      </c>
      <c r="C3" s="12">
        <f>'Data Sheet'!C81</f>
        <v>42094</v>
      </c>
      <c r="D3" s="12">
        <f>'Data Sheet'!D81</f>
        <v>42460</v>
      </c>
      <c r="E3" s="12">
        <f>'Data Sheet'!E81</f>
        <v>42825</v>
      </c>
      <c r="F3" s="12">
        <f>'Data Sheet'!F81</f>
        <v>43190</v>
      </c>
      <c r="G3" s="12">
        <f>'Data Sheet'!G81</f>
        <v>43555</v>
      </c>
      <c r="H3" s="12">
        <f>'Data Sheet'!H81</f>
        <v>43921</v>
      </c>
      <c r="I3" s="12">
        <f>'Data Sheet'!I81</f>
        <v>44286</v>
      </c>
      <c r="J3" s="12">
        <f>'Data Sheet'!J81</f>
        <v>44651</v>
      </c>
      <c r="K3" s="12">
        <f>'Data Sheet'!K81</f>
        <v>45016</v>
      </c>
    </row>
    <row r="4" spans="1:11" s="2" customFormat="1" x14ac:dyDescent="0.25">
      <c r="A4" s="2" t="s">
        <v>32</v>
      </c>
      <c r="B4" s="1">
        <f>'Data Sheet'!B82</f>
        <v>36151.160000000003</v>
      </c>
      <c r="C4" s="1">
        <f>'Data Sheet'!C82</f>
        <v>35531.26</v>
      </c>
      <c r="D4" s="1">
        <f>'Data Sheet'!D82</f>
        <v>37899.54</v>
      </c>
      <c r="E4" s="1">
        <f>'Data Sheet'!E82</f>
        <v>30199.25</v>
      </c>
      <c r="F4" s="1">
        <f>'Data Sheet'!F82</f>
        <v>23857.42</v>
      </c>
      <c r="G4" s="1">
        <f>'Data Sheet'!G82</f>
        <v>18890.75</v>
      </c>
      <c r="H4" s="1">
        <f>'Data Sheet'!H82</f>
        <v>26632.94</v>
      </c>
      <c r="I4" s="1">
        <f>'Data Sheet'!I82</f>
        <v>29000.51</v>
      </c>
      <c r="J4" s="1">
        <f>'Data Sheet'!J82</f>
        <v>14282.83</v>
      </c>
      <c r="K4" s="1">
        <f>'Data Sheet'!K82</f>
        <v>35388.01</v>
      </c>
    </row>
    <row r="5" spans="1:11" x14ac:dyDescent="0.25">
      <c r="A5" t="s">
        <v>33</v>
      </c>
      <c r="B5" s="6">
        <f>'Data Sheet'!B83</f>
        <v>-27990.91</v>
      </c>
      <c r="C5" s="6">
        <f>'Data Sheet'!C83</f>
        <v>-36232.35</v>
      </c>
      <c r="D5" s="6">
        <f>'Data Sheet'!D83</f>
        <v>-36693.9</v>
      </c>
      <c r="E5" s="6">
        <f>'Data Sheet'!E83</f>
        <v>-39571.4</v>
      </c>
      <c r="F5" s="6">
        <f>'Data Sheet'!F83</f>
        <v>-25139.14</v>
      </c>
      <c r="G5" s="6">
        <f>'Data Sheet'!G83</f>
        <v>-20878.07</v>
      </c>
      <c r="H5" s="6">
        <f>'Data Sheet'!H83</f>
        <v>-33114.550000000003</v>
      </c>
      <c r="I5" s="6">
        <f>'Data Sheet'!I83</f>
        <v>-25672.5</v>
      </c>
      <c r="J5" s="6">
        <f>'Data Sheet'!J83</f>
        <v>-4443.66</v>
      </c>
      <c r="K5" s="6">
        <f>'Data Sheet'!K83</f>
        <v>-15417.17</v>
      </c>
    </row>
    <row r="6" spans="1:11" x14ac:dyDescent="0.25">
      <c r="A6" t="s">
        <v>34</v>
      </c>
      <c r="B6" s="6">
        <f>'Data Sheet'!B84</f>
        <v>-3883.24</v>
      </c>
      <c r="C6" s="6">
        <f>'Data Sheet'!C84</f>
        <v>5201.4399999999996</v>
      </c>
      <c r="D6" s="6">
        <f>'Data Sheet'!D84</f>
        <v>-3795.12</v>
      </c>
      <c r="E6" s="6">
        <f>'Data Sheet'!E84</f>
        <v>6205.3</v>
      </c>
      <c r="F6" s="6">
        <f>'Data Sheet'!F84</f>
        <v>2011.71</v>
      </c>
      <c r="G6" s="6">
        <f>'Data Sheet'!G84</f>
        <v>8830.3700000000008</v>
      </c>
      <c r="H6" s="6">
        <f>'Data Sheet'!H84</f>
        <v>3389.61</v>
      </c>
      <c r="I6" s="6">
        <f>'Data Sheet'!I84</f>
        <v>9904.2000000000007</v>
      </c>
      <c r="J6" s="6">
        <f>'Data Sheet'!J84</f>
        <v>-3380.17</v>
      </c>
      <c r="K6" s="6">
        <f>'Data Sheet'!K84</f>
        <v>-26242.9</v>
      </c>
    </row>
    <row r="7" spans="1:11" s="2" customFormat="1" x14ac:dyDescent="0.25">
      <c r="A7" s="2" t="s">
        <v>35</v>
      </c>
      <c r="B7" s="1">
        <f>'Data Sheet'!B85</f>
        <v>4277.01</v>
      </c>
      <c r="C7" s="1">
        <f>'Data Sheet'!C85</f>
        <v>4500.3500000000004</v>
      </c>
      <c r="D7" s="1">
        <f>'Data Sheet'!D85</f>
        <v>-2589.48</v>
      </c>
      <c r="E7" s="1">
        <f>'Data Sheet'!E85</f>
        <v>-3166.85</v>
      </c>
      <c r="F7" s="1">
        <f>'Data Sheet'!F85</f>
        <v>729.99</v>
      </c>
      <c r="G7" s="1">
        <f>'Data Sheet'!G85</f>
        <v>6843.05</v>
      </c>
      <c r="H7" s="1">
        <f>'Data Sheet'!H85</f>
        <v>-3092</v>
      </c>
      <c r="I7" s="1">
        <f>'Data Sheet'!I85</f>
        <v>13232.21</v>
      </c>
      <c r="J7" s="1">
        <f>'Data Sheet'!J85</f>
        <v>6459</v>
      </c>
      <c r="K7" s="1">
        <f>'Data Sheet'!K85</f>
        <v>-6272.06</v>
      </c>
    </row>
    <row r="8" spans="1:11" x14ac:dyDescent="0.25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Normal="100" zoomScalePageLayoutView="120" workbookViewId="0">
      <pane xSplit="1" ySplit="1" topLeftCell="B14" activePane="bottomRight" state="frozen"/>
      <selection activeCell="C4" sqref="C4"/>
      <selection pane="topRight" activeCell="C4" sqref="C4"/>
      <selection pane="bottomLeft" activeCell="C4" sqref="C4"/>
      <selection pane="bottomRight" activeCell="C68" sqref="C68"/>
    </sheetView>
  </sheetViews>
  <sheetFormatPr defaultColWidth="8.85546875" defaultRowHeight="15" x14ac:dyDescent="0.25"/>
  <cols>
    <col min="1" max="1" width="27.7109375" style="4" bestFit="1" customWidth="1"/>
    <col min="2" max="11" width="13.42578125" style="4" bestFit="1" customWidth="1"/>
    <col min="12" max="16384" width="8.85546875" style="4"/>
  </cols>
  <sheetData>
    <row r="1" spans="1:11" s="1" customFormat="1" x14ac:dyDescent="0.25">
      <c r="A1" s="1" t="s">
        <v>0</v>
      </c>
      <c r="B1" s="1" t="s">
        <v>54</v>
      </c>
      <c r="E1" s="187" t="str">
        <f>IF(B2&lt;&gt;B3, "A NEW VERSION OF THE WORKSHEET IS AVAILABLE", "")</f>
        <v/>
      </c>
      <c r="F1" s="187"/>
      <c r="G1" s="187"/>
      <c r="H1" s="187"/>
      <c r="I1" s="187"/>
      <c r="J1" s="187"/>
      <c r="K1" s="187"/>
    </row>
    <row r="2" spans="1:11" x14ac:dyDescent="0.25">
      <c r="A2" s="1" t="s">
        <v>52</v>
      </c>
      <c r="B2" s="4">
        <v>2.1</v>
      </c>
      <c r="E2" s="188" t="s">
        <v>36</v>
      </c>
      <c r="F2" s="188"/>
      <c r="G2" s="188"/>
      <c r="H2" s="188"/>
      <c r="I2" s="188"/>
      <c r="J2" s="188"/>
      <c r="K2" s="188"/>
    </row>
    <row r="3" spans="1:11" x14ac:dyDescent="0.25">
      <c r="A3" s="1" t="s">
        <v>53</v>
      </c>
      <c r="B3" s="4">
        <v>2.1</v>
      </c>
    </row>
    <row r="4" spans="1:11" x14ac:dyDescent="0.25">
      <c r="A4" s="1"/>
    </row>
    <row r="5" spans="1:11" x14ac:dyDescent="0.25">
      <c r="A5" s="1" t="s">
        <v>55</v>
      </c>
    </row>
    <row r="6" spans="1:11" x14ac:dyDescent="0.25">
      <c r="A6" s="4" t="s">
        <v>42</v>
      </c>
      <c r="B6" s="4">
        <f>IF(B9&gt;0, B9/B8, 0)</f>
        <v>366.15998530222305</v>
      </c>
    </row>
    <row r="7" spans="1:11" x14ac:dyDescent="0.25">
      <c r="A7" s="4" t="s">
        <v>31</v>
      </c>
      <c r="B7">
        <v>2</v>
      </c>
    </row>
    <row r="8" spans="1:11" x14ac:dyDescent="0.25">
      <c r="A8" s="4" t="s">
        <v>43</v>
      </c>
      <c r="B8">
        <v>816.45</v>
      </c>
    </row>
    <row r="9" spans="1:11" x14ac:dyDescent="0.25">
      <c r="A9" s="4" t="s">
        <v>70</v>
      </c>
      <c r="B9">
        <v>298951.32</v>
      </c>
    </row>
    <row r="15" spans="1:11" x14ac:dyDescent="0.25">
      <c r="A15" s="1" t="s">
        <v>37</v>
      </c>
    </row>
    <row r="16" spans="1:11" s="18" customFormat="1" x14ac:dyDescent="0.25">
      <c r="A16" s="17" t="s">
        <v>38</v>
      </c>
      <c r="B16" s="26">
        <v>41729</v>
      </c>
      <c r="C16" s="12">
        <v>42094</v>
      </c>
      <c r="D16" s="12">
        <v>42460</v>
      </c>
      <c r="E16" s="12">
        <v>42825</v>
      </c>
      <c r="F16" s="12">
        <v>43190</v>
      </c>
      <c r="G16" s="12">
        <v>43555</v>
      </c>
      <c r="H16" s="12">
        <v>43921</v>
      </c>
      <c r="I16" s="12">
        <v>44286</v>
      </c>
      <c r="J16" s="12">
        <v>44651</v>
      </c>
      <c r="K16" s="12">
        <v>45016</v>
      </c>
    </row>
    <row r="17" spans="1:11" s="6" customFormat="1" x14ac:dyDescent="0.25">
      <c r="A17" s="6" t="s">
        <v>6</v>
      </c>
      <c r="B17" s="27">
        <v>232833.66</v>
      </c>
      <c r="C17">
        <v>263158.98</v>
      </c>
      <c r="D17">
        <v>273045.59999999998</v>
      </c>
      <c r="E17">
        <v>269692.51</v>
      </c>
      <c r="F17">
        <v>291550.48</v>
      </c>
      <c r="G17">
        <v>301938.40000000002</v>
      </c>
      <c r="H17">
        <v>261067.97</v>
      </c>
      <c r="I17">
        <v>249794.75</v>
      </c>
      <c r="J17">
        <v>278453.62</v>
      </c>
      <c r="K17">
        <v>345966.97</v>
      </c>
    </row>
    <row r="18" spans="1:11" s="6" customFormat="1" x14ac:dyDescent="0.25">
      <c r="A18" s="4" t="s">
        <v>71</v>
      </c>
      <c r="B18" s="27">
        <v>146426.99</v>
      </c>
      <c r="C18">
        <v>163250.35999999999</v>
      </c>
      <c r="D18">
        <v>166134.01</v>
      </c>
      <c r="E18">
        <v>173294.07999999999</v>
      </c>
      <c r="F18">
        <v>187896.58</v>
      </c>
      <c r="G18">
        <v>194267.91</v>
      </c>
      <c r="H18">
        <v>164899.82</v>
      </c>
      <c r="I18">
        <v>153607.35999999999</v>
      </c>
      <c r="J18">
        <v>179295.33</v>
      </c>
      <c r="K18">
        <v>231251.26</v>
      </c>
    </row>
    <row r="19" spans="1:11" s="6" customFormat="1" x14ac:dyDescent="0.25">
      <c r="A19" s="4" t="s">
        <v>72</v>
      </c>
      <c r="B19" s="27">
        <v>2840.58</v>
      </c>
      <c r="C19">
        <v>3330.35</v>
      </c>
      <c r="D19">
        <v>2750.99</v>
      </c>
      <c r="E19">
        <v>7399.92</v>
      </c>
      <c r="F19">
        <v>2046.58</v>
      </c>
      <c r="G19">
        <v>-2053.2800000000002</v>
      </c>
      <c r="H19">
        <v>-2231.19</v>
      </c>
      <c r="I19">
        <v>-4684.16</v>
      </c>
      <c r="J19">
        <v>-1590.49</v>
      </c>
      <c r="K19">
        <v>4781.62</v>
      </c>
    </row>
    <row r="20" spans="1:11" s="6" customFormat="1" x14ac:dyDescent="0.25">
      <c r="A20" s="4" t="s">
        <v>73</v>
      </c>
      <c r="B20" s="27">
        <v>1128.69</v>
      </c>
      <c r="C20">
        <v>1121.75</v>
      </c>
      <c r="D20">
        <v>1143.6300000000001</v>
      </c>
      <c r="E20">
        <v>1159.82</v>
      </c>
      <c r="F20">
        <v>1308.08</v>
      </c>
      <c r="G20">
        <v>1585.93</v>
      </c>
      <c r="H20">
        <v>1264.95</v>
      </c>
      <c r="I20">
        <v>1112.8699999999999</v>
      </c>
      <c r="J20">
        <v>2178.29</v>
      </c>
      <c r="K20">
        <v>2513.33</v>
      </c>
    </row>
    <row r="21" spans="1:11" s="6" customFormat="1" x14ac:dyDescent="0.25">
      <c r="A21" s="4" t="s">
        <v>74</v>
      </c>
      <c r="B21" s="27">
        <v>13806.04</v>
      </c>
      <c r="C21">
        <v>16173.17</v>
      </c>
      <c r="D21">
        <v>12101.53</v>
      </c>
      <c r="E21">
        <v>10067.370000000001</v>
      </c>
      <c r="F21">
        <v>10971.66</v>
      </c>
      <c r="G21">
        <v>11694.54</v>
      </c>
      <c r="H21">
        <v>11541.51</v>
      </c>
      <c r="I21">
        <v>8273.17</v>
      </c>
      <c r="J21">
        <v>9427.3799999999992</v>
      </c>
      <c r="K21">
        <v>11765.97</v>
      </c>
    </row>
    <row r="22" spans="1:11" s="6" customFormat="1" x14ac:dyDescent="0.25">
      <c r="A22" s="4" t="s">
        <v>75</v>
      </c>
      <c r="B22" s="27">
        <v>21609.919999999998</v>
      </c>
      <c r="C22">
        <v>25641.95</v>
      </c>
      <c r="D22">
        <v>28880.89</v>
      </c>
      <c r="E22">
        <v>28332.89</v>
      </c>
      <c r="F22">
        <v>30300.09</v>
      </c>
      <c r="G22">
        <v>33243.870000000003</v>
      </c>
      <c r="H22">
        <v>30438.6</v>
      </c>
      <c r="I22">
        <v>27648.48</v>
      </c>
      <c r="J22">
        <v>30808.52</v>
      </c>
      <c r="K22">
        <v>33654.699999999997</v>
      </c>
    </row>
    <row r="23" spans="1:11" s="6" customFormat="1" x14ac:dyDescent="0.25">
      <c r="A23" s="4" t="s">
        <v>76</v>
      </c>
      <c r="B23" s="27">
        <v>22357.79</v>
      </c>
      <c r="C23">
        <v>23603.01</v>
      </c>
      <c r="D23">
        <v>21991.9</v>
      </c>
      <c r="E23">
        <v>30039.38</v>
      </c>
      <c r="F23">
        <v>31004.58</v>
      </c>
      <c r="G23">
        <v>32719.8</v>
      </c>
      <c r="H23">
        <v>29248.32</v>
      </c>
      <c r="I23">
        <v>23015.79</v>
      </c>
      <c r="J23">
        <v>29205.4</v>
      </c>
      <c r="K23">
        <v>34839.19</v>
      </c>
    </row>
    <row r="24" spans="1:11" s="6" customFormat="1" x14ac:dyDescent="0.25">
      <c r="A24" s="4" t="s">
        <v>77</v>
      </c>
      <c r="B24" s="27">
        <v>-4508.55</v>
      </c>
      <c r="C24">
        <v>-2539.56</v>
      </c>
      <c r="D24">
        <v>7149.38</v>
      </c>
      <c r="E24">
        <v>4610.2</v>
      </c>
      <c r="F24">
        <v>658.39</v>
      </c>
      <c r="G24">
        <v>1708.74</v>
      </c>
      <c r="H24">
        <v>3456.51</v>
      </c>
      <c r="I24">
        <v>-834.51</v>
      </c>
      <c r="J24">
        <v>1228.1199999999999</v>
      </c>
      <c r="K24">
        <v>4908.34</v>
      </c>
    </row>
    <row r="25" spans="1:11" s="6" customFormat="1" x14ac:dyDescent="0.25">
      <c r="A25" s="6" t="s">
        <v>9</v>
      </c>
      <c r="B25" s="27">
        <v>-156.79</v>
      </c>
      <c r="C25">
        <v>714.03</v>
      </c>
      <c r="D25">
        <v>-2669.62</v>
      </c>
      <c r="E25">
        <v>1869.1</v>
      </c>
      <c r="F25">
        <v>5932.73</v>
      </c>
      <c r="G25">
        <v>-26686.25</v>
      </c>
      <c r="H25">
        <v>101.71</v>
      </c>
      <c r="I25">
        <v>-11117.83</v>
      </c>
      <c r="J25">
        <v>2424.0500000000002</v>
      </c>
      <c r="K25">
        <v>6327.59</v>
      </c>
    </row>
    <row r="26" spans="1:11" s="6" customFormat="1" x14ac:dyDescent="0.25">
      <c r="A26" s="6" t="s">
        <v>10</v>
      </c>
      <c r="B26" s="27">
        <v>11078.16</v>
      </c>
      <c r="C26">
        <v>13388.63</v>
      </c>
      <c r="D26">
        <v>16710.78</v>
      </c>
      <c r="E26">
        <v>17904.990000000002</v>
      </c>
      <c r="F26">
        <v>21553.59</v>
      </c>
      <c r="G26">
        <v>23590.63</v>
      </c>
      <c r="H26">
        <v>21425.43</v>
      </c>
      <c r="I26">
        <v>23546.71</v>
      </c>
      <c r="J26">
        <v>24835.69</v>
      </c>
      <c r="K26">
        <v>24860.36</v>
      </c>
    </row>
    <row r="27" spans="1:11" s="6" customFormat="1" x14ac:dyDescent="0.25">
      <c r="A27" s="6" t="s">
        <v>11</v>
      </c>
      <c r="B27" s="27">
        <v>4749.4399999999996</v>
      </c>
      <c r="C27">
        <v>4861.49</v>
      </c>
      <c r="D27">
        <v>4889.08</v>
      </c>
      <c r="E27">
        <v>4238.01</v>
      </c>
      <c r="F27">
        <v>4681.79</v>
      </c>
      <c r="G27">
        <v>5758.6</v>
      </c>
      <c r="H27">
        <v>7243.33</v>
      </c>
      <c r="I27">
        <v>8097.17</v>
      </c>
      <c r="J27">
        <v>9311.86</v>
      </c>
      <c r="K27">
        <v>10225.48</v>
      </c>
    </row>
    <row r="28" spans="1:11" s="6" customFormat="1" x14ac:dyDescent="0.25">
      <c r="A28" s="6" t="s">
        <v>12</v>
      </c>
      <c r="B28" s="27">
        <v>18868.97</v>
      </c>
      <c r="C28">
        <v>21702.560000000001</v>
      </c>
      <c r="D28">
        <v>14125.77</v>
      </c>
      <c r="E28">
        <v>9314.7900000000009</v>
      </c>
      <c r="F28">
        <v>11155.03</v>
      </c>
      <c r="G28">
        <v>-31371.15</v>
      </c>
      <c r="H28">
        <v>-10579.98</v>
      </c>
      <c r="I28">
        <v>-10474.280000000001</v>
      </c>
      <c r="J28">
        <v>-7003.41</v>
      </c>
      <c r="K28">
        <v>3057.55</v>
      </c>
    </row>
    <row r="29" spans="1:11" s="6" customFormat="1" x14ac:dyDescent="0.25">
      <c r="A29" s="6" t="s">
        <v>13</v>
      </c>
      <c r="B29" s="27">
        <v>4764.79</v>
      </c>
      <c r="C29">
        <v>7642.91</v>
      </c>
      <c r="D29">
        <v>3025.05</v>
      </c>
      <c r="E29">
        <v>3251.23</v>
      </c>
      <c r="F29">
        <v>4341.93</v>
      </c>
      <c r="G29">
        <v>-2437.4499999999998</v>
      </c>
      <c r="H29">
        <v>395.25</v>
      </c>
      <c r="I29">
        <v>2541.86</v>
      </c>
      <c r="J29">
        <v>4231.29</v>
      </c>
      <c r="K29">
        <v>704.06</v>
      </c>
    </row>
    <row r="30" spans="1:11" s="6" customFormat="1" x14ac:dyDescent="0.25">
      <c r="A30" s="6" t="s">
        <v>14</v>
      </c>
      <c r="B30" s="27">
        <v>13991.02</v>
      </c>
      <c r="C30">
        <v>13986.29</v>
      </c>
      <c r="D30">
        <v>11579.31</v>
      </c>
      <c r="E30">
        <v>7454.36</v>
      </c>
      <c r="F30">
        <v>8988.91</v>
      </c>
      <c r="G30">
        <v>-28826.23</v>
      </c>
      <c r="H30">
        <v>-12070.85</v>
      </c>
      <c r="I30">
        <v>-13451.39</v>
      </c>
      <c r="J30">
        <v>-11441.47</v>
      </c>
      <c r="K30">
        <v>2414.29</v>
      </c>
    </row>
    <row r="31" spans="1:11" s="6" customFormat="1" x14ac:dyDescent="0.25">
      <c r="A31" s="6" t="s">
        <v>61</v>
      </c>
      <c r="B31" s="27">
        <v>643.78</v>
      </c>
      <c r="D31">
        <v>67.92</v>
      </c>
      <c r="K31">
        <v>766.02</v>
      </c>
    </row>
    <row r="32" spans="1:11" s="6" customFormat="1" x14ac:dyDescent="0.25"/>
    <row r="33" spans="1:11" x14ac:dyDescent="0.25">
      <c r="A33" s="6"/>
    </row>
    <row r="34" spans="1:11" x14ac:dyDescent="0.25">
      <c r="A34" s="6" t="s">
        <v>89</v>
      </c>
      <c r="C34" s="4">
        <f>SUM(C26:C27,C29:C30)</f>
        <v>39879.32</v>
      </c>
      <c r="D34" s="4">
        <f t="shared" ref="D34:K34" si="0">SUM(D26:D27,D29:D30)</f>
        <v>36204.22</v>
      </c>
      <c r="E34" s="4">
        <f t="shared" si="0"/>
        <v>32848.589999999997</v>
      </c>
      <c r="F34" s="4">
        <f t="shared" si="0"/>
        <v>39566.22</v>
      </c>
      <c r="G34" s="4">
        <f t="shared" si="0"/>
        <v>-1914.4499999999971</v>
      </c>
      <c r="H34" s="4">
        <f t="shared" si="0"/>
        <v>16993.160000000003</v>
      </c>
      <c r="I34" s="4">
        <f t="shared" si="0"/>
        <v>20734.349999999999</v>
      </c>
      <c r="J34" s="4">
        <f t="shared" si="0"/>
        <v>26937.370000000003</v>
      </c>
      <c r="K34" s="4">
        <f t="shared" si="0"/>
        <v>38204.189999999995</v>
      </c>
    </row>
    <row r="35" spans="1:11" x14ac:dyDescent="0.25">
      <c r="A35" s="6"/>
    </row>
    <row r="36" spans="1:11" x14ac:dyDescent="0.25">
      <c r="A36" s="6"/>
    </row>
    <row r="37" spans="1:11" x14ac:dyDescent="0.25">
      <c r="A37" s="6"/>
    </row>
    <row r="38" spans="1:11" x14ac:dyDescent="0.25">
      <c r="A38" s="6"/>
    </row>
    <row r="39" spans="1:11" x14ac:dyDescent="0.25">
      <c r="A39" s="6"/>
    </row>
    <row r="40" spans="1:11" x14ac:dyDescent="0.25">
      <c r="A40" s="1" t="s">
        <v>39</v>
      </c>
    </row>
    <row r="41" spans="1:11" s="18" customFormat="1" x14ac:dyDescent="0.25">
      <c r="A41" s="17" t="s">
        <v>38</v>
      </c>
      <c r="B41" s="12">
        <v>44377</v>
      </c>
      <c r="C41" s="12">
        <v>44469</v>
      </c>
      <c r="D41" s="12">
        <v>44561</v>
      </c>
      <c r="E41" s="12">
        <v>44651</v>
      </c>
      <c r="F41" s="12">
        <v>44742</v>
      </c>
      <c r="G41" s="12">
        <v>44834</v>
      </c>
      <c r="H41" s="12">
        <v>44926</v>
      </c>
      <c r="I41" s="12">
        <v>45016</v>
      </c>
      <c r="J41" s="12">
        <v>45107</v>
      </c>
      <c r="K41" s="12">
        <v>45199</v>
      </c>
    </row>
    <row r="42" spans="1:11" s="6" customFormat="1" x14ac:dyDescent="0.25">
      <c r="A42" s="6" t="s">
        <v>6</v>
      </c>
      <c r="B42">
        <v>66406.45</v>
      </c>
      <c r="C42">
        <v>61378.82</v>
      </c>
      <c r="D42">
        <v>72229.289999999994</v>
      </c>
      <c r="E42">
        <v>78439.06</v>
      </c>
      <c r="F42">
        <v>71934.66</v>
      </c>
      <c r="G42">
        <v>79611.37</v>
      </c>
      <c r="H42">
        <v>88488.59</v>
      </c>
      <c r="I42">
        <v>105932.35</v>
      </c>
      <c r="J42">
        <v>102236.08</v>
      </c>
      <c r="K42">
        <v>105128.24</v>
      </c>
    </row>
    <row r="43" spans="1:11" s="6" customFormat="1" x14ac:dyDescent="0.25">
      <c r="A43" s="6" t="s">
        <v>7</v>
      </c>
      <c r="B43">
        <v>61163.78</v>
      </c>
      <c r="C43">
        <v>57262.21</v>
      </c>
      <c r="D43">
        <v>65151.27</v>
      </c>
      <c r="E43">
        <v>70156.27</v>
      </c>
      <c r="F43">
        <v>69521.929999999993</v>
      </c>
      <c r="G43">
        <v>74039.06</v>
      </c>
      <c r="H43">
        <v>77668.350000000006</v>
      </c>
      <c r="I43">
        <v>92817.95</v>
      </c>
      <c r="J43">
        <v>89018.36</v>
      </c>
      <c r="K43">
        <v>91361.3</v>
      </c>
    </row>
    <row r="44" spans="1:11" s="6" customFormat="1" x14ac:dyDescent="0.25">
      <c r="A44" s="6" t="s">
        <v>9</v>
      </c>
      <c r="B44">
        <v>584.12</v>
      </c>
      <c r="C44">
        <v>862.46</v>
      </c>
      <c r="D44">
        <v>788.73</v>
      </c>
      <c r="E44">
        <v>188.74</v>
      </c>
      <c r="F44">
        <v>2380.98</v>
      </c>
      <c r="G44">
        <v>1351.14</v>
      </c>
      <c r="H44">
        <v>1129.98</v>
      </c>
      <c r="I44">
        <v>1361.61</v>
      </c>
      <c r="J44">
        <v>683.56</v>
      </c>
      <c r="K44">
        <v>1507.05</v>
      </c>
    </row>
    <row r="45" spans="1:11" s="6" customFormat="1" x14ac:dyDescent="0.25">
      <c r="A45" s="6" t="s">
        <v>10</v>
      </c>
      <c r="B45">
        <v>6202.13</v>
      </c>
      <c r="C45">
        <v>6123.32</v>
      </c>
      <c r="D45">
        <v>6078.13</v>
      </c>
      <c r="E45">
        <v>6432.11</v>
      </c>
      <c r="F45">
        <v>5841.04</v>
      </c>
      <c r="G45">
        <v>5897.34</v>
      </c>
      <c r="H45">
        <v>6071.78</v>
      </c>
      <c r="I45">
        <v>7050.2</v>
      </c>
      <c r="J45">
        <v>6633.18</v>
      </c>
      <c r="K45">
        <v>6636.42</v>
      </c>
    </row>
    <row r="46" spans="1:11" s="6" customFormat="1" x14ac:dyDescent="0.25">
      <c r="A46" s="6" t="s">
        <v>11</v>
      </c>
      <c r="B46">
        <v>2203.3000000000002</v>
      </c>
      <c r="C46">
        <v>2327.3000000000002</v>
      </c>
      <c r="D46">
        <v>2400.7399999999998</v>
      </c>
      <c r="E46">
        <v>2380.52</v>
      </c>
      <c r="F46">
        <v>2420.7199999999998</v>
      </c>
      <c r="G46">
        <v>2487.2600000000002</v>
      </c>
      <c r="H46">
        <v>2675.83</v>
      </c>
      <c r="I46">
        <v>2641.67</v>
      </c>
      <c r="J46">
        <v>2615.39</v>
      </c>
      <c r="K46">
        <v>2651.69</v>
      </c>
    </row>
    <row r="47" spans="1:11" s="6" customFormat="1" x14ac:dyDescent="0.25">
      <c r="A47" s="6" t="s">
        <v>12</v>
      </c>
      <c r="B47">
        <v>-2578.64</v>
      </c>
      <c r="C47">
        <v>-3471.55</v>
      </c>
      <c r="D47">
        <v>-612.12</v>
      </c>
      <c r="E47">
        <v>-341.1</v>
      </c>
      <c r="F47">
        <v>-3468.05</v>
      </c>
      <c r="G47">
        <v>-1461.15</v>
      </c>
      <c r="H47">
        <v>3202.61</v>
      </c>
      <c r="I47">
        <v>4784.1400000000003</v>
      </c>
      <c r="J47">
        <v>4652.71</v>
      </c>
      <c r="K47">
        <v>5985.88</v>
      </c>
    </row>
    <row r="48" spans="1:11" s="6" customFormat="1" x14ac:dyDescent="0.25">
      <c r="A48" s="6" t="s">
        <v>13</v>
      </c>
      <c r="B48">
        <v>1741.96</v>
      </c>
      <c r="C48">
        <v>1005.06</v>
      </c>
      <c r="D48">
        <v>726.05</v>
      </c>
      <c r="E48">
        <v>758.22</v>
      </c>
      <c r="F48">
        <v>1518.96</v>
      </c>
      <c r="G48">
        <v>-457.08</v>
      </c>
      <c r="H48">
        <v>262.83</v>
      </c>
      <c r="I48">
        <v>-620.65</v>
      </c>
      <c r="J48">
        <v>1563.01</v>
      </c>
      <c r="K48">
        <v>2202.84</v>
      </c>
    </row>
    <row r="49" spans="1:11" s="6" customFormat="1" x14ac:dyDescent="0.25">
      <c r="A49" s="6" t="s">
        <v>14</v>
      </c>
      <c r="B49">
        <v>-4450.92</v>
      </c>
      <c r="C49">
        <v>-4441.57</v>
      </c>
      <c r="D49">
        <v>-1516.14</v>
      </c>
      <c r="E49">
        <v>-1032.8399999999999</v>
      </c>
      <c r="F49">
        <v>-5006.6000000000004</v>
      </c>
      <c r="G49">
        <v>-944.61</v>
      </c>
      <c r="H49">
        <v>2957.71</v>
      </c>
      <c r="I49">
        <v>5407.79</v>
      </c>
      <c r="J49">
        <v>3202.8</v>
      </c>
      <c r="K49">
        <v>3764</v>
      </c>
    </row>
    <row r="50" spans="1:11" x14ac:dyDescent="0.25">
      <c r="A50" s="6" t="s">
        <v>8</v>
      </c>
      <c r="B50">
        <v>5242.67</v>
      </c>
      <c r="C50">
        <v>4116.6099999999997</v>
      </c>
      <c r="D50">
        <v>7078.02</v>
      </c>
      <c r="E50">
        <v>8282.7900000000009</v>
      </c>
      <c r="F50">
        <v>2412.73</v>
      </c>
      <c r="G50">
        <v>5572.31</v>
      </c>
      <c r="H50">
        <v>10820.24</v>
      </c>
      <c r="I50">
        <v>13114.4</v>
      </c>
      <c r="J50">
        <v>13217.72</v>
      </c>
      <c r="K50">
        <v>13766.94</v>
      </c>
    </row>
    <row r="51" spans="1:11" x14ac:dyDescent="0.25">
      <c r="A51" s="6"/>
    </row>
    <row r="52" spans="1:11" x14ac:dyDescent="0.25">
      <c r="A52" s="6"/>
    </row>
    <row r="53" spans="1:11" x14ac:dyDescent="0.25">
      <c r="A53" s="6"/>
    </row>
    <row r="54" spans="1:11" x14ac:dyDescent="0.25">
      <c r="A54" s="6"/>
    </row>
    <row r="55" spans="1:11" x14ac:dyDescent="0.25">
      <c r="A55" s="1" t="s">
        <v>40</v>
      </c>
    </row>
    <row r="56" spans="1:11" s="18" customFormat="1" x14ac:dyDescent="0.25">
      <c r="A56" s="17" t="s">
        <v>38</v>
      </c>
      <c r="B56" s="12">
        <v>41729</v>
      </c>
      <c r="C56" s="12">
        <v>42094</v>
      </c>
      <c r="D56" s="12">
        <v>42460</v>
      </c>
      <c r="E56" s="12">
        <v>42825</v>
      </c>
      <c r="F56" s="12">
        <v>43190</v>
      </c>
      <c r="G56" s="12">
        <v>43555</v>
      </c>
      <c r="H56" s="12">
        <v>43921</v>
      </c>
      <c r="I56" s="12">
        <v>44286</v>
      </c>
      <c r="J56" s="12">
        <v>44651</v>
      </c>
      <c r="K56" s="12">
        <v>45016</v>
      </c>
    </row>
    <row r="57" spans="1:11" x14ac:dyDescent="0.25">
      <c r="A57" s="6" t="s">
        <v>24</v>
      </c>
      <c r="B57">
        <v>643.78</v>
      </c>
      <c r="C57">
        <v>643.78</v>
      </c>
      <c r="D57">
        <v>679.18</v>
      </c>
      <c r="E57">
        <v>679.22</v>
      </c>
      <c r="F57">
        <v>679.22</v>
      </c>
      <c r="G57">
        <v>679.22</v>
      </c>
      <c r="H57">
        <v>719.54</v>
      </c>
      <c r="I57">
        <v>765.81</v>
      </c>
      <c r="J57">
        <v>765.88</v>
      </c>
      <c r="K57">
        <v>766.02</v>
      </c>
    </row>
    <row r="58" spans="1:11" x14ac:dyDescent="0.25">
      <c r="A58" s="6" t="s">
        <v>25</v>
      </c>
      <c r="B58">
        <v>64959.67</v>
      </c>
      <c r="C58">
        <v>55618.14</v>
      </c>
      <c r="D58">
        <v>78273.23</v>
      </c>
      <c r="E58">
        <v>57382.67</v>
      </c>
      <c r="F58">
        <v>94748.69</v>
      </c>
      <c r="G58">
        <v>59500.34</v>
      </c>
      <c r="H58">
        <v>61491.49</v>
      </c>
      <c r="I58">
        <v>54480.91</v>
      </c>
      <c r="J58">
        <v>43795.360000000001</v>
      </c>
      <c r="K58">
        <v>44555.77</v>
      </c>
    </row>
    <row r="59" spans="1:11" x14ac:dyDescent="0.25">
      <c r="A59" s="6" t="s">
        <v>62</v>
      </c>
      <c r="B59">
        <v>60642.28</v>
      </c>
      <c r="C59">
        <v>73610.39</v>
      </c>
      <c r="D59">
        <v>69359.960000000006</v>
      </c>
      <c r="E59">
        <v>78603.98</v>
      </c>
      <c r="F59">
        <v>88950.47</v>
      </c>
      <c r="G59">
        <v>106175.34</v>
      </c>
      <c r="H59">
        <v>124787.64</v>
      </c>
      <c r="I59">
        <v>142130.57</v>
      </c>
      <c r="J59">
        <v>146449.03</v>
      </c>
      <c r="K59">
        <v>134113.44</v>
      </c>
    </row>
    <row r="60" spans="1:11" x14ac:dyDescent="0.25">
      <c r="A60" s="6" t="s">
        <v>63</v>
      </c>
      <c r="B60">
        <v>92180.26</v>
      </c>
      <c r="C60">
        <v>107442.48</v>
      </c>
      <c r="D60">
        <v>114871.75</v>
      </c>
      <c r="E60">
        <v>135914.49</v>
      </c>
      <c r="F60">
        <v>142813.43</v>
      </c>
      <c r="G60">
        <v>139348.59</v>
      </c>
      <c r="H60">
        <v>133180.72</v>
      </c>
      <c r="I60">
        <v>144192.62</v>
      </c>
      <c r="J60">
        <v>138051.22</v>
      </c>
      <c r="K60">
        <v>155239.20000000001</v>
      </c>
    </row>
    <row r="61" spans="1:11" s="1" customFormat="1" x14ac:dyDescent="0.25">
      <c r="A61" s="1" t="s">
        <v>26</v>
      </c>
      <c r="B61">
        <v>218425.99</v>
      </c>
      <c r="C61">
        <v>237314.79</v>
      </c>
      <c r="D61">
        <v>263184.12</v>
      </c>
      <c r="E61">
        <v>272580.36</v>
      </c>
      <c r="F61">
        <v>327191.81</v>
      </c>
      <c r="G61">
        <v>305703.49</v>
      </c>
      <c r="H61">
        <v>320179.39</v>
      </c>
      <c r="I61">
        <v>341569.91</v>
      </c>
      <c r="J61">
        <v>329061.49</v>
      </c>
      <c r="K61">
        <v>334674.43</v>
      </c>
    </row>
    <row r="62" spans="1:11" x14ac:dyDescent="0.25">
      <c r="A62" s="6" t="s">
        <v>27</v>
      </c>
      <c r="B62">
        <v>69091.67</v>
      </c>
      <c r="C62">
        <v>88479.49</v>
      </c>
      <c r="D62">
        <v>107231.76</v>
      </c>
      <c r="E62">
        <v>95944.08</v>
      </c>
      <c r="F62">
        <v>121413.86</v>
      </c>
      <c r="G62">
        <v>111234.47</v>
      </c>
      <c r="H62">
        <v>127107.14</v>
      </c>
      <c r="I62">
        <v>138707.60999999999</v>
      </c>
      <c r="J62">
        <v>138855.45000000001</v>
      </c>
      <c r="K62">
        <v>132079.76</v>
      </c>
    </row>
    <row r="63" spans="1:11" x14ac:dyDescent="0.25">
      <c r="A63" s="6" t="s">
        <v>28</v>
      </c>
      <c r="B63">
        <v>33262.559999999998</v>
      </c>
      <c r="C63">
        <v>28640.09</v>
      </c>
      <c r="D63">
        <v>25918.94</v>
      </c>
      <c r="E63">
        <v>33698.839999999997</v>
      </c>
      <c r="F63">
        <v>40033.5</v>
      </c>
      <c r="G63">
        <v>31883.84</v>
      </c>
      <c r="H63">
        <v>35622.29</v>
      </c>
      <c r="I63">
        <v>20963.93</v>
      </c>
      <c r="J63">
        <v>10251.09</v>
      </c>
      <c r="K63">
        <v>14274.5</v>
      </c>
    </row>
    <row r="64" spans="1:11" x14ac:dyDescent="0.25">
      <c r="A64" s="6" t="s">
        <v>29</v>
      </c>
      <c r="B64">
        <v>10686.67</v>
      </c>
      <c r="C64">
        <v>15336.74</v>
      </c>
      <c r="D64">
        <v>23767.02</v>
      </c>
      <c r="E64">
        <v>20337.919999999998</v>
      </c>
      <c r="F64">
        <v>20812.75</v>
      </c>
      <c r="G64">
        <v>15770.72</v>
      </c>
      <c r="H64">
        <v>16308.48</v>
      </c>
      <c r="I64">
        <v>24620.28</v>
      </c>
      <c r="J64">
        <v>29379.53</v>
      </c>
      <c r="K64">
        <v>26379.16</v>
      </c>
    </row>
    <row r="65" spans="1:11" x14ac:dyDescent="0.25">
      <c r="A65" s="6" t="s">
        <v>64</v>
      </c>
      <c r="B65">
        <v>105385.09</v>
      </c>
      <c r="C65">
        <v>104858.47</v>
      </c>
      <c r="D65">
        <v>106266.4</v>
      </c>
      <c r="E65">
        <v>122599.52</v>
      </c>
      <c r="F65">
        <v>144931.70000000001</v>
      </c>
      <c r="G65">
        <v>146814.46</v>
      </c>
      <c r="H65">
        <v>141141.48000000001</v>
      </c>
      <c r="I65">
        <v>157278.09</v>
      </c>
      <c r="J65">
        <v>150575.42000000001</v>
      </c>
      <c r="K65">
        <v>161941.01</v>
      </c>
    </row>
    <row r="66" spans="1:11" s="1" customFormat="1" x14ac:dyDescent="0.25">
      <c r="A66" s="1" t="s">
        <v>26</v>
      </c>
      <c r="B66">
        <v>218425.99</v>
      </c>
      <c r="C66">
        <v>237314.79</v>
      </c>
      <c r="D66">
        <v>263184.12</v>
      </c>
      <c r="E66">
        <v>272580.36</v>
      </c>
      <c r="F66">
        <v>327191.81</v>
      </c>
      <c r="G66">
        <v>305703.49</v>
      </c>
      <c r="H66">
        <v>320179.39</v>
      </c>
      <c r="I66">
        <v>341569.91</v>
      </c>
      <c r="J66">
        <v>329061.49</v>
      </c>
      <c r="K66">
        <v>334674.43</v>
      </c>
    </row>
    <row r="67" spans="1:11" s="6" customFormat="1" x14ac:dyDescent="0.25">
      <c r="A67" s="6" t="s">
        <v>69</v>
      </c>
      <c r="B67">
        <v>10574.23</v>
      </c>
      <c r="C67">
        <v>12579.2</v>
      </c>
      <c r="D67">
        <v>13570.91</v>
      </c>
      <c r="E67">
        <v>14075.55</v>
      </c>
      <c r="F67">
        <v>19893.3</v>
      </c>
      <c r="G67">
        <v>18996.169999999998</v>
      </c>
      <c r="H67">
        <v>11172.69</v>
      </c>
      <c r="I67">
        <v>12679.08</v>
      </c>
      <c r="J67">
        <v>12442.12</v>
      </c>
      <c r="K67">
        <v>15737.97</v>
      </c>
    </row>
    <row r="68" spans="1:11" x14ac:dyDescent="0.25">
      <c r="A68" s="6" t="s">
        <v>45</v>
      </c>
      <c r="B68">
        <v>27270.89</v>
      </c>
      <c r="C68">
        <v>29272.34</v>
      </c>
      <c r="D68">
        <v>32655.73</v>
      </c>
      <c r="E68">
        <v>35085.31</v>
      </c>
      <c r="F68">
        <v>42137.63</v>
      </c>
      <c r="G68">
        <v>39013.730000000003</v>
      </c>
      <c r="H68">
        <v>37456.879999999997</v>
      </c>
      <c r="I68">
        <v>36088.589999999997</v>
      </c>
      <c r="J68">
        <v>35240.339999999997</v>
      </c>
      <c r="K68">
        <v>40755.39</v>
      </c>
    </row>
    <row r="69" spans="1:11" x14ac:dyDescent="0.25">
      <c r="A69" s="4" t="s">
        <v>78</v>
      </c>
      <c r="B69">
        <v>29711.79</v>
      </c>
      <c r="C69">
        <v>32115.759999999998</v>
      </c>
      <c r="D69">
        <v>30460.400000000001</v>
      </c>
      <c r="E69">
        <v>36077.879999999997</v>
      </c>
      <c r="F69">
        <v>34613.910000000003</v>
      </c>
      <c r="G69">
        <v>32648.82</v>
      </c>
      <c r="H69">
        <v>33726.97</v>
      </c>
      <c r="I69">
        <v>46792.46</v>
      </c>
      <c r="J69">
        <v>40669.19</v>
      </c>
      <c r="K69">
        <v>37015.56</v>
      </c>
    </row>
    <row r="70" spans="1:11" x14ac:dyDescent="0.25">
      <c r="A70" s="4" t="s">
        <v>65</v>
      </c>
      <c r="B70">
        <v>3218930000</v>
      </c>
      <c r="C70">
        <v>3218930067</v>
      </c>
      <c r="D70">
        <v>3395930306</v>
      </c>
      <c r="E70">
        <v>3396100719</v>
      </c>
      <c r="F70">
        <v>3396100719</v>
      </c>
      <c r="G70">
        <v>3396100719</v>
      </c>
      <c r="H70">
        <v>3597726185</v>
      </c>
      <c r="I70">
        <v>3829060661</v>
      </c>
      <c r="J70">
        <v>3829414903</v>
      </c>
      <c r="K70">
        <v>3830097221</v>
      </c>
    </row>
    <row r="71" spans="1:11" x14ac:dyDescent="0.25">
      <c r="A71" s="4" t="s">
        <v>66</v>
      </c>
    </row>
    <row r="72" spans="1:11" x14ac:dyDescent="0.25">
      <c r="A72" s="4" t="s">
        <v>79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25">
      <c r="A74" s="6"/>
    </row>
    <row r="75" spans="1:11" x14ac:dyDescent="0.25">
      <c r="A75" s="6"/>
    </row>
    <row r="76" spans="1:11" x14ac:dyDescent="0.25">
      <c r="A76" s="6" t="s">
        <v>149</v>
      </c>
      <c r="B76" s="4">
        <f>SUM(B62:B65)</f>
        <v>218425.99</v>
      </c>
      <c r="C76" s="4">
        <f t="shared" ref="C76:K76" si="1">SUM(C62:C65)</f>
        <v>237314.79</v>
      </c>
      <c r="D76" s="4">
        <f t="shared" si="1"/>
        <v>263184.12</v>
      </c>
      <c r="E76" s="4">
        <f t="shared" si="1"/>
        <v>272580.36</v>
      </c>
      <c r="F76" s="4">
        <f t="shared" si="1"/>
        <v>327191.81</v>
      </c>
      <c r="G76" s="4">
        <f t="shared" si="1"/>
        <v>305703.49</v>
      </c>
      <c r="H76" s="4">
        <f t="shared" si="1"/>
        <v>320179.39</v>
      </c>
      <c r="I76" s="4">
        <f t="shared" si="1"/>
        <v>341569.91</v>
      </c>
      <c r="J76" s="4">
        <f t="shared" si="1"/>
        <v>329061.49</v>
      </c>
      <c r="K76" s="4">
        <f t="shared" si="1"/>
        <v>334674.43000000005</v>
      </c>
    </row>
    <row r="77" spans="1:11" x14ac:dyDescent="0.25">
      <c r="A77" s="6"/>
    </row>
    <row r="78" spans="1:11" x14ac:dyDescent="0.25">
      <c r="A78" s="6"/>
    </row>
    <row r="79" spans="1:11" x14ac:dyDescent="0.25">
      <c r="A79" s="6"/>
    </row>
    <row r="80" spans="1:11" x14ac:dyDescent="0.25">
      <c r="A80" s="1" t="s">
        <v>41</v>
      </c>
    </row>
    <row r="81" spans="1:11" s="18" customFormat="1" x14ac:dyDescent="0.25">
      <c r="A81" s="17" t="s">
        <v>38</v>
      </c>
      <c r="B81" s="12">
        <v>41729</v>
      </c>
      <c r="C81" s="12">
        <v>42094</v>
      </c>
      <c r="D81" s="12">
        <v>42460</v>
      </c>
      <c r="E81" s="12">
        <v>42825</v>
      </c>
      <c r="F81" s="12">
        <v>43190</v>
      </c>
      <c r="G81" s="12">
        <v>43555</v>
      </c>
      <c r="H81" s="12">
        <v>43921</v>
      </c>
      <c r="I81" s="12">
        <v>44286</v>
      </c>
      <c r="J81" s="12">
        <v>44651</v>
      </c>
      <c r="K81" s="12">
        <v>45016</v>
      </c>
    </row>
    <row r="82" spans="1:11" s="1" customFormat="1" x14ac:dyDescent="0.25">
      <c r="A82" s="6" t="s">
        <v>32</v>
      </c>
      <c r="B82">
        <v>36151.160000000003</v>
      </c>
      <c r="C82">
        <v>35531.26</v>
      </c>
      <c r="D82">
        <v>37899.54</v>
      </c>
      <c r="E82">
        <v>30199.25</v>
      </c>
      <c r="F82">
        <v>23857.42</v>
      </c>
      <c r="G82">
        <v>18890.75</v>
      </c>
      <c r="H82">
        <v>26632.94</v>
      </c>
      <c r="I82">
        <v>29000.51</v>
      </c>
      <c r="J82">
        <v>14282.83</v>
      </c>
      <c r="K82">
        <v>35388.01</v>
      </c>
    </row>
    <row r="83" spans="1:11" s="6" customFormat="1" x14ac:dyDescent="0.25">
      <c r="A83" s="6" t="s">
        <v>33</v>
      </c>
      <c r="B83">
        <v>-27990.91</v>
      </c>
      <c r="C83">
        <v>-36232.35</v>
      </c>
      <c r="D83">
        <v>-36693.9</v>
      </c>
      <c r="E83">
        <v>-39571.4</v>
      </c>
      <c r="F83">
        <v>-25139.14</v>
      </c>
      <c r="G83">
        <v>-20878.07</v>
      </c>
      <c r="H83">
        <v>-33114.550000000003</v>
      </c>
      <c r="I83">
        <v>-25672.5</v>
      </c>
      <c r="J83">
        <v>-4443.66</v>
      </c>
      <c r="K83">
        <v>-15417.17</v>
      </c>
    </row>
    <row r="84" spans="1:11" s="6" customFormat="1" x14ac:dyDescent="0.25">
      <c r="A84" s="6" t="s">
        <v>34</v>
      </c>
      <c r="B84">
        <v>-3883.24</v>
      </c>
      <c r="C84">
        <v>5201.4399999999996</v>
      </c>
      <c r="D84">
        <v>-3795.12</v>
      </c>
      <c r="E84">
        <v>6205.3</v>
      </c>
      <c r="F84">
        <v>2011.71</v>
      </c>
      <c r="G84">
        <v>8830.3700000000008</v>
      </c>
      <c r="H84">
        <v>3389.61</v>
      </c>
      <c r="I84">
        <v>9904.2000000000007</v>
      </c>
      <c r="J84">
        <v>-3380.17</v>
      </c>
      <c r="K84">
        <v>-26242.9</v>
      </c>
    </row>
    <row r="85" spans="1:11" s="1" customFormat="1" x14ac:dyDescent="0.25">
      <c r="A85" s="6" t="s">
        <v>35</v>
      </c>
      <c r="B85">
        <v>4277.01</v>
      </c>
      <c r="C85">
        <v>4500.3500000000004</v>
      </c>
      <c r="D85">
        <v>-2589.48</v>
      </c>
      <c r="E85">
        <v>-3166.85</v>
      </c>
      <c r="F85">
        <v>729.99</v>
      </c>
      <c r="G85">
        <v>6843.05</v>
      </c>
      <c r="H85">
        <v>-3092</v>
      </c>
      <c r="I85">
        <v>13232.21</v>
      </c>
      <c r="J85">
        <v>6459</v>
      </c>
      <c r="K85">
        <v>-6272.06</v>
      </c>
    </row>
    <row r="86" spans="1:11" x14ac:dyDescent="0.25">
      <c r="A86" s="6"/>
    </row>
    <row r="87" spans="1:11" x14ac:dyDescent="0.25">
      <c r="A87" s="6"/>
    </row>
    <row r="88" spans="1:11" x14ac:dyDescent="0.25">
      <c r="A88" s="6"/>
    </row>
    <row r="89" spans="1:11" x14ac:dyDescent="0.25">
      <c r="A89" s="6"/>
    </row>
    <row r="90" spans="1:11" s="1" customFormat="1" x14ac:dyDescent="0.25">
      <c r="A90" s="1" t="s">
        <v>68</v>
      </c>
      <c r="B90">
        <v>394.42</v>
      </c>
      <c r="C90">
        <v>544.37</v>
      </c>
      <c r="D90">
        <v>386.6</v>
      </c>
      <c r="E90">
        <v>465.85</v>
      </c>
      <c r="F90">
        <v>326.85000000000002</v>
      </c>
      <c r="G90">
        <v>174.25</v>
      </c>
      <c r="H90">
        <v>71.05</v>
      </c>
      <c r="I90">
        <v>301.8</v>
      </c>
      <c r="J90">
        <v>433.75</v>
      </c>
      <c r="K90">
        <v>420.8</v>
      </c>
    </row>
    <row r="92" spans="1:11" s="1" customFormat="1" x14ac:dyDescent="0.25">
      <c r="A92" s="1" t="s">
        <v>67</v>
      </c>
    </row>
    <row r="93" spans="1:11" x14ac:dyDescent="0.25">
      <c r="A93" s="4" t="s">
        <v>80</v>
      </c>
      <c r="B93" s="20">
        <v>288.74</v>
      </c>
      <c r="C93" s="20">
        <v>288.74</v>
      </c>
      <c r="D93" s="20">
        <v>288.72000000000003</v>
      </c>
      <c r="E93" s="20">
        <v>288.73</v>
      </c>
      <c r="F93" s="20">
        <v>288.73</v>
      </c>
      <c r="G93" s="20">
        <v>288.73</v>
      </c>
      <c r="H93" s="20">
        <v>308.89999999999998</v>
      </c>
      <c r="I93" s="20">
        <v>332.03</v>
      </c>
      <c r="J93" s="20">
        <v>332.07</v>
      </c>
      <c r="K93" s="20">
        <v>332.13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B22-3AC0-4CD8-BD57-747C26283A61}">
  <sheetPr>
    <tabColor theme="0" tint="-4.9989318521683403E-2"/>
  </sheetPr>
  <dimension ref="B3:N37"/>
  <sheetViews>
    <sheetView workbookViewId="0">
      <selection activeCell="B7" sqref="B7"/>
    </sheetView>
  </sheetViews>
  <sheetFormatPr defaultRowHeight="15" x14ac:dyDescent="0.25"/>
  <cols>
    <col min="2" max="2" width="28" bestFit="1" customWidth="1"/>
    <col min="3" max="3" width="12.85546875" customWidth="1"/>
    <col min="10" max="14" width="9.140625" style="80"/>
  </cols>
  <sheetData>
    <row r="3" spans="2:14" x14ac:dyDescent="0.25">
      <c r="B3" s="30"/>
      <c r="C3" s="30">
        <v>40969</v>
      </c>
      <c r="D3" s="30">
        <v>41334</v>
      </c>
      <c r="E3" s="30">
        <v>41699</v>
      </c>
      <c r="F3" s="30">
        <v>42064</v>
      </c>
      <c r="G3" s="30">
        <v>42430</v>
      </c>
      <c r="H3" s="30">
        <v>42795</v>
      </c>
      <c r="I3" s="30">
        <v>43160</v>
      </c>
      <c r="J3" s="111">
        <v>43525</v>
      </c>
      <c r="K3" s="111">
        <v>43891</v>
      </c>
      <c r="L3" s="111">
        <v>44256</v>
      </c>
      <c r="M3" s="111">
        <v>44621</v>
      </c>
      <c r="N3" s="111">
        <v>44986</v>
      </c>
    </row>
    <row r="4" spans="2:14" x14ac:dyDescent="0.25">
      <c r="B4" s="2" t="s">
        <v>112</v>
      </c>
      <c r="C4" s="31">
        <v>18384</v>
      </c>
      <c r="D4" s="31">
        <v>22163</v>
      </c>
      <c r="E4" s="31">
        <v>36151</v>
      </c>
      <c r="F4" s="31">
        <v>35531</v>
      </c>
      <c r="G4" s="31">
        <v>37900</v>
      </c>
      <c r="H4" s="31">
        <v>30199</v>
      </c>
      <c r="I4" s="31">
        <v>23857</v>
      </c>
      <c r="J4" s="112">
        <v>18891</v>
      </c>
      <c r="K4" s="112">
        <v>26633</v>
      </c>
      <c r="L4" s="112">
        <v>29001</v>
      </c>
      <c r="M4" s="112">
        <v>14283</v>
      </c>
      <c r="N4" s="112">
        <v>35388</v>
      </c>
    </row>
    <row r="5" spans="2:14" x14ac:dyDescent="0.25">
      <c r="B5" t="s">
        <v>113</v>
      </c>
      <c r="C5" s="31">
        <v>22432</v>
      </c>
      <c r="D5" s="31">
        <v>24406</v>
      </c>
      <c r="E5" s="31">
        <v>36303</v>
      </c>
      <c r="F5" s="31">
        <v>43397</v>
      </c>
      <c r="G5" s="31">
        <v>38626</v>
      </c>
      <c r="H5" s="31">
        <v>28840</v>
      </c>
      <c r="I5" s="31">
        <v>33312</v>
      </c>
      <c r="J5" s="112">
        <v>28771</v>
      </c>
      <c r="K5" s="112">
        <v>23352</v>
      </c>
      <c r="L5" s="112">
        <v>31198</v>
      </c>
      <c r="M5" s="112">
        <v>26943</v>
      </c>
      <c r="N5" s="112">
        <v>41694</v>
      </c>
    </row>
    <row r="6" spans="2:14" x14ac:dyDescent="0.25">
      <c r="B6" t="s">
        <v>69</v>
      </c>
      <c r="C6" s="31">
        <v>-6659</v>
      </c>
      <c r="D6" s="31">
        <v>-5177</v>
      </c>
      <c r="E6">
        <v>445</v>
      </c>
      <c r="F6" s="31">
        <v>-3179</v>
      </c>
      <c r="G6" s="31">
        <v>-2223</v>
      </c>
      <c r="H6" s="31">
        <v>-4152</v>
      </c>
      <c r="I6" s="31">
        <v>-10688</v>
      </c>
      <c r="J6" s="112">
        <v>-9109</v>
      </c>
      <c r="K6" s="112">
        <v>9950</v>
      </c>
      <c r="L6" s="112">
        <v>-5505</v>
      </c>
      <c r="M6" s="80">
        <v>185</v>
      </c>
      <c r="N6" s="112">
        <v>-2213</v>
      </c>
    </row>
    <row r="7" spans="2:14" x14ac:dyDescent="0.25">
      <c r="B7" t="s">
        <v>45</v>
      </c>
      <c r="C7" s="31">
        <v>-2719</v>
      </c>
      <c r="D7" s="31">
        <v>-2656</v>
      </c>
      <c r="E7" s="31">
        <v>-2853</v>
      </c>
      <c r="F7" s="31">
        <v>-3692</v>
      </c>
      <c r="G7" s="31">
        <v>-5743</v>
      </c>
      <c r="H7" s="31">
        <v>-6621</v>
      </c>
      <c r="I7" s="31">
        <v>-3560</v>
      </c>
      <c r="J7" s="112">
        <v>2069</v>
      </c>
      <c r="K7" s="112">
        <v>2326</v>
      </c>
      <c r="L7" s="112">
        <v>3814</v>
      </c>
      <c r="M7" s="80">
        <v>472</v>
      </c>
      <c r="N7" s="112">
        <v>-5665</v>
      </c>
    </row>
    <row r="8" spans="2:14" x14ac:dyDescent="0.25">
      <c r="B8" t="s">
        <v>114</v>
      </c>
      <c r="C8" s="31">
        <v>5867</v>
      </c>
      <c r="D8" s="31">
        <v>8132</v>
      </c>
      <c r="E8" s="31">
        <v>4694</v>
      </c>
      <c r="F8" s="31">
        <v>3598</v>
      </c>
      <c r="G8" s="31">
        <v>3947</v>
      </c>
      <c r="H8" s="31">
        <v>9301</v>
      </c>
      <c r="I8" s="31">
        <v>7320</v>
      </c>
      <c r="J8" s="112">
        <v>-4692</v>
      </c>
      <c r="K8" s="112">
        <v>-8085</v>
      </c>
      <c r="L8" s="112">
        <v>5748</v>
      </c>
      <c r="M8" s="112">
        <v>-7012</v>
      </c>
      <c r="N8" s="112">
        <v>6945</v>
      </c>
    </row>
    <row r="9" spans="2:14" x14ac:dyDescent="0.25">
      <c r="B9" t="s">
        <v>115</v>
      </c>
      <c r="C9">
        <v>0</v>
      </c>
      <c r="D9">
        <v>0</v>
      </c>
      <c r="E9">
        <v>0</v>
      </c>
      <c r="F9">
        <v>0</v>
      </c>
      <c r="G9">
        <v>-520</v>
      </c>
      <c r="H9">
        <v>0</v>
      </c>
      <c r="I9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</row>
    <row r="10" spans="2:14" x14ac:dyDescent="0.25">
      <c r="B10" t="s">
        <v>116</v>
      </c>
      <c r="C10" s="31">
        <v>1231</v>
      </c>
      <c r="D10">
        <v>-303</v>
      </c>
      <c r="E10" s="31">
        <v>1870</v>
      </c>
      <c r="F10">
        <v>-398</v>
      </c>
      <c r="G10" s="31">
        <v>5852</v>
      </c>
      <c r="H10" s="31">
        <v>4727</v>
      </c>
      <c r="I10">
        <v>494</v>
      </c>
      <c r="J10" s="112">
        <v>4512</v>
      </c>
      <c r="K10" s="80">
        <v>875</v>
      </c>
      <c r="L10" s="112">
        <v>-4150</v>
      </c>
      <c r="M10" s="112">
        <v>-4396</v>
      </c>
      <c r="N10" s="112">
        <v>-2194</v>
      </c>
    </row>
    <row r="11" spans="2:14" x14ac:dyDescent="0.25">
      <c r="B11" t="s">
        <v>117</v>
      </c>
      <c r="C11" s="31">
        <v>-2280</v>
      </c>
      <c r="D11">
        <v>-3</v>
      </c>
      <c r="E11" s="31">
        <v>4157</v>
      </c>
      <c r="F11" s="31">
        <v>-3672</v>
      </c>
      <c r="G11" s="31">
        <v>1313</v>
      </c>
      <c r="H11" s="31">
        <v>3254</v>
      </c>
      <c r="I11" s="31">
        <v>-6434</v>
      </c>
      <c r="J11" s="112">
        <v>-7221</v>
      </c>
      <c r="K11" s="112">
        <v>5065</v>
      </c>
      <c r="L11" s="80">
        <v>-93</v>
      </c>
      <c r="M11" s="112">
        <v>-10750</v>
      </c>
      <c r="N11" s="112">
        <v>-3127</v>
      </c>
    </row>
    <row r="12" spans="2:14" x14ac:dyDescent="0.25">
      <c r="B12" t="s">
        <v>118</v>
      </c>
      <c r="C12" s="31">
        <v>-1768</v>
      </c>
      <c r="D12" s="31">
        <v>-2240</v>
      </c>
      <c r="E12" s="31">
        <v>-4308</v>
      </c>
      <c r="F12" s="31">
        <v>-4194</v>
      </c>
      <c r="G12" s="31">
        <v>-2040</v>
      </c>
      <c r="H12" s="31">
        <v>-1895</v>
      </c>
      <c r="I12" s="31">
        <v>-3021</v>
      </c>
      <c r="J12" s="112">
        <v>-2659</v>
      </c>
      <c r="K12" s="112">
        <v>-1785</v>
      </c>
      <c r="L12" s="112">
        <v>-2105</v>
      </c>
      <c r="M12" s="112">
        <v>-1910</v>
      </c>
      <c r="N12" s="112">
        <v>-3179</v>
      </c>
    </row>
    <row r="13" spans="2:14" x14ac:dyDescent="0.25">
      <c r="C13" s="31"/>
      <c r="D13" s="31"/>
      <c r="E13" s="31"/>
      <c r="F13" s="31"/>
      <c r="G13" s="31"/>
      <c r="H13" s="31"/>
      <c r="I13" s="31"/>
      <c r="J13" s="112"/>
      <c r="K13" s="112"/>
      <c r="L13" s="112"/>
      <c r="M13" s="112"/>
      <c r="N13" s="112"/>
    </row>
    <row r="14" spans="2:14" x14ac:dyDescent="0.25">
      <c r="B14" s="2" t="s">
        <v>119</v>
      </c>
      <c r="C14" s="31">
        <v>-19464</v>
      </c>
      <c r="D14" s="31">
        <v>-22969</v>
      </c>
      <c r="E14" s="31">
        <v>-27991</v>
      </c>
      <c r="F14" s="31">
        <v>-36232</v>
      </c>
      <c r="G14" s="31">
        <v>-36694</v>
      </c>
      <c r="H14" s="31">
        <v>-39571</v>
      </c>
      <c r="I14" s="31">
        <v>-25139</v>
      </c>
      <c r="J14" s="112">
        <v>-20878</v>
      </c>
      <c r="K14" s="112">
        <v>-33115</v>
      </c>
      <c r="L14" s="112">
        <v>-25672</v>
      </c>
      <c r="M14" s="112">
        <v>-4444</v>
      </c>
      <c r="N14" s="112">
        <v>-15417</v>
      </c>
    </row>
    <row r="15" spans="2:14" x14ac:dyDescent="0.25">
      <c r="B15" t="s">
        <v>120</v>
      </c>
      <c r="C15" s="31">
        <v>-13876</v>
      </c>
      <c r="D15" s="31">
        <v>-18863</v>
      </c>
      <c r="E15" s="31">
        <v>-26975</v>
      </c>
      <c r="F15" s="31">
        <v>-31962</v>
      </c>
      <c r="G15" s="31">
        <v>-31503</v>
      </c>
      <c r="H15" s="31">
        <v>-16072</v>
      </c>
      <c r="I15" s="31">
        <v>-35079</v>
      </c>
      <c r="J15" s="112">
        <v>-35304</v>
      </c>
      <c r="K15" s="112">
        <v>-29702</v>
      </c>
      <c r="L15" s="112">
        <v>-20205</v>
      </c>
      <c r="M15" s="112">
        <v>-15168</v>
      </c>
      <c r="N15" s="112">
        <v>-19230</v>
      </c>
    </row>
    <row r="16" spans="2:14" x14ac:dyDescent="0.25">
      <c r="B16" t="s">
        <v>121</v>
      </c>
      <c r="C16">
        <v>93</v>
      </c>
      <c r="D16">
        <v>37</v>
      </c>
      <c r="E16">
        <v>50</v>
      </c>
      <c r="F16">
        <v>74</v>
      </c>
      <c r="G16">
        <v>59</v>
      </c>
      <c r="H16">
        <v>53</v>
      </c>
      <c r="I16">
        <v>30</v>
      </c>
      <c r="J16" s="80">
        <v>67</v>
      </c>
      <c r="K16" s="80">
        <v>171</v>
      </c>
      <c r="L16" s="80">
        <v>351</v>
      </c>
      <c r="M16" s="80">
        <v>230</v>
      </c>
      <c r="N16" s="80">
        <v>285</v>
      </c>
    </row>
    <row r="17" spans="2:14" x14ac:dyDescent="0.25">
      <c r="B17" t="s">
        <v>122</v>
      </c>
      <c r="C17" s="31">
        <v>-5857</v>
      </c>
      <c r="D17">
        <v>73</v>
      </c>
      <c r="E17">
        <v>-429</v>
      </c>
      <c r="F17" s="31">
        <v>-5461</v>
      </c>
      <c r="G17" s="31">
        <v>-4728</v>
      </c>
      <c r="H17">
        <v>-6</v>
      </c>
      <c r="I17">
        <v>-329</v>
      </c>
      <c r="J17" s="80">
        <v>-130</v>
      </c>
      <c r="K17" s="112">
        <v>-1439</v>
      </c>
      <c r="L17" s="112">
        <v>-7530</v>
      </c>
      <c r="M17" s="112">
        <v>-3008</v>
      </c>
      <c r="N17" s="80">
        <v>-50</v>
      </c>
    </row>
    <row r="18" spans="2:14" x14ac:dyDescent="0.25">
      <c r="B18" t="s">
        <v>123</v>
      </c>
      <c r="C18">
        <v>84</v>
      </c>
      <c r="D18">
        <v>34</v>
      </c>
      <c r="E18">
        <v>4</v>
      </c>
      <c r="F18">
        <v>42</v>
      </c>
      <c r="G18">
        <v>89</v>
      </c>
      <c r="H18" s="31">
        <v>1965</v>
      </c>
      <c r="I18" s="31">
        <v>2381</v>
      </c>
      <c r="J18" s="112">
        <v>5644</v>
      </c>
      <c r="K18" s="80">
        <v>21</v>
      </c>
      <c r="L18" s="80">
        <v>226</v>
      </c>
      <c r="M18" s="80">
        <v>104</v>
      </c>
      <c r="N18" s="112">
        <v>6895</v>
      </c>
    </row>
    <row r="19" spans="2:14" x14ac:dyDescent="0.25">
      <c r="B19" t="s">
        <v>124</v>
      </c>
      <c r="C19">
        <v>467</v>
      </c>
      <c r="D19">
        <v>713</v>
      </c>
      <c r="E19">
        <v>653</v>
      </c>
      <c r="F19">
        <v>698</v>
      </c>
      <c r="G19">
        <v>731</v>
      </c>
      <c r="H19">
        <v>638</v>
      </c>
      <c r="I19">
        <v>690</v>
      </c>
      <c r="J19" s="80">
        <v>761</v>
      </c>
      <c r="K19" s="112">
        <v>1104</v>
      </c>
      <c r="L19" s="80">
        <v>428</v>
      </c>
      <c r="M19" s="80">
        <v>653</v>
      </c>
      <c r="N19" s="80">
        <v>973</v>
      </c>
    </row>
    <row r="20" spans="2:14" x14ac:dyDescent="0.25">
      <c r="B20" t="s">
        <v>125</v>
      </c>
      <c r="C20">
        <v>70</v>
      </c>
      <c r="D20">
        <v>95</v>
      </c>
      <c r="E20">
        <v>40</v>
      </c>
      <c r="F20">
        <v>80</v>
      </c>
      <c r="G20">
        <v>58</v>
      </c>
      <c r="H20">
        <v>620</v>
      </c>
      <c r="I20" s="31">
        <v>1797</v>
      </c>
      <c r="J20" s="80">
        <v>232</v>
      </c>
      <c r="K20" s="80">
        <v>21</v>
      </c>
      <c r="L20" s="80">
        <v>18</v>
      </c>
      <c r="M20" s="80">
        <v>32</v>
      </c>
      <c r="N20" s="80">
        <v>46</v>
      </c>
    </row>
    <row r="21" spans="2:14" x14ac:dyDescent="0.25">
      <c r="B21" t="s">
        <v>126</v>
      </c>
      <c r="C21">
        <v>-304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</row>
    <row r="22" spans="2:14" x14ac:dyDescent="0.25">
      <c r="B22" t="s">
        <v>127</v>
      </c>
      <c r="C22">
        <v>-9</v>
      </c>
      <c r="D22">
        <v>0</v>
      </c>
      <c r="E22">
        <v>0</v>
      </c>
      <c r="F22">
        <v>-160</v>
      </c>
      <c r="G22">
        <v>0</v>
      </c>
      <c r="H22">
        <v>-107</v>
      </c>
      <c r="I22">
        <v>-4</v>
      </c>
      <c r="J22" s="80">
        <v>-9</v>
      </c>
      <c r="K22" s="80">
        <v>-606</v>
      </c>
      <c r="L22" s="80">
        <v>-10</v>
      </c>
      <c r="M22" s="80">
        <v>0</v>
      </c>
      <c r="N22" s="80">
        <v>0</v>
      </c>
    </row>
    <row r="23" spans="2:14" x14ac:dyDescent="0.25">
      <c r="B23" t="s">
        <v>128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14</v>
      </c>
      <c r="J23" s="80">
        <v>533</v>
      </c>
      <c r="K23" s="80">
        <v>0</v>
      </c>
      <c r="L23" s="80">
        <v>0</v>
      </c>
      <c r="M23" s="80">
        <v>0</v>
      </c>
      <c r="N23" s="80">
        <v>19</v>
      </c>
    </row>
    <row r="24" spans="2:14" x14ac:dyDescent="0.25">
      <c r="B24" t="s">
        <v>129</v>
      </c>
      <c r="C24">
        <v>0</v>
      </c>
      <c r="D24">
        <v>0</v>
      </c>
      <c r="E24">
        <v>-185</v>
      </c>
      <c r="F24">
        <v>0</v>
      </c>
      <c r="G24">
        <v>-111</v>
      </c>
      <c r="H24">
        <v>0</v>
      </c>
      <c r="I24">
        <v>0</v>
      </c>
      <c r="J24" s="80">
        <v>-8</v>
      </c>
      <c r="K24" s="80">
        <v>-27</v>
      </c>
      <c r="L24" s="80">
        <v>0</v>
      </c>
      <c r="M24" s="80">
        <v>-98</v>
      </c>
      <c r="N24" s="80">
        <v>0</v>
      </c>
    </row>
    <row r="25" spans="2:14" x14ac:dyDescent="0.25">
      <c r="B25" t="s">
        <v>130</v>
      </c>
      <c r="C25">
        <v>-3</v>
      </c>
      <c r="D25">
        <v>45</v>
      </c>
      <c r="E25">
        <v>0</v>
      </c>
      <c r="F25">
        <v>0</v>
      </c>
      <c r="G25">
        <v>0</v>
      </c>
      <c r="H25">
        <v>0</v>
      </c>
      <c r="I25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</row>
    <row r="26" spans="2:14" x14ac:dyDescent="0.25">
      <c r="B26" t="s">
        <v>131</v>
      </c>
      <c r="C26">
        <v>-129</v>
      </c>
      <c r="D26" s="31">
        <v>-5103</v>
      </c>
      <c r="E26" s="31">
        <v>-1149</v>
      </c>
      <c r="F26">
        <v>456</v>
      </c>
      <c r="G26" s="31">
        <v>-1289</v>
      </c>
      <c r="H26" s="31">
        <v>-26663</v>
      </c>
      <c r="I26" s="31">
        <v>5360</v>
      </c>
      <c r="J26" s="112">
        <v>7335</v>
      </c>
      <c r="K26" s="112">
        <v>-2659</v>
      </c>
      <c r="L26" s="112">
        <v>1051</v>
      </c>
      <c r="M26" s="112">
        <v>12813</v>
      </c>
      <c r="N26" s="112">
        <v>-4357</v>
      </c>
    </row>
    <row r="27" spans="2:14" x14ac:dyDescent="0.25">
      <c r="D27" s="31"/>
      <c r="E27" s="31"/>
      <c r="G27" s="31"/>
      <c r="H27" s="31"/>
      <c r="I27" s="31"/>
      <c r="J27" s="112"/>
      <c r="K27" s="112"/>
      <c r="L27" s="112"/>
      <c r="M27" s="112"/>
      <c r="N27" s="112"/>
    </row>
    <row r="28" spans="2:14" x14ac:dyDescent="0.25">
      <c r="B28" s="2" t="s">
        <v>132</v>
      </c>
      <c r="C28" s="31">
        <v>6567</v>
      </c>
      <c r="D28" s="31">
        <v>-1692</v>
      </c>
      <c r="E28" s="31">
        <v>-3883</v>
      </c>
      <c r="F28" s="31">
        <v>5201</v>
      </c>
      <c r="G28" s="31">
        <v>-3795</v>
      </c>
      <c r="H28" s="31">
        <v>6205</v>
      </c>
      <c r="I28" s="31">
        <v>2012</v>
      </c>
      <c r="J28" s="112">
        <v>8830</v>
      </c>
      <c r="K28" s="112">
        <v>3390</v>
      </c>
      <c r="L28" s="112">
        <v>9904</v>
      </c>
      <c r="M28" s="112">
        <v>-3380</v>
      </c>
      <c r="N28" s="112">
        <v>-26243</v>
      </c>
    </row>
    <row r="29" spans="2:14" x14ac:dyDescent="0.25">
      <c r="B29" t="s">
        <v>133</v>
      </c>
      <c r="C29">
        <v>139</v>
      </c>
      <c r="D29">
        <v>1</v>
      </c>
      <c r="E29">
        <v>0</v>
      </c>
      <c r="F29">
        <v>0</v>
      </c>
      <c r="G29" s="31">
        <v>7433</v>
      </c>
      <c r="H29">
        <v>5</v>
      </c>
      <c r="I29">
        <v>0</v>
      </c>
      <c r="J29" s="80">
        <v>0</v>
      </c>
      <c r="K29" s="112">
        <v>3889</v>
      </c>
      <c r="L29" s="112">
        <v>2603</v>
      </c>
      <c r="M29" s="80">
        <v>19</v>
      </c>
      <c r="N29" s="80">
        <v>20</v>
      </c>
    </row>
    <row r="30" spans="2:14" x14ac:dyDescent="0.25">
      <c r="B30" t="s">
        <v>134</v>
      </c>
      <c r="C30">
        <v>0</v>
      </c>
      <c r="D30">
        <v>-97</v>
      </c>
      <c r="E30">
        <v>-658</v>
      </c>
      <c r="F30">
        <v>-744</v>
      </c>
      <c r="G30">
        <v>0</v>
      </c>
      <c r="H30">
        <v>0</v>
      </c>
      <c r="I30">
        <v>0</v>
      </c>
      <c r="J30" s="80">
        <v>0</v>
      </c>
      <c r="K30" s="80">
        <v>0</v>
      </c>
      <c r="L30" s="80">
        <v>0</v>
      </c>
      <c r="M30" s="80">
        <v>0</v>
      </c>
      <c r="N30" s="80">
        <v>0</v>
      </c>
    </row>
    <row r="31" spans="2:14" x14ac:dyDescent="0.25">
      <c r="B31" t="s">
        <v>135</v>
      </c>
      <c r="C31" s="31">
        <v>27462</v>
      </c>
      <c r="D31" s="31">
        <v>27863</v>
      </c>
      <c r="E31" s="31">
        <v>33258</v>
      </c>
      <c r="F31" s="31">
        <v>36363</v>
      </c>
      <c r="G31" s="31">
        <v>19519</v>
      </c>
      <c r="H31" s="31">
        <v>33390</v>
      </c>
      <c r="I31" s="31">
        <v>37482</v>
      </c>
      <c r="J31" s="112">
        <v>51128</v>
      </c>
      <c r="K31" s="112">
        <v>38297</v>
      </c>
      <c r="L31" s="112">
        <v>46641</v>
      </c>
      <c r="M31" s="112">
        <v>46578</v>
      </c>
      <c r="N31" s="112">
        <v>43934</v>
      </c>
    </row>
    <row r="32" spans="2:14" x14ac:dyDescent="0.25">
      <c r="B32" t="s">
        <v>136</v>
      </c>
      <c r="C32" s="31">
        <v>-15010</v>
      </c>
      <c r="D32" s="31">
        <v>-20395</v>
      </c>
      <c r="E32" s="31">
        <v>-29141</v>
      </c>
      <c r="F32" s="31">
        <v>-23332</v>
      </c>
      <c r="G32" s="31">
        <v>-24924</v>
      </c>
      <c r="H32" s="31">
        <v>-21732</v>
      </c>
      <c r="I32" s="31">
        <v>-29964</v>
      </c>
      <c r="J32" s="112">
        <v>-35198</v>
      </c>
      <c r="K32" s="112">
        <v>-29847</v>
      </c>
      <c r="L32" s="112">
        <v>-29709</v>
      </c>
      <c r="M32" s="112">
        <v>-42816</v>
      </c>
      <c r="N32" s="112">
        <v>-62557</v>
      </c>
    </row>
    <row r="33" spans="2:14" x14ac:dyDescent="0.25">
      <c r="B33" t="s">
        <v>137</v>
      </c>
      <c r="C33" s="31">
        <v>-3374</v>
      </c>
      <c r="D33" s="31">
        <v>-4666</v>
      </c>
      <c r="E33" s="31">
        <v>-6171</v>
      </c>
      <c r="F33" s="31">
        <v>-6307</v>
      </c>
      <c r="G33" s="31">
        <v>-5716</v>
      </c>
      <c r="H33" s="31">
        <v>-5336</v>
      </c>
      <c r="I33" s="31">
        <v>-5411</v>
      </c>
      <c r="J33" s="112">
        <v>-7005</v>
      </c>
      <c r="K33" s="112">
        <v>-7518</v>
      </c>
      <c r="L33" s="112">
        <v>-8123</v>
      </c>
      <c r="M33" s="112">
        <v>-9251</v>
      </c>
      <c r="N33" s="112">
        <v>-9336</v>
      </c>
    </row>
    <row r="34" spans="2:14" x14ac:dyDescent="0.25">
      <c r="B34" t="s">
        <v>138</v>
      </c>
      <c r="C34" s="31">
        <v>-1503</v>
      </c>
      <c r="D34" s="31">
        <v>-1551</v>
      </c>
      <c r="E34">
        <v>-722</v>
      </c>
      <c r="F34">
        <v>-720</v>
      </c>
      <c r="G34">
        <v>-108</v>
      </c>
      <c r="H34">
        <v>-121</v>
      </c>
      <c r="I34">
        <v>-96</v>
      </c>
      <c r="J34" s="80">
        <v>-95</v>
      </c>
      <c r="K34" s="80">
        <v>-57</v>
      </c>
      <c r="L34" s="80">
        <v>-30</v>
      </c>
      <c r="M34" s="80">
        <v>-100</v>
      </c>
      <c r="N34" s="80">
        <v>-141</v>
      </c>
    </row>
    <row r="35" spans="2:14" x14ac:dyDescent="0.25">
      <c r="B35" t="s">
        <v>139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80">
        <v>0</v>
      </c>
      <c r="K35" s="112">
        <v>-1346</v>
      </c>
      <c r="L35" s="112">
        <v>-1477</v>
      </c>
      <c r="M35" s="112">
        <v>-1559</v>
      </c>
      <c r="N35" s="112">
        <v>-1517</v>
      </c>
    </row>
    <row r="36" spans="2:14" x14ac:dyDescent="0.25">
      <c r="B36" t="s">
        <v>140</v>
      </c>
      <c r="C36" s="31">
        <v>-1147</v>
      </c>
      <c r="D36" s="31">
        <v>-2849</v>
      </c>
      <c r="E36">
        <v>-450</v>
      </c>
      <c r="F36">
        <v>-57</v>
      </c>
      <c r="G36">
        <v>0</v>
      </c>
      <c r="H36">
        <v>0</v>
      </c>
      <c r="I36">
        <v>0</v>
      </c>
      <c r="J36" s="80">
        <v>0</v>
      </c>
      <c r="K36" s="80">
        <v>-29</v>
      </c>
      <c r="L36" s="80">
        <v>0</v>
      </c>
      <c r="M36" s="112">
        <v>3750</v>
      </c>
      <c r="N36" s="112">
        <v>3355</v>
      </c>
    </row>
    <row r="37" spans="2:14" x14ac:dyDescent="0.25">
      <c r="B37" t="s">
        <v>35</v>
      </c>
      <c r="C37" s="31">
        <v>5488</v>
      </c>
      <c r="D37" s="31">
        <v>-2499</v>
      </c>
      <c r="E37" s="31">
        <v>4277</v>
      </c>
      <c r="F37" s="31">
        <v>4500</v>
      </c>
      <c r="G37" s="31">
        <v>-2589</v>
      </c>
      <c r="H37" s="31">
        <v>-3167</v>
      </c>
      <c r="I37">
        <v>730</v>
      </c>
      <c r="J37" s="112">
        <v>6843</v>
      </c>
      <c r="K37" s="112">
        <v>-3092</v>
      </c>
      <c r="L37" s="112">
        <v>13232</v>
      </c>
      <c r="M37" s="112">
        <v>6459</v>
      </c>
      <c r="N37" s="112">
        <v>-6272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C529-A958-4365-A502-1803044AB4E6}">
  <sheetPr>
    <tabColor theme="8" tint="-0.499984740745262"/>
  </sheetPr>
  <dimension ref="A2:P111"/>
  <sheetViews>
    <sheetView showGridLines="0" tabSelected="1" zoomScale="85" zoomScaleNormal="85" workbookViewId="0">
      <pane ySplit="6" topLeftCell="A31" activePane="bottomLeft" state="frozen"/>
      <selection pane="bottomLeft" activeCell="D9" sqref="D9"/>
    </sheetView>
  </sheetViews>
  <sheetFormatPr defaultRowHeight="15" outlineLevelRow="1" x14ac:dyDescent="0.25"/>
  <cols>
    <col min="1" max="1" width="2.28515625" customWidth="1"/>
    <col min="2" max="2" width="43.28515625" bestFit="1" customWidth="1"/>
    <col min="3" max="12" width="13.7109375" customWidth="1"/>
    <col min="14" max="14" width="10.7109375" bestFit="1" customWidth="1"/>
  </cols>
  <sheetData>
    <row r="2" spans="1:16" ht="26.25" customHeight="1" x14ac:dyDescent="0.9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</row>
    <row r="3" spans="1:16" ht="21" x14ac:dyDescent="0.35">
      <c r="B3" s="189" t="s">
        <v>91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91" t="e" vm="1">
        <v>#VALUE!</v>
      </c>
      <c r="N3" s="191"/>
      <c r="O3" s="191"/>
      <c r="P3" s="191"/>
    </row>
    <row r="4" spans="1:16" ht="18.75" x14ac:dyDescent="0.3">
      <c r="B4" s="56" t="s">
        <v>81</v>
      </c>
      <c r="C4" s="57">
        <f>'Profit &amp; Loss'!C3</f>
        <v>42094</v>
      </c>
      <c r="D4" s="57">
        <f>'Profit &amp; Loss'!D3</f>
        <v>42460</v>
      </c>
      <c r="E4" s="57">
        <f>'Profit &amp; Loss'!E3</f>
        <v>42825</v>
      </c>
      <c r="F4" s="57">
        <f>'Profit &amp; Loss'!F3</f>
        <v>43190</v>
      </c>
      <c r="G4" s="57">
        <f>'Profit &amp; Loss'!G3</f>
        <v>43555</v>
      </c>
      <c r="H4" s="57">
        <f>'Profit &amp; Loss'!H3</f>
        <v>43921</v>
      </c>
      <c r="I4" s="57">
        <f>'Profit &amp; Loss'!I3</f>
        <v>44286</v>
      </c>
      <c r="J4" s="57">
        <f>'Profit &amp; Loss'!J3</f>
        <v>44651</v>
      </c>
      <c r="K4" s="57">
        <f>'Profit &amp; Loss'!K3</f>
        <v>45016</v>
      </c>
      <c r="L4" s="58" t="s">
        <v>82</v>
      </c>
      <c r="M4" s="191"/>
      <c r="N4" s="191"/>
      <c r="O4" s="191"/>
      <c r="P4" s="191"/>
    </row>
    <row r="5" spans="1:16" ht="18.75" x14ac:dyDescent="0.3">
      <c r="B5" s="56"/>
      <c r="C5" s="57"/>
      <c r="D5" s="57"/>
      <c r="E5" s="57"/>
      <c r="F5" s="57"/>
      <c r="G5" s="57"/>
      <c r="H5" s="57"/>
      <c r="I5" s="57"/>
      <c r="J5" s="57"/>
      <c r="K5" s="57"/>
      <c r="L5" s="58"/>
      <c r="M5" s="191"/>
      <c r="N5" s="191"/>
      <c r="O5" s="191"/>
      <c r="P5" s="191"/>
    </row>
    <row r="6" spans="1:16" ht="18.75" x14ac:dyDescent="0.3">
      <c r="A6" t="s">
        <v>83</v>
      </c>
      <c r="B6" s="41" t="str">
        <f>"Income Statement"&amp;" - "&amp;'Profit &amp; Loss'!A1</f>
        <v>Income Statement - TATA MOTORS LTD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191"/>
      <c r="N6" s="191"/>
      <c r="O6" s="191"/>
      <c r="P6" s="191"/>
    </row>
    <row r="7" spans="1:16" x14ac:dyDescent="0.25">
      <c r="B7" s="2"/>
    </row>
    <row r="8" spans="1:16" outlineLevel="1" x14ac:dyDescent="0.25">
      <c r="B8" s="2" t="s">
        <v>6</v>
      </c>
      <c r="C8" s="21">
        <f>IFERROR('Profit &amp; Loss'!C4,0)</f>
        <v>263158.98</v>
      </c>
      <c r="D8" s="21">
        <f>IFERROR('Profit &amp; Loss'!D4,0)</f>
        <v>273045.59999999998</v>
      </c>
      <c r="E8" s="21">
        <f>IFERROR('Profit &amp; Loss'!E4,0)</f>
        <v>269692.51</v>
      </c>
      <c r="F8" s="21">
        <f>IFERROR('Profit &amp; Loss'!F4,0)</f>
        <v>291550.48</v>
      </c>
      <c r="G8" s="21">
        <f>IFERROR('Profit &amp; Loss'!G4,0)</f>
        <v>301938.40000000002</v>
      </c>
      <c r="H8" s="21">
        <f>IFERROR('Profit &amp; Loss'!H4,0)</f>
        <v>261067.97</v>
      </c>
      <c r="I8" s="21">
        <f>IFERROR('Profit &amp; Loss'!I4,0)</f>
        <v>249794.75</v>
      </c>
      <c r="J8" s="21">
        <f>IFERROR('Profit &amp; Loss'!J4,0)</f>
        <v>278453.62</v>
      </c>
      <c r="K8" s="21">
        <f>IFERROR('Profit &amp; Loss'!K4,0)</f>
        <v>345966.97</v>
      </c>
      <c r="L8" s="21">
        <f>IFERROR(SUM(Quarters!H4:K4),0)</f>
        <v>401785.26</v>
      </c>
    </row>
    <row r="9" spans="1:16" outlineLevel="1" x14ac:dyDescent="0.25">
      <c r="B9" s="22" t="s">
        <v>22</v>
      </c>
      <c r="C9" s="25" t="s">
        <v>90</v>
      </c>
      <c r="D9" s="23">
        <f>D8/C8-1</f>
        <v>3.75690010654397E-2</v>
      </c>
      <c r="E9" s="23">
        <f t="shared" ref="E9:L9" si="0">E8/D8-1</f>
        <v>-1.2280329732469508E-2</v>
      </c>
      <c r="F9" s="23">
        <f t="shared" si="0"/>
        <v>8.104774581985974E-2</v>
      </c>
      <c r="G9" s="23">
        <f t="shared" si="0"/>
        <v>3.5629919045237157E-2</v>
      </c>
      <c r="H9" s="23">
        <f t="shared" si="0"/>
        <v>-0.135360159555724</v>
      </c>
      <c r="I9" s="23">
        <f t="shared" si="0"/>
        <v>-4.3181168490336042E-2</v>
      </c>
      <c r="J9" s="23">
        <f t="shared" si="0"/>
        <v>0.11472967306158344</v>
      </c>
      <c r="K9" s="23">
        <f t="shared" si="0"/>
        <v>0.24245815155859707</v>
      </c>
      <c r="L9" s="23">
        <f t="shared" si="0"/>
        <v>0.16133993947456893</v>
      </c>
    </row>
    <row r="10" spans="1:16" outlineLevel="1" x14ac:dyDescent="0.25"/>
    <row r="11" spans="1:16" outlineLevel="1" x14ac:dyDescent="0.25">
      <c r="B11" s="2" t="s">
        <v>84</v>
      </c>
      <c r="C11" s="21">
        <f>IFERROR(SUM('Data Sheet'!C18,'Data Sheet'!C20:C22)-1*'Data Sheet'!C19,0)</f>
        <v>202856.88</v>
      </c>
      <c r="D11" s="21">
        <f>IFERROR(SUM('Data Sheet'!D18,'Data Sheet'!D20:D22)-1*'Data Sheet'!D19,0)</f>
        <v>205509.07</v>
      </c>
      <c r="E11" s="21">
        <f>IFERROR(SUM('Data Sheet'!E18,'Data Sheet'!E20:E22)-1*'Data Sheet'!E19,0)</f>
        <v>205454.23999999996</v>
      </c>
      <c r="F11" s="21">
        <f>IFERROR(SUM('Data Sheet'!F18,'Data Sheet'!F20:F22)-1*'Data Sheet'!F19,0)</f>
        <v>228429.83</v>
      </c>
      <c r="G11" s="21">
        <f>IFERROR(SUM('Data Sheet'!G18,'Data Sheet'!G20:G22)-1*'Data Sheet'!G19,0)</f>
        <v>242845.53</v>
      </c>
      <c r="H11" s="21">
        <f>IFERROR(SUM('Data Sheet'!H18,'Data Sheet'!H20:H22)-1*'Data Sheet'!H19,0)</f>
        <v>210376.07000000004</v>
      </c>
      <c r="I11" s="21">
        <f>IFERROR(SUM('Data Sheet'!I18,'Data Sheet'!I20:I22)-1*'Data Sheet'!I19,0)</f>
        <v>195326.04</v>
      </c>
      <c r="J11" s="21">
        <f>IFERROR(SUM('Data Sheet'!J18,'Data Sheet'!J20:J22)-1*'Data Sheet'!J19,0)</f>
        <v>223300.00999999998</v>
      </c>
      <c r="K11" s="21">
        <f>IFERROR(SUM('Data Sheet'!K18,'Data Sheet'!K20:K22)-1*'Data Sheet'!K19,0)</f>
        <v>274403.64</v>
      </c>
      <c r="L11" s="21">
        <f>IFERROR(SUM('Data Sheet'!H43:K43),0)</f>
        <v>350865.95999999996</v>
      </c>
    </row>
    <row r="12" spans="1:16" outlineLevel="1" x14ac:dyDescent="0.25">
      <c r="B12" s="22" t="s">
        <v>85</v>
      </c>
      <c r="C12" s="24">
        <f>C11/C8</f>
        <v>0.77085296500237244</v>
      </c>
      <c r="D12" s="24">
        <f t="shared" ref="D12:L12" si="1">D11/D8</f>
        <v>0.75265475803309057</v>
      </c>
      <c r="E12" s="24">
        <f t="shared" si="1"/>
        <v>0.76180921746770036</v>
      </c>
      <c r="F12" s="24">
        <f t="shared" si="1"/>
        <v>0.78350009919380004</v>
      </c>
      <c r="G12" s="24">
        <f t="shared" si="1"/>
        <v>0.80428832503583503</v>
      </c>
      <c r="H12" s="24">
        <f t="shared" si="1"/>
        <v>0.80582872728508226</v>
      </c>
      <c r="I12" s="24">
        <f t="shared" si="1"/>
        <v>0.7819461377791167</v>
      </c>
      <c r="J12" s="24">
        <f t="shared" si="1"/>
        <v>0.80192891728252624</v>
      </c>
      <c r="K12" s="24">
        <f t="shared" si="1"/>
        <v>0.79314982005363122</v>
      </c>
      <c r="L12" s="24">
        <f t="shared" si="1"/>
        <v>0.8732673767076472</v>
      </c>
    </row>
    <row r="13" spans="1:16" outlineLevel="1" x14ac:dyDescent="0.25"/>
    <row r="14" spans="1:16" outlineLevel="1" x14ac:dyDescent="0.25">
      <c r="B14" s="42" t="s">
        <v>86</v>
      </c>
      <c r="C14" s="43">
        <f>C8-C11</f>
        <v>60302.099999999977</v>
      </c>
      <c r="D14" s="43">
        <f t="shared" ref="D14:L14" si="2">D8-D11</f>
        <v>67536.52999999997</v>
      </c>
      <c r="E14" s="43">
        <f t="shared" si="2"/>
        <v>64238.270000000048</v>
      </c>
      <c r="F14" s="43">
        <f t="shared" si="2"/>
        <v>63120.649999999994</v>
      </c>
      <c r="G14" s="43">
        <f t="shared" si="2"/>
        <v>59092.870000000024</v>
      </c>
      <c r="H14" s="43">
        <f t="shared" si="2"/>
        <v>50691.899999999965</v>
      </c>
      <c r="I14" s="43">
        <f t="shared" si="2"/>
        <v>54468.709999999992</v>
      </c>
      <c r="J14" s="43">
        <f t="shared" si="2"/>
        <v>55153.610000000015</v>
      </c>
      <c r="K14" s="43">
        <f t="shared" si="2"/>
        <v>71563.329999999958</v>
      </c>
      <c r="L14" s="43">
        <f t="shared" si="2"/>
        <v>50919.300000000047</v>
      </c>
    </row>
    <row r="15" spans="1:16" outlineLevel="1" x14ac:dyDescent="0.25">
      <c r="B15" s="44" t="s">
        <v>93</v>
      </c>
      <c r="C15" s="45">
        <f>C14/C8</f>
        <v>0.22914703499762759</v>
      </c>
      <c r="D15" s="45">
        <f t="shared" ref="D15:L15" si="3">D14/D8</f>
        <v>0.24734524196690946</v>
      </c>
      <c r="E15" s="45">
        <f t="shared" si="3"/>
        <v>0.23819078253229964</v>
      </c>
      <c r="F15" s="45">
        <f t="shared" si="3"/>
        <v>0.21649990080619999</v>
      </c>
      <c r="G15" s="45">
        <f t="shared" si="3"/>
        <v>0.19571167496416494</v>
      </c>
      <c r="H15" s="45">
        <f t="shared" si="3"/>
        <v>0.19417127271491774</v>
      </c>
      <c r="I15" s="45">
        <f t="shared" si="3"/>
        <v>0.2180538622208833</v>
      </c>
      <c r="J15" s="45">
        <f t="shared" si="3"/>
        <v>0.19807108271747378</v>
      </c>
      <c r="K15" s="45">
        <f t="shared" si="3"/>
        <v>0.20685017994636876</v>
      </c>
      <c r="L15" s="45">
        <f t="shared" si="3"/>
        <v>0.12673262329235285</v>
      </c>
    </row>
    <row r="16" spans="1:16" outlineLevel="1" x14ac:dyDescent="0.25"/>
    <row r="17" spans="2:14" outlineLevel="1" x14ac:dyDescent="0.25">
      <c r="B17" s="2" t="s">
        <v>87</v>
      </c>
      <c r="C17" s="21">
        <f>IFERROR(SUM('Data Sheet'!C23:C24),0)</f>
        <v>21063.449999999997</v>
      </c>
      <c r="D17" s="21">
        <f>IFERROR(SUM('Data Sheet'!D23:D24),0)</f>
        <v>29141.280000000002</v>
      </c>
      <c r="E17" s="21">
        <f>IFERROR(SUM('Data Sheet'!E23:E24),0)</f>
        <v>34649.58</v>
      </c>
      <c r="F17" s="21">
        <f>IFERROR(SUM('Data Sheet'!F23:F24),0)</f>
        <v>31662.97</v>
      </c>
      <c r="G17" s="21">
        <f>IFERROR(SUM('Data Sheet'!G23:G24),0)</f>
        <v>34428.54</v>
      </c>
      <c r="H17" s="21">
        <f>IFERROR(SUM('Data Sheet'!H23:H24),0)</f>
        <v>32704.83</v>
      </c>
      <c r="I17" s="21">
        <f>IFERROR(SUM('Data Sheet'!I23:I24),0)</f>
        <v>22181.280000000002</v>
      </c>
      <c r="J17" s="21">
        <f>IFERROR(SUM('Data Sheet'!J23:J24),0)</f>
        <v>30433.52</v>
      </c>
      <c r="K17" s="21">
        <f>IFERROR(SUM('Data Sheet'!K23:K24),0)</f>
        <v>39747.53</v>
      </c>
      <c r="L17" s="21"/>
    </row>
    <row r="18" spans="2:14" outlineLevel="1" x14ac:dyDescent="0.25">
      <c r="B18" s="22" t="s">
        <v>88</v>
      </c>
      <c r="C18" s="23">
        <f>C17/C8</f>
        <v>8.0040779911823637E-2</v>
      </c>
      <c r="D18" s="23">
        <f t="shared" ref="D18:L18" si="4">D17/D8</f>
        <v>0.10672678849247161</v>
      </c>
      <c r="E18" s="23">
        <f t="shared" si="4"/>
        <v>0.12847809529452636</v>
      </c>
      <c r="F18" s="23">
        <f t="shared" si="4"/>
        <v>0.10860201636437025</v>
      </c>
      <c r="G18" s="23">
        <f t="shared" si="4"/>
        <v>0.11402504616835751</v>
      </c>
      <c r="H18" s="23">
        <f t="shared" si="4"/>
        <v>0.12527323822987554</v>
      </c>
      <c r="I18" s="23">
        <f t="shared" si="4"/>
        <v>8.8798023177028354E-2</v>
      </c>
      <c r="J18" s="23">
        <f t="shared" si="4"/>
        <v>0.10929475436519734</v>
      </c>
      <c r="K18" s="23">
        <f t="shared" si="4"/>
        <v>0.11488822184383672</v>
      </c>
      <c r="L18" s="23">
        <f t="shared" si="4"/>
        <v>0</v>
      </c>
    </row>
    <row r="19" spans="2:14" outlineLevel="1" x14ac:dyDescent="0.25"/>
    <row r="20" spans="2:14" outlineLevel="1" x14ac:dyDescent="0.25">
      <c r="B20" s="42" t="s">
        <v>89</v>
      </c>
      <c r="C20" s="43">
        <f>C14-C17</f>
        <v>39238.64999999998</v>
      </c>
      <c r="D20" s="43">
        <f t="shared" ref="D20:L20" si="5">D14-D17</f>
        <v>38395.249999999971</v>
      </c>
      <c r="E20" s="43">
        <f t="shared" si="5"/>
        <v>29588.690000000046</v>
      </c>
      <c r="F20" s="43">
        <f t="shared" si="5"/>
        <v>31457.679999999993</v>
      </c>
      <c r="G20" s="43">
        <f t="shared" si="5"/>
        <v>24664.330000000024</v>
      </c>
      <c r="H20" s="43">
        <f t="shared" si="5"/>
        <v>17987.069999999963</v>
      </c>
      <c r="I20" s="43">
        <f t="shared" si="5"/>
        <v>32287.429999999989</v>
      </c>
      <c r="J20" s="43">
        <f t="shared" si="5"/>
        <v>24720.090000000015</v>
      </c>
      <c r="K20" s="43">
        <f t="shared" si="5"/>
        <v>31815.799999999959</v>
      </c>
      <c r="L20" s="43">
        <f t="shared" si="5"/>
        <v>50919.300000000047</v>
      </c>
    </row>
    <row r="21" spans="2:14" outlineLevel="1" x14ac:dyDescent="0.25">
      <c r="B21" s="46" t="s">
        <v>92</v>
      </c>
      <c r="C21" s="45">
        <f>C20/C8</f>
        <v>0.14910625508580397</v>
      </c>
      <c r="D21" s="45">
        <f t="shared" ref="D21:L21" si="6">D20/D8</f>
        <v>0.14061845347443788</v>
      </c>
      <c r="E21" s="45">
        <f t="shared" si="6"/>
        <v>0.10971268723777329</v>
      </c>
      <c r="F21" s="45">
        <f t="shared" si="6"/>
        <v>0.10789788444182975</v>
      </c>
      <c r="G21" s="45">
        <f t="shared" si="6"/>
        <v>8.1686628795807431E-2</v>
      </c>
      <c r="H21" s="45">
        <f t="shared" si="6"/>
        <v>6.8898034485042198E-2</v>
      </c>
      <c r="I21" s="45">
        <f t="shared" si="6"/>
        <v>0.12925583904385496</v>
      </c>
      <c r="J21" s="45">
        <f t="shared" si="6"/>
        <v>8.877632835227646E-2</v>
      </c>
      <c r="K21" s="45">
        <f t="shared" si="6"/>
        <v>9.1961958102532049E-2</v>
      </c>
      <c r="L21" s="45">
        <f t="shared" si="6"/>
        <v>0.12673262329235285</v>
      </c>
    </row>
    <row r="22" spans="2:14" outlineLevel="1" x14ac:dyDescent="0.25"/>
    <row r="23" spans="2:14" outlineLevel="1" x14ac:dyDescent="0.25">
      <c r="B23" t="s">
        <v>11</v>
      </c>
      <c r="C23" s="21">
        <f>IFERROR('Data Sheet'!C27,0)</f>
        <v>4861.49</v>
      </c>
      <c r="D23" s="21">
        <f>IFERROR('Data Sheet'!D27,0)</f>
        <v>4889.08</v>
      </c>
      <c r="E23" s="21">
        <f>IFERROR('Data Sheet'!E27,0)</f>
        <v>4238.01</v>
      </c>
      <c r="F23" s="21">
        <f>IFERROR('Data Sheet'!F27,0)</f>
        <v>4681.79</v>
      </c>
      <c r="G23" s="21">
        <f>IFERROR('Data Sheet'!G27,0)</f>
        <v>5758.6</v>
      </c>
      <c r="H23" s="21">
        <f>IFERROR('Data Sheet'!H27,0)</f>
        <v>7243.33</v>
      </c>
      <c r="I23" s="21">
        <f>IFERROR('Data Sheet'!I27,0)</f>
        <v>8097.17</v>
      </c>
      <c r="J23" s="21">
        <f>IFERROR('Data Sheet'!J27,0)</f>
        <v>9311.86</v>
      </c>
      <c r="K23" s="21">
        <f>IFERROR('Data Sheet'!K27,0)</f>
        <v>10225.48</v>
      </c>
      <c r="L23" s="21">
        <f>IFERROR(SUM('Data Sheet'!H46:K46),0)</f>
        <v>10584.58</v>
      </c>
    </row>
    <row r="24" spans="2:14" outlineLevel="1" x14ac:dyDescent="0.25">
      <c r="B24" s="22" t="s">
        <v>94</v>
      </c>
      <c r="C24" s="23">
        <f>C23/C8</f>
        <v>1.8473585814932098E-2</v>
      </c>
      <c r="D24" s="23">
        <f t="shared" ref="D24:L24" si="7">D23/D8</f>
        <v>1.7905727101993223E-2</v>
      </c>
      <c r="E24" s="23">
        <f t="shared" si="7"/>
        <v>1.5714229512714312E-2</v>
      </c>
      <c r="F24" s="23">
        <f t="shared" si="7"/>
        <v>1.605824830060304E-2</v>
      </c>
      <c r="G24" s="23">
        <f t="shared" si="7"/>
        <v>1.9072102124141878E-2</v>
      </c>
      <c r="H24" s="23">
        <f t="shared" si="7"/>
        <v>2.7744996829752802E-2</v>
      </c>
      <c r="I24" s="23">
        <f t="shared" si="7"/>
        <v>3.2415292955516477E-2</v>
      </c>
      <c r="J24" s="23">
        <f t="shared" si="7"/>
        <v>3.3441332168710897E-2</v>
      </c>
      <c r="K24" s="23">
        <f t="shared" si="7"/>
        <v>2.9556231914277829E-2</v>
      </c>
      <c r="L24" s="23">
        <f t="shared" si="7"/>
        <v>2.6343873341695013E-2</v>
      </c>
    </row>
    <row r="25" spans="2:14" outlineLevel="1" x14ac:dyDescent="0.25"/>
    <row r="26" spans="2:14" outlineLevel="1" x14ac:dyDescent="0.25">
      <c r="B26" t="s">
        <v>95</v>
      </c>
      <c r="C26" s="21">
        <f>IFERROR('Data Sheet'!C26,0)</f>
        <v>13388.63</v>
      </c>
      <c r="D26" s="21">
        <f>IFERROR('Data Sheet'!D26,0)</f>
        <v>16710.78</v>
      </c>
      <c r="E26" s="21">
        <f>IFERROR('Data Sheet'!E26,0)</f>
        <v>17904.990000000002</v>
      </c>
      <c r="F26" s="21">
        <f>IFERROR('Data Sheet'!F26,0)</f>
        <v>21553.59</v>
      </c>
      <c r="G26" s="21">
        <f>IFERROR('Data Sheet'!G26,0)</f>
        <v>23590.63</v>
      </c>
      <c r="H26" s="21">
        <f>IFERROR('Data Sheet'!H26,0)</f>
        <v>21425.43</v>
      </c>
      <c r="I26" s="21">
        <f>IFERROR('Data Sheet'!I26,0)</f>
        <v>23546.71</v>
      </c>
      <c r="J26" s="21">
        <f>IFERROR('Data Sheet'!J26,0)</f>
        <v>24835.69</v>
      </c>
      <c r="K26" s="21">
        <f>IFERROR('Data Sheet'!K26,0)</f>
        <v>24860.36</v>
      </c>
      <c r="L26" s="21">
        <f>IFERROR(SUM('Data Sheet'!H45:K45),0)</f>
        <v>26391.58</v>
      </c>
    </row>
    <row r="27" spans="2:14" outlineLevel="1" x14ac:dyDescent="0.25">
      <c r="B27" s="22" t="s">
        <v>96</v>
      </c>
      <c r="C27" s="23">
        <f>C26/C8</f>
        <v>5.0876584184966822E-2</v>
      </c>
      <c r="D27" s="23">
        <f t="shared" ref="D27:L27" si="8">D26/D8</f>
        <v>6.1201425695927715E-2</v>
      </c>
      <c r="E27" s="23">
        <f t="shared" si="8"/>
        <v>6.63903865924938E-2</v>
      </c>
      <c r="F27" s="23">
        <f t="shared" si="8"/>
        <v>7.3927472182518786E-2</v>
      </c>
      <c r="G27" s="23">
        <f t="shared" si="8"/>
        <v>7.8130605447998658E-2</v>
      </c>
      <c r="H27" s="23">
        <f t="shared" si="8"/>
        <v>8.206839774331566E-2</v>
      </c>
      <c r="I27" s="23">
        <f t="shared" si="8"/>
        <v>9.4264230933596482E-2</v>
      </c>
      <c r="J27" s="23">
        <f t="shared" si="8"/>
        <v>8.9191478279219347E-2</v>
      </c>
      <c r="K27" s="23">
        <f t="shared" si="8"/>
        <v>7.1857611147098821E-2</v>
      </c>
      <c r="L27" s="23">
        <f t="shared" si="8"/>
        <v>6.5685784490949223E-2</v>
      </c>
    </row>
    <row r="28" spans="2:14" outlineLevel="1" x14ac:dyDescent="0.25"/>
    <row r="29" spans="2:14" outlineLevel="1" x14ac:dyDescent="0.25">
      <c r="B29" s="47" t="s">
        <v>97</v>
      </c>
      <c r="C29" s="43">
        <f>C20-SUM(C23,C26)</f>
        <v>20988.529999999981</v>
      </c>
      <c r="D29" s="43">
        <f t="shared" ref="D29:L29" si="9">D20-SUM(D23,D26)</f>
        <v>16795.38999999997</v>
      </c>
      <c r="E29" s="43">
        <f t="shared" si="9"/>
        <v>7445.690000000046</v>
      </c>
      <c r="F29" s="43">
        <f t="shared" si="9"/>
        <v>5222.299999999992</v>
      </c>
      <c r="G29" s="43">
        <f t="shared" si="9"/>
        <v>-4684.8999999999796</v>
      </c>
      <c r="H29" s="43">
        <f t="shared" si="9"/>
        <v>-10681.690000000039</v>
      </c>
      <c r="I29" s="43">
        <f t="shared" si="9"/>
        <v>643.549999999992</v>
      </c>
      <c r="J29" s="43">
        <f t="shared" si="9"/>
        <v>-9427.4599999999882</v>
      </c>
      <c r="K29" s="43">
        <f t="shared" si="9"/>
        <v>-3270.0400000000373</v>
      </c>
      <c r="L29" s="43">
        <f t="shared" si="9"/>
        <v>13943.140000000043</v>
      </c>
    </row>
    <row r="30" spans="2:14" outlineLevel="1" x14ac:dyDescent="0.25">
      <c r="B30" s="46" t="s">
        <v>98</v>
      </c>
      <c r="C30" s="45">
        <f>C29/C8</f>
        <v>7.9756085085905037E-2</v>
      </c>
      <c r="D30" s="45">
        <f t="shared" ref="D30:L30" si="10">D29/D8</f>
        <v>6.1511300676516931E-2</v>
      </c>
      <c r="E30" s="45">
        <f t="shared" si="10"/>
        <v>2.7608071132565179E-2</v>
      </c>
      <c r="F30" s="45">
        <f t="shared" si="10"/>
        <v>1.7912163958707913E-2</v>
      </c>
      <c r="G30" s="45">
        <f t="shared" si="10"/>
        <v>-1.5516078776333117E-2</v>
      </c>
      <c r="H30" s="45">
        <f t="shared" si="10"/>
        <v>-4.0915360088026265E-2</v>
      </c>
      <c r="I30" s="45">
        <f t="shared" si="10"/>
        <v>2.5763151547420113E-3</v>
      </c>
      <c r="J30" s="45">
        <f t="shared" si="10"/>
        <v>-3.3856482095653805E-2</v>
      </c>
      <c r="K30" s="45">
        <f t="shared" si="10"/>
        <v>-9.4518849588445895E-3</v>
      </c>
      <c r="L30" s="45">
        <f t="shared" si="10"/>
        <v>3.4702965459708607E-2</v>
      </c>
    </row>
    <row r="31" spans="2:14" outlineLevel="1" x14ac:dyDescent="0.25"/>
    <row r="32" spans="2:14" outlineLevel="1" x14ac:dyDescent="0.25">
      <c r="B32" t="s">
        <v>13</v>
      </c>
      <c r="C32" s="21">
        <f>IFERROR('Data Sheet'!C29,0)</f>
        <v>7642.91</v>
      </c>
      <c r="D32" s="21">
        <f>IFERROR('Data Sheet'!D29,0)</f>
        <v>3025.05</v>
      </c>
      <c r="E32" s="21">
        <f>IFERROR('Data Sheet'!E29,0)</f>
        <v>3251.23</v>
      </c>
      <c r="F32" s="21">
        <f>IFERROR('Data Sheet'!F29,0)</f>
        <v>4341.93</v>
      </c>
      <c r="G32" s="21">
        <f>IFERROR('Data Sheet'!G29,0)</f>
        <v>-2437.4499999999998</v>
      </c>
      <c r="H32" s="21">
        <f>IFERROR('Data Sheet'!H29,0)</f>
        <v>395.25</v>
      </c>
      <c r="I32" s="21">
        <f>IFERROR('Data Sheet'!I29,0)</f>
        <v>2541.86</v>
      </c>
      <c r="J32" s="21">
        <f>IFERROR('Data Sheet'!J29,0)</f>
        <v>4231.29</v>
      </c>
      <c r="K32" s="21">
        <f>IFERROR('Data Sheet'!K29,0)</f>
        <v>704.06</v>
      </c>
      <c r="L32" s="21">
        <f>IFERROR(SUM('Data Sheet'!H48),0)</f>
        <v>262.83</v>
      </c>
      <c r="N32" s="21">
        <f>C29*C33</f>
        <v>7642.91</v>
      </c>
    </row>
    <row r="33" spans="2:12" outlineLevel="1" x14ac:dyDescent="0.25">
      <c r="B33" s="22" t="s">
        <v>99</v>
      </c>
      <c r="C33" s="23">
        <f>C32/C29</f>
        <v>0.3641469888553418</v>
      </c>
      <c r="D33" s="23">
        <f t="shared" ref="D33:L33" si="11">D32/D29</f>
        <v>0.18011192356950362</v>
      </c>
      <c r="E33" s="23">
        <f t="shared" si="11"/>
        <v>0.43665932908836924</v>
      </c>
      <c r="F33" s="23">
        <f t="shared" si="11"/>
        <v>0.8314210213890445</v>
      </c>
      <c r="G33" s="23">
        <f t="shared" si="11"/>
        <v>0.52027791414971725</v>
      </c>
      <c r="H33" s="23">
        <f t="shared" si="11"/>
        <v>-3.7002571690434617E-2</v>
      </c>
      <c r="I33" s="23">
        <f t="shared" si="11"/>
        <v>3.9497474943672315</v>
      </c>
      <c r="J33" s="23">
        <f t="shared" si="11"/>
        <v>-0.4488260888935095</v>
      </c>
      <c r="K33" s="23">
        <f t="shared" si="11"/>
        <v>-0.21530623478611635</v>
      </c>
      <c r="L33" s="23">
        <f t="shared" si="11"/>
        <v>1.8850129884660068E-2</v>
      </c>
    </row>
    <row r="34" spans="2:12" outlineLevel="1" x14ac:dyDescent="0.25"/>
    <row r="35" spans="2:12" outlineLevel="1" x14ac:dyDescent="0.25">
      <c r="B35" s="47" t="s">
        <v>100</v>
      </c>
      <c r="C35" s="48">
        <f>C29-C32</f>
        <v>13345.619999999981</v>
      </c>
      <c r="D35" s="48">
        <f t="shared" ref="D35:L35" si="12">D29-D32</f>
        <v>13770.339999999971</v>
      </c>
      <c r="E35" s="48">
        <f t="shared" si="12"/>
        <v>4194.4600000000464</v>
      </c>
      <c r="F35" s="48">
        <f t="shared" si="12"/>
        <v>880.36999999999171</v>
      </c>
      <c r="G35" s="48">
        <f t="shared" si="12"/>
        <v>-2247.4499999999798</v>
      </c>
      <c r="H35" s="48">
        <f t="shared" si="12"/>
        <v>-11076.940000000039</v>
      </c>
      <c r="I35" s="48">
        <f t="shared" si="12"/>
        <v>-1898.3100000000081</v>
      </c>
      <c r="J35" s="48">
        <f t="shared" si="12"/>
        <v>-13658.749999999989</v>
      </c>
      <c r="K35" s="48">
        <f t="shared" si="12"/>
        <v>-3974.1000000000372</v>
      </c>
      <c r="L35" s="48">
        <f t="shared" si="12"/>
        <v>13680.310000000043</v>
      </c>
    </row>
    <row r="36" spans="2:12" outlineLevel="1" x14ac:dyDescent="0.25">
      <c r="B36" s="46" t="s">
        <v>101</v>
      </c>
      <c r="C36" s="45">
        <f>C35/C8</f>
        <v>5.0713146858982282E-2</v>
      </c>
      <c r="D36" s="45">
        <f t="shared" ref="D36:L36" si="13">D35/D8</f>
        <v>5.0432381990407359E-2</v>
      </c>
      <c r="E36" s="45">
        <f t="shared" si="13"/>
        <v>1.5552749314395296E-2</v>
      </c>
      <c r="F36" s="45">
        <f t="shared" si="13"/>
        <v>3.01961430487095E-3</v>
      </c>
      <c r="G36" s="45">
        <f t="shared" si="13"/>
        <v>-7.4434056747998256E-3</v>
      </c>
      <c r="H36" s="45">
        <f t="shared" si="13"/>
        <v>-4.2429333632923408E-2</v>
      </c>
      <c r="I36" s="45">
        <f t="shared" si="13"/>
        <v>-7.5994791724005731E-3</v>
      </c>
      <c r="J36" s="45">
        <f t="shared" si="13"/>
        <v>-4.9052154538339235E-2</v>
      </c>
      <c r="K36" s="45">
        <f t="shared" si="13"/>
        <v>-1.1486934720964945E-2</v>
      </c>
      <c r="L36" s="45">
        <f t="shared" si="13"/>
        <v>3.4048810053410226E-2</v>
      </c>
    </row>
    <row r="38" spans="2:12" x14ac:dyDescent="0.25">
      <c r="B38" t="s">
        <v>65</v>
      </c>
      <c r="C38">
        <f>IFERROR('Data Sheet'!C93,0)</f>
        <v>288.74</v>
      </c>
      <c r="D38">
        <f>IFERROR('Data Sheet'!D93,0)</f>
        <v>288.72000000000003</v>
      </c>
      <c r="E38">
        <f>IFERROR('Data Sheet'!E93,0)</f>
        <v>288.73</v>
      </c>
      <c r="F38">
        <f>IFERROR('Data Sheet'!F93,0)</f>
        <v>288.73</v>
      </c>
      <c r="G38">
        <f>IFERROR('Data Sheet'!G93,0)</f>
        <v>288.73</v>
      </c>
      <c r="H38">
        <f>IFERROR('Data Sheet'!H93,0)</f>
        <v>308.89999999999998</v>
      </c>
      <c r="I38">
        <f>IFERROR('Data Sheet'!I93,0)</f>
        <v>332.03</v>
      </c>
      <c r="J38">
        <f>IFERROR('Data Sheet'!J93,0)</f>
        <v>332.07</v>
      </c>
      <c r="K38">
        <f>IFERROR('Data Sheet'!K93,0)</f>
        <v>332.13</v>
      </c>
      <c r="L38">
        <f>IFERROR('Data Sheet'!L93,0)</f>
        <v>0</v>
      </c>
    </row>
    <row r="40" spans="2:12" x14ac:dyDescent="0.25">
      <c r="B40" t="s">
        <v>102</v>
      </c>
      <c r="C40" s="21">
        <f>IFERROR(C35/C38,0)</f>
        <v>46.220198102098706</v>
      </c>
      <c r="D40" s="21">
        <f t="shared" ref="D40:L40" si="14">IFERROR(D35/D38,0)</f>
        <v>47.694444444444336</v>
      </c>
      <c r="E40" s="21">
        <f t="shared" si="14"/>
        <v>14.527274616423808</v>
      </c>
      <c r="F40" s="21">
        <f t="shared" si="14"/>
        <v>3.049111626779315</v>
      </c>
      <c r="G40" s="21">
        <f t="shared" si="14"/>
        <v>-7.7839157690575265</v>
      </c>
      <c r="H40" s="21">
        <f t="shared" si="14"/>
        <v>-35.859307219164904</v>
      </c>
      <c r="I40" s="21">
        <f t="shared" si="14"/>
        <v>-5.7172845827184542</v>
      </c>
      <c r="J40" s="21">
        <f t="shared" si="14"/>
        <v>-41.132140813683833</v>
      </c>
      <c r="K40" s="21">
        <f t="shared" si="14"/>
        <v>-11.965495438533218</v>
      </c>
      <c r="L40" s="28">
        <f t="shared" si="14"/>
        <v>0</v>
      </c>
    </row>
    <row r="41" spans="2:12" x14ac:dyDescent="0.25">
      <c r="B41" s="22" t="s">
        <v>104</v>
      </c>
      <c r="C41" s="29"/>
      <c r="D41" s="23">
        <f>D40/C40-1</f>
        <v>3.189614936502605E-2</v>
      </c>
      <c r="E41" s="23">
        <f t="shared" ref="E41:K41" si="15">E40/D40-1</f>
        <v>-0.69540950134463697</v>
      </c>
      <c r="F41" s="23">
        <f t="shared" si="15"/>
        <v>-0.79011124197155724</v>
      </c>
      <c r="G41" s="23">
        <f t="shared" si="15"/>
        <v>-3.5528470983790919</v>
      </c>
      <c r="H41" s="23">
        <f t="shared" si="15"/>
        <v>3.6068467700681115</v>
      </c>
      <c r="I41" s="23">
        <f t="shared" si="15"/>
        <v>-0.84056344011958861</v>
      </c>
      <c r="J41" s="23">
        <f t="shared" si="15"/>
        <v>6.194349033807641</v>
      </c>
      <c r="K41" s="23">
        <f t="shared" si="15"/>
        <v>-0.70909621522659627</v>
      </c>
      <c r="L41" s="28"/>
    </row>
    <row r="43" spans="2:12" x14ac:dyDescent="0.25">
      <c r="B43" t="s">
        <v>103</v>
      </c>
      <c r="C43" s="21">
        <f>IFERROR('Data Sheet'!C31/'Historical Financial Statement'!C38,0)</f>
        <v>0</v>
      </c>
      <c r="D43" s="21">
        <f>IFERROR('Data Sheet'!D31/'Historical Financial Statement'!D38,0)</f>
        <v>0.23524522028262676</v>
      </c>
      <c r="E43" s="21">
        <f>IFERROR('Data Sheet'!E31/'Historical Financial Statement'!E38,0)</f>
        <v>0</v>
      </c>
      <c r="F43" s="21">
        <f>IFERROR('Data Sheet'!F31/'Historical Financial Statement'!F38,0)</f>
        <v>0</v>
      </c>
      <c r="G43" s="21">
        <f>IFERROR('Data Sheet'!G31/'Historical Financial Statement'!G38,0)</f>
        <v>0</v>
      </c>
      <c r="H43" s="21">
        <f>IFERROR('Data Sheet'!H31/'Historical Financial Statement'!H38,0)</f>
        <v>0</v>
      </c>
      <c r="I43" s="21">
        <f>IFERROR('Data Sheet'!I31/'Historical Financial Statement'!I38,0)</f>
        <v>0</v>
      </c>
      <c r="J43" s="21">
        <f>IFERROR('Data Sheet'!J31/'Historical Financial Statement'!J38,0)</f>
        <v>0</v>
      </c>
      <c r="K43" s="21">
        <f>IFERROR('Data Sheet'!K31/'Historical Financial Statement'!K38,0)</f>
        <v>2.3063860536536898</v>
      </c>
    </row>
    <row r="44" spans="2:12" x14ac:dyDescent="0.25">
      <c r="B44" s="22" t="s">
        <v>105</v>
      </c>
      <c r="C44" s="23">
        <f>IFERROR(C43/C40,0)</f>
        <v>0</v>
      </c>
      <c r="D44" s="23">
        <f t="shared" ref="D44:K44" si="16">IFERROR(D43/D40,0)</f>
        <v>4.9323400874633563E-3</v>
      </c>
      <c r="E44" s="23">
        <f t="shared" si="16"/>
        <v>0</v>
      </c>
      <c r="F44" s="23">
        <f t="shared" si="16"/>
        <v>0</v>
      </c>
      <c r="G44" s="23">
        <f t="shared" si="16"/>
        <v>0</v>
      </c>
      <c r="H44" s="23">
        <f t="shared" si="16"/>
        <v>0</v>
      </c>
      <c r="I44" s="23">
        <f t="shared" si="16"/>
        <v>0</v>
      </c>
      <c r="J44" s="23">
        <f t="shared" si="16"/>
        <v>0</v>
      </c>
      <c r="K44" s="23">
        <f t="shared" si="16"/>
        <v>-0.19275307616818721</v>
      </c>
    </row>
    <row r="46" spans="2:12" ht="15.75" thickBot="1" x14ac:dyDescent="0.3">
      <c r="B46" s="37" t="s">
        <v>106</v>
      </c>
      <c r="C46" s="49">
        <f>IFERROR(1-C44,0)</f>
        <v>1</v>
      </c>
      <c r="D46" s="49">
        <f t="shared" ref="D46:K46" si="17">IFERROR(1-D44,0)</f>
        <v>0.99506765991253665</v>
      </c>
      <c r="E46" s="49">
        <f t="shared" si="17"/>
        <v>1</v>
      </c>
      <c r="F46" s="49">
        <f t="shared" si="17"/>
        <v>1</v>
      </c>
      <c r="G46" s="49">
        <f t="shared" si="17"/>
        <v>1</v>
      </c>
      <c r="H46" s="49">
        <f t="shared" si="17"/>
        <v>1</v>
      </c>
      <c r="I46" s="49">
        <f t="shared" si="17"/>
        <v>1</v>
      </c>
      <c r="J46" s="49">
        <f t="shared" si="17"/>
        <v>1</v>
      </c>
      <c r="K46" s="49">
        <f t="shared" si="17"/>
        <v>1.1927530761681873</v>
      </c>
      <c r="L46" s="37"/>
    </row>
    <row r="49" spans="1:12" ht="18.75" x14ac:dyDescent="0.3">
      <c r="A49" t="s">
        <v>83</v>
      </c>
      <c r="B49" s="41" t="str">
        <f>"Balance Sheet"&amp;" - "&amp;'Profit &amp; Loss'!A1</f>
        <v>Balance Sheet - TATA MOTORS LTD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outlineLevel="1" x14ac:dyDescent="0.25">
      <c r="B51" t="s">
        <v>24</v>
      </c>
      <c r="C51" s="21">
        <f>IFERROR('Data Sheet'!C57,0)</f>
        <v>643.78</v>
      </c>
      <c r="D51" s="21">
        <f>IFERROR('Data Sheet'!D57,0)</f>
        <v>679.18</v>
      </c>
      <c r="E51" s="21">
        <f>IFERROR('Data Sheet'!E57,0)</f>
        <v>679.22</v>
      </c>
      <c r="F51" s="21">
        <f>IFERROR('Data Sheet'!F57,0)</f>
        <v>679.22</v>
      </c>
      <c r="G51" s="21">
        <f>IFERROR('Data Sheet'!G57,0)</f>
        <v>679.22</v>
      </c>
      <c r="H51" s="21">
        <f>IFERROR('Data Sheet'!H57,0)</f>
        <v>719.54</v>
      </c>
      <c r="I51" s="21">
        <f>IFERROR('Data Sheet'!I57,0)</f>
        <v>765.81</v>
      </c>
      <c r="J51" s="21">
        <f>IFERROR('Data Sheet'!J57,0)</f>
        <v>765.88</v>
      </c>
      <c r="K51" s="21">
        <f>IFERROR('Data Sheet'!K57,0)</f>
        <v>766.02</v>
      </c>
    </row>
    <row r="52" spans="1:12" outlineLevel="1" x14ac:dyDescent="0.25">
      <c r="B52" t="s">
        <v>25</v>
      </c>
      <c r="C52" s="21">
        <f>IFERROR('Data Sheet'!C58,0)</f>
        <v>55618.14</v>
      </c>
      <c r="D52" s="21">
        <f>IFERROR('Data Sheet'!D58,0)</f>
        <v>78273.23</v>
      </c>
      <c r="E52" s="21">
        <f>IFERROR('Data Sheet'!E58,0)</f>
        <v>57382.67</v>
      </c>
      <c r="F52" s="21">
        <f>IFERROR('Data Sheet'!F58,0)</f>
        <v>94748.69</v>
      </c>
      <c r="G52" s="21">
        <f>IFERROR('Data Sheet'!G58,0)</f>
        <v>59500.34</v>
      </c>
      <c r="H52" s="21">
        <f>IFERROR('Data Sheet'!H58,0)</f>
        <v>61491.49</v>
      </c>
      <c r="I52" s="21">
        <f>IFERROR('Data Sheet'!I58,0)</f>
        <v>54480.91</v>
      </c>
      <c r="J52" s="21">
        <f>IFERROR('Data Sheet'!J58,0)</f>
        <v>43795.360000000001</v>
      </c>
      <c r="K52" s="21">
        <f>IFERROR('Data Sheet'!K58,0)</f>
        <v>44555.77</v>
      </c>
    </row>
    <row r="53" spans="1:12" outlineLevel="1" x14ac:dyDescent="0.25">
      <c r="B53" t="s">
        <v>62</v>
      </c>
      <c r="C53" s="21">
        <f>IFERROR('Data Sheet'!C59,0)</f>
        <v>73610.39</v>
      </c>
      <c r="D53" s="21">
        <f>IFERROR('Data Sheet'!D59,0)</f>
        <v>69359.960000000006</v>
      </c>
      <c r="E53" s="21">
        <f>IFERROR('Data Sheet'!E59,0)</f>
        <v>78603.98</v>
      </c>
      <c r="F53" s="21">
        <f>IFERROR('Data Sheet'!F59,0)</f>
        <v>88950.47</v>
      </c>
      <c r="G53" s="21">
        <f>IFERROR('Data Sheet'!G59,0)</f>
        <v>106175.34</v>
      </c>
      <c r="H53" s="21">
        <f>IFERROR('Data Sheet'!H59,0)</f>
        <v>124787.64</v>
      </c>
      <c r="I53" s="21">
        <f>IFERROR('Data Sheet'!I59,0)</f>
        <v>142130.57</v>
      </c>
      <c r="J53" s="21">
        <f>IFERROR('Data Sheet'!J59,0)</f>
        <v>146449.03</v>
      </c>
      <c r="K53" s="21">
        <f>IFERROR('Data Sheet'!K59,0)</f>
        <v>134113.44</v>
      </c>
    </row>
    <row r="54" spans="1:12" outlineLevel="1" x14ac:dyDescent="0.25">
      <c r="B54" t="s">
        <v>63</v>
      </c>
      <c r="C54" s="21">
        <f>IFERROR('Data Sheet'!C60,0)</f>
        <v>107442.48</v>
      </c>
      <c r="D54" s="21">
        <f>IFERROR('Data Sheet'!D60,0)</f>
        <v>114871.75</v>
      </c>
      <c r="E54" s="21">
        <f>IFERROR('Data Sheet'!E60,0)</f>
        <v>135914.49</v>
      </c>
      <c r="F54" s="21">
        <f>IFERROR('Data Sheet'!F60,0)</f>
        <v>142813.43</v>
      </c>
      <c r="G54" s="21">
        <f>IFERROR('Data Sheet'!G60,0)</f>
        <v>139348.59</v>
      </c>
      <c r="H54" s="21">
        <f>IFERROR('Data Sheet'!H60,0)</f>
        <v>133180.72</v>
      </c>
      <c r="I54" s="21">
        <f>IFERROR('Data Sheet'!I60,0)</f>
        <v>144192.62</v>
      </c>
      <c r="J54" s="21">
        <f>IFERROR('Data Sheet'!J60,0)</f>
        <v>138051.22</v>
      </c>
      <c r="K54" s="21">
        <f>IFERROR('Data Sheet'!K60,0)</f>
        <v>155239.20000000001</v>
      </c>
    </row>
    <row r="55" spans="1:12" ht="15.75" outlineLevel="1" thickBot="1" x14ac:dyDescent="0.3">
      <c r="B55" s="50" t="s">
        <v>107</v>
      </c>
      <c r="C55" s="51">
        <f>IFERROR('Data Sheet'!C61,0)</f>
        <v>237314.79</v>
      </c>
      <c r="D55" s="51">
        <f>IFERROR('Data Sheet'!D61,0)</f>
        <v>263184.12</v>
      </c>
      <c r="E55" s="51">
        <f>IFERROR('Data Sheet'!E61,0)</f>
        <v>272580.36</v>
      </c>
      <c r="F55" s="51">
        <f>IFERROR('Data Sheet'!F61,0)</f>
        <v>327191.81</v>
      </c>
      <c r="G55" s="51">
        <f>IFERROR('Data Sheet'!G61,0)</f>
        <v>305703.49</v>
      </c>
      <c r="H55" s="51">
        <f>IFERROR('Data Sheet'!H61,0)</f>
        <v>320179.39</v>
      </c>
      <c r="I55" s="51">
        <f>IFERROR('Data Sheet'!I61,0)</f>
        <v>341569.91</v>
      </c>
      <c r="J55" s="51">
        <f>IFERROR('Data Sheet'!J61,0)</f>
        <v>329061.49</v>
      </c>
      <c r="K55" s="51">
        <f>IFERROR('Data Sheet'!K61,0)</f>
        <v>334674.43</v>
      </c>
    </row>
    <row r="56" spans="1:12" ht="15.75" outlineLevel="1" thickTop="1" x14ac:dyDescent="0.25">
      <c r="C56" s="21"/>
      <c r="D56" s="21"/>
      <c r="E56" s="21"/>
      <c r="F56" s="21"/>
      <c r="G56" s="21"/>
      <c r="H56" s="21"/>
      <c r="I56" s="21"/>
      <c r="J56" s="21"/>
      <c r="K56" s="21"/>
    </row>
    <row r="57" spans="1:12" outlineLevel="1" x14ac:dyDescent="0.25">
      <c r="B57" t="s">
        <v>27</v>
      </c>
      <c r="C57" s="21">
        <f>IFERROR('Data Sheet'!C62,0)</f>
        <v>88479.49</v>
      </c>
      <c r="D57" s="21">
        <f>IFERROR('Data Sheet'!D62,0)</f>
        <v>107231.76</v>
      </c>
      <c r="E57" s="21">
        <f>IFERROR('Data Sheet'!E62,0)</f>
        <v>95944.08</v>
      </c>
      <c r="F57" s="21">
        <f>IFERROR('Data Sheet'!F62,0)</f>
        <v>121413.86</v>
      </c>
      <c r="G57" s="21">
        <f>IFERROR('Data Sheet'!G62,0)</f>
        <v>111234.47</v>
      </c>
      <c r="H57" s="21">
        <f>IFERROR('Data Sheet'!H62,0)</f>
        <v>127107.14</v>
      </c>
      <c r="I57" s="21">
        <f>IFERROR('Data Sheet'!I62,0)</f>
        <v>138707.60999999999</v>
      </c>
      <c r="J57" s="21">
        <f>IFERROR('Data Sheet'!J62,0)</f>
        <v>138855.45000000001</v>
      </c>
      <c r="K57" s="21">
        <f>IFERROR('Data Sheet'!K62,0)</f>
        <v>132079.76</v>
      </c>
    </row>
    <row r="58" spans="1:12" outlineLevel="1" x14ac:dyDescent="0.25">
      <c r="B58" t="s">
        <v>28</v>
      </c>
      <c r="C58" s="21">
        <f>IFERROR('Data Sheet'!C63,0)</f>
        <v>28640.09</v>
      </c>
      <c r="D58" s="21">
        <f>IFERROR('Data Sheet'!D63,0)</f>
        <v>25918.94</v>
      </c>
      <c r="E58" s="21">
        <f>IFERROR('Data Sheet'!E63,0)</f>
        <v>33698.839999999997</v>
      </c>
      <c r="F58" s="21">
        <f>IFERROR('Data Sheet'!F63,0)</f>
        <v>40033.5</v>
      </c>
      <c r="G58" s="21">
        <f>IFERROR('Data Sheet'!G63,0)</f>
        <v>31883.84</v>
      </c>
      <c r="H58" s="21">
        <f>IFERROR('Data Sheet'!H63,0)</f>
        <v>35622.29</v>
      </c>
      <c r="I58" s="21">
        <f>IFERROR('Data Sheet'!I63,0)</f>
        <v>20963.93</v>
      </c>
      <c r="J58" s="21">
        <f>IFERROR('Data Sheet'!J63,0)</f>
        <v>10251.09</v>
      </c>
      <c r="K58" s="21">
        <f>IFERROR('Data Sheet'!K63,0)</f>
        <v>14274.5</v>
      </c>
    </row>
    <row r="59" spans="1:12" outlineLevel="1" x14ac:dyDescent="0.25">
      <c r="B59" t="s">
        <v>29</v>
      </c>
      <c r="C59" s="21">
        <f>IFERROR('Data Sheet'!C64,0)</f>
        <v>15336.74</v>
      </c>
      <c r="D59" s="21">
        <f>IFERROR('Data Sheet'!D64,0)</f>
        <v>23767.02</v>
      </c>
      <c r="E59" s="21">
        <f>IFERROR('Data Sheet'!E64,0)</f>
        <v>20337.919999999998</v>
      </c>
      <c r="F59" s="21">
        <f>IFERROR('Data Sheet'!F64,0)</f>
        <v>20812.75</v>
      </c>
      <c r="G59" s="21">
        <f>IFERROR('Data Sheet'!G64,0)</f>
        <v>15770.72</v>
      </c>
      <c r="H59" s="21">
        <f>IFERROR('Data Sheet'!H64,0)</f>
        <v>16308.48</v>
      </c>
      <c r="I59" s="21">
        <f>IFERROR('Data Sheet'!I64,0)</f>
        <v>24620.28</v>
      </c>
      <c r="J59" s="21">
        <f>IFERROR('Data Sheet'!J64,0)</f>
        <v>29379.53</v>
      </c>
      <c r="K59" s="21">
        <f>IFERROR('Data Sheet'!K64,0)</f>
        <v>26379.16</v>
      </c>
    </row>
    <row r="60" spans="1:12" outlineLevel="1" x14ac:dyDescent="0.25">
      <c r="B60" t="s">
        <v>64</v>
      </c>
      <c r="C60" s="21">
        <f>IFERROR('Data Sheet'!C65-SUM('Data Sheet'!C67:C69),0)</f>
        <v>30891.17</v>
      </c>
      <c r="D60" s="21">
        <f>IFERROR('Data Sheet'!D65-SUM('Data Sheet'!D67:D69),0)</f>
        <v>29579.359999999986</v>
      </c>
      <c r="E60" s="21">
        <f>IFERROR('Data Sheet'!E65-SUM('Data Sheet'!E67:E69),0)</f>
        <v>37360.780000000013</v>
      </c>
      <c r="F60" s="21">
        <f>IFERROR('Data Sheet'!F65-SUM('Data Sheet'!F67:F69),0)</f>
        <v>48286.860000000015</v>
      </c>
      <c r="G60" s="21">
        <f>IFERROR('Data Sheet'!G65-SUM('Data Sheet'!G67:G69),0)</f>
        <v>56155.739999999991</v>
      </c>
      <c r="H60" s="21">
        <f>IFERROR('Data Sheet'!H65-SUM('Data Sheet'!H67:H69),0)</f>
        <v>58784.94</v>
      </c>
      <c r="I60" s="21">
        <f>IFERROR('Data Sheet'!I65-SUM('Data Sheet'!I67:I69),0)</f>
        <v>61717.959999999992</v>
      </c>
      <c r="J60" s="21">
        <f>IFERROR('Data Sheet'!J65-SUM('Data Sheet'!J67:J69),0)</f>
        <v>62223.770000000019</v>
      </c>
      <c r="K60" s="21">
        <f>IFERROR('Data Sheet'!K65-SUM('Data Sheet'!K67:K69),0)</f>
        <v>68432.090000000011</v>
      </c>
    </row>
    <row r="61" spans="1:12" ht="15.75" outlineLevel="1" thickBot="1" x14ac:dyDescent="0.3">
      <c r="B61" s="50" t="s">
        <v>108</v>
      </c>
      <c r="C61" s="51">
        <f>SUM(C57:C60)</f>
        <v>163347.49</v>
      </c>
      <c r="D61" s="51">
        <f t="shared" ref="D61:K61" si="18">SUM(D57:D60)</f>
        <v>186497.07999999996</v>
      </c>
      <c r="E61" s="51">
        <f t="shared" si="18"/>
        <v>187341.62</v>
      </c>
      <c r="F61" s="51">
        <f t="shared" si="18"/>
        <v>230546.97</v>
      </c>
      <c r="G61" s="51">
        <f t="shared" si="18"/>
        <v>215044.77</v>
      </c>
      <c r="H61" s="51">
        <f t="shared" si="18"/>
        <v>237822.85</v>
      </c>
      <c r="I61" s="51">
        <f t="shared" si="18"/>
        <v>246009.77999999997</v>
      </c>
      <c r="J61" s="51">
        <f t="shared" si="18"/>
        <v>240709.84000000003</v>
      </c>
      <c r="K61" s="51">
        <f t="shared" si="18"/>
        <v>241165.51</v>
      </c>
    </row>
    <row r="62" spans="1:12" ht="15.75" outlineLevel="1" thickTop="1" x14ac:dyDescent="0.25">
      <c r="C62" s="21"/>
      <c r="D62" s="21"/>
      <c r="E62" s="21"/>
      <c r="F62" s="21"/>
      <c r="G62" s="21"/>
      <c r="H62" s="21"/>
      <c r="I62" s="21"/>
      <c r="J62" s="21"/>
      <c r="K62" s="21"/>
    </row>
    <row r="63" spans="1:12" outlineLevel="1" x14ac:dyDescent="0.25">
      <c r="B63" t="s">
        <v>69</v>
      </c>
      <c r="C63" s="21">
        <f>IFERROR('Data Sheet'!C67,0)</f>
        <v>12579.2</v>
      </c>
      <c r="D63" s="21">
        <f>IFERROR('Data Sheet'!D67,0)</f>
        <v>13570.91</v>
      </c>
      <c r="E63" s="21">
        <f>IFERROR('Data Sheet'!E67,0)</f>
        <v>14075.55</v>
      </c>
      <c r="F63" s="21">
        <f>IFERROR('Data Sheet'!F67,0)</f>
        <v>19893.3</v>
      </c>
      <c r="G63" s="21">
        <f>IFERROR('Data Sheet'!G67,0)</f>
        <v>18996.169999999998</v>
      </c>
      <c r="H63" s="21">
        <f>IFERROR('Data Sheet'!H67,0)</f>
        <v>11172.69</v>
      </c>
      <c r="I63" s="21">
        <f>IFERROR('Data Sheet'!I67,0)</f>
        <v>12679.08</v>
      </c>
      <c r="J63" s="21">
        <f>IFERROR('Data Sheet'!J67,0)</f>
        <v>12442.12</v>
      </c>
      <c r="K63" s="21">
        <f>IFERROR('Data Sheet'!K67,0)</f>
        <v>15737.97</v>
      </c>
    </row>
    <row r="64" spans="1:12" outlineLevel="1" x14ac:dyDescent="0.25">
      <c r="B64" t="s">
        <v>45</v>
      </c>
      <c r="C64" s="21">
        <f>IFERROR('Data Sheet'!C68,0)</f>
        <v>29272.34</v>
      </c>
      <c r="D64" s="21">
        <f>IFERROR('Data Sheet'!D68,0)</f>
        <v>32655.73</v>
      </c>
      <c r="E64" s="21">
        <f>IFERROR('Data Sheet'!E68,0)</f>
        <v>35085.31</v>
      </c>
      <c r="F64" s="21">
        <f>IFERROR('Data Sheet'!F68,0)</f>
        <v>42137.63</v>
      </c>
      <c r="G64" s="21">
        <f>IFERROR('Data Sheet'!G68,0)</f>
        <v>39013.730000000003</v>
      </c>
      <c r="H64" s="21">
        <f>IFERROR('Data Sheet'!H68,0)</f>
        <v>37456.879999999997</v>
      </c>
      <c r="I64" s="21">
        <f>IFERROR('Data Sheet'!I68,0)</f>
        <v>36088.589999999997</v>
      </c>
      <c r="J64" s="21">
        <f>IFERROR('Data Sheet'!J68,0)</f>
        <v>35240.339999999997</v>
      </c>
      <c r="K64" s="21">
        <f>IFERROR('Data Sheet'!K68,0)</f>
        <v>40755.39</v>
      </c>
    </row>
    <row r="65" spans="1:12" outlineLevel="1" x14ac:dyDescent="0.25">
      <c r="B65" t="s">
        <v>78</v>
      </c>
      <c r="C65" s="21">
        <f>IFERROR('Data Sheet'!C69,0)</f>
        <v>32115.759999999998</v>
      </c>
      <c r="D65" s="21">
        <f>IFERROR('Data Sheet'!D69,0)</f>
        <v>30460.400000000001</v>
      </c>
      <c r="E65" s="21">
        <f>IFERROR('Data Sheet'!E69,0)</f>
        <v>36077.879999999997</v>
      </c>
      <c r="F65" s="21">
        <f>IFERROR('Data Sheet'!F69,0)</f>
        <v>34613.910000000003</v>
      </c>
      <c r="G65" s="21">
        <f>IFERROR('Data Sheet'!G69,0)</f>
        <v>32648.82</v>
      </c>
      <c r="H65" s="21">
        <f>IFERROR('Data Sheet'!H69,0)</f>
        <v>33726.97</v>
      </c>
      <c r="I65" s="21">
        <f>IFERROR('Data Sheet'!I69,0)</f>
        <v>46792.46</v>
      </c>
      <c r="J65" s="21">
        <f>IFERROR('Data Sheet'!J69,0)</f>
        <v>40669.19</v>
      </c>
      <c r="K65" s="21">
        <f>IFERROR('Data Sheet'!K69,0)</f>
        <v>37015.56</v>
      </c>
    </row>
    <row r="66" spans="1:12" ht="15.75" outlineLevel="1" thickBot="1" x14ac:dyDescent="0.3">
      <c r="B66" s="50" t="s">
        <v>109</v>
      </c>
      <c r="C66" s="51">
        <f>IFERROR(SUM(C63:C65),0)</f>
        <v>73967.3</v>
      </c>
      <c r="D66" s="51">
        <f t="shared" ref="D66:K66" si="19">IFERROR(SUM(D63:D65),0)</f>
        <v>76687.040000000008</v>
      </c>
      <c r="E66" s="51">
        <f t="shared" si="19"/>
        <v>85238.739999999991</v>
      </c>
      <c r="F66" s="51">
        <f t="shared" si="19"/>
        <v>96644.84</v>
      </c>
      <c r="G66" s="51">
        <f t="shared" si="19"/>
        <v>90658.72</v>
      </c>
      <c r="H66" s="51">
        <f t="shared" si="19"/>
        <v>82356.540000000008</v>
      </c>
      <c r="I66" s="51">
        <f t="shared" si="19"/>
        <v>95560.13</v>
      </c>
      <c r="J66" s="51">
        <f t="shared" si="19"/>
        <v>88351.65</v>
      </c>
      <c r="K66" s="51">
        <f t="shared" si="19"/>
        <v>93508.92</v>
      </c>
    </row>
    <row r="67" spans="1:12" ht="15.75" outlineLevel="1" thickTop="1" x14ac:dyDescent="0.25"/>
    <row r="68" spans="1:12" ht="15.75" outlineLevel="1" thickBot="1" x14ac:dyDescent="0.3">
      <c r="B68" s="52" t="s">
        <v>110</v>
      </c>
      <c r="C68" s="53">
        <f>C61+C66</f>
        <v>237314.78999999998</v>
      </c>
      <c r="D68" s="53">
        <f t="shared" ref="D68:K68" si="20">D61+D66</f>
        <v>263184.12</v>
      </c>
      <c r="E68" s="53">
        <f t="shared" si="20"/>
        <v>272580.36</v>
      </c>
      <c r="F68" s="53">
        <f t="shared" si="20"/>
        <v>327191.81</v>
      </c>
      <c r="G68" s="53">
        <f t="shared" si="20"/>
        <v>305703.49</v>
      </c>
      <c r="H68" s="53">
        <f t="shared" si="20"/>
        <v>320179.39</v>
      </c>
      <c r="I68" s="53">
        <f t="shared" si="20"/>
        <v>341569.91</v>
      </c>
      <c r="J68" s="53">
        <f t="shared" si="20"/>
        <v>329061.49</v>
      </c>
      <c r="K68" s="53">
        <f t="shared" si="20"/>
        <v>334674.43</v>
      </c>
    </row>
    <row r="69" spans="1:12" outlineLevel="1" x14ac:dyDescent="0.25"/>
    <row r="70" spans="1:12" outlineLevel="1" x14ac:dyDescent="0.25">
      <c r="B70" s="39" t="s">
        <v>111</v>
      </c>
      <c r="C70" s="40" t="b">
        <f>C68=C55</f>
        <v>1</v>
      </c>
      <c r="D70" s="40" t="b">
        <f t="shared" ref="D70:K70" si="21">D68=D55</f>
        <v>1</v>
      </c>
      <c r="E70" s="40" t="b">
        <f t="shared" si="21"/>
        <v>1</v>
      </c>
      <c r="F70" s="40" t="b">
        <f t="shared" si="21"/>
        <v>1</v>
      </c>
      <c r="G70" s="40" t="b">
        <f t="shared" si="21"/>
        <v>1</v>
      </c>
      <c r="H70" s="40" t="b">
        <f t="shared" si="21"/>
        <v>1</v>
      </c>
      <c r="I70" s="40" t="b">
        <f t="shared" si="21"/>
        <v>1</v>
      </c>
      <c r="J70" s="40" t="b">
        <f t="shared" si="21"/>
        <v>1</v>
      </c>
      <c r="K70" s="40" t="b">
        <f t="shared" si="21"/>
        <v>1</v>
      </c>
    </row>
    <row r="73" spans="1:12" ht="18.75" x14ac:dyDescent="0.3">
      <c r="A73" t="s">
        <v>83</v>
      </c>
      <c r="B73" s="41" t="str">
        <f>"Cash Flow Statement"&amp;" - "&amp;'Profit &amp; Loss'!A1</f>
        <v>Cash Flow Statement - TATA MOTORS LTD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</row>
    <row r="75" spans="1:12" outlineLevel="1" x14ac:dyDescent="0.25">
      <c r="B75" s="2" t="s">
        <v>150</v>
      </c>
    </row>
    <row r="76" spans="1:12" outlineLevel="1" x14ac:dyDescent="0.25">
      <c r="B76" t="s">
        <v>113</v>
      </c>
      <c r="C76" s="32">
        <f>IFERROR('Cash Flow Statement'!F5,0)</f>
        <v>43397</v>
      </c>
      <c r="D76" s="32">
        <f>IFERROR('Cash Flow Statement'!G5,0)</f>
        <v>38626</v>
      </c>
      <c r="E76" s="32">
        <f>IFERROR('Cash Flow Statement'!H5,0)</f>
        <v>28840</v>
      </c>
      <c r="F76" s="32">
        <f>IFERROR('Cash Flow Statement'!I5,0)</f>
        <v>33312</v>
      </c>
      <c r="G76" s="32">
        <f>IFERROR('Cash Flow Statement'!J5,0)</f>
        <v>28771</v>
      </c>
      <c r="H76" s="32">
        <f>IFERROR('Cash Flow Statement'!K5,0)</f>
        <v>23352</v>
      </c>
      <c r="I76" s="32">
        <f>IFERROR('Cash Flow Statement'!L5,0)</f>
        <v>31198</v>
      </c>
      <c r="J76" s="32">
        <f>IFERROR('Cash Flow Statement'!M5,0)</f>
        <v>26943</v>
      </c>
      <c r="K76" s="32">
        <f>IFERROR('Cash Flow Statement'!N5,0)</f>
        <v>41694</v>
      </c>
    </row>
    <row r="77" spans="1:12" outlineLevel="1" x14ac:dyDescent="0.25">
      <c r="B77" t="s">
        <v>69</v>
      </c>
      <c r="C77" s="32">
        <f>IFERROR('Cash Flow Statement'!F6,0)</f>
        <v>-3179</v>
      </c>
      <c r="D77" s="32">
        <f>IFERROR('Cash Flow Statement'!G6,0)</f>
        <v>-2223</v>
      </c>
      <c r="E77" s="32">
        <f>IFERROR('Cash Flow Statement'!H6,0)</f>
        <v>-4152</v>
      </c>
      <c r="F77" s="32">
        <f>IFERROR('Cash Flow Statement'!I6,0)</f>
        <v>-10688</v>
      </c>
      <c r="G77" s="32">
        <f>IFERROR('Cash Flow Statement'!J6,0)</f>
        <v>-9109</v>
      </c>
      <c r="H77" s="32">
        <f>IFERROR('Cash Flow Statement'!K6,0)</f>
        <v>9950</v>
      </c>
      <c r="I77" s="32">
        <f>IFERROR('Cash Flow Statement'!L6,0)</f>
        <v>-5505</v>
      </c>
      <c r="J77" s="32">
        <f>IFERROR('Cash Flow Statement'!M6,0)</f>
        <v>185</v>
      </c>
      <c r="K77" s="32">
        <f>IFERROR('Cash Flow Statement'!N6,0)</f>
        <v>-2213</v>
      </c>
    </row>
    <row r="78" spans="1:12" outlineLevel="1" x14ac:dyDescent="0.25">
      <c r="B78" t="s">
        <v>45</v>
      </c>
      <c r="C78" s="32">
        <f>IFERROR('Cash Flow Statement'!F7,0)</f>
        <v>-3692</v>
      </c>
      <c r="D78" s="32">
        <f>IFERROR('Cash Flow Statement'!G7,0)</f>
        <v>-5743</v>
      </c>
      <c r="E78" s="32">
        <f>IFERROR('Cash Flow Statement'!H7,0)</f>
        <v>-6621</v>
      </c>
      <c r="F78" s="32">
        <f>IFERROR('Cash Flow Statement'!I7,0)</f>
        <v>-3560</v>
      </c>
      <c r="G78" s="32">
        <f>IFERROR('Cash Flow Statement'!J7,0)</f>
        <v>2069</v>
      </c>
      <c r="H78" s="32">
        <f>IFERROR('Cash Flow Statement'!K7,0)</f>
        <v>2326</v>
      </c>
      <c r="I78" s="32">
        <f>IFERROR('Cash Flow Statement'!L7,0)</f>
        <v>3814</v>
      </c>
      <c r="J78" s="32">
        <f>IFERROR('Cash Flow Statement'!M7,0)</f>
        <v>472</v>
      </c>
      <c r="K78" s="32">
        <f>IFERROR('Cash Flow Statement'!N7,0)</f>
        <v>-5665</v>
      </c>
    </row>
    <row r="79" spans="1:12" outlineLevel="1" x14ac:dyDescent="0.25">
      <c r="B79" t="s">
        <v>114</v>
      </c>
      <c r="C79" s="32">
        <f>IFERROR('Cash Flow Statement'!F8,0)</f>
        <v>3598</v>
      </c>
      <c r="D79" s="32">
        <f>IFERROR('Cash Flow Statement'!G8,0)</f>
        <v>3947</v>
      </c>
      <c r="E79" s="32">
        <f>IFERROR('Cash Flow Statement'!H8,0)</f>
        <v>9301</v>
      </c>
      <c r="F79" s="32">
        <f>IFERROR('Cash Flow Statement'!I8,0)</f>
        <v>7320</v>
      </c>
      <c r="G79" s="32">
        <f>IFERROR('Cash Flow Statement'!J8,0)</f>
        <v>-4692</v>
      </c>
      <c r="H79" s="32">
        <f>IFERROR('Cash Flow Statement'!K8,0)</f>
        <v>-8085</v>
      </c>
      <c r="I79" s="32">
        <f>IFERROR('Cash Flow Statement'!L8,0)</f>
        <v>5748</v>
      </c>
      <c r="J79" s="32">
        <f>IFERROR('Cash Flow Statement'!M8,0)</f>
        <v>-7012</v>
      </c>
      <c r="K79" s="32">
        <f>IFERROR('Cash Flow Statement'!N8,0)</f>
        <v>6945</v>
      </c>
    </row>
    <row r="80" spans="1:12" outlineLevel="1" x14ac:dyDescent="0.25">
      <c r="B80" t="s">
        <v>115</v>
      </c>
      <c r="C80" s="32">
        <f>IFERROR('Cash Flow Statement'!F9,0)</f>
        <v>0</v>
      </c>
      <c r="D80" s="32">
        <f>IFERROR('Cash Flow Statement'!G9,0)</f>
        <v>-520</v>
      </c>
      <c r="E80" s="32">
        <f>IFERROR('Cash Flow Statement'!H9,0)</f>
        <v>0</v>
      </c>
      <c r="F80" s="32">
        <f>IFERROR('Cash Flow Statement'!I9,0)</f>
        <v>0</v>
      </c>
      <c r="G80" s="32">
        <f>IFERROR('Cash Flow Statement'!J9,0)</f>
        <v>0</v>
      </c>
      <c r="H80" s="32">
        <f>IFERROR('Cash Flow Statement'!K9,0)</f>
        <v>0</v>
      </c>
      <c r="I80" s="32">
        <f>IFERROR('Cash Flow Statement'!L9,0)</f>
        <v>0</v>
      </c>
      <c r="J80" s="32">
        <f>IFERROR('Cash Flow Statement'!M9,0)</f>
        <v>0</v>
      </c>
      <c r="K80" s="32">
        <f>IFERROR('Cash Flow Statement'!N9,0)</f>
        <v>0</v>
      </c>
    </row>
    <row r="81" spans="2:11" outlineLevel="1" x14ac:dyDescent="0.25">
      <c r="B81" t="s">
        <v>116</v>
      </c>
      <c r="C81" s="32">
        <f>IFERROR('Cash Flow Statement'!F10,0)</f>
        <v>-398</v>
      </c>
      <c r="D81" s="32">
        <f>IFERROR('Cash Flow Statement'!G10,0)</f>
        <v>5852</v>
      </c>
      <c r="E81" s="32">
        <f>IFERROR('Cash Flow Statement'!H10,0)</f>
        <v>4727</v>
      </c>
      <c r="F81" s="32">
        <f>IFERROR('Cash Flow Statement'!I10,0)</f>
        <v>494</v>
      </c>
      <c r="G81" s="32">
        <f>IFERROR('Cash Flow Statement'!J10,0)</f>
        <v>4512</v>
      </c>
      <c r="H81" s="32">
        <f>IFERROR('Cash Flow Statement'!K10,0)</f>
        <v>875</v>
      </c>
      <c r="I81" s="32">
        <f>IFERROR('Cash Flow Statement'!L10,0)</f>
        <v>-4150</v>
      </c>
      <c r="J81" s="32">
        <f>IFERROR('Cash Flow Statement'!M10,0)</f>
        <v>-4396</v>
      </c>
      <c r="K81" s="32">
        <f>IFERROR('Cash Flow Statement'!N10,0)</f>
        <v>-2194</v>
      </c>
    </row>
    <row r="82" spans="2:11" outlineLevel="1" x14ac:dyDescent="0.25">
      <c r="B82" t="s">
        <v>117</v>
      </c>
      <c r="C82" s="32">
        <f>IFERROR('Cash Flow Statement'!F11,0)</f>
        <v>-3672</v>
      </c>
      <c r="D82" s="32">
        <f>IFERROR('Cash Flow Statement'!G11,0)</f>
        <v>1313</v>
      </c>
      <c r="E82" s="32">
        <f>IFERROR('Cash Flow Statement'!H11,0)</f>
        <v>3254</v>
      </c>
      <c r="F82" s="32">
        <f>IFERROR('Cash Flow Statement'!I11,0)</f>
        <v>-6434</v>
      </c>
      <c r="G82" s="32">
        <f>IFERROR('Cash Flow Statement'!J11,0)</f>
        <v>-7221</v>
      </c>
      <c r="H82" s="32">
        <f>IFERROR('Cash Flow Statement'!K11,0)</f>
        <v>5065</v>
      </c>
      <c r="I82" s="32">
        <f>IFERROR('Cash Flow Statement'!L11,0)</f>
        <v>-93</v>
      </c>
      <c r="J82" s="32">
        <f>IFERROR('Cash Flow Statement'!M11,0)</f>
        <v>-10750</v>
      </c>
      <c r="K82" s="32">
        <f>IFERROR('Cash Flow Statement'!N11,0)</f>
        <v>-3127</v>
      </c>
    </row>
    <row r="83" spans="2:11" outlineLevel="1" x14ac:dyDescent="0.25">
      <c r="B83" t="s">
        <v>118</v>
      </c>
      <c r="C83" s="32">
        <f>IFERROR('Cash Flow Statement'!F12,0)</f>
        <v>-4194</v>
      </c>
      <c r="D83" s="32">
        <f>IFERROR('Cash Flow Statement'!G12,0)</f>
        <v>-2040</v>
      </c>
      <c r="E83" s="32">
        <f>IFERROR('Cash Flow Statement'!H12,0)</f>
        <v>-1895</v>
      </c>
      <c r="F83" s="32">
        <f>IFERROR('Cash Flow Statement'!I12,0)</f>
        <v>-3021</v>
      </c>
      <c r="G83" s="32">
        <f>IFERROR('Cash Flow Statement'!J12,0)</f>
        <v>-2659</v>
      </c>
      <c r="H83" s="32">
        <f>IFERROR('Cash Flow Statement'!K12,0)</f>
        <v>-1785</v>
      </c>
      <c r="I83" s="32">
        <f>IFERROR('Cash Flow Statement'!L12,0)</f>
        <v>-2105</v>
      </c>
      <c r="J83" s="32">
        <f>IFERROR('Cash Flow Statement'!M12,0)</f>
        <v>-1910</v>
      </c>
      <c r="K83" s="32">
        <f>IFERROR('Cash Flow Statement'!N12,0)</f>
        <v>-3179</v>
      </c>
    </row>
    <row r="84" spans="2:11" outlineLevel="1" x14ac:dyDescent="0.25">
      <c r="B84" s="54" t="s">
        <v>112</v>
      </c>
      <c r="C84" s="55">
        <f>SUM(C76:C83)</f>
        <v>31860</v>
      </c>
      <c r="D84" s="55">
        <f t="shared" ref="D84:K84" si="22">SUM(D76:D83)</f>
        <v>39212</v>
      </c>
      <c r="E84" s="55">
        <f t="shared" si="22"/>
        <v>33454</v>
      </c>
      <c r="F84" s="55">
        <f t="shared" si="22"/>
        <v>17423</v>
      </c>
      <c r="G84" s="55">
        <f t="shared" si="22"/>
        <v>11671</v>
      </c>
      <c r="H84" s="55">
        <f t="shared" si="22"/>
        <v>31698</v>
      </c>
      <c r="I84" s="55">
        <f t="shared" si="22"/>
        <v>28907</v>
      </c>
      <c r="J84" s="55">
        <f t="shared" si="22"/>
        <v>3532</v>
      </c>
      <c r="K84" s="55">
        <f t="shared" si="22"/>
        <v>32261</v>
      </c>
    </row>
    <row r="85" spans="2:11" outlineLevel="1" x14ac:dyDescent="0.25"/>
    <row r="86" spans="2:11" outlineLevel="1" x14ac:dyDescent="0.25">
      <c r="B86" s="2" t="s">
        <v>151</v>
      </c>
    </row>
    <row r="87" spans="2:11" outlineLevel="1" x14ac:dyDescent="0.25">
      <c r="B87" t="s">
        <v>120</v>
      </c>
      <c r="C87" s="32">
        <f>IFERROR('Cash Flow Statement'!F15,0)</f>
        <v>-31962</v>
      </c>
      <c r="D87" s="32">
        <f>IFERROR('Cash Flow Statement'!G15,0)</f>
        <v>-31503</v>
      </c>
      <c r="E87" s="32">
        <f>IFERROR('Cash Flow Statement'!H15,0)</f>
        <v>-16072</v>
      </c>
      <c r="F87" s="32">
        <f>IFERROR('Cash Flow Statement'!I15,0)</f>
        <v>-35079</v>
      </c>
      <c r="G87" s="32">
        <f>IFERROR('Cash Flow Statement'!J15,0)</f>
        <v>-35304</v>
      </c>
      <c r="H87" s="32">
        <f>IFERROR('Cash Flow Statement'!K15,0)</f>
        <v>-29702</v>
      </c>
      <c r="I87" s="32">
        <f>IFERROR('Cash Flow Statement'!L15,0)</f>
        <v>-20205</v>
      </c>
      <c r="J87" s="32">
        <f>IFERROR('Cash Flow Statement'!M15,0)</f>
        <v>-15168</v>
      </c>
      <c r="K87" s="32">
        <f>IFERROR('Cash Flow Statement'!N15,0)</f>
        <v>-19230</v>
      </c>
    </row>
    <row r="88" spans="2:11" outlineLevel="1" x14ac:dyDescent="0.25">
      <c r="B88" t="s">
        <v>121</v>
      </c>
      <c r="C88" s="32">
        <f>IFERROR('Cash Flow Statement'!F16,0)</f>
        <v>74</v>
      </c>
      <c r="D88" s="32">
        <f>IFERROR('Cash Flow Statement'!G16,0)</f>
        <v>59</v>
      </c>
      <c r="E88" s="32">
        <f>IFERROR('Cash Flow Statement'!H16,0)</f>
        <v>53</v>
      </c>
      <c r="F88" s="32">
        <f>IFERROR('Cash Flow Statement'!I16,0)</f>
        <v>30</v>
      </c>
      <c r="G88" s="32">
        <f>IFERROR('Cash Flow Statement'!J16,0)</f>
        <v>67</v>
      </c>
      <c r="H88" s="32">
        <f>IFERROR('Cash Flow Statement'!K16,0)</f>
        <v>171</v>
      </c>
      <c r="I88" s="32">
        <f>IFERROR('Cash Flow Statement'!L16,0)</f>
        <v>351</v>
      </c>
      <c r="J88" s="32">
        <f>IFERROR('Cash Flow Statement'!M16,0)</f>
        <v>230</v>
      </c>
      <c r="K88" s="32">
        <f>IFERROR('Cash Flow Statement'!N16,0)</f>
        <v>285</v>
      </c>
    </row>
    <row r="89" spans="2:11" outlineLevel="1" x14ac:dyDescent="0.25">
      <c r="B89" t="s">
        <v>122</v>
      </c>
      <c r="C89" s="32">
        <f>IFERROR('Cash Flow Statement'!F17,0)</f>
        <v>-5461</v>
      </c>
      <c r="D89" s="32">
        <f>IFERROR('Cash Flow Statement'!G17,0)</f>
        <v>-4728</v>
      </c>
      <c r="E89" s="32">
        <f>IFERROR('Cash Flow Statement'!H17,0)</f>
        <v>-6</v>
      </c>
      <c r="F89" s="32">
        <f>IFERROR('Cash Flow Statement'!I17,0)</f>
        <v>-329</v>
      </c>
      <c r="G89" s="32">
        <f>IFERROR('Cash Flow Statement'!J17,0)</f>
        <v>-130</v>
      </c>
      <c r="H89" s="32">
        <f>IFERROR('Cash Flow Statement'!K17,0)</f>
        <v>-1439</v>
      </c>
      <c r="I89" s="32">
        <f>IFERROR('Cash Flow Statement'!L17,0)</f>
        <v>-7530</v>
      </c>
      <c r="J89" s="32">
        <f>IFERROR('Cash Flow Statement'!M17,0)</f>
        <v>-3008</v>
      </c>
      <c r="K89" s="32">
        <f>IFERROR('Cash Flow Statement'!N17,0)</f>
        <v>-50</v>
      </c>
    </row>
    <row r="90" spans="2:11" outlineLevel="1" x14ac:dyDescent="0.25">
      <c r="B90" t="s">
        <v>123</v>
      </c>
      <c r="C90" s="32">
        <f>IFERROR('Cash Flow Statement'!F18,0)</f>
        <v>42</v>
      </c>
      <c r="D90" s="32">
        <f>IFERROR('Cash Flow Statement'!G18,0)</f>
        <v>89</v>
      </c>
      <c r="E90" s="32">
        <f>IFERROR('Cash Flow Statement'!H18,0)</f>
        <v>1965</v>
      </c>
      <c r="F90" s="32">
        <f>IFERROR('Cash Flow Statement'!I18,0)</f>
        <v>2381</v>
      </c>
      <c r="G90" s="32">
        <f>IFERROR('Cash Flow Statement'!J18,0)</f>
        <v>5644</v>
      </c>
      <c r="H90" s="32">
        <f>IFERROR('Cash Flow Statement'!K18,0)</f>
        <v>21</v>
      </c>
      <c r="I90" s="32">
        <f>IFERROR('Cash Flow Statement'!L18,0)</f>
        <v>226</v>
      </c>
      <c r="J90" s="32">
        <f>IFERROR('Cash Flow Statement'!M18,0)</f>
        <v>104</v>
      </c>
      <c r="K90" s="32">
        <f>IFERROR('Cash Flow Statement'!N18,0)</f>
        <v>6895</v>
      </c>
    </row>
    <row r="91" spans="2:11" outlineLevel="1" x14ac:dyDescent="0.25">
      <c r="B91" t="s">
        <v>124</v>
      </c>
      <c r="C91" s="32">
        <f>IFERROR('Cash Flow Statement'!F19,0)</f>
        <v>698</v>
      </c>
      <c r="D91" s="32">
        <f>IFERROR('Cash Flow Statement'!G19,0)</f>
        <v>731</v>
      </c>
      <c r="E91" s="32">
        <f>IFERROR('Cash Flow Statement'!H19,0)</f>
        <v>638</v>
      </c>
      <c r="F91" s="32">
        <f>IFERROR('Cash Flow Statement'!I19,0)</f>
        <v>690</v>
      </c>
      <c r="G91" s="32">
        <f>IFERROR('Cash Flow Statement'!J19,0)</f>
        <v>761</v>
      </c>
      <c r="H91" s="32">
        <f>IFERROR('Cash Flow Statement'!K19,0)</f>
        <v>1104</v>
      </c>
      <c r="I91" s="32">
        <f>IFERROR('Cash Flow Statement'!L19,0)</f>
        <v>428</v>
      </c>
      <c r="J91" s="32">
        <f>IFERROR('Cash Flow Statement'!M19,0)</f>
        <v>653</v>
      </c>
      <c r="K91" s="32">
        <f>IFERROR('Cash Flow Statement'!N19,0)</f>
        <v>973</v>
      </c>
    </row>
    <row r="92" spans="2:11" outlineLevel="1" x14ac:dyDescent="0.25">
      <c r="B92" t="s">
        <v>125</v>
      </c>
      <c r="C92" s="32">
        <f>IFERROR('Cash Flow Statement'!F20,0)</f>
        <v>80</v>
      </c>
      <c r="D92" s="32">
        <f>IFERROR('Cash Flow Statement'!G20,0)</f>
        <v>58</v>
      </c>
      <c r="E92" s="32">
        <f>IFERROR('Cash Flow Statement'!H20,0)</f>
        <v>620</v>
      </c>
      <c r="F92" s="32">
        <f>IFERROR('Cash Flow Statement'!I20,0)</f>
        <v>1797</v>
      </c>
      <c r="G92" s="32">
        <f>IFERROR('Cash Flow Statement'!J20,0)</f>
        <v>232</v>
      </c>
      <c r="H92" s="32">
        <f>IFERROR('Cash Flow Statement'!K20,0)</f>
        <v>21</v>
      </c>
      <c r="I92" s="32">
        <f>IFERROR('Cash Flow Statement'!L20,0)</f>
        <v>18</v>
      </c>
      <c r="J92" s="32">
        <f>IFERROR('Cash Flow Statement'!M20,0)</f>
        <v>32</v>
      </c>
      <c r="K92" s="32">
        <f>IFERROR('Cash Flow Statement'!N20,0)</f>
        <v>46</v>
      </c>
    </row>
    <row r="93" spans="2:11" outlineLevel="1" x14ac:dyDescent="0.25">
      <c r="B93" t="s">
        <v>126</v>
      </c>
      <c r="C93" s="32">
        <f>IFERROR('Cash Flow Statement'!F21,0)</f>
        <v>0</v>
      </c>
      <c r="D93" s="32">
        <f>IFERROR('Cash Flow Statement'!G21,0)</f>
        <v>0</v>
      </c>
      <c r="E93" s="32">
        <f>IFERROR('Cash Flow Statement'!H21,0)</f>
        <v>0</v>
      </c>
      <c r="F93" s="32">
        <f>IFERROR('Cash Flow Statement'!I21,0)</f>
        <v>0</v>
      </c>
      <c r="G93" s="32">
        <f>IFERROR('Cash Flow Statement'!J21,0)</f>
        <v>0</v>
      </c>
      <c r="H93" s="32">
        <f>IFERROR('Cash Flow Statement'!K21,0)</f>
        <v>0</v>
      </c>
      <c r="I93" s="32">
        <f>IFERROR('Cash Flow Statement'!L21,0)</f>
        <v>0</v>
      </c>
      <c r="J93" s="32">
        <f>IFERROR('Cash Flow Statement'!M21,0)</f>
        <v>0</v>
      </c>
      <c r="K93" s="32">
        <f>IFERROR('Cash Flow Statement'!N21,0)</f>
        <v>0</v>
      </c>
    </row>
    <row r="94" spans="2:11" outlineLevel="1" x14ac:dyDescent="0.25">
      <c r="B94" t="s">
        <v>127</v>
      </c>
      <c r="C94" s="32">
        <f>IFERROR('Cash Flow Statement'!F22,0)</f>
        <v>-160</v>
      </c>
      <c r="D94" s="32">
        <f>IFERROR('Cash Flow Statement'!G22,0)</f>
        <v>0</v>
      </c>
      <c r="E94" s="32">
        <f>IFERROR('Cash Flow Statement'!H22,0)</f>
        <v>-107</v>
      </c>
      <c r="F94" s="32">
        <f>IFERROR('Cash Flow Statement'!I22,0)</f>
        <v>-4</v>
      </c>
      <c r="G94" s="32">
        <f>IFERROR('Cash Flow Statement'!J22,0)</f>
        <v>-9</v>
      </c>
      <c r="H94" s="32">
        <f>IFERROR('Cash Flow Statement'!K22,0)</f>
        <v>-606</v>
      </c>
      <c r="I94" s="32">
        <f>IFERROR('Cash Flow Statement'!L22,0)</f>
        <v>-10</v>
      </c>
      <c r="J94" s="32">
        <f>IFERROR('Cash Flow Statement'!M22,0)</f>
        <v>0</v>
      </c>
      <c r="K94" s="32">
        <f>IFERROR('Cash Flow Statement'!N22,0)</f>
        <v>0</v>
      </c>
    </row>
    <row r="95" spans="2:11" outlineLevel="1" x14ac:dyDescent="0.25">
      <c r="B95" t="s">
        <v>128</v>
      </c>
      <c r="C95" s="32">
        <f>IFERROR('Cash Flow Statement'!F23,0)</f>
        <v>0</v>
      </c>
      <c r="D95" s="32">
        <f>IFERROR('Cash Flow Statement'!G23,0)</f>
        <v>0</v>
      </c>
      <c r="E95" s="32">
        <f>IFERROR('Cash Flow Statement'!H23,0)</f>
        <v>0</v>
      </c>
      <c r="F95" s="32">
        <f>IFERROR('Cash Flow Statement'!I23,0)</f>
        <v>14</v>
      </c>
      <c r="G95" s="32">
        <f>IFERROR('Cash Flow Statement'!J23,0)</f>
        <v>533</v>
      </c>
      <c r="H95" s="32">
        <f>IFERROR('Cash Flow Statement'!K23,0)</f>
        <v>0</v>
      </c>
      <c r="I95" s="32">
        <f>IFERROR('Cash Flow Statement'!L23,0)</f>
        <v>0</v>
      </c>
      <c r="J95" s="32">
        <f>IFERROR('Cash Flow Statement'!M23,0)</f>
        <v>0</v>
      </c>
      <c r="K95" s="32">
        <f>IFERROR('Cash Flow Statement'!N23,0)</f>
        <v>19</v>
      </c>
    </row>
    <row r="96" spans="2:11" outlineLevel="1" x14ac:dyDescent="0.25">
      <c r="B96" t="s">
        <v>129</v>
      </c>
      <c r="C96" s="32">
        <f>IFERROR('Cash Flow Statement'!F24,0)</f>
        <v>0</v>
      </c>
      <c r="D96" s="32">
        <f>IFERROR('Cash Flow Statement'!G24,0)</f>
        <v>-111</v>
      </c>
      <c r="E96" s="32">
        <f>IFERROR('Cash Flow Statement'!H24,0)</f>
        <v>0</v>
      </c>
      <c r="F96" s="32">
        <f>IFERROR('Cash Flow Statement'!I24,0)</f>
        <v>0</v>
      </c>
      <c r="G96" s="32">
        <f>IFERROR('Cash Flow Statement'!J24,0)</f>
        <v>-8</v>
      </c>
      <c r="H96" s="32">
        <f>IFERROR('Cash Flow Statement'!K24,0)</f>
        <v>-27</v>
      </c>
      <c r="I96" s="32">
        <f>IFERROR('Cash Flow Statement'!L24,0)</f>
        <v>0</v>
      </c>
      <c r="J96" s="32">
        <f>IFERROR('Cash Flow Statement'!M24,0)</f>
        <v>-98</v>
      </c>
      <c r="K96" s="32">
        <f>IFERROR('Cash Flow Statement'!N24,0)</f>
        <v>0</v>
      </c>
    </row>
    <row r="97" spans="2:11" outlineLevel="1" x14ac:dyDescent="0.25">
      <c r="B97" t="s">
        <v>130</v>
      </c>
      <c r="C97" s="32">
        <f>IFERROR('Cash Flow Statement'!F25,0)</f>
        <v>0</v>
      </c>
      <c r="D97" s="32">
        <f>IFERROR('Cash Flow Statement'!G25,0)</f>
        <v>0</v>
      </c>
      <c r="E97" s="32">
        <f>IFERROR('Cash Flow Statement'!H25,0)</f>
        <v>0</v>
      </c>
      <c r="F97" s="32">
        <f>IFERROR('Cash Flow Statement'!I25,0)</f>
        <v>0</v>
      </c>
      <c r="G97" s="32">
        <f>IFERROR('Cash Flow Statement'!J25,0)</f>
        <v>0</v>
      </c>
      <c r="H97" s="32">
        <f>IFERROR('Cash Flow Statement'!K25,0)</f>
        <v>0</v>
      </c>
      <c r="I97" s="32">
        <f>IFERROR('Cash Flow Statement'!L25,0)</f>
        <v>0</v>
      </c>
      <c r="J97" s="32">
        <f>IFERROR('Cash Flow Statement'!M25,0)</f>
        <v>0</v>
      </c>
      <c r="K97" s="32">
        <f>IFERROR('Cash Flow Statement'!N25,0)</f>
        <v>0</v>
      </c>
    </row>
    <row r="98" spans="2:11" outlineLevel="1" x14ac:dyDescent="0.25">
      <c r="B98" t="s">
        <v>131</v>
      </c>
      <c r="C98" s="32">
        <f>IFERROR('Cash Flow Statement'!F26,0)</f>
        <v>456</v>
      </c>
      <c r="D98" s="32">
        <f>IFERROR('Cash Flow Statement'!G26,0)</f>
        <v>-1289</v>
      </c>
      <c r="E98" s="32">
        <f>IFERROR('Cash Flow Statement'!H26,0)</f>
        <v>-26663</v>
      </c>
      <c r="F98" s="32">
        <f>IFERROR('Cash Flow Statement'!I26,0)</f>
        <v>5360</v>
      </c>
      <c r="G98" s="32">
        <f>IFERROR('Cash Flow Statement'!J26,0)</f>
        <v>7335</v>
      </c>
      <c r="H98" s="32">
        <f>IFERROR('Cash Flow Statement'!K26,0)</f>
        <v>-2659</v>
      </c>
      <c r="I98" s="32">
        <f>IFERROR('Cash Flow Statement'!L26,0)</f>
        <v>1051</v>
      </c>
      <c r="J98" s="32">
        <f>IFERROR('Cash Flow Statement'!M26,0)</f>
        <v>12813</v>
      </c>
      <c r="K98" s="32">
        <f>IFERROR('Cash Flow Statement'!N26,0)</f>
        <v>-4357</v>
      </c>
    </row>
    <row r="99" spans="2:11" outlineLevel="1" x14ac:dyDescent="0.25">
      <c r="B99" s="54" t="s">
        <v>119</v>
      </c>
      <c r="C99" s="55">
        <f>SUM(C87:C98)</f>
        <v>-36233</v>
      </c>
      <c r="D99" s="55">
        <f t="shared" ref="D99:K99" si="23">SUM(D87:D98)</f>
        <v>-36694</v>
      </c>
      <c r="E99" s="55">
        <f t="shared" si="23"/>
        <v>-39572</v>
      </c>
      <c r="F99" s="55">
        <f t="shared" si="23"/>
        <v>-25140</v>
      </c>
      <c r="G99" s="55">
        <f t="shared" si="23"/>
        <v>-20879</v>
      </c>
      <c r="H99" s="55">
        <f t="shared" si="23"/>
        <v>-33116</v>
      </c>
      <c r="I99" s="55">
        <f t="shared" si="23"/>
        <v>-25671</v>
      </c>
      <c r="J99" s="55">
        <f t="shared" si="23"/>
        <v>-4442</v>
      </c>
      <c r="K99" s="55">
        <f t="shared" si="23"/>
        <v>-15419</v>
      </c>
    </row>
    <row r="100" spans="2:11" outlineLevel="1" x14ac:dyDescent="0.25"/>
    <row r="101" spans="2:11" outlineLevel="1" x14ac:dyDescent="0.25">
      <c r="B101" s="2" t="s">
        <v>152</v>
      </c>
    </row>
    <row r="102" spans="2:11" outlineLevel="1" x14ac:dyDescent="0.25">
      <c r="B102" t="s">
        <v>133</v>
      </c>
      <c r="C102" s="32">
        <f>IFERROR('Cash Flow Statement'!F29,0)</f>
        <v>0</v>
      </c>
      <c r="D102" s="32">
        <f>IFERROR('Cash Flow Statement'!G29,0)</f>
        <v>7433</v>
      </c>
      <c r="E102" s="32">
        <f>IFERROR('Cash Flow Statement'!H29,0)</f>
        <v>5</v>
      </c>
      <c r="F102" s="32">
        <f>IFERROR('Cash Flow Statement'!I29,0)</f>
        <v>0</v>
      </c>
      <c r="G102" s="32">
        <f>IFERROR('Cash Flow Statement'!J29,0)</f>
        <v>0</v>
      </c>
      <c r="H102" s="32">
        <f>IFERROR('Cash Flow Statement'!K29,0)</f>
        <v>3889</v>
      </c>
      <c r="I102" s="32">
        <f>IFERROR('Cash Flow Statement'!L29,0)</f>
        <v>2603</v>
      </c>
      <c r="J102" s="32">
        <f>IFERROR('Cash Flow Statement'!M29,0)</f>
        <v>19</v>
      </c>
      <c r="K102" s="32">
        <f>IFERROR('Cash Flow Statement'!N29,0)</f>
        <v>20</v>
      </c>
    </row>
    <row r="103" spans="2:11" outlineLevel="1" x14ac:dyDescent="0.25">
      <c r="B103" t="s">
        <v>134</v>
      </c>
      <c r="C103" s="32">
        <f>IFERROR('Cash Flow Statement'!F30,0)</f>
        <v>-744</v>
      </c>
      <c r="D103" s="32">
        <f>IFERROR('Cash Flow Statement'!G30,0)</f>
        <v>0</v>
      </c>
      <c r="E103" s="32">
        <f>IFERROR('Cash Flow Statement'!H30,0)</f>
        <v>0</v>
      </c>
      <c r="F103" s="32">
        <f>IFERROR('Cash Flow Statement'!I30,0)</f>
        <v>0</v>
      </c>
      <c r="G103" s="32">
        <f>IFERROR('Cash Flow Statement'!J30,0)</f>
        <v>0</v>
      </c>
      <c r="H103" s="32">
        <f>IFERROR('Cash Flow Statement'!K30,0)</f>
        <v>0</v>
      </c>
      <c r="I103" s="32">
        <f>IFERROR('Cash Flow Statement'!L30,0)</f>
        <v>0</v>
      </c>
      <c r="J103" s="32">
        <f>IFERROR('Cash Flow Statement'!M30,0)</f>
        <v>0</v>
      </c>
      <c r="K103" s="32">
        <f>IFERROR('Cash Flow Statement'!N30,0)</f>
        <v>0</v>
      </c>
    </row>
    <row r="104" spans="2:11" outlineLevel="1" x14ac:dyDescent="0.25">
      <c r="B104" t="s">
        <v>135</v>
      </c>
      <c r="C104" s="32">
        <f>IFERROR('Cash Flow Statement'!F31,0)</f>
        <v>36363</v>
      </c>
      <c r="D104" s="32">
        <f>IFERROR('Cash Flow Statement'!G31,0)</f>
        <v>19519</v>
      </c>
      <c r="E104" s="32">
        <f>IFERROR('Cash Flow Statement'!H31,0)</f>
        <v>33390</v>
      </c>
      <c r="F104" s="32">
        <f>IFERROR('Cash Flow Statement'!I31,0)</f>
        <v>37482</v>
      </c>
      <c r="G104" s="32">
        <f>IFERROR('Cash Flow Statement'!J31,0)</f>
        <v>51128</v>
      </c>
      <c r="H104" s="32">
        <f>IFERROR('Cash Flow Statement'!K31,0)</f>
        <v>38297</v>
      </c>
      <c r="I104" s="32">
        <f>IFERROR('Cash Flow Statement'!L31,0)</f>
        <v>46641</v>
      </c>
      <c r="J104" s="32">
        <f>IFERROR('Cash Flow Statement'!M31,0)</f>
        <v>46578</v>
      </c>
      <c r="K104" s="32">
        <f>IFERROR('Cash Flow Statement'!N31,0)</f>
        <v>43934</v>
      </c>
    </row>
    <row r="105" spans="2:11" outlineLevel="1" x14ac:dyDescent="0.25">
      <c r="B105" t="s">
        <v>136</v>
      </c>
      <c r="C105" s="32">
        <f>IFERROR('Cash Flow Statement'!F32,0)</f>
        <v>-23332</v>
      </c>
      <c r="D105" s="32">
        <f>IFERROR('Cash Flow Statement'!G32,0)</f>
        <v>-24924</v>
      </c>
      <c r="E105" s="32">
        <f>IFERROR('Cash Flow Statement'!H32,0)</f>
        <v>-21732</v>
      </c>
      <c r="F105" s="32">
        <f>IFERROR('Cash Flow Statement'!I32,0)</f>
        <v>-29964</v>
      </c>
      <c r="G105" s="32">
        <f>IFERROR('Cash Flow Statement'!J32,0)</f>
        <v>-35198</v>
      </c>
      <c r="H105" s="32">
        <f>IFERROR('Cash Flow Statement'!K32,0)</f>
        <v>-29847</v>
      </c>
      <c r="I105" s="32">
        <f>IFERROR('Cash Flow Statement'!L32,0)</f>
        <v>-29709</v>
      </c>
      <c r="J105" s="32">
        <f>IFERROR('Cash Flow Statement'!M32,0)</f>
        <v>-42816</v>
      </c>
      <c r="K105" s="32">
        <f>IFERROR('Cash Flow Statement'!N32,0)</f>
        <v>-62557</v>
      </c>
    </row>
    <row r="106" spans="2:11" outlineLevel="1" x14ac:dyDescent="0.25">
      <c r="B106" t="s">
        <v>137</v>
      </c>
      <c r="C106" s="32">
        <f>IFERROR('Cash Flow Statement'!F33,0)</f>
        <v>-6307</v>
      </c>
      <c r="D106" s="32">
        <f>IFERROR('Cash Flow Statement'!G33,0)</f>
        <v>-5716</v>
      </c>
      <c r="E106" s="32">
        <f>IFERROR('Cash Flow Statement'!H33,0)</f>
        <v>-5336</v>
      </c>
      <c r="F106" s="32">
        <f>IFERROR('Cash Flow Statement'!I33,0)</f>
        <v>-5411</v>
      </c>
      <c r="G106" s="32">
        <f>IFERROR('Cash Flow Statement'!J33,0)</f>
        <v>-7005</v>
      </c>
      <c r="H106" s="32">
        <f>IFERROR('Cash Flow Statement'!K33,0)</f>
        <v>-7518</v>
      </c>
      <c r="I106" s="32">
        <f>IFERROR('Cash Flow Statement'!L33,0)</f>
        <v>-8123</v>
      </c>
      <c r="J106" s="32">
        <f>IFERROR('Cash Flow Statement'!M33,0)</f>
        <v>-9251</v>
      </c>
      <c r="K106" s="32">
        <f>IFERROR('Cash Flow Statement'!N33,0)</f>
        <v>-9336</v>
      </c>
    </row>
    <row r="107" spans="2:11" outlineLevel="1" x14ac:dyDescent="0.25">
      <c r="B107" t="s">
        <v>138</v>
      </c>
      <c r="C107" s="32">
        <f>IFERROR('Cash Flow Statement'!F34,0)</f>
        <v>-720</v>
      </c>
      <c r="D107" s="32">
        <f>IFERROR('Cash Flow Statement'!G34,0)</f>
        <v>-108</v>
      </c>
      <c r="E107" s="32">
        <f>IFERROR('Cash Flow Statement'!H34,0)</f>
        <v>-121</v>
      </c>
      <c r="F107" s="32">
        <f>IFERROR('Cash Flow Statement'!I34,0)</f>
        <v>-96</v>
      </c>
      <c r="G107" s="32">
        <f>IFERROR('Cash Flow Statement'!J34,0)</f>
        <v>-95</v>
      </c>
      <c r="H107" s="32">
        <f>IFERROR('Cash Flow Statement'!K34,0)</f>
        <v>-57</v>
      </c>
      <c r="I107" s="32">
        <f>IFERROR('Cash Flow Statement'!L34,0)</f>
        <v>-30</v>
      </c>
      <c r="J107" s="32">
        <f>IFERROR('Cash Flow Statement'!M34,0)</f>
        <v>-100</v>
      </c>
      <c r="K107" s="32">
        <f>IFERROR('Cash Flow Statement'!N34,0)</f>
        <v>-141</v>
      </c>
    </row>
    <row r="108" spans="2:11" outlineLevel="1" x14ac:dyDescent="0.25">
      <c r="B108" t="s">
        <v>139</v>
      </c>
      <c r="C108" s="32">
        <f>IFERROR('Cash Flow Statement'!F35,0)</f>
        <v>0</v>
      </c>
      <c r="D108" s="32">
        <f>IFERROR('Cash Flow Statement'!G35,0)</f>
        <v>0</v>
      </c>
      <c r="E108" s="32">
        <f>IFERROR('Cash Flow Statement'!H35,0)</f>
        <v>0</v>
      </c>
      <c r="F108" s="32">
        <f>IFERROR('Cash Flow Statement'!I35,0)</f>
        <v>0</v>
      </c>
      <c r="G108" s="32">
        <f>IFERROR('Cash Flow Statement'!J35,0)</f>
        <v>0</v>
      </c>
      <c r="H108" s="32">
        <f>IFERROR('Cash Flow Statement'!K35,0)</f>
        <v>-1346</v>
      </c>
      <c r="I108" s="32">
        <f>IFERROR('Cash Flow Statement'!L35,0)</f>
        <v>-1477</v>
      </c>
      <c r="J108" s="32">
        <f>IFERROR('Cash Flow Statement'!M35,0)</f>
        <v>-1559</v>
      </c>
      <c r="K108" s="32">
        <f>IFERROR('Cash Flow Statement'!N35,0)</f>
        <v>-1517</v>
      </c>
    </row>
    <row r="109" spans="2:11" outlineLevel="1" x14ac:dyDescent="0.25">
      <c r="B109" t="s">
        <v>140</v>
      </c>
      <c r="C109" s="32">
        <f>IFERROR('Cash Flow Statement'!F36,0)</f>
        <v>-57</v>
      </c>
      <c r="D109" s="32">
        <f>IFERROR('Cash Flow Statement'!G36,0)</f>
        <v>0</v>
      </c>
      <c r="E109" s="32">
        <f>IFERROR('Cash Flow Statement'!H36,0)</f>
        <v>0</v>
      </c>
      <c r="F109" s="32">
        <f>IFERROR('Cash Flow Statement'!I36,0)</f>
        <v>0</v>
      </c>
      <c r="G109" s="32">
        <f>IFERROR('Cash Flow Statement'!J36,0)</f>
        <v>0</v>
      </c>
      <c r="H109" s="32">
        <f>IFERROR('Cash Flow Statement'!K36,0)</f>
        <v>-29</v>
      </c>
      <c r="I109" s="32">
        <f>IFERROR('Cash Flow Statement'!L36,0)</f>
        <v>0</v>
      </c>
      <c r="J109" s="32">
        <f>IFERROR('Cash Flow Statement'!M36,0)</f>
        <v>3750</v>
      </c>
      <c r="K109" s="32">
        <f>IFERROR('Cash Flow Statement'!N36,0)</f>
        <v>3355</v>
      </c>
    </row>
    <row r="110" spans="2:11" outlineLevel="1" x14ac:dyDescent="0.25">
      <c r="B110" t="s">
        <v>35</v>
      </c>
      <c r="C110" s="32">
        <f>IFERROR('Cash Flow Statement'!F37,0)</f>
        <v>4500</v>
      </c>
      <c r="D110" s="32">
        <f>IFERROR('Cash Flow Statement'!G37,0)</f>
        <v>-2589</v>
      </c>
      <c r="E110" s="32">
        <f>IFERROR('Cash Flow Statement'!H37,0)</f>
        <v>-3167</v>
      </c>
      <c r="F110" s="32">
        <f>IFERROR('Cash Flow Statement'!I37,0)</f>
        <v>730</v>
      </c>
      <c r="G110" s="32">
        <f>IFERROR('Cash Flow Statement'!J37,0)</f>
        <v>6843</v>
      </c>
      <c r="H110" s="32">
        <f>IFERROR('Cash Flow Statement'!K37,0)</f>
        <v>-3092</v>
      </c>
      <c r="I110" s="32">
        <f>IFERROR('Cash Flow Statement'!L37,0)</f>
        <v>13232</v>
      </c>
      <c r="J110" s="32">
        <f>IFERROR('Cash Flow Statement'!M37,0)</f>
        <v>6459</v>
      </c>
      <c r="K110" s="32">
        <f>IFERROR('Cash Flow Statement'!N37,0)</f>
        <v>-6272</v>
      </c>
    </row>
    <row r="111" spans="2:11" outlineLevel="1" x14ac:dyDescent="0.25">
      <c r="B111" s="54" t="s">
        <v>132</v>
      </c>
      <c r="C111" s="55">
        <f>SUM(C102:C110)</f>
        <v>9703</v>
      </c>
      <c r="D111" s="55">
        <f t="shared" ref="D111:K111" si="24">SUM(D102:D110)</f>
        <v>-6385</v>
      </c>
      <c r="E111" s="55">
        <f t="shared" si="24"/>
        <v>3039</v>
      </c>
      <c r="F111" s="55">
        <f t="shared" si="24"/>
        <v>2741</v>
      </c>
      <c r="G111" s="55">
        <f t="shared" si="24"/>
        <v>15673</v>
      </c>
      <c r="H111" s="55">
        <f t="shared" si="24"/>
        <v>297</v>
      </c>
      <c r="I111" s="55">
        <f t="shared" si="24"/>
        <v>23137</v>
      </c>
      <c r="J111" s="55">
        <f t="shared" si="24"/>
        <v>3080</v>
      </c>
      <c r="K111" s="55">
        <f t="shared" si="24"/>
        <v>-32514</v>
      </c>
    </row>
  </sheetData>
  <mergeCells count="3">
    <mergeCell ref="B3:L3"/>
    <mergeCell ref="B2:L2"/>
    <mergeCell ref="M3:P6"/>
  </mergeCells>
  <pageMargins left="0.7" right="0.7" top="0.75" bottom="0.75" header="0.3" footer="0.3"/>
  <ignoredErrors>
    <ignoredError sqref="L11 C17 D17:K17 L23 L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AAF5-1EE7-487C-AC86-856F4D9B82AC}">
  <sheetPr>
    <tabColor theme="7" tint="-0.499984740745262"/>
  </sheetPr>
  <dimension ref="B2:O40"/>
  <sheetViews>
    <sheetView showGridLines="0" zoomScaleNormal="100" workbookViewId="0">
      <selection activeCell="F8" sqref="F8"/>
    </sheetView>
  </sheetViews>
  <sheetFormatPr defaultRowHeight="15" x14ac:dyDescent="0.25"/>
  <cols>
    <col min="1" max="1" width="2.28515625" customWidth="1"/>
    <col min="2" max="2" width="26.7109375" customWidth="1"/>
    <col min="3" max="3" width="3.5703125" customWidth="1"/>
    <col min="5" max="5" width="13.28515625" bestFit="1" customWidth="1"/>
    <col min="6" max="11" width="12.140625" bestFit="1" customWidth="1"/>
    <col min="12" max="12" width="14.42578125" customWidth="1"/>
    <col min="13" max="13" width="12.85546875" style="140" customWidth="1"/>
    <col min="14" max="15" width="12.140625" bestFit="1" customWidth="1"/>
  </cols>
  <sheetData>
    <row r="2" spans="2:15" x14ac:dyDescent="0.25">
      <c r="B2" s="192" t="str">
        <f>"Ratio Analysis of - "&amp;" - "&amp;Quarters!A1</f>
        <v>Ratio Analysis of -  - TATA MOTORS LTD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</row>
    <row r="3" spans="2:15" x14ac:dyDescent="0.25">
      <c r="B3" s="159" t="s">
        <v>81</v>
      </c>
      <c r="C3" s="159"/>
      <c r="D3" s="160">
        <f>'Historical Financial Statement'!C4</f>
        <v>42094</v>
      </c>
      <c r="E3" s="160">
        <f>'Historical Financial Statement'!D4</f>
        <v>42460</v>
      </c>
      <c r="F3" s="160">
        <f>'Historical Financial Statement'!E4</f>
        <v>42825</v>
      </c>
      <c r="G3" s="160">
        <f>'Historical Financial Statement'!F4</f>
        <v>43190</v>
      </c>
      <c r="H3" s="160">
        <f>'Historical Financial Statement'!G4</f>
        <v>43555</v>
      </c>
      <c r="I3" s="160">
        <f>'Historical Financial Statement'!H4</f>
        <v>43921</v>
      </c>
      <c r="J3" s="160">
        <f>'Historical Financial Statement'!I4</f>
        <v>44286</v>
      </c>
      <c r="K3" s="160">
        <f>'Historical Financial Statement'!J4</f>
        <v>44651</v>
      </c>
      <c r="L3" s="160">
        <f>'Historical Financial Statement'!K4</f>
        <v>45016</v>
      </c>
      <c r="M3" s="161" t="s">
        <v>259</v>
      </c>
      <c r="N3" s="161" t="s">
        <v>260</v>
      </c>
      <c r="O3" s="161" t="s">
        <v>250</v>
      </c>
    </row>
    <row r="5" spans="2:15" x14ac:dyDescent="0.25">
      <c r="B5" s="179" t="s">
        <v>261</v>
      </c>
      <c r="C5" s="162"/>
      <c r="D5" s="163"/>
      <c r="E5" s="163">
        <f>IFERROR('Historical Financial Statement'!D9,0)</f>
        <v>3.75690010654397E-2</v>
      </c>
      <c r="F5" s="163">
        <f>IFERROR('Historical Financial Statement'!E9,0)</f>
        <v>-1.2280329732469508E-2</v>
      </c>
      <c r="G5" s="163">
        <f>IFERROR('Historical Financial Statement'!F9,0)</f>
        <v>8.104774581985974E-2</v>
      </c>
      <c r="H5" s="163">
        <f>IFERROR('Historical Financial Statement'!G9,0)</f>
        <v>3.5629919045237157E-2</v>
      </c>
      <c r="I5" s="163">
        <f>IFERROR('Historical Financial Statement'!H9,0)</f>
        <v>-0.135360159555724</v>
      </c>
      <c r="J5" s="163">
        <f>IFERROR('Historical Financial Statement'!I9,0)</f>
        <v>-4.3181168490336042E-2</v>
      </c>
      <c r="K5" s="163">
        <f>IFERROR('Historical Financial Statement'!J9,0)</f>
        <v>0.11472967306158344</v>
      </c>
      <c r="L5" s="163">
        <f>IFERROR('Historical Financial Statement'!K9,0)</f>
        <v>0.24245815155859707</v>
      </c>
      <c r="M5" s="181"/>
      <c r="N5" s="163">
        <f>AVERAGE(E5:L5)</f>
        <v>4.0076604096523444E-2</v>
      </c>
      <c r="O5" s="163">
        <f>MEDIAN(E5:L5)</f>
        <v>3.6599460055338429E-2</v>
      </c>
    </row>
    <row r="6" spans="2:15" x14ac:dyDescent="0.25">
      <c r="B6" s="2" t="s">
        <v>141</v>
      </c>
      <c r="D6" s="164"/>
      <c r="E6" s="164">
        <f>IFERROR('Historical Financial Statement'!D20/'Historical Financial Statement'!C20-1,0)</f>
        <v>-2.1494113584437979E-2</v>
      </c>
      <c r="F6" s="164">
        <f>IFERROR('Historical Financial Statement'!E20/'Historical Financial Statement'!D20-1,0)</f>
        <v>-0.22936587208052905</v>
      </c>
      <c r="G6" s="164">
        <f>IFERROR('Historical Financial Statement'!F20/'Historical Financial Statement'!E20-1,0)</f>
        <v>6.3165689322506102E-2</v>
      </c>
      <c r="H6" s="164">
        <f>IFERROR('Historical Financial Statement'!G20/'Historical Financial Statement'!F20-1,0)</f>
        <v>-0.21595203460649259</v>
      </c>
      <c r="I6" s="164">
        <f>IFERROR('Historical Financial Statement'!H20/'Historical Financial Statement'!G20-1,0)</f>
        <v>-0.27072537547138131</v>
      </c>
      <c r="J6" s="164">
        <f>IFERROR('Historical Financial Statement'!I20/'Historical Financial Statement'!H20-1,0)</f>
        <v>0.79503554497758966</v>
      </c>
      <c r="K6" s="164">
        <f>IFERROR('Historical Financial Statement'!J20/'Historical Financial Statement'!I20-1,0)</f>
        <v>-0.234374182150762</v>
      </c>
      <c r="L6" s="164">
        <f>IFERROR('Historical Financial Statement'!K20/'Historical Financial Statement'!J20-1,0)</f>
        <v>0.28704223973294352</v>
      </c>
      <c r="N6" s="164">
        <f t="shared" ref="N6:N15" si="0">AVERAGE(E6:L6)</f>
        <v>2.1666487017429542E-2</v>
      </c>
      <c r="O6" s="164">
        <f t="shared" ref="O6:O15" si="1">MEDIAN(E6:L6)</f>
        <v>-0.11872307409546529</v>
      </c>
    </row>
    <row r="7" spans="2:15" x14ac:dyDescent="0.25">
      <c r="B7" s="2" t="s">
        <v>262</v>
      </c>
      <c r="D7" s="164"/>
      <c r="E7" s="164">
        <f>IFERROR('Historical Financial Statement'!D29/'Historical Financial Statement'!C29-1,0)</f>
        <v>-0.19978245260625749</v>
      </c>
      <c r="F7" s="164">
        <f>IFERROR('Historical Financial Statement'!E29/'Historical Financial Statement'!D29-1,0)</f>
        <v>-0.55668251823863213</v>
      </c>
      <c r="G7" s="164">
        <f>IFERROR('Historical Financial Statement'!F29/'Historical Financial Statement'!E29-1,0)</f>
        <v>-0.29861436616351744</v>
      </c>
      <c r="H7" s="164">
        <f>IFERROR('Historical Financial Statement'!G29/'Historical Financial Statement'!F29-1,0)</f>
        <v>-1.897095149646705</v>
      </c>
      <c r="I7" s="164">
        <f>IFERROR('Historical Financial Statement'!H29/'Historical Financial Statement'!G29-1,0)</f>
        <v>1.2800251873039095</v>
      </c>
      <c r="J7" s="164">
        <f>IFERROR('Historical Financial Statement'!I29/'Historical Financial Statement'!H29-1,0)</f>
        <v>-1.0602479570180365</v>
      </c>
      <c r="K7" s="164">
        <f>IFERROR('Historical Financial Statement'!J29/'Historical Financial Statement'!I29-1,0)</f>
        <v>-15.64914925025267</v>
      </c>
      <c r="L7" s="164">
        <f>IFERROR('Historical Financial Statement'!K29/'Historical Financial Statement'!J29-1,0)</f>
        <v>-0.65313668793078505</v>
      </c>
      <c r="N7" s="164">
        <f t="shared" si="0"/>
        <v>-2.3793353993190869</v>
      </c>
      <c r="O7" s="164">
        <f t="shared" si="1"/>
        <v>-0.60490960308470854</v>
      </c>
    </row>
    <row r="8" spans="2:15" x14ac:dyDescent="0.25">
      <c r="B8" s="2" t="s">
        <v>263</v>
      </c>
      <c r="D8" s="164"/>
      <c r="E8" s="164">
        <f>IFERROR('Historical Financial Statement'!D35/'Historical Financial Statement'!C35-1,0)</f>
        <v>3.1824673563310757E-2</v>
      </c>
      <c r="F8" s="164">
        <f>IFERROR('Historical Financial Statement'!E35/'Historical Financial Statement'!D35-1,0)</f>
        <v>-0.69539895165986787</v>
      </c>
      <c r="G8" s="164">
        <f>IFERROR('Historical Financial Statement'!F35/'Historical Financial Statement'!E35-1,0)</f>
        <v>-0.79011124197155724</v>
      </c>
      <c r="H8" s="164">
        <f>IFERROR('Historical Financial Statement'!G35/'Historical Financial Statement'!F35-1,0)</f>
        <v>-3.5528470983790919</v>
      </c>
      <c r="I8" s="164">
        <f>IFERROR('Historical Financial Statement'!H35/'Historical Financial Statement'!G35-1,0)</f>
        <v>3.9286702707513577</v>
      </c>
      <c r="J8" s="164">
        <f>IFERROR('Historical Financial Statement'!I35/'Historical Financial Statement'!H35-1,0)</f>
        <v>-0.82862505348950144</v>
      </c>
      <c r="K8" s="164">
        <f>IFERROR('Historical Financial Statement'!J35/'Historical Financial Statement'!I35-1,0)</f>
        <v>6.1952157445306248</v>
      </c>
      <c r="L8" s="164">
        <f>IFERROR('Historical Financial Statement'!K35/'Historical Financial Statement'!J35-1,0)</f>
        <v>-0.7090436533357708</v>
      </c>
      <c r="N8" s="164">
        <f t="shared" si="0"/>
        <v>0.44746058625118801</v>
      </c>
      <c r="O8" s="164">
        <f t="shared" si="1"/>
        <v>-0.70222130249781933</v>
      </c>
    </row>
    <row r="9" spans="2:15" x14ac:dyDescent="0.25">
      <c r="B9" s="180" t="s">
        <v>264</v>
      </c>
      <c r="C9" s="165"/>
      <c r="D9" s="166"/>
      <c r="E9" s="166">
        <f>IFERROR('Historical Financial Statement'!D43/'Historical Financial Statement'!C43-1,0)</f>
        <v>0</v>
      </c>
      <c r="F9" s="166">
        <f>IFERROR('Historical Financial Statement'!E43/'Historical Financial Statement'!D43-1,0)</f>
        <v>-1</v>
      </c>
      <c r="G9" s="166">
        <f>IFERROR('Historical Financial Statement'!F43/'Historical Financial Statement'!E43-1,0)</f>
        <v>0</v>
      </c>
      <c r="H9" s="166">
        <f>IFERROR('Historical Financial Statement'!G43/'Historical Financial Statement'!F43-1,0)</f>
        <v>0</v>
      </c>
      <c r="I9" s="166">
        <f>IFERROR('Historical Financial Statement'!H43/'Historical Financial Statement'!G43-1,0)</f>
        <v>0</v>
      </c>
      <c r="J9" s="166">
        <f>IFERROR('Historical Financial Statement'!I43/'Historical Financial Statement'!H43-1,0)</f>
        <v>0</v>
      </c>
      <c r="K9" s="166">
        <f>IFERROR('Historical Financial Statement'!J43/'Historical Financial Statement'!I43-1,0)</f>
        <v>0</v>
      </c>
      <c r="L9" s="166">
        <f>IFERROR('Historical Financial Statement'!K43/'Historical Financial Statement'!J43-1,0)</f>
        <v>0</v>
      </c>
      <c r="M9" s="182"/>
      <c r="N9" s="164">
        <f t="shared" si="0"/>
        <v>-0.125</v>
      </c>
      <c r="O9" s="164">
        <f t="shared" si="1"/>
        <v>0</v>
      </c>
    </row>
    <row r="10" spans="2:15" x14ac:dyDescent="0.25">
      <c r="B10" s="2"/>
      <c r="N10" s="163"/>
      <c r="O10" s="163"/>
    </row>
    <row r="11" spans="2:15" x14ac:dyDescent="0.25">
      <c r="B11" s="179" t="s">
        <v>93</v>
      </c>
      <c r="C11" s="162"/>
      <c r="D11" s="163"/>
      <c r="E11" s="163">
        <f>IFERROR('Historical Financial Statement'!C15,0)</f>
        <v>0.22914703499762759</v>
      </c>
      <c r="F11" s="163">
        <f>IFERROR('Historical Financial Statement'!D15,0)</f>
        <v>0.24734524196690946</v>
      </c>
      <c r="G11" s="163">
        <f>IFERROR('Historical Financial Statement'!E15,0)</f>
        <v>0.23819078253229964</v>
      </c>
      <c r="H11" s="163">
        <f>IFERROR('Historical Financial Statement'!F15,0)</f>
        <v>0.21649990080619999</v>
      </c>
      <c r="I11" s="163">
        <f>IFERROR('Historical Financial Statement'!G15,0)</f>
        <v>0.19571167496416494</v>
      </c>
      <c r="J11" s="163">
        <f>IFERROR('Historical Financial Statement'!H15,0)</f>
        <v>0.19417127271491774</v>
      </c>
      <c r="K11" s="163">
        <f>IFERROR('Historical Financial Statement'!I15,0)</f>
        <v>0.2180538622208833</v>
      </c>
      <c r="L11" s="163">
        <f>IFERROR('Historical Financial Statement'!J15,0)</f>
        <v>0.19807108271747378</v>
      </c>
      <c r="M11" s="181"/>
      <c r="N11" s="163">
        <f t="shared" si="0"/>
        <v>0.21714885661505956</v>
      </c>
      <c r="O11" s="163">
        <f t="shared" si="1"/>
        <v>0.21727688151354163</v>
      </c>
    </row>
    <row r="12" spans="2:15" x14ac:dyDescent="0.25">
      <c r="B12" s="2" t="s">
        <v>265</v>
      </c>
      <c r="D12" s="164"/>
      <c r="E12" s="164">
        <f>IFERROR('Historical Financial Statement'!C21,0)</f>
        <v>0.14910625508580397</v>
      </c>
      <c r="F12" s="164">
        <f>IFERROR('Historical Financial Statement'!D21,0)</f>
        <v>0.14061845347443788</v>
      </c>
      <c r="G12" s="164">
        <f>IFERROR('Historical Financial Statement'!E21,0)</f>
        <v>0.10971268723777329</v>
      </c>
      <c r="H12" s="164">
        <f>IFERROR('Historical Financial Statement'!F21,0)</f>
        <v>0.10789788444182975</v>
      </c>
      <c r="I12" s="164">
        <f>IFERROR('Historical Financial Statement'!G21,0)</f>
        <v>8.1686628795807431E-2</v>
      </c>
      <c r="J12" s="164">
        <f>IFERROR('Historical Financial Statement'!H21,0)</f>
        <v>6.8898034485042198E-2</v>
      </c>
      <c r="K12" s="164">
        <f>IFERROR('Historical Financial Statement'!I21,0)</f>
        <v>0.12925583904385496</v>
      </c>
      <c r="L12" s="164">
        <f>IFERROR('Historical Financial Statement'!J21,0)</f>
        <v>8.877632835227646E-2</v>
      </c>
      <c r="N12" s="164">
        <f t="shared" si="0"/>
        <v>0.10949401386460324</v>
      </c>
      <c r="O12" s="164">
        <f t="shared" si="1"/>
        <v>0.10880528583980152</v>
      </c>
    </row>
    <row r="13" spans="2:15" x14ac:dyDescent="0.25">
      <c r="B13" s="2" t="s">
        <v>266</v>
      </c>
      <c r="D13" s="164"/>
      <c r="E13" s="164">
        <f>IFERROR(('Historical Financial Statement'!C20-'Historical Financial Statement'!C26/'Historical Financial Statement'!C8),0)</f>
        <v>39238.599123415792</v>
      </c>
      <c r="F13" s="164">
        <f>IFERROR(('Historical Financial Statement'!D20-'Historical Financial Statement'!D26/'Historical Financial Statement'!D8),0)</f>
        <v>38395.188798574272</v>
      </c>
      <c r="G13" s="164">
        <f>IFERROR(('Historical Financial Statement'!E20-'Historical Financial Statement'!E26/'Historical Financial Statement'!E8),0)</f>
        <v>29588.623609613453</v>
      </c>
      <c r="H13" s="164">
        <f>IFERROR(('Historical Financial Statement'!F20-'Historical Financial Statement'!F26/'Historical Financial Statement'!F8),0)</f>
        <v>31457.606072527811</v>
      </c>
      <c r="I13" s="164">
        <f>IFERROR(('Historical Financial Statement'!G20-'Historical Financial Statement'!G26/'Historical Financial Statement'!G8),0)</f>
        <v>24664.251869394575</v>
      </c>
      <c r="J13" s="164">
        <f>IFERROR(('Historical Financial Statement'!H20-'Historical Financial Statement'!H26/'Historical Financial Statement'!H8),0)</f>
        <v>17986.98793160222</v>
      </c>
      <c r="K13" s="164">
        <f>IFERROR(('Historical Financial Statement'!I20-'Historical Financial Statement'!I26/'Historical Financial Statement'!I8),0)</f>
        <v>32287.335735769055</v>
      </c>
      <c r="L13" s="164">
        <f>IFERROR(('Historical Financial Statement'!J20-'Historical Financial Statement'!J26/'Historical Financial Statement'!J8),0)</f>
        <v>24720.000808521734</v>
      </c>
      <c r="N13" s="164">
        <f t="shared" si="0"/>
        <v>29792.324243677369</v>
      </c>
      <c r="O13" s="164">
        <f t="shared" si="1"/>
        <v>30523.11484107063</v>
      </c>
    </row>
    <row r="14" spans="2:15" x14ac:dyDescent="0.25">
      <c r="B14" s="2" t="s">
        <v>267</v>
      </c>
      <c r="D14" s="164"/>
      <c r="E14" s="164">
        <f>IFERROR('Historical Financial Statement'!C30,0)</f>
        <v>7.9756085085905037E-2</v>
      </c>
      <c r="F14" s="164">
        <f>IFERROR('Historical Financial Statement'!D30,0)</f>
        <v>6.1511300676516931E-2</v>
      </c>
      <c r="G14" s="164">
        <f>IFERROR('Historical Financial Statement'!E30,0)</f>
        <v>2.7608071132565179E-2</v>
      </c>
      <c r="H14" s="164">
        <f>IFERROR('Historical Financial Statement'!F30,0)</f>
        <v>1.7912163958707913E-2</v>
      </c>
      <c r="I14" s="164">
        <f>IFERROR('Historical Financial Statement'!G30,0)</f>
        <v>-1.5516078776333117E-2</v>
      </c>
      <c r="J14" s="164">
        <f>IFERROR('Historical Financial Statement'!H30,0)</f>
        <v>-4.0915360088026265E-2</v>
      </c>
      <c r="K14" s="164">
        <f>IFERROR('Historical Financial Statement'!I30,0)</f>
        <v>2.5763151547420113E-3</v>
      </c>
      <c r="L14" s="164">
        <f>IFERROR('Historical Financial Statement'!J30,0)</f>
        <v>-3.3856482095653805E-2</v>
      </c>
      <c r="N14" s="164">
        <f t="shared" si="0"/>
        <v>1.238450188105299E-2</v>
      </c>
      <c r="O14" s="164">
        <f t="shared" si="1"/>
        <v>1.0244239556724962E-2</v>
      </c>
    </row>
    <row r="15" spans="2:15" x14ac:dyDescent="0.25">
      <c r="B15" s="180" t="s">
        <v>268</v>
      </c>
      <c r="C15" s="165"/>
      <c r="D15" s="166"/>
      <c r="E15" s="166">
        <f>IFERROR('Historical Financial Statement'!C36,0)</f>
        <v>5.0713146858982282E-2</v>
      </c>
      <c r="F15" s="166">
        <f>IFERROR('Historical Financial Statement'!D36,0)</f>
        <v>5.0432381990407359E-2</v>
      </c>
      <c r="G15" s="166">
        <f>IFERROR('Historical Financial Statement'!E36,0)</f>
        <v>1.5552749314395296E-2</v>
      </c>
      <c r="H15" s="166">
        <f>IFERROR('Historical Financial Statement'!F36,0)</f>
        <v>3.01961430487095E-3</v>
      </c>
      <c r="I15" s="166">
        <f>IFERROR('Historical Financial Statement'!G36,0)</f>
        <v>-7.4434056747998256E-3</v>
      </c>
      <c r="J15" s="166">
        <f>IFERROR('Historical Financial Statement'!H36,0)</f>
        <v>-4.2429333632923408E-2</v>
      </c>
      <c r="K15" s="166">
        <f>IFERROR('Historical Financial Statement'!I36,0)</f>
        <v>-7.5994791724005731E-3</v>
      </c>
      <c r="L15" s="166">
        <f>IFERROR('Historical Financial Statement'!J36,0)</f>
        <v>-4.9052154538339235E-2</v>
      </c>
      <c r="M15" s="182"/>
      <c r="N15" s="176">
        <f t="shared" si="0"/>
        <v>1.6491899312741053E-3</v>
      </c>
      <c r="O15" s="176">
        <f t="shared" si="1"/>
        <v>-2.2118956849644378E-3</v>
      </c>
    </row>
    <row r="16" spans="2:15" x14ac:dyDescent="0.25">
      <c r="B16" s="2"/>
    </row>
    <row r="17" spans="2:15" x14ac:dyDescent="0.25">
      <c r="B17" s="179" t="s">
        <v>269</v>
      </c>
      <c r="C17" s="162"/>
      <c r="D17" s="163"/>
      <c r="E17" s="163">
        <f>'Historical Financial Statement'!D18</f>
        <v>0.10672678849247161</v>
      </c>
      <c r="F17" s="163">
        <f>'Historical Financial Statement'!E18</f>
        <v>0.12847809529452636</v>
      </c>
      <c r="G17" s="163">
        <f>'Historical Financial Statement'!F18</f>
        <v>0.10860201636437025</v>
      </c>
      <c r="H17" s="163">
        <f>'Historical Financial Statement'!G18</f>
        <v>0.11402504616835751</v>
      </c>
      <c r="I17" s="163">
        <f>'Historical Financial Statement'!H18</f>
        <v>0.12527323822987554</v>
      </c>
      <c r="J17" s="163">
        <f>'Historical Financial Statement'!I18</f>
        <v>8.8798023177028354E-2</v>
      </c>
      <c r="K17" s="163">
        <f>'Historical Financial Statement'!J18</f>
        <v>0.10929475436519734</v>
      </c>
      <c r="L17" s="163">
        <f>'Historical Financial Statement'!K18</f>
        <v>0.11488822184383672</v>
      </c>
      <c r="M17" s="181"/>
      <c r="N17" s="163">
        <f>AVERAGE(E17:L17)</f>
        <v>0.11201077299195795</v>
      </c>
      <c r="O17" s="163">
        <f>MEDIAN(E17:L17)</f>
        <v>0.11165990026677743</v>
      </c>
    </row>
    <row r="18" spans="2:15" x14ac:dyDescent="0.25">
      <c r="B18" s="2" t="s">
        <v>270</v>
      </c>
      <c r="D18" s="164"/>
      <c r="E18" s="164">
        <f>'Historical Financial Statement'!D27</f>
        <v>6.1201425695927715E-2</v>
      </c>
      <c r="F18" s="164">
        <f>'Historical Financial Statement'!E27</f>
        <v>6.63903865924938E-2</v>
      </c>
      <c r="G18" s="164">
        <f>'Historical Financial Statement'!F27</f>
        <v>7.3927472182518786E-2</v>
      </c>
      <c r="H18" s="164">
        <f>'Historical Financial Statement'!G27</f>
        <v>7.8130605447998658E-2</v>
      </c>
      <c r="I18" s="164">
        <f>'Historical Financial Statement'!H27</f>
        <v>8.206839774331566E-2</v>
      </c>
      <c r="J18" s="164">
        <f>'Historical Financial Statement'!I27</f>
        <v>9.4264230933596482E-2</v>
      </c>
      <c r="K18" s="164">
        <f>'Historical Financial Statement'!J27</f>
        <v>8.9191478279219347E-2</v>
      </c>
      <c r="L18" s="164">
        <f>'Historical Financial Statement'!K27</f>
        <v>7.1857611147098821E-2</v>
      </c>
      <c r="N18" s="164">
        <f t="shared" ref="N18:N19" si="2">AVERAGE(E18:L18)</f>
        <v>7.7128951002771146E-2</v>
      </c>
      <c r="O18" s="164">
        <f t="shared" ref="O18:O19" si="3">MEDIAN(E18:L18)</f>
        <v>7.6029038815258715E-2</v>
      </c>
    </row>
    <row r="19" spans="2:15" x14ac:dyDescent="0.25">
      <c r="B19" s="180" t="s">
        <v>271</v>
      </c>
      <c r="C19" s="165"/>
      <c r="D19" s="167"/>
      <c r="E19" s="166">
        <f>E13</f>
        <v>39238.599123415792</v>
      </c>
      <c r="F19" s="166">
        <f t="shared" ref="F19:L19" si="4">F13</f>
        <v>38395.188798574272</v>
      </c>
      <c r="G19" s="166">
        <f t="shared" si="4"/>
        <v>29588.623609613453</v>
      </c>
      <c r="H19" s="166">
        <f t="shared" si="4"/>
        <v>31457.606072527811</v>
      </c>
      <c r="I19" s="166">
        <f t="shared" si="4"/>
        <v>24664.251869394575</v>
      </c>
      <c r="J19" s="166">
        <f t="shared" si="4"/>
        <v>17986.98793160222</v>
      </c>
      <c r="K19" s="166">
        <f t="shared" si="4"/>
        <v>32287.335735769055</v>
      </c>
      <c r="L19" s="166">
        <f t="shared" si="4"/>
        <v>24720.000808521734</v>
      </c>
      <c r="M19" s="182"/>
      <c r="N19" s="176">
        <f t="shared" si="2"/>
        <v>29792.324243677369</v>
      </c>
      <c r="O19" s="176">
        <f t="shared" si="3"/>
        <v>30523.11484107063</v>
      </c>
    </row>
    <row r="20" spans="2:15" x14ac:dyDescent="0.25">
      <c r="B20" s="2"/>
    </row>
    <row r="21" spans="2:15" x14ac:dyDescent="0.25">
      <c r="B21" s="179" t="s">
        <v>272</v>
      </c>
      <c r="C21" s="162"/>
      <c r="D21" s="163">
        <f>IFERROR(('Historical Financial Statement'!C20-'Historical Financial Statement'!C26)/(SUM('Historical Financial Statement'!C53)),0)</f>
        <v>0.35117352319421186</v>
      </c>
      <c r="E21" s="163">
        <f>IFERROR(('Historical Financial Statement'!D20-'Historical Financial Statement'!D26)/(SUM('Historical Financial Statement'!D53)),0)</f>
        <v>0.31263671432336421</v>
      </c>
      <c r="F21" s="163">
        <f>IFERROR(('Historical Financial Statement'!E20-'Historical Financial Statement'!E26)/(SUM('Historical Financial Statement'!E53)),0)</f>
        <v>0.14864005613965151</v>
      </c>
      <c r="G21" s="163">
        <f>IFERROR(('Historical Financial Statement'!F20-'Historical Financial Statement'!F26)/(SUM('Historical Financial Statement'!F53)),0)</f>
        <v>0.11134387485529861</v>
      </c>
      <c r="H21" s="163">
        <f>IFERROR(('Historical Financial Statement'!G20-'Historical Financial Statement'!G26)/(SUM('Historical Financial Statement'!G53)),0)</f>
        <v>1.0112517652404245E-2</v>
      </c>
      <c r="I21" s="163">
        <f>IFERROR(('Historical Financial Statement'!H20-'Historical Financial Statement'!H26)/(SUM('Historical Financial Statement'!H53)),0)</f>
        <v>-2.7553690413570101E-2</v>
      </c>
      <c r="J21" s="163">
        <f>IFERROR(('Historical Financial Statement'!I20-'Historical Financial Statement'!I26)/(SUM('Historical Financial Statement'!I53)),0)</f>
        <v>6.1497818519970687E-2</v>
      </c>
      <c r="K21" s="163">
        <f>IFERROR(('Historical Financial Statement'!J20-'Historical Financial Statement'!J26)/(SUM('Historical Financial Statement'!J53)),0)</f>
        <v>-7.893531285252213E-4</v>
      </c>
      <c r="L21" s="163">
        <f>IFERROR(('Historical Financial Statement'!K20-'Historical Financial Statement'!K26)/(SUM('Historical Financial Statement'!K53)),0)</f>
        <v>5.1862363682565735E-2</v>
      </c>
      <c r="M21" s="181"/>
      <c r="N21" s="163">
        <f>AVERAGE(E21:L21)</f>
        <v>8.3468787703894959E-2</v>
      </c>
      <c r="O21" s="163">
        <f>MEDIAN(E21:L21)</f>
        <v>5.6680091101268211E-2</v>
      </c>
    </row>
    <row r="22" spans="2:15" x14ac:dyDescent="0.25">
      <c r="B22" s="2" t="s">
        <v>273</v>
      </c>
      <c r="D22" s="164">
        <f>IFERROR('Historical Financial Statement'!C46,0)</f>
        <v>1</v>
      </c>
      <c r="E22" s="164">
        <f>IFERROR('Historical Financial Statement'!D46,0)</f>
        <v>0.99506765991253665</v>
      </c>
      <c r="F22" s="164">
        <f>IFERROR('Historical Financial Statement'!E46,0)</f>
        <v>1</v>
      </c>
      <c r="G22" s="164">
        <f>IFERROR('Historical Financial Statement'!F46,0)</f>
        <v>1</v>
      </c>
      <c r="H22" s="164">
        <f>IFERROR('Historical Financial Statement'!G46,0)</f>
        <v>1</v>
      </c>
      <c r="I22" s="164">
        <f>IFERROR('Historical Financial Statement'!H46,0)</f>
        <v>1</v>
      </c>
      <c r="J22" s="164">
        <f>IFERROR('Historical Financial Statement'!I46,0)</f>
        <v>1</v>
      </c>
      <c r="K22" s="164">
        <f>IFERROR('Historical Financial Statement'!J46,0)</f>
        <v>1</v>
      </c>
      <c r="L22" s="164">
        <f>IFERROR('Historical Financial Statement'!K46,0)</f>
        <v>1.1927530761681873</v>
      </c>
      <c r="N22" s="164">
        <f t="shared" ref="N22:N25" si="5">AVERAGE(E22:L22)</f>
        <v>1.0234775920100905</v>
      </c>
      <c r="O22" s="164">
        <f t="shared" ref="O22:O25" si="6">MEDIAN(E22:L22)</f>
        <v>1</v>
      </c>
    </row>
    <row r="23" spans="2:15" x14ac:dyDescent="0.25">
      <c r="B23" s="2" t="s">
        <v>274</v>
      </c>
      <c r="D23" s="164">
        <f>IFERROR('Historical Financial Statement'!C35/SUM('Historical Financial Statement'!C51:C52),0)</f>
        <v>0.2372052002491202</v>
      </c>
      <c r="E23" s="164">
        <f>IFERROR('Historical Financial Statement'!D35/SUM('Historical Financial Statement'!D51:D52),0)</f>
        <v>0.17441316864171685</v>
      </c>
      <c r="F23" s="164">
        <f>IFERROR('Historical Financial Statement'!E35/SUM('Historical Financial Statement'!E51:E52),0)</f>
        <v>7.2241189530689517E-2</v>
      </c>
      <c r="G23" s="164">
        <f>IFERROR('Historical Financial Statement'!F35/SUM('Historical Financial Statement'!F51:F52),0)</f>
        <v>9.2254980749341738E-3</v>
      </c>
      <c r="H23" s="164">
        <f>IFERROR('Historical Financial Statement'!G35/SUM('Historical Financial Statement'!G51:G52),0)</f>
        <v>-3.7345736658758885E-2</v>
      </c>
      <c r="I23" s="164">
        <f>IFERROR('Historical Financial Statement'!H35/SUM('Historical Financial Statement'!H51:H52),0)</f>
        <v>-0.1780542775131683</v>
      </c>
      <c r="J23" s="164">
        <f>IFERROR('Historical Financial Statement'!I35/SUM('Historical Financial Statement'!I51:I52),0)</f>
        <v>-3.4360591904822733E-2</v>
      </c>
      <c r="K23" s="164">
        <f>IFERROR('Historical Financial Statement'!J35/SUM('Historical Financial Statement'!J51:J52),0)</f>
        <v>-0.30651638060341208</v>
      </c>
      <c r="L23" s="164">
        <f>IFERROR('Historical Financial Statement'!K35/SUM('Historical Financial Statement'!K51:K52),0)</f>
        <v>-8.7686298356707396E-2</v>
      </c>
      <c r="N23" s="164">
        <f t="shared" si="5"/>
        <v>-4.8510428598691105E-2</v>
      </c>
      <c r="O23" s="164">
        <f t="shared" si="6"/>
        <v>-3.5853164281790806E-2</v>
      </c>
    </row>
    <row r="24" spans="2:15" x14ac:dyDescent="0.25">
      <c r="B24" s="2" t="s">
        <v>275</v>
      </c>
      <c r="D24" s="164">
        <f>IFERROR(D22*D23,0)</f>
        <v>0.2372052002491202</v>
      </c>
      <c r="E24" s="164">
        <f t="shared" ref="E24:L24" si="7">IFERROR(E22*E23,0)</f>
        <v>0.17355290357824379</v>
      </c>
      <c r="F24" s="164">
        <f t="shared" si="7"/>
        <v>7.2241189530689517E-2</v>
      </c>
      <c r="G24" s="164">
        <f t="shared" si="7"/>
        <v>9.2254980749341738E-3</v>
      </c>
      <c r="H24" s="164">
        <f t="shared" si="7"/>
        <v>-3.7345736658758885E-2</v>
      </c>
      <c r="I24" s="164">
        <f t="shared" si="7"/>
        <v>-0.1780542775131683</v>
      </c>
      <c r="J24" s="164">
        <f t="shared" si="7"/>
        <v>-3.4360591904822733E-2</v>
      </c>
      <c r="K24" s="164">
        <f t="shared" si="7"/>
        <v>-0.30651638060341208</v>
      </c>
      <c r="L24" s="164">
        <f t="shared" si="7"/>
        <v>-0.10458810210276422</v>
      </c>
      <c r="N24" s="164">
        <f t="shared" si="5"/>
        <v>-5.0730687199882343E-2</v>
      </c>
      <c r="O24" s="164">
        <f t="shared" si="6"/>
        <v>-3.5853164281790806E-2</v>
      </c>
    </row>
    <row r="25" spans="2:15" x14ac:dyDescent="0.25">
      <c r="B25" s="180" t="s">
        <v>276</v>
      </c>
      <c r="C25" s="165"/>
      <c r="D25" s="168">
        <f>('Historical Financial Statement'!C20-'Historical Financial Statement'!C26)/'Historical Financial Statement'!C23</f>
        <v>5.3173039541375138</v>
      </c>
      <c r="E25" s="168">
        <f>('Historical Financial Statement'!D20-'Historical Financial Statement'!D26)/'Historical Financial Statement'!D23</f>
        <v>4.4352863933500721</v>
      </c>
      <c r="F25" s="168">
        <f>('Historical Financial Statement'!E20-'Historical Financial Statement'!E26)/'Historical Financial Statement'!E23</f>
        <v>2.7568835373205922</v>
      </c>
      <c r="G25" s="168">
        <f>('Historical Financial Statement'!F20-'Historical Financial Statement'!F26)/'Historical Financial Statement'!F23</f>
        <v>2.1154494328024094</v>
      </c>
      <c r="H25" s="168">
        <f>('Historical Financial Statement'!G20-'Historical Financial Statement'!G26)/'Historical Financial Statement'!G23</f>
        <v>0.18645156808947008</v>
      </c>
      <c r="I25" s="168">
        <f>('Historical Financial Statement'!H20-'Historical Financial Statement'!H26)/'Historical Financial Statement'!H23</f>
        <v>-0.47469326953211261</v>
      </c>
      <c r="J25" s="168">
        <f>('Historical Financial Statement'!I20-'Historical Financial Statement'!I26)/'Historical Financial Statement'!I23</f>
        <v>1.079478385658198</v>
      </c>
      <c r="K25" s="168">
        <f>('Historical Financial Statement'!J20-'Historical Financial Statement'!J26)/'Historical Financial Statement'!J23</f>
        <v>-1.2414275987824557E-2</v>
      </c>
      <c r="L25" s="168">
        <f>('Historical Financial Statement'!J20-'Historical Financial Statement'!J26)/'Historical Financial Statement'!J23</f>
        <v>-1.2414275987824557E-2</v>
      </c>
      <c r="M25" s="182"/>
      <c r="N25" s="176">
        <f t="shared" si="5"/>
        <v>1.2592534369641226</v>
      </c>
      <c r="O25" s="176">
        <f t="shared" si="6"/>
        <v>0.63296497687383402</v>
      </c>
    </row>
    <row r="26" spans="2:15" x14ac:dyDescent="0.25">
      <c r="B26" s="2"/>
    </row>
    <row r="27" spans="2:15" x14ac:dyDescent="0.25">
      <c r="B27" s="179" t="s">
        <v>277</v>
      </c>
      <c r="C27" s="162"/>
      <c r="D27" s="169">
        <f>IFERROR('Historical Financial Statement'!C8/'Historical Financial Statement'!C63,0)</f>
        <v>20.92016821419486</v>
      </c>
      <c r="E27" s="169">
        <f>IFERROR('Historical Financial Statement'!D8/'Historical Financial Statement'!D63,0)</f>
        <v>20.119918266350599</v>
      </c>
      <c r="F27" s="169">
        <f>IFERROR('Historical Financial Statement'!E8/'Historical Financial Statement'!E63,0)</f>
        <v>19.160353236640844</v>
      </c>
      <c r="G27" s="169">
        <f>IFERROR('Historical Financial Statement'!F8/'Historical Financial Statement'!F63,0)</f>
        <v>14.655712224718874</v>
      </c>
      <c r="H27" s="169">
        <f>IFERROR('Historical Financial Statement'!G8/'Historical Financial Statement'!G63,0)</f>
        <v>15.894698773489607</v>
      </c>
      <c r="I27" s="169">
        <f>IFERROR('Historical Financial Statement'!H8/'Historical Financial Statement'!H63,0)</f>
        <v>23.366617170976728</v>
      </c>
      <c r="J27" s="169">
        <f>IFERROR('Historical Financial Statement'!I8/'Historical Financial Statement'!I63,0)</f>
        <v>19.701330853658153</v>
      </c>
      <c r="K27" s="169">
        <f>IFERROR('Historical Financial Statement'!J8/'Historical Financial Statement'!J63,0)</f>
        <v>22.379917570317598</v>
      </c>
      <c r="L27" s="169">
        <f>IFERROR('Historical Financial Statement'!K8/'Historical Financial Statement'!K63,0)</f>
        <v>21.982947610142858</v>
      </c>
      <c r="M27" s="181"/>
      <c r="N27" s="169">
        <f>AVERAGE(D27:L27)</f>
        <v>19.797962657832233</v>
      </c>
      <c r="O27" s="169">
        <f>MEDIAN(D27:L27)</f>
        <v>20.119918266350599</v>
      </c>
    </row>
    <row r="28" spans="2:15" x14ac:dyDescent="0.25">
      <c r="B28" s="2" t="s">
        <v>278</v>
      </c>
      <c r="D28" s="170">
        <f>IFERROR('Historical Financial Statement'!C8/'Historical Financial Statement'!C54,0)</f>
        <v>2.4493010585757142</v>
      </c>
      <c r="E28" s="170">
        <f>IFERROR('Historical Financial Statement'!D8/'Historical Financial Statement'!D54,0)</f>
        <v>2.3769603927858673</v>
      </c>
      <c r="F28" s="170">
        <f>IFERROR('Historical Financial Statement'!E8/'Historical Financial Statement'!E54,0)</f>
        <v>1.9842807783040648</v>
      </c>
      <c r="G28" s="170">
        <f>IFERROR('Historical Financial Statement'!F8/'Historical Financial Statement'!F54,0)</f>
        <v>2.0414780318629697</v>
      </c>
      <c r="H28" s="170">
        <f>IFERROR('Historical Financial Statement'!G8/'Historical Financial Statement'!G54,0)</f>
        <v>2.1667847518227492</v>
      </c>
      <c r="I28" s="170">
        <f>IFERROR('Historical Financial Statement'!H8/'Historical Financial Statement'!H54,0)</f>
        <v>1.9602534811345065</v>
      </c>
      <c r="J28" s="170">
        <f>IFERROR('Historical Financial Statement'!I8/'Historical Financial Statement'!I54,0)</f>
        <v>1.7323684804395676</v>
      </c>
      <c r="K28" s="170">
        <f>IFERROR('Historical Financial Statement'!J8/'Historical Financial Statement'!J54,0)</f>
        <v>2.0170312149360217</v>
      </c>
      <c r="L28" s="170">
        <f>IFERROR('Historical Financial Statement'!K8/'Historical Financial Statement'!K54,0)</f>
        <v>2.2286057258733614</v>
      </c>
      <c r="N28" s="170">
        <f t="shared" ref="N28:N31" si="8">AVERAGE(D28:L28)</f>
        <v>2.1063404350816466</v>
      </c>
      <c r="O28" s="170">
        <f t="shared" ref="O28:O31" si="9">MEDIAN(D28:L28)</f>
        <v>2.0414780318629697</v>
      </c>
    </row>
    <row r="29" spans="2:15" x14ac:dyDescent="0.25">
      <c r="B29" s="2" t="s">
        <v>47</v>
      </c>
      <c r="D29" s="170">
        <f>IFERROR('Historical Financial Statement'!C8/'Historical Financial Statement'!C64,0)</f>
        <v>8.9900219797938927</v>
      </c>
      <c r="E29" s="170">
        <f>IFERROR('Historical Financial Statement'!D8/'Historical Financial Statement'!D64,0)</f>
        <v>8.3613381173839922</v>
      </c>
      <c r="F29" s="170">
        <f>IFERROR('Historical Financial Statement'!E8/'Historical Financial Statement'!E64,0)</f>
        <v>7.6867643466738649</v>
      </c>
      <c r="G29" s="170">
        <f>IFERROR('Historical Financial Statement'!F8/'Historical Financial Statement'!F64,0)</f>
        <v>6.9190051742350009</v>
      </c>
      <c r="H29" s="170">
        <f>IFERROR('Historical Financial Statement'!G8/'Historical Financial Statement'!G64,0)</f>
        <v>7.7392856309817084</v>
      </c>
      <c r="I29" s="170">
        <f>IFERROR('Historical Financial Statement'!H8/'Historical Financial Statement'!H64,0)</f>
        <v>6.9698269049637886</v>
      </c>
      <c r="J29" s="170">
        <f>IFERROR('Historical Financial Statement'!I8/'Historical Financial Statement'!I64,0)</f>
        <v>6.9217098811563442</v>
      </c>
      <c r="K29" s="170">
        <f>IFERROR('Historical Financial Statement'!J8/'Historical Financial Statement'!J64,0)</f>
        <v>7.9015588385356104</v>
      </c>
      <c r="L29" s="170">
        <f>IFERROR('Historical Financial Statement'!K8/'Historical Financial Statement'!K64,0)</f>
        <v>8.4888641723217457</v>
      </c>
      <c r="N29" s="170">
        <f t="shared" si="8"/>
        <v>7.7753750051162154</v>
      </c>
      <c r="O29" s="170">
        <f t="shared" si="9"/>
        <v>7.7392856309817084</v>
      </c>
    </row>
    <row r="30" spans="2:15" x14ac:dyDescent="0.25">
      <c r="B30" s="2" t="s">
        <v>279</v>
      </c>
      <c r="D30" s="170">
        <f>IFERROR('Historical Financial Statement'!C8/'Historical Financial Statement'!C57,0)</f>
        <v>2.9742370802544178</v>
      </c>
      <c r="E30" s="170">
        <f>IFERROR('Historical Financial Statement'!D8/'Historical Financial Statement'!D57,0)</f>
        <v>2.546312771514708</v>
      </c>
      <c r="F30" s="170">
        <f>IFERROR('Historical Financial Statement'!E8/'Historical Financial Statement'!E57,0)</f>
        <v>2.8109343484246239</v>
      </c>
      <c r="G30" s="170">
        <f>IFERROR('Historical Financial Statement'!F8/'Historical Financial Statement'!F57,0)</f>
        <v>2.4012948768781421</v>
      </c>
      <c r="H30" s="170">
        <f>IFERROR('Historical Financial Statement'!G8/'Historical Financial Statement'!G57,0)</f>
        <v>2.7144319562092578</v>
      </c>
      <c r="I30" s="170">
        <f>IFERROR('Historical Financial Statement'!H8/'Historical Financial Statement'!H57,0)</f>
        <v>2.0539205744067566</v>
      </c>
      <c r="J30" s="170">
        <f>IFERROR('Historical Financial Statement'!I8/'Historical Financial Statement'!I57,0)</f>
        <v>1.8008727134726064</v>
      </c>
      <c r="K30" s="170">
        <f>IFERROR('Historical Financial Statement'!J8/'Historical Financial Statement'!J57,0)</f>
        <v>2.0053488717943728</v>
      </c>
      <c r="L30" s="170">
        <f>IFERROR('Historical Financial Statement'!K8/'Historical Financial Statement'!K57,0)</f>
        <v>2.6193791539294131</v>
      </c>
      <c r="N30" s="170">
        <f t="shared" si="8"/>
        <v>2.4363035940982551</v>
      </c>
      <c r="O30" s="170">
        <f t="shared" si="9"/>
        <v>2.546312771514708</v>
      </c>
    </row>
    <row r="31" spans="2:15" x14ac:dyDescent="0.25">
      <c r="B31" s="180" t="s">
        <v>280</v>
      </c>
      <c r="C31" s="165"/>
      <c r="D31" s="168">
        <f>IFERROR('Historical Financial Statement'!C8/SUM('Historical Financial Statement'!C51:C52),0)</f>
        <v>4.6773906756114965</v>
      </c>
      <c r="E31" s="168">
        <f>IFERROR('Historical Financial Statement'!D8/SUM('Historical Financial Statement'!D51:D52),0)</f>
        <v>3.4583567493379874</v>
      </c>
      <c r="F31" s="168">
        <f>IFERROR('Historical Financial Statement'!E8/SUM('Historical Financial Statement'!E51:E52),0)</f>
        <v>4.6449144180459854</v>
      </c>
      <c r="G31" s="168">
        <f>IFERROR('Historical Financial Statement'!F8/SUM('Historical Financial Statement'!F51:F52),0)</f>
        <v>3.0551908765475422</v>
      </c>
      <c r="H31" s="168">
        <f>IFERROR('Historical Financial Statement'!G8/SUM('Historical Financial Statement'!G51:G52),0)</f>
        <v>5.0172915853821474</v>
      </c>
      <c r="I31" s="168">
        <f>IFERROR('Historical Financial Statement'!H8/SUM('Historical Financial Statement'!H51:H52),0)</f>
        <v>4.196490075795241</v>
      </c>
      <c r="J31" s="168">
        <f>IFERROR('Historical Financial Statement'!I8/SUM('Historical Financial Statement'!I51:I52),0)</f>
        <v>4.5214403678625628</v>
      </c>
      <c r="K31" s="168">
        <f>IFERROR('Historical Financial Statement'!J8/SUM('Historical Financial Statement'!J51:J52),0)</f>
        <v>6.2487852671963351</v>
      </c>
      <c r="L31" s="168">
        <f>IFERROR('Historical Financial Statement'!K8/SUM('Historical Financial Statement'!K51:K52),0)</f>
        <v>7.6335680916398054</v>
      </c>
      <c r="M31" s="182"/>
      <c r="N31" s="177">
        <f t="shared" si="8"/>
        <v>4.8281586786021222</v>
      </c>
      <c r="O31" s="177">
        <f t="shared" si="9"/>
        <v>4.6449144180459854</v>
      </c>
    </row>
    <row r="32" spans="2:15" x14ac:dyDescent="0.25">
      <c r="B32" s="2"/>
    </row>
    <row r="33" spans="2:15" x14ac:dyDescent="0.25">
      <c r="B33" s="179" t="s">
        <v>46</v>
      </c>
      <c r="C33" s="162"/>
      <c r="D33" s="172">
        <f>IFERROR(365/D27,0)</f>
        <v>17.447278447423685</v>
      </c>
      <c r="E33" s="172">
        <f t="shared" ref="E33:L33" si="10">IFERROR(365/E27,0)</f>
        <v>18.141226776772818</v>
      </c>
      <c r="F33" s="172">
        <f t="shared" si="10"/>
        <v>19.049753180019717</v>
      </c>
      <c r="G33" s="172">
        <f t="shared" si="10"/>
        <v>24.904964999543136</v>
      </c>
      <c r="H33" s="172">
        <f t="shared" si="10"/>
        <v>22.963631157878556</v>
      </c>
      <c r="I33" s="172">
        <f t="shared" si="10"/>
        <v>15.620575170519771</v>
      </c>
      <c r="J33" s="172">
        <f t="shared" si="10"/>
        <v>18.52666719376608</v>
      </c>
      <c r="K33" s="172">
        <f t="shared" si="10"/>
        <v>16.309264717046954</v>
      </c>
      <c r="L33" s="172">
        <f t="shared" si="10"/>
        <v>16.603778823163378</v>
      </c>
      <c r="M33" s="181"/>
      <c r="N33" s="171">
        <f>AVERAGE(D33:L33)</f>
        <v>18.840793385126009</v>
      </c>
      <c r="O33" s="171">
        <f>MEDIAN(D33:L33)</f>
        <v>18.141226776772818</v>
      </c>
    </row>
    <row r="34" spans="2:15" x14ac:dyDescent="0.25">
      <c r="B34" s="2" t="s">
        <v>281</v>
      </c>
      <c r="D34" s="173">
        <f>IFERROR(365/D28,0)</f>
        <v>149.02210519283818</v>
      </c>
      <c r="E34" s="173">
        <f t="shared" ref="E34:L34" si="11">IFERROR(365/E28,0)</f>
        <v>153.55745981623585</v>
      </c>
      <c r="F34" s="173">
        <f t="shared" si="11"/>
        <v>183.94574194885871</v>
      </c>
      <c r="G34" s="173">
        <f t="shared" si="11"/>
        <v>178.79202925682029</v>
      </c>
      <c r="H34" s="173">
        <f t="shared" si="11"/>
        <v>168.45235766633192</v>
      </c>
      <c r="I34" s="173">
        <f t="shared" si="11"/>
        <v>186.20040903524091</v>
      </c>
      <c r="J34" s="173">
        <f t="shared" si="11"/>
        <v>210.69420514242194</v>
      </c>
      <c r="K34" s="173">
        <f t="shared" si="11"/>
        <v>180.95902398395825</v>
      </c>
      <c r="L34" s="173">
        <f t="shared" si="11"/>
        <v>163.77953074537726</v>
      </c>
      <c r="N34" s="175">
        <f t="shared" ref="N34:N36" si="12">AVERAGE(D34:L34)</f>
        <v>175.04476253200926</v>
      </c>
      <c r="O34" s="175">
        <f t="shared" ref="O34:O36" si="13">MEDIAN(D34:L34)</f>
        <v>178.79202925682029</v>
      </c>
    </row>
    <row r="35" spans="2:15" x14ac:dyDescent="0.25">
      <c r="B35" s="2" t="s">
        <v>282</v>
      </c>
      <c r="D35" s="173">
        <f>IFERROR(365/D29,0)</f>
        <v>40.600568143256986</v>
      </c>
      <c r="E35" s="173">
        <f t="shared" ref="E35:L35" si="14">IFERROR(365/E29,0)</f>
        <v>43.653299851746382</v>
      </c>
      <c r="F35" s="173">
        <f t="shared" si="14"/>
        <v>47.484218786795374</v>
      </c>
      <c r="G35" s="173">
        <f t="shared" si="14"/>
        <v>52.753248596949661</v>
      </c>
      <c r="H35" s="173">
        <f t="shared" si="14"/>
        <v>47.161975588398164</v>
      </c>
      <c r="I35" s="173">
        <f t="shared" si="14"/>
        <v>52.368588915752468</v>
      </c>
      <c r="J35" s="173">
        <f t="shared" si="14"/>
        <v>52.732634893247351</v>
      </c>
      <c r="K35" s="173">
        <f t="shared" si="14"/>
        <v>46.193416698982041</v>
      </c>
      <c r="L35" s="173">
        <f t="shared" si="14"/>
        <v>42.997507392107408</v>
      </c>
      <c r="N35" s="175">
        <f t="shared" si="12"/>
        <v>47.327273207470647</v>
      </c>
      <c r="O35" s="175">
        <f t="shared" si="13"/>
        <v>47.161975588398164</v>
      </c>
    </row>
    <row r="36" spans="2:15" x14ac:dyDescent="0.25">
      <c r="B36" s="180" t="s">
        <v>283</v>
      </c>
      <c r="C36" s="165"/>
      <c r="D36" s="174">
        <f>SUM(D33,D35)-D34</f>
        <v>-90.974258602157505</v>
      </c>
      <c r="E36" s="174">
        <f t="shared" ref="E36:K36" si="15">SUM(E33,E35)-E34</f>
        <v>-91.762933187716641</v>
      </c>
      <c r="F36" s="174">
        <f t="shared" si="15"/>
        <v>-117.41176998204362</v>
      </c>
      <c r="G36" s="174">
        <f t="shared" si="15"/>
        <v>-101.13381566032749</v>
      </c>
      <c r="H36" s="174">
        <f t="shared" si="15"/>
        <v>-98.326750920055204</v>
      </c>
      <c r="I36" s="174">
        <f t="shared" si="15"/>
        <v>-118.21124494896867</v>
      </c>
      <c r="J36" s="174">
        <f t="shared" si="15"/>
        <v>-139.43490305540851</v>
      </c>
      <c r="K36" s="174">
        <f t="shared" si="15"/>
        <v>-118.45634256792925</v>
      </c>
      <c r="L36" s="174">
        <f>SUM(L33,L35)-L34</f>
        <v>-104.17824453010647</v>
      </c>
      <c r="M36" s="182"/>
      <c r="N36" s="178">
        <f t="shared" si="12"/>
        <v>-108.8766959394126</v>
      </c>
      <c r="O36" s="178">
        <f t="shared" si="13"/>
        <v>-104.17824453010647</v>
      </c>
    </row>
    <row r="37" spans="2:15" x14ac:dyDescent="0.25">
      <c r="B37" s="2"/>
    </row>
    <row r="38" spans="2:15" x14ac:dyDescent="0.25">
      <c r="B38" s="179" t="s">
        <v>284</v>
      </c>
      <c r="C38" s="162"/>
      <c r="D38" s="163">
        <f>IFERROR('Data Sheet'!C82/'Historical Financial Statement'!C8,0)</f>
        <v>0.13501823118481462</v>
      </c>
      <c r="E38" s="163">
        <f>IFERROR('Data Sheet'!D82/'Historical Financial Statement'!D8,0)</f>
        <v>0.13880296917437968</v>
      </c>
      <c r="F38" s="163">
        <f>IFERROR('Data Sheet'!E82/'Historical Financial Statement'!E8,0)</f>
        <v>0.11197659883101685</v>
      </c>
      <c r="G38" s="163">
        <f>IFERROR('Data Sheet'!F82/'Historical Financial Statement'!F8,0)</f>
        <v>8.1829465689783804E-2</v>
      </c>
      <c r="H38" s="163">
        <f>IFERROR('Data Sheet'!G82/'Historical Financial Statement'!G8,0)</f>
        <v>6.2564913902968283E-2</v>
      </c>
      <c r="I38" s="163">
        <f>IFERROR('Data Sheet'!H82/'Historical Financial Statement'!H8,0)</f>
        <v>0.10201534872316967</v>
      </c>
      <c r="J38" s="163">
        <f>IFERROR('Data Sheet'!I82/'Historical Financial Statement'!I8,0)</f>
        <v>0.11609735592921788</v>
      </c>
      <c r="K38" s="163">
        <f>IFERROR('Data Sheet'!J82/'Historical Financial Statement'!J8,0)</f>
        <v>5.1293389541856201E-2</v>
      </c>
      <c r="L38" s="163">
        <f>IFERROR('Data Sheet'!K82/'Historical Financial Statement'!K8,0)</f>
        <v>0.1022872501383586</v>
      </c>
      <c r="M38" s="181"/>
      <c r="N38" s="163">
        <f>AVERAGE(D38:L38)</f>
        <v>0.10020950256839617</v>
      </c>
      <c r="O38" s="163">
        <f>MEDIAN(D38:L38)</f>
        <v>0.1022872501383586</v>
      </c>
    </row>
    <row r="39" spans="2:15" x14ac:dyDescent="0.25">
      <c r="B39" s="2" t="s">
        <v>285</v>
      </c>
      <c r="D39" s="164">
        <f>IFERROR('Data Sheet'!C82/'Historical Financial Statement'!C68,0)</f>
        <v>0.14972206325615023</v>
      </c>
      <c r="E39" s="164">
        <f>IFERROR('Data Sheet'!D82/'Historical Financial Statement'!D68,0)</f>
        <v>0.14400390114722728</v>
      </c>
      <c r="F39" s="164">
        <f>IFERROR('Data Sheet'!E82/'Historical Financial Statement'!E68,0)</f>
        <v>0.11079026383265471</v>
      </c>
      <c r="G39" s="164">
        <f>IFERROR('Data Sheet'!F82/'Historical Financial Statement'!F68,0)</f>
        <v>7.2915700426609081E-2</v>
      </c>
      <c r="H39" s="164">
        <f>IFERROR('Data Sheet'!G82/'Historical Financial Statement'!G68,0)</f>
        <v>6.1794355046453676E-2</v>
      </c>
      <c r="I39" s="164">
        <f>IFERROR('Data Sheet'!H82/'Historical Financial Statement'!H68,0)</f>
        <v>8.3181306579414735E-2</v>
      </c>
      <c r="J39" s="164">
        <f>IFERROR('Data Sheet'!I82/'Historical Financial Statement'!I68,0)</f>
        <v>8.4903585330452558E-2</v>
      </c>
      <c r="K39" s="164">
        <f>IFERROR('Data Sheet'!J82/'Historical Financial Statement'!J68,0)</f>
        <v>4.3404744809245228E-2</v>
      </c>
      <c r="L39" s="164">
        <f>IFERROR('Data Sheet'!K82/'Historical Financial Statement'!K68,0)</f>
        <v>0.10573861289612117</v>
      </c>
      <c r="N39" s="164">
        <f t="shared" ref="N39:N40" si="16">AVERAGE(D39:L39)</f>
        <v>9.5161614813814299E-2</v>
      </c>
      <c r="O39" s="164">
        <f t="shared" ref="O39:O40" si="17">MEDIAN(D39:L39)</f>
        <v>8.4903585330452558E-2</v>
      </c>
    </row>
    <row r="40" spans="2:15" x14ac:dyDescent="0.25">
      <c r="B40" s="180" t="s">
        <v>286</v>
      </c>
      <c r="C40" s="165"/>
      <c r="D40" s="166">
        <f>IFERROR('Data Sheet'!C82/'Historical Financial Statement'!C53,0)</f>
        <v>0.48269354366958256</v>
      </c>
      <c r="E40" s="166">
        <f>IFERROR('Data Sheet'!D82/'Historical Financial Statement'!D53,0)</f>
        <v>0.54641813518923599</v>
      </c>
      <c r="F40" s="166">
        <f>IFERROR('Data Sheet'!E82/'Historical Financial Statement'!E53,0)</f>
        <v>0.38419492244540293</v>
      </c>
      <c r="G40" s="166">
        <f>IFERROR('Data Sheet'!F82/'Historical Financial Statement'!F53,0)</f>
        <v>0.26821016235214945</v>
      </c>
      <c r="H40" s="166">
        <f>IFERROR('Data Sheet'!G82/'Historical Financial Statement'!G53,0)</f>
        <v>0.17792031558363741</v>
      </c>
      <c r="I40" s="166">
        <f>IFERROR('Data Sheet'!H82/'Historical Financial Statement'!H53,0)</f>
        <v>0.21342610534184314</v>
      </c>
      <c r="J40" s="166">
        <f>IFERROR('Data Sheet'!I82/'Historical Financial Statement'!I53,0)</f>
        <v>0.20404132622559662</v>
      </c>
      <c r="K40" s="166">
        <f>IFERROR('Data Sheet'!J82/'Historical Financial Statement'!J53,0)</f>
        <v>9.7527651770721868E-2</v>
      </c>
      <c r="L40" s="166">
        <f>IFERROR('Data Sheet'!K82/'Historical Financial Statement'!K53,0)</f>
        <v>0.26386624636576322</v>
      </c>
      <c r="M40" s="182"/>
      <c r="N40" s="176">
        <f t="shared" si="16"/>
        <v>0.29314426766043694</v>
      </c>
      <c r="O40" s="176">
        <f t="shared" si="17"/>
        <v>0.26386624636576322</v>
      </c>
    </row>
  </sheetData>
  <mergeCells count="1">
    <mergeCell ref="B2:O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CC8763A3-1A27-4B28-A4FC-04E3983A1B5C}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Analysis'!D11:L11</xm:f>
              <xm:sqref>M11</xm:sqref>
            </x14:sparkline>
            <x14:sparkline>
              <xm:f>'Ratio Analysis'!D12:L12</xm:f>
              <xm:sqref>M12</xm:sqref>
            </x14:sparkline>
            <x14:sparkline>
              <xm:f>'Ratio Analysis'!D13:L13</xm:f>
              <xm:sqref>M13</xm:sqref>
            </x14:sparkline>
            <x14:sparkline>
              <xm:f>'Ratio Analysis'!D14:L14</xm:f>
              <xm:sqref>M14</xm:sqref>
            </x14:sparkline>
            <x14:sparkline>
              <xm:f>'Ratio Analysis'!D15:L15</xm:f>
              <xm:sqref>M15</xm:sqref>
            </x14:sparkline>
            <x14:sparkline>
              <xm:f>'Ratio Analysis'!D16:L16</xm:f>
              <xm:sqref>M16</xm:sqref>
            </x14:sparkline>
            <x14:sparkline>
              <xm:f>'Ratio Analysis'!D17:L17</xm:f>
              <xm:sqref>M17</xm:sqref>
            </x14:sparkline>
            <x14:sparkline>
              <xm:f>'Ratio Analysis'!D18:L18</xm:f>
              <xm:sqref>M18</xm:sqref>
            </x14:sparkline>
            <x14:sparkline>
              <xm:f>'Ratio Analysis'!D19:L19</xm:f>
              <xm:sqref>M19</xm:sqref>
            </x14:sparkline>
            <x14:sparkline>
              <xm:f>'Ratio Analysis'!D20:L20</xm:f>
              <xm:sqref>M20</xm:sqref>
            </x14:sparkline>
            <x14:sparkline>
              <xm:f>'Ratio Analysis'!D21:L21</xm:f>
              <xm:sqref>M21</xm:sqref>
            </x14:sparkline>
            <x14:sparkline>
              <xm:f>'Ratio Analysis'!D22:L22</xm:f>
              <xm:sqref>M22</xm:sqref>
            </x14:sparkline>
            <x14:sparkline>
              <xm:f>'Ratio Analysis'!D23:L23</xm:f>
              <xm:sqref>M23</xm:sqref>
            </x14:sparkline>
            <x14:sparkline>
              <xm:f>'Ratio Analysis'!D24:L24</xm:f>
              <xm:sqref>M24</xm:sqref>
            </x14:sparkline>
            <x14:sparkline>
              <xm:f>'Ratio Analysis'!D25:L25</xm:f>
              <xm:sqref>M25</xm:sqref>
            </x14:sparkline>
            <x14:sparkline>
              <xm:f>'Ratio Analysis'!D26:L26</xm:f>
              <xm:sqref>M26</xm:sqref>
            </x14:sparkline>
            <x14:sparkline>
              <xm:f>'Ratio Analysis'!D27:L27</xm:f>
              <xm:sqref>M27</xm:sqref>
            </x14:sparkline>
            <x14:sparkline>
              <xm:f>'Ratio Analysis'!D28:L28</xm:f>
              <xm:sqref>M28</xm:sqref>
            </x14:sparkline>
            <x14:sparkline>
              <xm:f>'Ratio Analysis'!D29:L29</xm:f>
              <xm:sqref>M29</xm:sqref>
            </x14:sparkline>
            <x14:sparkline>
              <xm:f>'Ratio Analysis'!D30:L30</xm:f>
              <xm:sqref>M30</xm:sqref>
            </x14:sparkline>
            <x14:sparkline>
              <xm:f>'Ratio Analysis'!D31:L31</xm:f>
              <xm:sqref>M31</xm:sqref>
            </x14:sparkline>
            <x14:sparkline>
              <xm:f>'Ratio Analysis'!D32:L32</xm:f>
              <xm:sqref>M32</xm:sqref>
            </x14:sparkline>
            <x14:sparkline>
              <xm:f>'Ratio Analysis'!D33:L33</xm:f>
              <xm:sqref>M33</xm:sqref>
            </x14:sparkline>
            <x14:sparkline>
              <xm:f>'Ratio Analysis'!D34:L34</xm:f>
              <xm:sqref>M34</xm:sqref>
            </x14:sparkline>
            <x14:sparkline>
              <xm:f>'Ratio Analysis'!D35:L35</xm:f>
              <xm:sqref>M35</xm:sqref>
            </x14:sparkline>
            <x14:sparkline>
              <xm:f>'Ratio Analysis'!D36:L36</xm:f>
              <xm:sqref>M36</xm:sqref>
            </x14:sparkline>
            <x14:sparkline>
              <xm:f>'Ratio Analysis'!D37:L37</xm:f>
              <xm:sqref>M37</xm:sqref>
            </x14:sparkline>
            <x14:sparkline>
              <xm:f>'Ratio Analysis'!D38:L38</xm:f>
              <xm:sqref>M38</xm:sqref>
            </x14:sparkline>
            <x14:sparkline>
              <xm:f>'Ratio Analysis'!D39:L39</xm:f>
              <xm:sqref>M39</xm:sqref>
            </x14:sparkline>
            <x14:sparkline>
              <xm:f>'Ratio Analysis'!D40:L40</xm:f>
              <xm:sqref>M40</xm:sqref>
            </x14:sparkline>
          </x14:sparklines>
        </x14:sparklineGroup>
        <x14:sparklineGroup displayEmptyCellsAs="gap" markers="1" xr2:uid="{7777792C-1D50-40F3-AB43-91DAA4A2F01C}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Analysis'!D5:L5</xm:f>
              <xm:sqref>M5</xm:sqref>
            </x14:sparkline>
            <x14:sparkline>
              <xm:f>'Ratio Analysis'!D6:L6</xm:f>
              <xm:sqref>M6</xm:sqref>
            </x14:sparkline>
            <x14:sparkline>
              <xm:f>'Ratio Analysis'!D7:L7</xm:f>
              <xm:sqref>M7</xm:sqref>
            </x14:sparkline>
            <x14:sparkline>
              <xm:f>'Ratio Analysis'!D8:L8</xm:f>
              <xm:sqref>M8</xm:sqref>
            </x14:sparkline>
            <x14:sparkline>
              <xm:f>'Ratio Analysis'!D9:L9</xm:f>
              <xm:sqref>M9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5A30-6A2F-4253-A7E1-DE266E694F10}">
  <sheetPr>
    <tabColor theme="8" tint="-0.499984740745262"/>
  </sheetPr>
  <dimension ref="A2:O45"/>
  <sheetViews>
    <sheetView showGridLines="0" zoomScale="85" zoomScaleNormal="85" workbookViewId="0">
      <selection activeCell="D11" sqref="D11"/>
    </sheetView>
  </sheetViews>
  <sheetFormatPr defaultRowHeight="15" outlineLevelRow="1" x14ac:dyDescent="0.25"/>
  <cols>
    <col min="1" max="1" width="2.28515625" customWidth="1"/>
    <col min="2" max="2" width="31.42578125" customWidth="1"/>
    <col min="3" max="3" width="5.85546875" customWidth="1"/>
    <col min="4" max="12" width="12.7109375" customWidth="1"/>
  </cols>
  <sheetData>
    <row r="2" spans="1:15" x14ac:dyDescent="0.25">
      <c r="A2" s="59"/>
      <c r="B2" s="60"/>
      <c r="C2" s="60"/>
      <c r="D2" s="60"/>
      <c r="E2" s="60"/>
    </row>
    <row r="3" spans="1:15" x14ac:dyDescent="0.25">
      <c r="A3" s="59"/>
      <c r="B3" s="195" t="s">
        <v>153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6" t="e" vm="1">
        <v>#VALUE!</v>
      </c>
      <c r="N3" s="196"/>
      <c r="O3" s="196"/>
    </row>
    <row r="4" spans="1:15" x14ac:dyDescent="0.25">
      <c r="A4" s="59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6"/>
      <c r="N4" s="196"/>
      <c r="O4" s="196"/>
    </row>
    <row r="5" spans="1:15" x14ac:dyDescent="0.25"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6"/>
      <c r="N5" s="196"/>
      <c r="O5" s="196"/>
    </row>
    <row r="6" spans="1:15" ht="15.75" x14ac:dyDescent="0.25">
      <c r="B6" s="194" t="str">
        <f>"Common Size - Income Statement"&amp;" - "&amp;'Profit &amp; Loss'!A1</f>
        <v>Common Size - Income Statement - TATA MOTORS LTD</v>
      </c>
      <c r="C6" s="194"/>
      <c r="D6" s="194"/>
      <c r="E6" s="194"/>
      <c r="F6" s="194"/>
      <c r="G6" s="61"/>
      <c r="H6" s="61"/>
      <c r="I6" s="61"/>
      <c r="J6" s="62"/>
      <c r="K6" s="61"/>
      <c r="L6" s="61"/>
      <c r="M6" s="196"/>
      <c r="N6" s="196"/>
      <c r="O6" s="196"/>
    </row>
    <row r="7" spans="1:15" x14ac:dyDescent="0.25">
      <c r="E7" s="63"/>
      <c r="J7" s="63"/>
    </row>
    <row r="8" spans="1:15" ht="15.75" x14ac:dyDescent="0.25">
      <c r="B8" s="87" t="s">
        <v>148</v>
      </c>
      <c r="C8" s="88"/>
      <c r="D8" s="89">
        <f>'Data Sheet'!C16</f>
        <v>42094</v>
      </c>
      <c r="E8" s="89">
        <f>'Data Sheet'!D16</f>
        <v>42460</v>
      </c>
      <c r="F8" s="89">
        <f>'Data Sheet'!E16</f>
        <v>42825</v>
      </c>
      <c r="G8" s="89">
        <f>'Data Sheet'!F16</f>
        <v>43190</v>
      </c>
      <c r="H8" s="89">
        <f>'Data Sheet'!G16</f>
        <v>43555</v>
      </c>
      <c r="I8" s="89">
        <f>'Data Sheet'!H16</f>
        <v>43921</v>
      </c>
      <c r="J8" s="89">
        <f>'Data Sheet'!I16</f>
        <v>44286</v>
      </c>
      <c r="K8" s="89">
        <f>'Data Sheet'!J16</f>
        <v>44651</v>
      </c>
      <c r="L8" s="89">
        <f>'Data Sheet'!K16</f>
        <v>45016</v>
      </c>
    </row>
    <row r="9" spans="1:15" outlineLevel="1" x14ac:dyDescent="0.25">
      <c r="E9" s="63"/>
      <c r="J9" s="63"/>
    </row>
    <row r="10" spans="1:15" outlineLevel="1" x14ac:dyDescent="0.25">
      <c r="B10" s="64" t="str">
        <f>'Data Sheet'!A17</f>
        <v>Sales</v>
      </c>
      <c r="D10" s="63">
        <f>'Data Sheet'!C17/'Data Sheet'!C$17</f>
        <v>1</v>
      </c>
      <c r="E10" s="63">
        <f>'Data Sheet'!D17/'Data Sheet'!D$17</f>
        <v>1</v>
      </c>
      <c r="F10" s="63">
        <f>'Data Sheet'!E17/'Data Sheet'!E$17</f>
        <v>1</v>
      </c>
      <c r="G10" s="63">
        <f>'Data Sheet'!F17/'Data Sheet'!F$17</f>
        <v>1</v>
      </c>
      <c r="H10" s="63">
        <f>'Data Sheet'!G17/'Data Sheet'!G$17</f>
        <v>1</v>
      </c>
      <c r="I10" s="63">
        <f>'Data Sheet'!H17/'Data Sheet'!H$17</f>
        <v>1</v>
      </c>
      <c r="J10" s="63">
        <f>'Data Sheet'!I17/'Data Sheet'!I$17</f>
        <v>1</v>
      </c>
      <c r="K10" s="63">
        <f>'Data Sheet'!J17/'Data Sheet'!J$17</f>
        <v>1</v>
      </c>
      <c r="L10" s="63">
        <f>'Data Sheet'!K17/'Data Sheet'!K$17</f>
        <v>1</v>
      </c>
      <c r="M10" s="2"/>
    </row>
    <row r="11" spans="1:15" outlineLevel="1" x14ac:dyDescent="0.25">
      <c r="B11" s="64" t="str">
        <f>'Data Sheet'!A18</f>
        <v>Raw Material Cost</v>
      </c>
      <c r="D11" s="63">
        <f>'Data Sheet'!C18/'Data Sheet'!C$17</f>
        <v>0.62034880968150885</v>
      </c>
      <c r="E11" s="63">
        <f>'Data Sheet'!D18/'Data Sheet'!D$17</f>
        <v>0.60844785632875986</v>
      </c>
      <c r="F11" s="63">
        <f>'Data Sheet'!E18/'Data Sheet'!E$17</f>
        <v>0.64256170851760019</v>
      </c>
      <c r="G11" s="63">
        <f>'Data Sheet'!F18/'Data Sheet'!F$17</f>
        <v>0.6444735745247272</v>
      </c>
      <c r="H11" s="63">
        <f>'Data Sheet'!G18/'Data Sheet'!G$17</f>
        <v>0.64340246222408271</v>
      </c>
      <c r="I11" s="63">
        <f>'Data Sheet'!H18/'Data Sheet'!H$17</f>
        <v>0.63163558516963991</v>
      </c>
      <c r="J11" s="63">
        <f>'Data Sheet'!I18/'Data Sheet'!I$17</f>
        <v>0.6149343010611712</v>
      </c>
      <c r="K11" s="63">
        <f>'Data Sheet'!J18/'Data Sheet'!J$17</f>
        <v>0.64389656704768283</v>
      </c>
      <c r="L11" s="63">
        <f>'Data Sheet'!K18/'Data Sheet'!K$17</f>
        <v>0.66842005177546293</v>
      </c>
    </row>
    <row r="12" spans="1:15" outlineLevel="1" x14ac:dyDescent="0.25">
      <c r="B12" s="64" t="str">
        <f>'Data Sheet'!A19</f>
        <v>Change in Inventory</v>
      </c>
      <c r="D12" s="63">
        <f>'Data Sheet'!C19/'Data Sheet'!C$17</f>
        <v>1.2655277809634314E-2</v>
      </c>
      <c r="E12" s="63">
        <f>'Data Sheet'!D19/'Data Sheet'!D$17</f>
        <v>1.0075203555743071E-2</v>
      </c>
      <c r="F12" s="63">
        <f>'Data Sheet'!E19/'Data Sheet'!E$17</f>
        <v>2.7438359337454348E-2</v>
      </c>
      <c r="G12" s="63">
        <f>'Data Sheet'!F19/'Data Sheet'!F$17</f>
        <v>7.0196420187680708E-3</v>
      </c>
      <c r="H12" s="63">
        <f>'Data Sheet'!G19/'Data Sheet'!G$17</f>
        <v>-6.8003274840166073E-3</v>
      </c>
      <c r="I12" s="63">
        <f>'Data Sheet'!H19/'Data Sheet'!H$17</f>
        <v>-8.5463950250197294E-3</v>
      </c>
      <c r="J12" s="63">
        <f>'Data Sheet'!I19/'Data Sheet'!I$17</f>
        <v>-1.8752035421080705E-2</v>
      </c>
      <c r="K12" s="63">
        <f>'Data Sheet'!J19/'Data Sheet'!J$17</f>
        <v>-5.7118668451859233E-3</v>
      </c>
      <c r="L12" s="63">
        <f>'Data Sheet'!K19/'Data Sheet'!K$17</f>
        <v>1.3821030371772196E-2</v>
      </c>
    </row>
    <row r="13" spans="1:15" outlineLevel="1" x14ac:dyDescent="0.25">
      <c r="B13" s="64" t="str">
        <f>'Data Sheet'!A20</f>
        <v>Power and Fuel</v>
      </c>
      <c r="D13" s="63">
        <f>'Data Sheet'!C20/'Data Sheet'!C$17</f>
        <v>4.2626324209038965E-3</v>
      </c>
      <c r="E13" s="63">
        <f>'Data Sheet'!D20/'Data Sheet'!D$17</f>
        <v>4.1884212746881849E-3</v>
      </c>
      <c r="F13" s="63">
        <f>'Data Sheet'!E20/'Data Sheet'!E$17</f>
        <v>4.3005272931013168E-3</v>
      </c>
      <c r="G13" s="63">
        <f>'Data Sheet'!F20/'Data Sheet'!F$17</f>
        <v>4.4866329837632236E-3</v>
      </c>
      <c r="H13" s="63">
        <f>'Data Sheet'!G20/'Data Sheet'!G$17</f>
        <v>5.252495210943689E-3</v>
      </c>
      <c r="I13" s="63">
        <f>'Data Sheet'!H20/'Data Sheet'!H$17</f>
        <v>4.8452899066859867E-3</v>
      </c>
      <c r="J13" s="63">
        <f>'Data Sheet'!I20/'Data Sheet'!I$17</f>
        <v>4.4551376680254488E-3</v>
      </c>
      <c r="K13" s="63">
        <f>'Data Sheet'!J20/'Data Sheet'!J$17</f>
        <v>7.8228108508698862E-3</v>
      </c>
      <c r="L13" s="63">
        <f>'Data Sheet'!K20/'Data Sheet'!K$17</f>
        <v>7.2646530389880865E-3</v>
      </c>
    </row>
    <row r="14" spans="1:15" outlineLevel="1" x14ac:dyDescent="0.25">
      <c r="B14" s="64" t="str">
        <f>'Data Sheet'!A21</f>
        <v>Other Mfr. Exp</v>
      </c>
      <c r="D14" s="63">
        <f>'Data Sheet'!C21/'Data Sheet'!C$17</f>
        <v>6.1457792548063536E-2</v>
      </c>
      <c r="E14" s="63">
        <f>'Data Sheet'!D21/'Data Sheet'!D$17</f>
        <v>4.4320545725695638E-2</v>
      </c>
      <c r="F14" s="63">
        <f>'Data Sheet'!E21/'Data Sheet'!E$17</f>
        <v>3.7329067833585743E-2</v>
      </c>
      <c r="G14" s="63">
        <f>'Data Sheet'!F21/'Data Sheet'!F$17</f>
        <v>3.7632110912662539E-2</v>
      </c>
      <c r="H14" s="63">
        <f>'Data Sheet'!G21/'Data Sheet'!G$17</f>
        <v>3.8731542592793759E-2</v>
      </c>
      <c r="I14" s="63">
        <f>'Data Sheet'!H21/'Data Sheet'!H$17</f>
        <v>4.4208831899217663E-2</v>
      </c>
      <c r="J14" s="63">
        <f>'Data Sheet'!I21/'Data Sheet'!I$17</f>
        <v>3.3119871414431248E-2</v>
      </c>
      <c r="K14" s="63">
        <f>'Data Sheet'!J21/'Data Sheet'!J$17</f>
        <v>3.3856194794666339E-2</v>
      </c>
      <c r="L14" s="63">
        <f>'Data Sheet'!K21/'Data Sheet'!K$17</f>
        <v>3.4008940217616732E-2</v>
      </c>
    </row>
    <row r="15" spans="1:15" outlineLevel="1" x14ac:dyDescent="0.25">
      <c r="B15" s="64" t="str">
        <f>'Data Sheet'!A22</f>
        <v>Employee Cost</v>
      </c>
      <c r="D15" s="63">
        <f>'Data Sheet'!C22/'Data Sheet'!C$17</f>
        <v>9.7439008161530352E-2</v>
      </c>
      <c r="E15" s="63">
        <f>'Data Sheet'!D22/'Data Sheet'!D$17</f>
        <v>0.10577313825968997</v>
      </c>
      <c r="F15" s="63">
        <f>'Data Sheet'!E22/'Data Sheet'!E$17</f>
        <v>0.10505627316086753</v>
      </c>
      <c r="G15" s="63">
        <f>'Data Sheet'!F22/'Data Sheet'!F$17</f>
        <v>0.10392742279141506</v>
      </c>
      <c r="H15" s="63">
        <f>'Data Sheet'!G22/'Data Sheet'!G$17</f>
        <v>0.11010149752399827</v>
      </c>
      <c r="I15" s="63">
        <f>'Data Sheet'!H22/'Data Sheet'!H$17</f>
        <v>0.11659262528451882</v>
      </c>
      <c r="J15" s="63">
        <f>'Data Sheet'!I22/'Data Sheet'!I$17</f>
        <v>0.11068479221440802</v>
      </c>
      <c r="K15" s="63">
        <f>'Data Sheet'!J22/'Data Sheet'!J$17</f>
        <v>0.11064147774412127</v>
      </c>
      <c r="L15" s="63">
        <f>'Data Sheet'!K22/'Data Sheet'!K$17</f>
        <v>9.7277205393335675E-2</v>
      </c>
    </row>
    <row r="16" spans="1:15" outlineLevel="1" x14ac:dyDescent="0.25">
      <c r="B16" s="64" t="str">
        <f>'Data Sheet'!A23</f>
        <v>Selling and admin</v>
      </c>
      <c r="D16" s="63">
        <f>'Data Sheet'!C23/'Data Sheet'!C$17</f>
        <v>8.96910681140351E-2</v>
      </c>
      <c r="E16" s="63">
        <f>'Data Sheet'!D23/'Data Sheet'!D$17</f>
        <v>8.0542956927341092E-2</v>
      </c>
      <c r="F16" s="63">
        <f>'Data Sheet'!E23/'Data Sheet'!E$17</f>
        <v>0.1113838126242364</v>
      </c>
      <c r="G16" s="63">
        <f>'Data Sheet'!F23/'Data Sheet'!F$17</f>
        <v>0.10634377964323709</v>
      </c>
      <c r="H16" s="63">
        <f>'Data Sheet'!G23/'Data Sheet'!G$17</f>
        <v>0.1083658123643763</v>
      </c>
      <c r="I16" s="63">
        <f>'Data Sheet'!H23/'Data Sheet'!H$17</f>
        <v>0.11203335284677013</v>
      </c>
      <c r="J16" s="63">
        <f>'Data Sheet'!I23/'Data Sheet'!I$17</f>
        <v>9.2138805959692913E-2</v>
      </c>
      <c r="K16" s="63">
        <f>'Data Sheet'!J23/'Data Sheet'!J$17</f>
        <v>0.10488425325553319</v>
      </c>
      <c r="L16" s="63">
        <f>'Data Sheet'!K23/'Data Sheet'!K$17</f>
        <v>0.10070091373173573</v>
      </c>
    </row>
    <row r="17" spans="2:12" outlineLevel="1" x14ac:dyDescent="0.25">
      <c r="B17" s="64" t="str">
        <f>'Data Sheet'!A24</f>
        <v>Other Expenses</v>
      </c>
      <c r="D17" s="63">
        <f>'Data Sheet'!C24/'Data Sheet'!C$17</f>
        <v>-9.6502882022114541E-3</v>
      </c>
      <c r="E17" s="63">
        <f>'Data Sheet'!D24/'Data Sheet'!D$17</f>
        <v>2.6183831565130516E-2</v>
      </c>
      <c r="F17" s="63">
        <f>'Data Sheet'!E24/'Data Sheet'!E$17</f>
        <v>1.7094282670289951E-2</v>
      </c>
      <c r="G17" s="63">
        <f>'Data Sheet'!F24/'Data Sheet'!F$17</f>
        <v>2.2582367211331639E-3</v>
      </c>
      <c r="H17" s="63">
        <f>'Data Sheet'!G24/'Data Sheet'!G$17</f>
        <v>5.6592338039812094E-3</v>
      </c>
      <c r="I17" s="63">
        <f>'Data Sheet'!H24/'Data Sheet'!H$17</f>
        <v>1.3239885383105405E-2</v>
      </c>
      <c r="J17" s="63">
        <f>'Data Sheet'!I24/'Data Sheet'!I$17</f>
        <v>-3.3407827826645677E-3</v>
      </c>
      <c r="K17" s="63">
        <f>'Data Sheet'!J24/'Data Sheet'!J$17</f>
        <v>4.4105011096641517E-3</v>
      </c>
      <c r="L17" s="63">
        <f>'Data Sheet'!K24/'Data Sheet'!K$17</f>
        <v>1.4187308112100993E-2</v>
      </c>
    </row>
    <row r="18" spans="2:12" outlineLevel="1" x14ac:dyDescent="0.25">
      <c r="B18" s="64" t="str">
        <f>'Data Sheet'!A25</f>
        <v>Other Income</v>
      </c>
      <c r="D18" s="63">
        <f>'Data Sheet'!C25/'Data Sheet'!C$17</f>
        <v>2.7133028103392101E-3</v>
      </c>
      <c r="E18" s="63">
        <f>'Data Sheet'!D25/'Data Sheet'!D$17</f>
        <v>-9.7771947249836663E-3</v>
      </c>
      <c r="F18" s="63">
        <f>'Data Sheet'!E25/'Data Sheet'!E$17</f>
        <v>6.9304853887117582E-3</v>
      </c>
      <c r="G18" s="63">
        <f>'Data Sheet'!F25/'Data Sheet'!F$17</f>
        <v>2.034889464081829E-2</v>
      </c>
      <c r="H18" s="63">
        <f>'Data Sheet'!G25/'Data Sheet'!G$17</f>
        <v>-8.8383094035074702E-2</v>
      </c>
      <c r="I18" s="63">
        <f>'Data Sheet'!H25/'Data Sheet'!H$17</f>
        <v>3.8959202846676288E-4</v>
      </c>
      <c r="J18" s="63">
        <f>'Data Sheet'!I25/'Data Sheet'!I$17</f>
        <v>-4.4507860953843105E-2</v>
      </c>
      <c r="K18" s="63">
        <f>'Data Sheet'!J25/'Data Sheet'!J$17</f>
        <v>8.7053994844814731E-3</v>
      </c>
      <c r="L18" s="63">
        <f>'Data Sheet'!K25/'Data Sheet'!K$17</f>
        <v>1.8289578337492739E-2</v>
      </c>
    </row>
    <row r="19" spans="2:12" outlineLevel="1" x14ac:dyDescent="0.25">
      <c r="B19" s="64" t="str">
        <f>'Data Sheet'!A26</f>
        <v>Depreciation</v>
      </c>
      <c r="D19" s="63">
        <f>'Data Sheet'!C26/'Data Sheet'!C$17</f>
        <v>5.0876584184966822E-2</v>
      </c>
      <c r="E19" s="63">
        <f>'Data Sheet'!D26/'Data Sheet'!D$17</f>
        <v>6.1201425695927715E-2</v>
      </c>
      <c r="F19" s="63">
        <f>'Data Sheet'!E26/'Data Sheet'!E$17</f>
        <v>6.63903865924938E-2</v>
      </c>
      <c r="G19" s="63">
        <f>'Data Sheet'!F26/'Data Sheet'!F$17</f>
        <v>7.3927472182518786E-2</v>
      </c>
      <c r="H19" s="63">
        <f>'Data Sheet'!G26/'Data Sheet'!G$17</f>
        <v>7.8130605447998658E-2</v>
      </c>
      <c r="I19" s="63">
        <f>'Data Sheet'!H26/'Data Sheet'!H$17</f>
        <v>8.206839774331566E-2</v>
      </c>
      <c r="J19" s="63">
        <f>'Data Sheet'!I26/'Data Sheet'!I$17</f>
        <v>9.4264230933596482E-2</v>
      </c>
      <c r="K19" s="63">
        <f>'Data Sheet'!J26/'Data Sheet'!J$17</f>
        <v>8.9191478279219347E-2</v>
      </c>
      <c r="L19" s="63">
        <f>'Data Sheet'!K26/'Data Sheet'!K$17</f>
        <v>7.1857611147098821E-2</v>
      </c>
    </row>
    <row r="20" spans="2:12" ht="15.75" outlineLevel="1" thickBot="1" x14ac:dyDescent="0.3">
      <c r="B20" s="64" t="str">
        <f>'Data Sheet'!A27</f>
        <v>Interest</v>
      </c>
      <c r="D20" s="63">
        <f>'Data Sheet'!C27/'Data Sheet'!C$17</f>
        <v>1.8473585814932098E-2</v>
      </c>
      <c r="E20" s="63">
        <f>'Data Sheet'!D27/'Data Sheet'!D$17</f>
        <v>1.7905727101993223E-2</v>
      </c>
      <c r="F20" s="63">
        <f>'Data Sheet'!E27/'Data Sheet'!E$17</f>
        <v>1.5714229512714312E-2</v>
      </c>
      <c r="G20" s="63">
        <f>'Data Sheet'!F27/'Data Sheet'!F$17</f>
        <v>1.605824830060304E-2</v>
      </c>
      <c r="H20" s="63">
        <f>'Data Sheet'!G27/'Data Sheet'!G$17</f>
        <v>1.9072102124141878E-2</v>
      </c>
      <c r="I20" s="63">
        <f>'Data Sheet'!H27/'Data Sheet'!H$17</f>
        <v>2.7744996829752802E-2</v>
      </c>
      <c r="J20" s="63">
        <f>'Data Sheet'!I27/'Data Sheet'!I$17</f>
        <v>3.2415292955516477E-2</v>
      </c>
      <c r="K20" s="63">
        <f>'Data Sheet'!J27/'Data Sheet'!J$17</f>
        <v>3.3441332168710897E-2</v>
      </c>
      <c r="L20" s="63">
        <f>'Data Sheet'!K27/'Data Sheet'!K$17</f>
        <v>2.9556231914277829E-2</v>
      </c>
    </row>
    <row r="21" spans="2:12" ht="15.75" outlineLevel="1" thickBot="1" x14ac:dyDescent="0.3">
      <c r="B21" s="65" t="str">
        <f>'Data Sheet'!A28</f>
        <v>Profit before tax</v>
      </c>
      <c r="C21" s="66"/>
      <c r="D21" s="67">
        <f>'Data Sheet'!C28/'Data Sheet'!C$17</f>
        <v>8.246938789624432E-2</v>
      </c>
      <c r="E21" s="67">
        <f>'Data Sheet'!D28/'Data Sheet'!D$17</f>
        <v>5.1734105951533375E-2</v>
      </c>
      <c r="F21" s="67">
        <f>'Data Sheet'!E28/'Data Sheet'!E$17</f>
        <v>3.453855652127677E-2</v>
      </c>
      <c r="G21" s="67">
        <f>'Data Sheet'!F28/'Data Sheet'!F$17</f>
        <v>3.8261058599526235E-2</v>
      </c>
      <c r="H21" s="67">
        <f>'Data Sheet'!G28/'Data Sheet'!G$17</f>
        <v>-0.10389917281140788</v>
      </c>
      <c r="I21" s="67">
        <f>'Data Sheet'!H28/'Data Sheet'!H$17</f>
        <v>-4.0525768059559354E-2</v>
      </c>
      <c r="J21" s="67">
        <f>'Data Sheet'!I28/'Data Sheet'!I$17</f>
        <v>-4.1931545799101064E-2</v>
      </c>
      <c r="K21" s="67">
        <f>'Data Sheet'!J28/'Data Sheet'!J$17</f>
        <v>-2.5151082611172375E-2</v>
      </c>
      <c r="L21" s="67">
        <f>'Data Sheet'!K28/'Data Sheet'!K$17</f>
        <v>8.8376933786482575E-3</v>
      </c>
    </row>
    <row r="22" spans="2:12" ht="15.75" outlineLevel="1" thickBot="1" x14ac:dyDescent="0.3">
      <c r="B22" s="64" t="str">
        <f>'Data Sheet'!A29</f>
        <v>Tax</v>
      </c>
      <c r="D22" s="68">
        <f>'Data Sheet'!C29/'Data Sheet'!C$17</f>
        <v>2.9042938226922752E-2</v>
      </c>
      <c r="E22" s="68">
        <f>'Data Sheet'!D29/'Data Sheet'!D$17</f>
        <v>1.1078918686109574E-2</v>
      </c>
      <c r="F22" s="68">
        <f>'Data Sheet'!E29/'Data Sheet'!E$17</f>
        <v>1.2055321818169885E-2</v>
      </c>
      <c r="G22" s="68">
        <f>'Data Sheet'!F29/'Data Sheet'!F$17</f>
        <v>1.4892549653836963E-2</v>
      </c>
      <c r="H22" s="68">
        <f>'Data Sheet'!G29/'Data Sheet'!G$17</f>
        <v>-8.0726731015332912E-3</v>
      </c>
      <c r="I22" s="68">
        <f>'Data Sheet'!H29/'Data Sheet'!H$17</f>
        <v>1.5139735448971392E-3</v>
      </c>
      <c r="J22" s="68">
        <f>'Data Sheet'!I29/'Data Sheet'!I$17</f>
        <v>1.0175794327142584E-2</v>
      </c>
      <c r="K22" s="68">
        <f>'Data Sheet'!J29/'Data Sheet'!J$17</f>
        <v>1.5195672442685429E-2</v>
      </c>
      <c r="L22" s="68">
        <f>'Data Sheet'!K29/'Data Sheet'!K$17</f>
        <v>2.0350497621203548E-3</v>
      </c>
    </row>
    <row r="23" spans="2:12" ht="15.75" outlineLevel="1" thickBot="1" x14ac:dyDescent="0.3">
      <c r="B23" s="65" t="str">
        <f>'Data Sheet'!A30</f>
        <v>Net profit</v>
      </c>
      <c r="C23" s="66"/>
      <c r="D23" s="67">
        <f>'Data Sheet'!C30/'Data Sheet'!C$17</f>
        <v>5.3147682818956064E-2</v>
      </c>
      <c r="E23" s="67">
        <f>'Data Sheet'!D30/'Data Sheet'!D$17</f>
        <v>4.2407971415763523E-2</v>
      </c>
      <c r="F23" s="67">
        <f>'Data Sheet'!E30/'Data Sheet'!E$17</f>
        <v>2.764021885516954E-2</v>
      </c>
      <c r="G23" s="67">
        <f>'Data Sheet'!F30/'Data Sheet'!F$17</f>
        <v>3.0831401821049997E-2</v>
      </c>
      <c r="H23" s="67">
        <f>'Data Sheet'!G30/'Data Sheet'!G$17</f>
        <v>-9.5470566181711222E-2</v>
      </c>
      <c r="I23" s="67">
        <f>'Data Sheet'!H30/'Data Sheet'!H$17</f>
        <v>-4.6236426475450051E-2</v>
      </c>
      <c r="J23" s="67">
        <f>'Data Sheet'!I30/'Data Sheet'!I$17</f>
        <v>-5.3849770661713266E-2</v>
      </c>
      <c r="K23" s="67">
        <f>'Data Sheet'!J30/'Data Sheet'!J$17</f>
        <v>-4.1089320368684734E-2</v>
      </c>
      <c r="L23" s="67">
        <f>'Data Sheet'!K30/'Data Sheet'!K$17</f>
        <v>6.9783829363826268E-3</v>
      </c>
    </row>
    <row r="24" spans="2:12" outlineLevel="1" x14ac:dyDescent="0.25">
      <c r="B24" s="64" t="str">
        <f>'Data Sheet'!A31</f>
        <v>Dividend Amount</v>
      </c>
      <c r="D24" s="63">
        <f>'Data Sheet'!C31/'Data Sheet'!C$17</f>
        <v>0</v>
      </c>
      <c r="E24" s="63">
        <f>'Data Sheet'!D31/'Data Sheet'!D$17</f>
        <v>2.487496593975512E-4</v>
      </c>
      <c r="F24" s="63">
        <f>'Data Sheet'!E31/'Data Sheet'!E$17</f>
        <v>0</v>
      </c>
      <c r="G24" s="63">
        <f>'Data Sheet'!F31/'Data Sheet'!F$17</f>
        <v>0</v>
      </c>
      <c r="H24" s="63">
        <f>'Data Sheet'!G31/'Data Sheet'!G$17</f>
        <v>0</v>
      </c>
      <c r="I24" s="63">
        <f>'Data Sheet'!H31/'Data Sheet'!H$17</f>
        <v>0</v>
      </c>
      <c r="J24" s="63">
        <f>'Data Sheet'!I31/'Data Sheet'!I$17</f>
        <v>0</v>
      </c>
      <c r="K24" s="63">
        <f>'Data Sheet'!J31/'Data Sheet'!J$17</f>
        <v>0</v>
      </c>
      <c r="L24" s="63">
        <f>'Data Sheet'!K31/'Data Sheet'!K$17</f>
        <v>2.2141420032091505E-3</v>
      </c>
    </row>
    <row r="25" spans="2:12" outlineLevel="1" x14ac:dyDescent="0.25">
      <c r="B25" s="64" t="str">
        <f>'Data Sheet'!A34</f>
        <v>EBITDA</v>
      </c>
      <c r="D25" s="69">
        <f>'Data Sheet'!C34/'Data Sheet'!C$17</f>
        <v>0.15154079104577772</v>
      </c>
      <c r="E25" s="69">
        <f>'Data Sheet'!D34/'Data Sheet'!D$17</f>
        <v>0.13259404289979404</v>
      </c>
      <c r="F25" s="69">
        <f>'Data Sheet'!E34/'Data Sheet'!E$17</f>
        <v>0.12180015677854752</v>
      </c>
      <c r="G25" s="69">
        <f>'Data Sheet'!F34/'Data Sheet'!F$17</f>
        <v>0.13570967195800879</v>
      </c>
      <c r="H25" s="69">
        <f>'Data Sheet'!G34/'Data Sheet'!G$17</f>
        <v>-6.3405317111039769E-3</v>
      </c>
      <c r="I25" s="69">
        <f>'Data Sheet'!H34/'Data Sheet'!H$17</f>
        <v>6.5090941642515568E-2</v>
      </c>
      <c r="J25" s="69">
        <f>'Data Sheet'!I34/'Data Sheet'!I$17</f>
        <v>8.3005547554542272E-2</v>
      </c>
      <c r="K25" s="69">
        <f>'Data Sheet'!J34/'Data Sheet'!J$17</f>
        <v>9.6739162521930946E-2</v>
      </c>
      <c r="L25" s="69">
        <f>'Data Sheet'!K34/'Data Sheet'!K$17</f>
        <v>0.11042727575987961</v>
      </c>
    </row>
    <row r="26" spans="2:12" x14ac:dyDescent="0.25">
      <c r="B26" s="64"/>
      <c r="D26" s="69"/>
      <c r="E26" s="69"/>
      <c r="F26" s="69"/>
      <c r="G26" s="69"/>
      <c r="H26" s="69"/>
      <c r="I26" s="69"/>
      <c r="J26" s="69"/>
      <c r="K26" s="69"/>
      <c r="L26" s="69"/>
    </row>
    <row r="28" spans="2:12" ht="15" customHeight="1" x14ac:dyDescent="0.25">
      <c r="B28" s="193" t="str">
        <f>"Common Size - Balance Sheet"&amp;" - "&amp;'Profit &amp; Loss'!A1</f>
        <v>Common Size - Balance Sheet - TATA MOTORS LTD</v>
      </c>
      <c r="C28" s="193"/>
      <c r="D28" s="193"/>
      <c r="E28" s="193"/>
      <c r="F28" s="193"/>
      <c r="G28" s="193"/>
      <c r="H28" s="193"/>
      <c r="I28" s="193"/>
      <c r="J28" s="193"/>
      <c r="K28" s="193"/>
      <c r="L28" s="193"/>
    </row>
    <row r="30" spans="2:12" outlineLevel="1" x14ac:dyDescent="0.25">
      <c r="B30" s="54" t="s">
        <v>107</v>
      </c>
      <c r="C30" s="54"/>
      <c r="D30" s="70">
        <f>'Data Sheet'!C61/'Data Sheet'!C$61</f>
        <v>1</v>
      </c>
      <c r="E30" s="70">
        <f>'Data Sheet'!D61/'Data Sheet'!D$61</f>
        <v>1</v>
      </c>
      <c r="F30" s="70">
        <f>'Data Sheet'!E61/'Data Sheet'!E$61</f>
        <v>1</v>
      </c>
      <c r="G30" s="70">
        <f>'Data Sheet'!F61/'Data Sheet'!F$61</f>
        <v>1</v>
      </c>
      <c r="H30" s="70">
        <f>'Data Sheet'!G61/'Data Sheet'!G$61</f>
        <v>1</v>
      </c>
      <c r="I30" s="70">
        <f>'Data Sheet'!H61/'Data Sheet'!H$61</f>
        <v>1</v>
      </c>
      <c r="J30" s="70">
        <f>'Data Sheet'!I61/'Data Sheet'!I$61</f>
        <v>1</v>
      </c>
      <c r="K30" s="70">
        <f>'Data Sheet'!J61/'Data Sheet'!J$61</f>
        <v>1</v>
      </c>
      <c r="L30" s="70">
        <f>'Data Sheet'!K61/'Data Sheet'!K$61</f>
        <v>1</v>
      </c>
    </row>
    <row r="31" spans="2:12" outlineLevel="1" x14ac:dyDescent="0.25">
      <c r="B31" s="69" t="str">
        <f>'Data Sheet'!A57</f>
        <v>Equity Share Capital</v>
      </c>
      <c r="D31" s="63">
        <f>'Data Sheet'!C57/'Data Sheet'!C$61</f>
        <v>2.7127681338360746E-3</v>
      </c>
      <c r="E31" s="63">
        <f>'Data Sheet'!D57/'Data Sheet'!D$61</f>
        <v>2.5806268250531225E-3</v>
      </c>
      <c r="F31" s="63">
        <f>'Data Sheet'!E57/'Data Sheet'!E$61</f>
        <v>2.491815624573979E-3</v>
      </c>
      <c r="G31" s="63">
        <f>'Data Sheet'!F57/'Data Sheet'!F$61</f>
        <v>2.0759077068585549E-3</v>
      </c>
      <c r="H31" s="63">
        <f>'Data Sheet'!G57/'Data Sheet'!G$61</f>
        <v>2.2218261230841693E-3</v>
      </c>
      <c r="I31" s="63">
        <f>'Data Sheet'!H57/'Data Sheet'!H$61</f>
        <v>2.2473026761653833E-3</v>
      </c>
      <c r="J31" s="63">
        <f>'Data Sheet'!I57/'Data Sheet'!I$61</f>
        <v>2.2420300429859294E-3</v>
      </c>
      <c r="K31" s="63">
        <f>'Data Sheet'!J57/'Data Sheet'!J$61</f>
        <v>2.3274677325505334E-3</v>
      </c>
      <c r="L31" s="63">
        <f>'Data Sheet'!K57/'Data Sheet'!K$61</f>
        <v>2.2888512875034999E-3</v>
      </c>
    </row>
    <row r="32" spans="2:12" outlineLevel="1" x14ac:dyDescent="0.25">
      <c r="B32" s="69" t="str">
        <f>'Data Sheet'!A58</f>
        <v>Reserves</v>
      </c>
      <c r="D32" s="63">
        <f>'Data Sheet'!C58/'Data Sheet'!C$61</f>
        <v>0.23436440687072221</v>
      </c>
      <c r="E32" s="63">
        <f>'Data Sheet'!D58/'Data Sheet'!D$61</f>
        <v>0.2974086354450261</v>
      </c>
      <c r="F32" s="63">
        <f>'Data Sheet'!E58/'Data Sheet'!E$61</f>
        <v>0.21051652437468349</v>
      </c>
      <c r="G32" s="63">
        <f>'Data Sheet'!F58/'Data Sheet'!F$61</f>
        <v>0.28958148432871839</v>
      </c>
      <c r="H32" s="63">
        <f>'Data Sheet'!G58/'Data Sheet'!G$61</f>
        <v>0.19463415350606564</v>
      </c>
      <c r="I32" s="63">
        <f>'Data Sheet'!H58/'Data Sheet'!H$61</f>
        <v>0.19205324240264182</v>
      </c>
      <c r="J32" s="63">
        <f>'Data Sheet'!I58/'Data Sheet'!I$61</f>
        <v>0.15950149121742019</v>
      </c>
      <c r="K32" s="63">
        <f>'Data Sheet'!J58/'Data Sheet'!J$61</f>
        <v>0.13309172094249011</v>
      </c>
      <c r="L32" s="63">
        <f>'Data Sheet'!K58/'Data Sheet'!K$61</f>
        <v>0.13313168263258116</v>
      </c>
    </row>
    <row r="33" spans="1:12" outlineLevel="1" x14ac:dyDescent="0.25">
      <c r="B33" s="69" t="str">
        <f>'Data Sheet'!A59</f>
        <v>Borrowings</v>
      </c>
      <c r="D33" s="63">
        <f>'Data Sheet'!C59/'Data Sheet'!C$61</f>
        <v>0.31018037266029647</v>
      </c>
      <c r="E33" s="63">
        <f>'Data Sheet'!D59/'Data Sheet'!D$61</f>
        <v>0.2635415844998551</v>
      </c>
      <c r="F33" s="63">
        <f>'Data Sheet'!E59/'Data Sheet'!E$61</f>
        <v>0.2883699324485447</v>
      </c>
      <c r="G33" s="63">
        <f>'Data Sheet'!F59/'Data Sheet'!F$61</f>
        <v>0.27186031948660327</v>
      </c>
      <c r="H33" s="63">
        <f>'Data Sheet'!G59/'Data Sheet'!G$61</f>
        <v>0.34731477877468786</v>
      </c>
      <c r="I33" s="63">
        <f>'Data Sheet'!H59/'Data Sheet'!H$61</f>
        <v>0.38974288757311953</v>
      </c>
      <c r="J33" s="63">
        <f>'Data Sheet'!I59/'Data Sheet'!I$61</f>
        <v>0.41610975041683274</v>
      </c>
      <c r="K33" s="63">
        <f>'Data Sheet'!J59/'Data Sheet'!J$61</f>
        <v>0.445050649956031</v>
      </c>
      <c r="L33" s="63">
        <f>'Data Sheet'!K59/'Data Sheet'!K$61</f>
        <v>0.40072807474416255</v>
      </c>
    </row>
    <row r="34" spans="1:12" outlineLevel="1" x14ac:dyDescent="0.25">
      <c r="B34" s="69" t="str">
        <f>'Data Sheet'!A60</f>
        <v>Other Liabilities</v>
      </c>
      <c r="D34" s="63">
        <f>'Data Sheet'!C60/'Data Sheet'!C$61</f>
        <v>0.45274245233514521</v>
      </c>
      <c r="E34" s="63">
        <f>'Data Sheet'!D60/'Data Sheet'!D$61</f>
        <v>0.43646915323006569</v>
      </c>
      <c r="F34" s="63">
        <f>'Data Sheet'!E60/'Data Sheet'!E$61</f>
        <v>0.4986217275521978</v>
      </c>
      <c r="G34" s="63">
        <f>'Data Sheet'!F60/'Data Sheet'!F$61</f>
        <v>0.43648228847781978</v>
      </c>
      <c r="H34" s="63">
        <f>'Data Sheet'!G60/'Data Sheet'!G$61</f>
        <v>0.45582924159616234</v>
      </c>
      <c r="I34" s="63">
        <f>'Data Sheet'!H60/'Data Sheet'!H$61</f>
        <v>0.41595656734807318</v>
      </c>
      <c r="J34" s="63">
        <f>'Data Sheet'!I60/'Data Sheet'!I$61</f>
        <v>0.42214672832276123</v>
      </c>
      <c r="K34" s="63">
        <f>'Data Sheet'!J60/'Data Sheet'!J$61</f>
        <v>0.41953016136892834</v>
      </c>
      <c r="L34" s="63">
        <f>'Data Sheet'!K60/'Data Sheet'!K$61</f>
        <v>0.46385139133575282</v>
      </c>
    </row>
    <row r="35" spans="1:12" outlineLevel="1" x14ac:dyDescent="0.25">
      <c r="B35" s="69"/>
    </row>
    <row r="36" spans="1:12" outlineLevel="1" x14ac:dyDescent="0.25">
      <c r="B36" s="71" t="s">
        <v>149</v>
      </c>
      <c r="C36" s="54"/>
      <c r="D36" s="70">
        <f>'Data Sheet'!C76/'Data Sheet'!C$76</f>
        <v>1</v>
      </c>
      <c r="E36" s="70">
        <f>'Data Sheet'!D76/'Data Sheet'!D$76</f>
        <v>1</v>
      </c>
      <c r="F36" s="70">
        <f>'Data Sheet'!E76/'Data Sheet'!E$76</f>
        <v>1</v>
      </c>
      <c r="G36" s="70">
        <f>'Data Sheet'!F76/'Data Sheet'!F$76</f>
        <v>1</v>
      </c>
      <c r="H36" s="70">
        <f>'Data Sheet'!G76/'Data Sheet'!G$76</f>
        <v>1</v>
      </c>
      <c r="I36" s="70">
        <f>'Data Sheet'!H76/'Data Sheet'!H$76</f>
        <v>1</v>
      </c>
      <c r="J36" s="70">
        <f>'Data Sheet'!I76/'Data Sheet'!I$76</f>
        <v>1</v>
      </c>
      <c r="K36" s="70">
        <f>'Data Sheet'!J76/'Data Sheet'!J$76</f>
        <v>1</v>
      </c>
      <c r="L36" s="70">
        <f>'Data Sheet'!K76/'Data Sheet'!K$76</f>
        <v>1</v>
      </c>
    </row>
    <row r="37" spans="1:12" outlineLevel="1" x14ac:dyDescent="0.25">
      <c r="B37" s="69" t="str">
        <f>'Data Sheet'!A62</f>
        <v>Net Block</v>
      </c>
      <c r="D37" s="63">
        <f>'Data Sheet'!C62/'Data Sheet'!C$76</f>
        <v>0.37283597031605153</v>
      </c>
      <c r="E37" s="63">
        <f>'Data Sheet'!D62/'Data Sheet'!D$76</f>
        <v>0.40744008415097382</v>
      </c>
      <c r="F37" s="63">
        <f>'Data Sheet'!E62/'Data Sheet'!E$76</f>
        <v>0.35198456704657666</v>
      </c>
      <c r="G37" s="63">
        <f>'Data Sheet'!F62/'Data Sheet'!F$76</f>
        <v>0.37107854258332446</v>
      </c>
      <c r="H37" s="63">
        <f>'Data Sheet'!G62/'Data Sheet'!G$76</f>
        <v>0.36386391925064382</v>
      </c>
      <c r="I37" s="63">
        <f>'Data Sheet'!H62/'Data Sheet'!H$76</f>
        <v>0.39698726392101624</v>
      </c>
      <c r="J37" s="63">
        <f>'Data Sheet'!I62/'Data Sheet'!I$76</f>
        <v>0.40608849298230043</v>
      </c>
      <c r="K37" s="63">
        <f>'Data Sheet'!J62/'Data Sheet'!J$76</f>
        <v>0.42197417266906562</v>
      </c>
      <c r="L37" s="63">
        <f>'Data Sheet'!K62/'Data Sheet'!K$76</f>
        <v>0.39465148263642369</v>
      </c>
    </row>
    <row r="38" spans="1:12" outlineLevel="1" x14ac:dyDescent="0.25">
      <c r="B38" s="69" t="str">
        <f>'Data Sheet'!A63</f>
        <v>Capital Work in Progress</v>
      </c>
      <c r="D38" s="63">
        <f>'Data Sheet'!C63/'Data Sheet'!C$76</f>
        <v>0.12068396579918175</v>
      </c>
      <c r="E38" s="63">
        <f>'Data Sheet'!D63/'Data Sheet'!D$76</f>
        <v>9.8482157662096018E-2</v>
      </c>
      <c r="F38" s="63">
        <f>'Data Sheet'!E63/'Data Sheet'!E$76</f>
        <v>0.12362900980833688</v>
      </c>
      <c r="G38" s="63">
        <f>'Data Sheet'!F63/'Data Sheet'!F$76</f>
        <v>0.12235483522646853</v>
      </c>
      <c r="H38" s="63">
        <f>'Data Sheet'!G63/'Data Sheet'!G$76</f>
        <v>0.1042966176146697</v>
      </c>
      <c r="I38" s="63">
        <f>'Data Sheet'!H63/'Data Sheet'!H$76</f>
        <v>0.11125728611076434</v>
      </c>
      <c r="J38" s="63">
        <f>'Data Sheet'!I63/'Data Sheet'!I$76</f>
        <v>6.137522476731045E-2</v>
      </c>
      <c r="K38" s="63">
        <f>'Data Sheet'!J63/'Data Sheet'!J$76</f>
        <v>3.1152505873598278E-2</v>
      </c>
      <c r="L38" s="63">
        <f>'Data Sheet'!K63/'Data Sheet'!K$76</f>
        <v>4.2651899041106896E-2</v>
      </c>
    </row>
    <row r="39" spans="1:12" outlineLevel="1" x14ac:dyDescent="0.25">
      <c r="B39" s="69" t="str">
        <f>'Data Sheet'!A64</f>
        <v>Investments</v>
      </c>
      <c r="D39" s="63">
        <f>'Data Sheet'!C64/'Data Sheet'!C$76</f>
        <v>6.4626144877021785E-2</v>
      </c>
      <c r="E39" s="63">
        <f>'Data Sheet'!D64/'Data Sheet'!D$76</f>
        <v>9.0305676497502971E-2</v>
      </c>
      <c r="F39" s="63">
        <f>'Data Sheet'!E64/'Data Sheet'!E$76</f>
        <v>7.4612565630187005E-2</v>
      </c>
      <c r="G39" s="63">
        <f>'Data Sheet'!F64/'Data Sheet'!F$76</f>
        <v>6.3610241344366172E-2</v>
      </c>
      <c r="H39" s="63">
        <f>'Data Sheet'!G64/'Data Sheet'!G$76</f>
        <v>5.1588289031309388E-2</v>
      </c>
      <c r="I39" s="63">
        <f>'Data Sheet'!H64/'Data Sheet'!H$76</f>
        <v>5.0935445907370862E-2</v>
      </c>
      <c r="J39" s="63">
        <f>'Data Sheet'!I64/'Data Sheet'!I$76</f>
        <v>7.207976838475029E-2</v>
      </c>
      <c r="K39" s="63">
        <f>'Data Sheet'!J64/'Data Sheet'!J$76</f>
        <v>8.928279635517361E-2</v>
      </c>
      <c r="L39" s="63">
        <f>'Data Sheet'!K64/'Data Sheet'!K$76</f>
        <v>7.8820362822460008E-2</v>
      </c>
    </row>
    <row r="40" spans="1:12" outlineLevel="1" x14ac:dyDescent="0.25">
      <c r="B40" s="69" t="str">
        <f>'Data Sheet'!A65</f>
        <v>Other Assets</v>
      </c>
      <c r="D40" s="63">
        <f>'Data Sheet'!C65/'Data Sheet'!C$76</f>
        <v>0.44185391900774496</v>
      </c>
      <c r="E40" s="63">
        <f>'Data Sheet'!D65/'Data Sheet'!D$76</f>
        <v>0.40377208168942713</v>
      </c>
      <c r="F40" s="63">
        <f>'Data Sheet'!E65/'Data Sheet'!E$76</f>
        <v>0.44977385751489951</v>
      </c>
      <c r="G40" s="63">
        <f>'Data Sheet'!F65/'Data Sheet'!F$76</f>
        <v>0.44295638084584088</v>
      </c>
      <c r="H40" s="63">
        <f>'Data Sheet'!G65/'Data Sheet'!G$76</f>
        <v>0.48025117410337709</v>
      </c>
      <c r="I40" s="63">
        <f>'Data Sheet'!H65/'Data Sheet'!H$76</f>
        <v>0.44082000406084854</v>
      </c>
      <c r="J40" s="63">
        <f>'Data Sheet'!I65/'Data Sheet'!I$76</f>
        <v>0.46045651386563885</v>
      </c>
      <c r="K40" s="63">
        <f>'Data Sheet'!J65/'Data Sheet'!J$76</f>
        <v>0.45759052510216258</v>
      </c>
      <c r="L40" s="63">
        <f>'Data Sheet'!K65/'Data Sheet'!K$76</f>
        <v>0.48387625550000934</v>
      </c>
    </row>
    <row r="41" spans="1:12" outlineLevel="1" x14ac:dyDescent="0.25">
      <c r="B41" s="69" t="str">
        <f>'Data Sheet'!A67</f>
        <v>Receivables</v>
      </c>
      <c r="D41" s="63">
        <f>'Data Sheet'!C67/'Data Sheet'!C$76</f>
        <v>5.3006388687363314E-2</v>
      </c>
      <c r="E41" s="63">
        <f>'Data Sheet'!D67/'Data Sheet'!D$76</f>
        <v>5.1564319306195219E-2</v>
      </c>
      <c r="F41" s="63">
        <f>'Data Sheet'!E67/'Data Sheet'!E$76</f>
        <v>5.1638166447501938E-2</v>
      </c>
      <c r="G41" s="63">
        <f>'Data Sheet'!F67/'Data Sheet'!F$76</f>
        <v>6.0800115993123419E-2</v>
      </c>
      <c r="H41" s="63">
        <f>'Data Sheet'!G67/'Data Sheet'!G$76</f>
        <v>6.2139198999658127E-2</v>
      </c>
      <c r="I41" s="63">
        <f>'Data Sheet'!H67/'Data Sheet'!H$76</f>
        <v>3.4895094278241959E-2</v>
      </c>
      <c r="J41" s="63">
        <f>'Data Sheet'!I67/'Data Sheet'!I$76</f>
        <v>3.7120014464974392E-2</v>
      </c>
      <c r="K41" s="63">
        <f>'Data Sheet'!J67/'Data Sheet'!J$76</f>
        <v>3.7810927070195913E-2</v>
      </c>
      <c r="L41" s="63">
        <f>'Data Sheet'!K67/'Data Sheet'!K$76</f>
        <v>4.702471593064339E-2</v>
      </c>
    </row>
    <row r="42" spans="1:12" outlineLevel="1" x14ac:dyDescent="0.25">
      <c r="B42" s="69" t="str">
        <f>'Data Sheet'!A68</f>
        <v>Inventory</v>
      </c>
      <c r="D42" s="63">
        <f>'Data Sheet'!C68/'Data Sheet'!C$76</f>
        <v>0.1233481486762793</v>
      </c>
      <c r="E42" s="63">
        <f>'Data Sheet'!D68/'Data Sheet'!D$76</f>
        <v>0.12407940874244236</v>
      </c>
      <c r="F42" s="63">
        <f>'Data Sheet'!E68/'Data Sheet'!E$76</f>
        <v>0.12871547311772571</v>
      </c>
      <c r="G42" s="63">
        <f>'Data Sheet'!F68/'Data Sheet'!F$76</f>
        <v>0.12878571135383859</v>
      </c>
      <c r="H42" s="63">
        <f>'Data Sheet'!G68/'Data Sheet'!G$76</f>
        <v>0.12761951131143451</v>
      </c>
      <c r="I42" s="63">
        <f>'Data Sheet'!H68/'Data Sheet'!H$76</f>
        <v>0.11698716772494318</v>
      </c>
      <c r="J42" s="63">
        <f>'Data Sheet'!I68/'Data Sheet'!I$76</f>
        <v>0.1056550619461767</v>
      </c>
      <c r="K42" s="63">
        <f>'Data Sheet'!J68/'Data Sheet'!J$76</f>
        <v>0.1070934797019244</v>
      </c>
      <c r="L42" s="63">
        <f>'Data Sheet'!K68/'Data Sheet'!K$76</f>
        <v>0.12177622891596467</v>
      </c>
    </row>
    <row r="43" spans="1:12" outlineLevel="1" x14ac:dyDescent="0.25">
      <c r="B43" s="69" t="str">
        <f>'Data Sheet'!A69</f>
        <v>Cash &amp; Bank</v>
      </c>
      <c r="D43" s="63">
        <f>'Data Sheet'!C69/'Data Sheet'!C$76</f>
        <v>0.13532978707311077</v>
      </c>
      <c r="E43" s="63">
        <f>'Data Sheet'!D69/'Data Sheet'!D$76</f>
        <v>0.11573798601526566</v>
      </c>
      <c r="F43" s="63">
        <f>'Data Sheet'!E69/'Data Sheet'!E$76</f>
        <v>0.13235685799226327</v>
      </c>
      <c r="G43" s="63">
        <f>'Data Sheet'!F69/'Data Sheet'!F$76</f>
        <v>0.10579088150158772</v>
      </c>
      <c r="H43" s="63">
        <f>'Data Sheet'!G69/'Data Sheet'!G$76</f>
        <v>0.10679897700873484</v>
      </c>
      <c r="I43" s="63">
        <f>'Data Sheet'!H69/'Data Sheet'!H$76</f>
        <v>0.10533772957715985</v>
      </c>
      <c r="J43" s="63">
        <f>'Data Sheet'!I69/'Data Sheet'!I$76</f>
        <v>0.13699233635656022</v>
      </c>
      <c r="K43" s="63">
        <f>'Data Sheet'!J69/'Data Sheet'!J$76</f>
        <v>0.12359146006419652</v>
      </c>
      <c r="L43" s="63">
        <f>'Data Sheet'!K69/'Data Sheet'!K$76</f>
        <v>0.1106016972972808</v>
      </c>
    </row>
    <row r="44" spans="1:12" x14ac:dyDescent="0.25">
      <c r="B44" s="69"/>
      <c r="D44" s="63"/>
      <c r="E44" s="63"/>
      <c r="F44" s="63"/>
      <c r="G44" s="63"/>
      <c r="H44" s="63"/>
      <c r="I44" s="63"/>
      <c r="J44" s="63"/>
      <c r="K44" s="63"/>
      <c r="L44" s="63"/>
    </row>
    <row r="45" spans="1:12" ht="9.75" customHeight="1" x14ac:dyDescent="0.25">
      <c r="A45" s="85"/>
      <c r="B45" s="73"/>
      <c r="C45" s="72"/>
      <c r="D45" s="72"/>
      <c r="E45" s="72"/>
      <c r="F45" s="72"/>
      <c r="G45" s="72"/>
      <c r="H45" s="72"/>
      <c r="I45" s="72"/>
      <c r="J45" s="72"/>
      <c r="K45" s="72"/>
      <c r="L45" s="72"/>
    </row>
  </sheetData>
  <mergeCells count="4">
    <mergeCell ref="B28:L28"/>
    <mergeCell ref="B6:F6"/>
    <mergeCell ref="B3:L5"/>
    <mergeCell ref="M3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Profit &amp; Loss</vt:lpstr>
      <vt:lpstr>Quarters</vt:lpstr>
      <vt:lpstr>Balance Sheet</vt:lpstr>
      <vt:lpstr>Cash Flow</vt:lpstr>
      <vt:lpstr>Data Sheet</vt:lpstr>
      <vt:lpstr>Cash Flow Statement</vt:lpstr>
      <vt:lpstr>Historical Financial Statement</vt:lpstr>
      <vt:lpstr>Ratio Analysis</vt:lpstr>
      <vt:lpstr>COMMON - SIZE</vt:lpstr>
      <vt:lpstr>FORECASTING</vt:lpstr>
      <vt:lpstr>DATA ROOM</vt:lpstr>
      <vt:lpstr>Intrinsic Growth</vt:lpstr>
      <vt:lpstr>DATA ROOM 2</vt:lpstr>
      <vt:lpstr>Relative Valuation</vt:lpstr>
      <vt:lpstr>Chart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Anushka Rastogi</cp:lastModifiedBy>
  <cp:lastPrinted>2012-12-06T18:14:13Z</cp:lastPrinted>
  <dcterms:created xsi:type="dcterms:W3CDTF">2012-08-17T09:55:37Z</dcterms:created>
  <dcterms:modified xsi:type="dcterms:W3CDTF">2024-02-26T14:35:53Z</dcterms:modified>
</cp:coreProperties>
</file>